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9.xml" ContentType="application/vnd.openxmlformats-officedocument.drawing+xml"/>
  <Override PartName="/xl/drawings/drawing8.xml" ContentType="application/vnd.openxmlformats-officedocument.drawing+xml"/>
  <Override PartName="/xl/drawings/drawing10.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11.xml" ContentType="application/vnd.openxmlformats-officedocument.drawing+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theme/theme1.xml" ContentType="application/vnd.openxmlformats-officedocument.theme+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drawings/drawing4.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worksheets/sheet21.xml" ContentType="application/vnd.openxmlformats-officedocument.spreadsheetml.worksheet+xml"/>
  <Override PartName="/xl/worksheets/sheet22.xml" ContentType="application/vnd.openxmlformats-officedocument.spreadsheetml.worksheet+xml"/>
  <Override PartName="/xl/styles.xml" ContentType="application/vnd.openxmlformats-officedocument.spreadsheetml.styles+xml"/>
  <Override PartName="/xl/worksheets/sheet20.xml" ContentType="application/vnd.openxmlformats-officedocument.spreadsheetml.worksheet+xml"/>
  <Override PartName="/xl/worksheets/sheet19.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drawings/drawing3.xml" ContentType="application/vnd.openxmlformats-officedocument.drawing+xml"/>
  <Override PartName="/xl/queryTables/queryTable6.xml" ContentType="application/vnd.openxmlformats-officedocument.spreadsheetml.queryTable+xml"/>
  <Override PartName="/xl/activeX/activeX81.bin" ContentType="application/vnd.ms-office.activeX"/>
  <Override PartName="/xl/customProperty8.bin" ContentType="application/vnd.openxmlformats-officedocument.spreadsheetml.customProperty"/>
  <Override PartName="/xl/tables/table2.xml" ContentType="application/vnd.openxmlformats-officedocument.spreadsheetml.table+xml"/>
  <Override PartName="/xl/customProperty7.bin" ContentType="application/vnd.openxmlformats-officedocument.spreadsheetml.customProperty"/>
  <Override PartName="/xl/customProperty6.bin" ContentType="application/vnd.openxmlformats-officedocument.spreadsheetml.customProperty"/>
  <Override PartName="/xl/customProperty5.bin" ContentType="application/vnd.openxmlformats-officedocument.spreadsheetml.customProperty"/>
  <Override PartName="/xl/activeX/activeX81.xml" ContentType="application/vnd.ms-office.activeX+xml"/>
  <Override PartName="/xl/activeX/activeX82.xml" ContentType="application/vnd.ms-office.activeX+xml"/>
  <Override PartName="/xl/activeX/activeX83.bin" ContentType="application/vnd.ms-office.activeX"/>
  <Override PartName="/xl/activeX/activeX83.xml" ContentType="application/vnd.ms-office.activeX+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activeX/activeX2.bin" ContentType="application/vnd.ms-office.activeX"/>
  <Override PartName="/xl/activeX/activeX2.xml" ContentType="application/vnd.ms-office.activeX+xml"/>
  <Override PartName="/xl/activeX/activeX82.bin" ContentType="application/vnd.ms-office.activeX"/>
  <Override PartName="/xl/customProperty9.bin" ContentType="application/vnd.openxmlformats-officedocument.spreadsheetml.customProperty"/>
  <Override PartName="/xl/activeX/activeX80.xml" ContentType="application/vnd.ms-office.activeX+xml"/>
  <Override PartName="/xl/activeX/activeX80.bin" ContentType="application/vnd.ms-office.activeX"/>
  <Override PartName="/xl/activeX/activeX78.bin" ContentType="application/vnd.ms-office.activeX"/>
  <Override PartName="/xl/activeX/activeX78.xml" ContentType="application/vnd.ms-office.activeX+xml"/>
  <Override PartName="/xl/tables/table4.xml" ContentType="application/vnd.openxmlformats-officedocument.spreadsheetml.table+xml"/>
  <Override PartName="/xl/activeX/activeX77.bin" ContentType="application/vnd.ms-office.activeX"/>
  <Override PartName="/xl/activeX/activeX77.xml" ContentType="application/vnd.ms-office.activeX+xml"/>
  <Override PartName="/xl/connections.xml" ContentType="application/vnd.openxmlformats-officedocument.spreadsheetml.connections+xml"/>
  <Override PartName="/xl/ctrlProps/ctrlProp6.xml" ContentType="application/vnd.ms-excel.controlproperties+xml"/>
  <Override PartName="/xl/customProperty1.bin" ContentType="application/vnd.openxmlformats-officedocument.spreadsheetml.customProperty"/>
  <Override PartName="/xl/customProperty2.bin" ContentType="application/vnd.openxmlformats-officedocument.spreadsheetml.customProperty"/>
  <Override PartName="/xl/queryTables/queryTable2.xml" ContentType="application/vnd.openxmlformats-officedocument.spreadsheetml.queryTable+xml"/>
  <Override PartName="/xl/ctrlProps/ctrlProp3.xml" ContentType="application/vnd.ms-excel.controlproperties+xml"/>
  <Override PartName="/xl/activeX/activeX1.bin" ContentType="application/vnd.ms-office.activeX"/>
  <Override PartName="/xl/tables/table3.xml" ContentType="application/vnd.openxmlformats-officedocument.spreadsheetml.table+xml"/>
  <Override PartName="/xl/activeX/activeX1.xml" ContentType="application/vnd.ms-office.activeX+xml"/>
  <Override PartName="/xl/activeX/activeX79.bin" ContentType="application/vnd.ms-office.activeX"/>
  <Override PartName="/xl/activeX/activeX79.xml" ContentType="application/vnd.ms-office.activeX+xml"/>
  <Override PartName="/xl/customProperty4.bin" ContentType="application/vnd.openxmlformats-officedocument.spreadsheetml.customProperty"/>
  <Override PartName="/xl/customProperty3.bin" ContentType="application/vnd.openxmlformats-officedocument.spreadsheetml.customProperty"/>
  <Override PartName="/xl/queryTables/queryTable1.xml" ContentType="application/vnd.openxmlformats-officedocument.spreadsheetml.query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tables/table6.xml" ContentType="application/vnd.openxmlformats-officedocument.spreadsheetml.table+xml"/>
  <Override PartName="/xl/queryTables/queryTable13.xml" ContentType="application/vnd.openxmlformats-officedocument.spreadsheetml.queryTable+xml"/>
  <Override PartName="/xl/ctrlProps/ctrlProp22.xml" ContentType="application/vnd.ms-excel.controlproperties+xml"/>
  <Override PartName="/xl/ctrlProps/ctrlProp21.xml" ContentType="application/vnd.ms-excel.controlproperties+xml"/>
  <Override PartName="/xl/tables/table15.xml" ContentType="application/vnd.openxmlformats-officedocument.spreadsheetml.table+xml"/>
  <Override PartName="/xl/tables/table12.xml" ContentType="application/vnd.openxmlformats-officedocument.spreadsheetml.table+xml"/>
  <Override PartName="/xl/queryTables/queryTable10.xml" ContentType="application/vnd.openxmlformats-officedocument.spreadsheetml.query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7.xml" ContentType="application/vnd.openxmlformats-officedocument.spreadsheetml.table+xml"/>
  <Override PartName="/xl/tables/table11.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ctrlProps/ctrlProp2.xml" ContentType="application/vnd.ms-excel.controlproperties+xml"/>
  <Override PartName="/xl/activeX/activeX84.bin" ContentType="application/vnd.ms-office.activeX"/>
  <Override PartName="/xl/tables/table21.xml" ContentType="application/vnd.openxmlformats-officedocument.spreadsheetml.table+xml"/>
  <Override PartName="/xl/activeX/activeX84.xml" ContentType="application/vnd.ms-office.activeX+xml"/>
  <Override PartName="/xl/queryTables/queryTable2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ctrlProps/ctrlProp1.xml" ContentType="application/vnd.ms-excel.controlproperties+xml"/>
  <Override PartName="/xl/tables/table17.xml" ContentType="application/vnd.openxmlformats-officedocument.spreadsheetml.table+xml"/>
  <Override PartName="/xl/queryTables/queryTable16.xml" ContentType="application/vnd.openxmlformats-officedocument.spreadsheetml.queryTable+xml"/>
  <Override PartName="/xl/activeX/activeX85.bin" ContentType="application/vnd.ms-office.activeX"/>
  <Override PartName="/xl/activeX/activeX85.xml" ContentType="application/vnd.ms-office.activeX+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customXml/itemProps3.xml" ContentType="application/vnd.openxmlformats-officedocument.customXmlProperties+xml"/>
  <Override PartName="/xl/queryTables/queryTable3.xml" ContentType="application/vnd.openxmlformats-officedocument.spreadsheetml.queryTable+xml"/>
  <Override PartName="/xl/activeX/activeX73.xml" ContentType="application/vnd.ms-office.activeX+xml"/>
  <Override PartName="/xl/activeX/activeX76.xml" ContentType="application/vnd.ms-office.activeX+xml"/>
  <Override PartName="/xl/customProperty16.bin" ContentType="application/vnd.openxmlformats-officedocument.spreadsheetml.customProperty"/>
  <Override PartName="/xl/activeX/activeX40.bin" ContentType="application/vnd.ms-office.activeX"/>
  <Override PartName="/xl/activeX/activeX40.xml" ContentType="application/vnd.ms-office.activeX+xml"/>
  <Override PartName="/xl/customProperty17.bin" ContentType="application/vnd.openxmlformats-officedocument.spreadsheetml.customProperty"/>
  <Override PartName="/xl/activeX/activeX39.bin" ContentType="application/vnd.ms-office.activeX"/>
  <Override PartName="/xl/activeX/activeX41.xml" ContentType="application/vnd.ms-office.activeX+xml"/>
  <Override PartName="/xl/activeX/activeX41.bin" ContentType="application/vnd.ms-office.activeX"/>
  <Override PartName="/xl/customProperty15.bin" ContentType="application/vnd.openxmlformats-officedocument.spreadsheetml.customProperty"/>
  <Override PartName="/xl/customProperty31.bin" ContentType="application/vnd.openxmlformats-officedocument.spreadsheetml.customProperty"/>
  <Override PartName="/xl/ctrlProps/ctrlProp11.xml" ContentType="application/vnd.ms-excel.controlproperties+xml"/>
  <Override PartName="/xl/ctrlProps/ctrlProp10.xml" ContentType="application/vnd.ms-excel.controlproperties+xml"/>
  <Override PartName="/xl/activeX/activeX39.xml" ContentType="application/vnd.ms-office.activeX+xml"/>
  <Override PartName="/xl/customProperty18.bin" ContentType="application/vnd.openxmlformats-officedocument.spreadsheetml.customProperty"/>
  <Override PartName="/xl/activeX/activeX38.bin" ContentType="application/vnd.ms-office.activeX"/>
  <Override PartName="/xl/activeX/activeX35.xml" ContentType="application/vnd.ms-office.activeX+xml"/>
  <Override PartName="/xl/activeX/activeX13.xml" ContentType="application/vnd.ms-office.activeX+xml"/>
  <Override PartName="/xl/activeX/activeX34.bin" ContentType="application/vnd.ms-office.activeX"/>
  <Override PartName="/xl/activeX/activeX34.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8.xml" ContentType="application/vnd.ms-office.activeX+xml"/>
  <Override PartName="/xl/customProperty19.bin" ContentType="application/vnd.openxmlformats-officedocument.spreadsheetml.customProperty"/>
  <Override PartName="/xl/activeX/activeX37.bin" ContentType="application/vnd.ms-office.activeX"/>
  <Override PartName="/xl/activeX/activeX37.xml" ContentType="application/vnd.ms-office.activeX+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activeX/activeX47.xml" ContentType="application/vnd.ms-office.activeX+xml"/>
  <Override PartName="/xl/activeX/activeX12.xml" ContentType="application/vnd.ms-office.activeX+xml"/>
  <Override PartName="/xl/activeX/activeX46.bin" ContentType="application/vnd.ms-office.activeX"/>
  <Override PartName="/xl/activeX/activeX46.xml" ContentType="application/vnd.ms-office.activeX+xml"/>
  <Override PartName="/xl/activeX/activeX47.bin" ContentType="application/vnd.ms-office.activeX"/>
  <Override PartName="/xl/ctrlProps/ctrlProp12.xml" ContentType="application/vnd.ms-excel.controlproperties+xml"/>
  <Override PartName="/xl/ctrlProps/ctrlProp13.xml" ContentType="application/vnd.ms-excel.controlproperties+xml"/>
  <Override PartName="/xl/customProperty37.bin" ContentType="application/vnd.openxmlformats-officedocument.spreadsheetml.customProperty"/>
  <Override PartName="/xl/customProperty36.bin" ContentType="application/vnd.openxmlformats-officedocument.spreadsheetml.customProperty"/>
  <Override PartName="/xl/comments2.xml" ContentType="application/vnd.openxmlformats-officedocument.spreadsheetml.comments+xml"/>
  <Override PartName="/xl/activeX/activeX12.bin" ContentType="application/vnd.ms-office.activeX"/>
  <Override PartName="/xl/activeX/activeX45.bin" ContentType="application/vnd.ms-office.activeX"/>
  <Override PartName="/xl/activeX/activeX45.xml" ContentType="application/vnd.ms-office.activeX+xml"/>
  <Override PartName="/xl/activeX/activeX42.xml" ContentType="application/vnd.ms-office.activeX+xml"/>
  <Override PartName="/xl/comments1.xml" ContentType="application/vnd.openxmlformats-officedocument.spreadsheetml.comments+xml"/>
  <Override PartName="/xl/customProperty35.bin" ContentType="application/vnd.openxmlformats-officedocument.spreadsheetml.customProperty"/>
  <Override PartName="/xl/activeX/activeX42.bin" ContentType="application/vnd.ms-office.activeX"/>
  <Override PartName="/xl/ctrlProps/ctrlProp5.xml" ContentType="application/vnd.ms-excel.controlproperties+xml"/>
  <Override PartName="/xl/activeX/activeX43.xml" ContentType="application/vnd.ms-office.activeX+xml"/>
  <Override PartName="/xl/activeX/activeX44.bin" ContentType="application/vnd.ms-office.activeX"/>
  <Override PartName="/xl/activeX/activeX44.xml" ContentType="application/vnd.ms-office.activeX+xml"/>
  <Override PartName="/xl/ctrlProps/ctrlProp4.xml" ContentType="application/vnd.ms-excel.controlproperties+xml"/>
  <Override PartName="/xl/activeX/activeX43.bin" ContentType="application/vnd.ms-office.activeX"/>
  <Override PartName="/xl/activeX/activeX13.bin" ContentType="application/vnd.ms-office.activeX"/>
  <Override PartName="/xl/activeX/activeX33.bin" ContentType="application/vnd.ms-office.activeX"/>
  <Override PartName="/xl/activeX/activeX33.xml" ContentType="application/vnd.ms-office.activeX+xml"/>
  <Override PartName="/xl/activeX/activeX23.bin" ContentType="application/vnd.ms-office.activeX"/>
  <Override PartName="/xl/activeX/activeX23.xml" ContentType="application/vnd.ms-office.activeX+xml"/>
  <Override PartName="/xl/activeX/activeX22.bin" ContentType="application/vnd.ms-office.activeX"/>
  <Override PartName="/xl/activeX/activeX22.xml" ContentType="application/vnd.ms-office.activeX+xml"/>
  <Override PartName="/xl/activeX/activeX17.bin" ContentType="application/vnd.ms-office.activeX"/>
  <Override PartName="/xl/activeX/activeX24.xml" ContentType="application/vnd.ms-office.activeX+xml"/>
  <Override PartName="/xl/activeX/activeX24.bin" ContentType="application/vnd.ms-office.activeX"/>
  <Override PartName="/xl/activeX/activeX26.xml" ContentType="application/vnd.ms-office.activeX+xml"/>
  <Override PartName="/xl/activeX/activeX25.bin" ContentType="application/vnd.ms-office.activeX"/>
  <Override PartName="/xl/activeX/activeX25.xml" ContentType="application/vnd.ms-office.activeX+xml"/>
  <Override PartName="/xl/activeX/activeX17.xml" ContentType="application/vnd.ms-office.activeX+xml"/>
  <Override PartName="/xl/activeX/activeX18.xml" ContentType="application/vnd.ms-office.activeX+xml"/>
  <Override PartName="/xl/activeX/activeX21.bin" ContentType="application/vnd.ms-office.activeX"/>
  <Override PartName="/xl/activeX/activeX21.xml" ContentType="application/vnd.ms-office.activeX+xml"/>
  <Override PartName="/xl/customProperty21.bin" ContentType="application/vnd.openxmlformats-officedocument.spreadsheetml.customProperty"/>
  <Override PartName="/xl/customProperty20.bin" ContentType="application/vnd.openxmlformats-officedocument.spreadsheetml.customProperty"/>
  <Override PartName="/xl/ctrlProps/ctrlProp7.xml" ContentType="application/vnd.ms-excel.controlproperties+xml"/>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activeX/activeX18.bin" ContentType="application/vnd.ms-office.activeX"/>
  <Override PartName="/xl/activeX/activeX20.bin" ContentType="application/vnd.ms-office.activeX"/>
  <Override PartName="/xl/activeX/activeX20.xml" ContentType="application/vnd.ms-office.activeX+xml"/>
  <Override PartName="/xl/activeX/activeX19.xml" ContentType="application/vnd.ms-office.activeX+xml"/>
  <Override PartName="/xl/activeX/activeX26.bin" ContentType="application/vnd.ms-office.activeX"/>
  <Override PartName="/xl/activeX/activeX16.bin" ContentType="application/vnd.ms-office.activeX"/>
  <Override PartName="/xl/activeX/activeX27.xml" ContentType="application/vnd.ms-office.activeX+xml"/>
  <Override PartName="/xl/customProperty29.bin" ContentType="application/vnd.openxmlformats-officedocument.spreadsheetml.customProperty"/>
  <Override PartName="/xl/customProperty28.bin" ContentType="application/vnd.openxmlformats-officedocument.spreadsheetml.customProperty"/>
  <Override PartName="/xl/customProperty27.bin" ContentType="application/vnd.openxmlformats-officedocument.spreadsheetml.customProperty"/>
  <Override PartName="/xl/customProperty26.bin" ContentType="application/vnd.openxmlformats-officedocument.spreadsheetml.customProperty"/>
  <Override PartName="/xl/customProperty30.bin" ContentType="application/vnd.openxmlformats-officedocument.spreadsheetml.customProperty"/>
  <Override PartName="/xl/activeX/activeX14.bin" ContentType="application/vnd.ms-office.activeX"/>
  <Override PartName="/xl/activeX/activeX31.xml" ContentType="application/vnd.ms-office.activeX+xml"/>
  <Override PartName="/xl/activeX/activeX32.bin" ContentType="application/vnd.ms-office.activeX"/>
  <Override PartName="/xl/activeX/activeX32.xml" ContentType="application/vnd.ms-office.activeX+xml"/>
  <Override PartName="/xl/activeX/activeX14.xml" ContentType="application/vnd.ms-office.activeX+xml"/>
  <Override PartName="/xl/activeX/activeX31.bin" ContentType="application/vnd.ms-office.activeX"/>
  <Override PartName="/xl/customProperty25.bin" ContentType="application/vnd.openxmlformats-officedocument.spreadsheetml.customProperty"/>
  <Override PartName="/xl/ctrlProps/ctrlProp9.xml" ContentType="application/vnd.ms-excel.controlproperties+xml"/>
  <Override PartName="/xl/activeX/activeX28.bin" ContentType="application/vnd.ms-office.activeX"/>
  <Override PartName="/xl/activeX/activeX28.xml" ContentType="application/vnd.ms-office.activeX+xml"/>
  <Override PartName="/xl/activeX/activeX16.xml" ContentType="application/vnd.ms-office.activeX+xml"/>
  <Override PartName="/xl/activeX/activeX27.bin" ContentType="application/vnd.ms-office.activeX"/>
  <Override PartName="/xl/activeX/activeX29.xml" ContentType="application/vnd.ms-office.activeX+xml"/>
  <Override PartName="/xl/activeX/activeX29.bin" ContentType="application/vnd.ms-office.activeX"/>
  <Override PartName="/xl/activeX/activeX15.bin" ContentType="application/vnd.ms-office.activeX"/>
  <Override PartName="/xl/ctrlProps/ctrlProp8.xml" ContentType="application/vnd.ms-excel.controlproperties+xml"/>
  <Override PartName="/xl/activeX/activeX15.xml" ContentType="application/vnd.ms-office.activeX+xml"/>
  <Override PartName="/xl/activeX/activeX30.bin" ContentType="application/vnd.ms-office.activeX"/>
  <Override PartName="/xl/activeX/activeX30.xml" ContentType="application/vnd.ms-office.activeX+xml"/>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activeX/activeX3.bin" ContentType="application/vnd.ms-office.activeX"/>
  <Override PartName="/xl/activeX/activeX66.bin" ContentType="application/vnd.ms-office.activeX"/>
  <Override PartName="/xl/activeX/activeX66.xml" ContentType="application/vnd.ms-office.activeX+xml"/>
  <Override PartName="/xl/activeX/activeX65.bin" ContentType="application/vnd.ms-office.activeX"/>
  <Override PartName="/xl/activeX/activeX67.xml" ContentType="application/vnd.ms-office.activeX+xml"/>
  <Override PartName="/xl/activeX/activeX67.bin" ContentType="application/vnd.ms-office.activeX"/>
  <Override PartName="/xl/activeX/activeX3.xml" ContentType="application/vnd.ms-office.activeX+xml"/>
  <Override PartName="/xl/activeX/activeX69.bin" ContentType="application/vnd.ms-office.activeX"/>
  <Override PartName="/xl/activeX/activeX69.xml" ContentType="application/vnd.ms-office.activeX+xml"/>
  <Override PartName="/xl/activeX/activeX68.bin" ContentType="application/vnd.ms-office.activeX"/>
  <Override PartName="/xl/activeX/activeX68.xml" ContentType="application/vnd.ms-office.activeX+xml"/>
  <Override PartName="/xl/activeX/activeX65.xml" ContentType="application/vnd.ms-office.activeX+xml"/>
  <Override PartName="/xl/activeX/activeX4.xml" ContentType="application/vnd.ms-office.activeX+xml"/>
  <Override PartName="/xl/activeX/activeX64.bin" ContentType="application/vnd.ms-office.activeX"/>
  <Override PartName="/xl/activeX/activeX5.bin" ContentType="application/vnd.ms-office.activeX"/>
  <Override PartName="/xl/customProperty50.bin" ContentType="application/vnd.openxmlformats-officedocument.spreadsheetml.customProperty"/>
  <Override PartName="/xl/customProperty49.bin" ContentType="application/vnd.openxmlformats-officedocument.spreadsheetml.customProperty"/>
  <Override PartName="/xl/customProperty48.bin" ContentType="application/vnd.openxmlformats-officedocument.spreadsheetml.customProperty"/>
  <Override PartName="/xl/activeX/activeX5.xml" ContentType="application/vnd.ms-office.activeX+xml"/>
  <Override PartName="/xl/activeX/activeX62.xml" ContentType="application/vnd.ms-office.activeX+xml"/>
  <Override PartName="/xl/activeX/activeX62.bin" ContentType="application/vnd.ms-office.activeX"/>
  <Override PartName="/xl/activeX/activeX64.xml" ContentType="application/vnd.ms-office.activeX+xml"/>
  <Override PartName="/xl/activeX/activeX4.bin" ContentType="application/vnd.ms-office.activeX"/>
  <Override PartName="/xl/activeX/activeX63.bin" ContentType="application/vnd.ms-office.activeX"/>
  <Override PartName="/xl/activeX/activeX63.xml" ContentType="application/vnd.ms-office.activeX+xml"/>
  <Override PartName="/xl/ctrlProps/ctrlProp19.xml" ContentType="application/vnd.ms-excel.controlproperties+xml"/>
  <Override PartName="/xl/ctrlProps/ctrlProp20.xml" ContentType="application/vnd.ms-excel.controlproperties+xml"/>
  <Override PartName="/xl/activeX/activeX73.bin" ContentType="application/vnd.ms-office.activeX"/>
  <Override PartName="/xl/activeX/activeX19.bin" ContentType="application/vnd.ms-office.activeX"/>
  <Override PartName="/xl/customProperty10.bin" ContentType="application/vnd.openxmlformats-officedocument.spreadsheetml.customProperty"/>
  <Override PartName="/xl/activeX/activeX72.bin" ContentType="application/vnd.ms-office.activeX"/>
  <Override PartName="/xl/activeX/activeX74.xml" ContentType="application/vnd.ms-office.activeX+xml"/>
  <Override PartName="/xl/activeX/activeX74.bin" ContentType="application/vnd.ms-office.activeX"/>
  <Override PartName="/xl/tables/table5.xml" ContentType="application/vnd.openxmlformats-officedocument.spreadsheetml.table+xml"/>
  <Override PartName="/xl/activeX/activeX75.bin" ContentType="application/vnd.ms-office.activeX"/>
  <Override PartName="/xl/activeX/activeX75.xml" ContentType="application/vnd.ms-office.activeX+xml"/>
  <Override PartName="/xl/queryTables/queryTable4.xml" ContentType="application/vnd.openxmlformats-officedocument.spreadsheetml.queryTable+xml"/>
  <Override PartName="/xl/activeX/activeX72.xml" ContentType="application/vnd.ms-office.activeX+xml"/>
  <Override PartName="/xl/customProperty11.bin" ContentType="application/vnd.openxmlformats-officedocument.spreadsheetml.customProperty"/>
  <Override PartName="/xl/activeX/activeX71.bin" ContentType="application/vnd.ms-office.activeX"/>
  <Override PartName="/xl/customProperty54.bin" ContentType="application/vnd.openxmlformats-officedocument.spreadsheetml.customProperty"/>
  <Override PartName="/xl/customProperty53.bin" ContentType="application/vnd.openxmlformats-officedocument.spreadsheetml.customProperty"/>
  <Override PartName="/xl/customProperty52.bin" ContentType="application/vnd.openxmlformats-officedocument.spreadsheetml.customProperty"/>
  <Override PartName="/xl/customProperty51.bin" ContentType="application/vnd.openxmlformats-officedocument.spreadsheetml.customProperty"/>
  <Override PartName="/xl/customProperty55.bin" ContentType="application/vnd.openxmlformats-officedocument.spreadsheetml.customProperty"/>
  <Override PartName="/xl/customProperty14.bin" ContentType="application/vnd.openxmlformats-officedocument.spreadsheetml.customProperty"/>
  <Override PartName="/xl/customProperty13.bin" ContentType="application/vnd.openxmlformats-officedocument.spreadsheetml.customProperty"/>
  <Override PartName="/xl/activeX/activeX71.xml" ContentType="application/vnd.ms-office.activeX+xml"/>
  <Override PartName="/xl/customProperty12.bin" ContentType="application/vnd.openxmlformats-officedocument.spreadsheetml.customProperty"/>
  <Override PartName="/xl/activeX/activeX70.bin" ContentType="application/vnd.ms-office.activeX"/>
  <Override PartName="/xl/activeX/activeX70.xml" ContentType="application/vnd.ms-office.activeX+xml"/>
  <Override PartName="/xl/customProperty47.bin" ContentType="application/vnd.openxmlformats-officedocument.spreadsheetml.customProperty"/>
  <Override PartName="/xl/customProperty46.bin" ContentType="application/vnd.openxmlformats-officedocument.spreadsheetml.customProperty"/>
  <Override PartName="/xl/activeX/activeX9.xml" ContentType="application/vnd.ms-office.activeX+xml"/>
  <Override PartName="/xl/activeX/activeX53.bin" ContentType="application/vnd.ms-office.activeX"/>
  <Override PartName="/xl/activeX/activeX53.xml" ContentType="application/vnd.ms-office.activeX+xml"/>
  <Override PartName="/xl/activeX/activeX9.bin" ContentType="application/vnd.ms-office.activeX"/>
  <Override PartName="/xl/activeX/activeX54.xml" ContentType="application/vnd.ms-office.activeX+xml"/>
  <Override PartName="/xl/activeX/activeX54.bin" ContentType="application/vnd.ms-office.activeX"/>
  <Override PartName="/xl/ctrlProps/ctrlProp14.xml" ContentType="application/vnd.ms-excel.controlproperties+xml"/>
  <Override PartName="/xl/comments3.xml" ContentType="application/vnd.openxmlformats-officedocument.spreadsheetml.comments+xml"/>
  <Override PartName="/xl/ctrlProps/ctrlProp16.xml" ContentType="application/vnd.ms-excel.controlproperties+xml"/>
  <Override PartName="/xl/ctrlProps/ctrlProp15.xml" ContentType="application/vnd.ms-excel.controlproperties+xml"/>
  <Override PartName="/xl/activeX/activeX52.bin" ContentType="application/vnd.ms-office.activeX"/>
  <Override PartName="/xl/activeX/activeX52.xml" ContentType="application/vnd.ms-office.activeX+xml"/>
  <Override PartName="/xl/activeX/activeX51.bin" ContentType="application/vnd.ms-office.activeX"/>
  <Override PartName="/xl/activeX/activeX48.bin" ContentType="application/vnd.ms-office.activeX"/>
  <Override PartName="/xl/activeX/activeX48.xml" ContentType="application/vnd.ms-office.activeX+xml"/>
  <Override PartName="/xl/activeX/activeX11.xml" ContentType="application/vnd.ms-office.activeX+xml"/>
  <Override PartName="/xl/activeX/activeX11.bin" ContentType="application/vnd.ms-office.activeX"/>
  <Override PartName="/xl/activeX/activeX49.xml" ContentType="application/vnd.ms-office.activeX+xml"/>
  <Override PartName="/xl/activeX/activeX49.bin" ContentType="application/vnd.ms-office.activeX"/>
  <Override PartName="/xl/activeX/activeX10.bin" ContentType="application/vnd.ms-office.activeX"/>
  <Override PartName="/xl/activeX/activeX51.xml" ContentType="application/vnd.ms-office.activeX+xml"/>
  <Override PartName="/xl/activeX/activeX10.xml" ContentType="application/vnd.ms-office.activeX+xml"/>
  <Override PartName="/xl/activeX/activeX50.bin" ContentType="application/vnd.ms-office.activeX"/>
  <Override PartName="/xl/activeX/activeX50.xml" ContentType="application/vnd.ms-office.activeX+xml"/>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activeX/activeX60.xml" ContentType="application/vnd.ms-office.activeX+xml"/>
  <Override PartName="/xl/activeX/activeX6.bin" ContentType="application/vnd.ms-office.activeX"/>
  <Override PartName="/xl/activeX/activeX59.bin" ContentType="application/vnd.ms-office.activeX"/>
  <Override PartName="/xl/activeX/activeX59.xml" ContentType="application/vnd.ms-office.activeX+xml"/>
  <Override PartName="/xl/activeX/activeX60.bin" ContentType="application/vnd.ms-office.activeX"/>
  <Override PartName="/xl/activeX/activeX6.xml" ContentType="application/vnd.ms-office.activeX+xml"/>
  <Override PartName="/xl/activeX/activeX61.xml" ContentType="application/vnd.ms-office.activeX+xml"/>
  <Override PartName="/xl/comments4.xml" ContentType="application/vnd.openxmlformats-officedocument.spreadsheetml.comments+xml"/>
  <Override PartName="/xl/ctrlProps/ctrlProp18.xml" ContentType="application/vnd.ms-excel.controlproperties+xml"/>
  <Override PartName="/xl/ctrlProps/ctrlProp17.xml" ContentType="application/vnd.ms-excel.controlproperties+xml"/>
  <Override PartName="/xl/activeX/activeX61.bin" ContentType="application/vnd.ms-office.activeX"/>
  <Override PartName="/xl/activeX/activeX58.bin" ContentType="application/vnd.ms-office.activeX"/>
  <Override PartName="/xl/activeX/activeX58.xml" ContentType="application/vnd.ms-office.activeX+xml"/>
  <Override PartName="/xl/activeX/activeX7.xml" ContentType="application/vnd.ms-office.activeX+xml"/>
  <Override PartName="/xl/activeX/activeX8.xml" ContentType="application/vnd.ms-office.activeX+xml"/>
  <Override PartName="/xl/activeX/activeX8.bin" ContentType="application/vnd.ms-office.activeX"/>
  <Override PartName="/xl/customProperty45.bin" ContentType="application/vnd.openxmlformats-officedocument.spreadsheetml.customProperty"/>
  <Override PartName="/xl/customProperty44.bin" ContentType="application/vnd.openxmlformats-officedocument.spreadsheetml.customProperty"/>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7.bin" ContentType="application/vnd.ms-office.activeX"/>
  <Override PartName="/xl/activeX/activeX57.xml" ContentType="application/vnd.ms-office.activeX+xml"/>
  <Override PartName="/xl/activeX/activeX7.bin" ContentType="application/vnd.ms-office.activeX"/>
  <Override PartName="/xl/activeX/activeX56.bin" ContentType="application/vnd.ms-office.activeX"/>
  <Override PartName="/xl/activeX/activeX76.bin" ContentType="application/vnd.ms-office.activeX"/>
  <Override PartName="/customXml/itemProps5.xml" ContentType="application/vnd.openxmlformats-officedocument.customXmlProperties+xml"/>
  <Override PartName="/customXml/itemProps4.xml" ContentType="application/vnd.openxmlformats-officedocument.customXmlProperties+xml"/>
  <Override PartName="/customXml/itemProps6.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105" yWindow="-105" windowWidth="20730" windowHeight="11760" tabRatio="913" firstSheet="1" activeTab="1"/>
  </bookViews>
  <sheets>
    <sheet name="CONVENCION" sheetId="45" state="hidden" r:id="rId1"/>
    <sheet name="Resultados" sheetId="46" r:id="rId2"/>
    <sheet name="900000" sheetId="66" r:id="rId3"/>
    <sheet name="900001" sheetId="63" r:id="rId4"/>
    <sheet name="900002" sheetId="64" r:id="rId5"/>
    <sheet name="900003" sheetId="65" r:id="rId6"/>
    <sheet name="900004" sheetId="62" r:id="rId7"/>
    <sheet name="900005" sheetId="69" r:id="rId8"/>
    <sheet name="900006" sheetId="67" r:id="rId9"/>
    <sheet name="900007" sheetId="81" r:id="rId10"/>
    <sheet name="900008" sheetId="68" r:id="rId11"/>
    <sheet name="Param_Text" sheetId="111" state="veryHidden" r:id="rId12"/>
    <sheet name="BPC_NOTAS" sheetId="93" state="veryHidden" r:id="rId13"/>
    <sheet name="BPC_NOTAS2" sheetId="98" state="veryHidden" r:id="rId14"/>
    <sheet name="Param_Num" sheetId="102" state="veryHidden" r:id="rId15"/>
    <sheet name="BPC_FILA_NOTA" sheetId="104" state="veryHidden" r:id="rId16"/>
    <sheet name="BPC_COLUMNA_NOTA" sheetId="105" state="veryHidden" r:id="rId17"/>
    <sheet name="BPC_COMENTARIOS" sheetId="107" state="veryHidden" r:id="rId18"/>
    <sheet name="BPC_COMENTARIOS2" sheetId="109" state="veryHidden" r:id="rId19"/>
    <sheet name="BPC_TASAS" sheetId="112" state="veryHidden" r:id="rId20"/>
    <sheet name="LISTAS" sheetId="108" state="veryHidden" r:id="rId21"/>
    <sheet name="BPC_DINAMICO" sheetId="115" state="veryHidden" r:id="rId22"/>
  </sheets>
  <functionGroups builtInGroupCount="17"/>
  <definedNames>
    <definedName name="__FPMExcelClient_CellBasedFunctionStatus" localSheetId="2" hidden="1">"1_1_2_1_1_2"</definedName>
    <definedName name="__FPMExcelClient_CellBasedFunctionStatus" localSheetId="3" hidden="1">"1_1_2_1_1_2"</definedName>
    <definedName name="__FPMExcelClient_CellBasedFunctionStatus" localSheetId="4" hidden="1">"1_1_2_1_1_2"</definedName>
    <definedName name="__FPMExcelClient_CellBasedFunctionStatus" localSheetId="5" hidden="1">"1_1_2_1_1_2"</definedName>
    <definedName name="__FPMExcelClient_CellBasedFunctionStatus" localSheetId="6" hidden="1">"1_1_2_1_1_2"</definedName>
    <definedName name="__FPMExcelClient_CellBasedFunctionStatus" localSheetId="7" hidden="1">"1_1_2_1_1_2"</definedName>
    <definedName name="__FPMExcelClient_CellBasedFunctionStatus" localSheetId="8" hidden="1">"1_1_2_1_1_2"</definedName>
    <definedName name="__FPMExcelClient_CellBasedFunctionStatus" localSheetId="9" hidden="1">"1_1_2_1_1_2"</definedName>
    <definedName name="__FPMExcelClient_CellBasedFunctionStatus" localSheetId="10" hidden="1">"1_1_2_1_1_2"</definedName>
    <definedName name="__FPMExcelClient_CellBasedFunctionStatus" localSheetId="0" hidden="1">"2_2_2_2_2_2"</definedName>
    <definedName name="__FPMExcelClient_CellBasedFunctionStatus" localSheetId="1" hidden="1">"1_1_2_1_1_2"</definedName>
    <definedName name="__FPMExcelClient_Connection" localSheetId="1">"_FPM_BPCNW10_[http://ssapbpcpr1.valorem.col:8000/sap/bpc/]_[CONSOLIDACION]_[ANEXO_NOTAS_XBRL]_[false]_[false]"</definedName>
    <definedName name="__FPMExcelClient_RefreshTime" localSheetId="2">636916292645746000</definedName>
    <definedName name="__FPMExcelClient_RefreshTime" localSheetId="3">636916292645746000</definedName>
    <definedName name="__FPMExcelClient_RefreshTime" localSheetId="4">636916292645746000</definedName>
    <definedName name="__FPMExcelClient_RefreshTime" localSheetId="5">636916292645746000</definedName>
    <definedName name="__FPMExcelClient_RefreshTime" localSheetId="6">636916292645746000</definedName>
    <definedName name="__FPMExcelClient_RefreshTime" localSheetId="7">636916292645746000</definedName>
    <definedName name="__FPMExcelClient_RefreshTime" localSheetId="8">636916292645746000</definedName>
    <definedName name="__FPMExcelClient_RefreshTime" localSheetId="9">636916292645746000</definedName>
    <definedName name="__FPMExcelClient_RefreshTime" localSheetId="10">636916292645746000</definedName>
    <definedName name="__FPMExcelClient_RefreshTime" localSheetId="0">636247694982139000</definedName>
    <definedName name="__FPMExcelClient_RefreshTime" localSheetId="1">636916293025278000</definedName>
    <definedName name="_xlnm._FilterDatabase" localSheetId="12" hidden="1">BPC_NOTAS!$M$1:$R$1470</definedName>
    <definedName name="DatosExternos_1" localSheetId="7" hidden="1">'900005'!#REF!</definedName>
    <definedName name="DatosExternos_1" localSheetId="16" hidden="1">BPC_COLUMNA_NOTA!$A$1:$B$2605</definedName>
    <definedName name="DatosExternos_1" localSheetId="17" hidden="1">BPC_COMENTARIOS!$A$1:$B$274</definedName>
    <definedName name="DatosExternos_1" localSheetId="18" hidden="1">BPC_COMENTARIOS2!$A$1:$B$2</definedName>
    <definedName name="DatosExternos_1" localSheetId="21" hidden="1">BPC_DINAMICO!$A$1:$D$37</definedName>
    <definedName name="DatosExternos_1" localSheetId="15" hidden="1">BPC_FILA_NOTA!$A$1:$B$9669</definedName>
    <definedName name="DatosExternos_1" localSheetId="12" hidden="1">BPC_NOTAS!$A$1:$C$1120</definedName>
    <definedName name="DatosExternos_1" localSheetId="13" hidden="1">BPC_NOTAS2!$A$1:$C$1124</definedName>
    <definedName name="DatosExternos_1" localSheetId="19" hidden="1">BPC_TASAS!$A$1:$C$2</definedName>
    <definedName name="DatosExternos_1" localSheetId="1" hidden="1">Resultados!$BA$5:$BC$77</definedName>
    <definedName name="DatosExternos_2" localSheetId="21" hidden="1">BPC_DINAMICO!$F$1:$I$12</definedName>
    <definedName name="DatosExternos_2" localSheetId="1" hidden="1">Resultados!$BG$5:$BG$37</definedName>
    <definedName name="DatosExternos_3" localSheetId="21" hidden="1">BPC_DINAMICO!$K$1:$N$8</definedName>
    <definedName name="DatosExternos_3" localSheetId="1" hidden="1">Resultados!$BI$5:$BJ$18</definedName>
    <definedName name="DatosExternos_4" localSheetId="21" hidden="1">BPC_DINAMICO!$P$1:$S$7</definedName>
    <definedName name="DatosExternos_4" localSheetId="1" hidden="1">Resultados!$BL$5:$BM$11</definedName>
    <definedName name="DatosExternos_5" localSheetId="21" hidden="1">BPC_DINAMICO!$U$1:$X$2</definedName>
    <definedName name="DatosExternos_6" localSheetId="21" hidden="1">BPC_DINAMICO!$Z$1:$AC$3</definedName>
    <definedName name="DatosExternos_7" localSheetId="21" hidden="1">BPC_DINAMICO!$AE$1:$AH$4</definedName>
    <definedName name="DatosExternos_8" localSheetId="21" hidden="1">BPC_DINAMICO!$AJ$1:$AM$5</definedName>
    <definedName name="DatosExternos_9" localSheetId="21" hidden="1">BPC_DINAMICO!$AO$1:$AR$71</definedName>
    <definedName name="EPMWorkbookOptions_1" hidden="1">"dgEAAB+LCAAAAAAABACF0MEOgjAMBuC7ie+w7C4DTTwYwINeTCQYTdRrhQKL0JFtOh9fokGjHrz+/dqmDee3pmZX1EYqinjg+ZwhZSqXVEb8YotRMOXzeDgID0qfT0qd09Z21LCuj8zsZvKIV9a2MyGcc56beEqXYuz7gTgm611WYQP8heV/PJJkLFCGvNvKWLjFQqOpUkpbpLiA2mAoPsOHW9QIegkWUtrBFXv5HT9sf8tGK4uZxbzXv4VP"</definedName>
    <definedName name="EPMWorkbookOptions_2" hidden="1">"73ImntHK7EFLONWYoC7fE37y7nXi63fxHS3iv392AQAA"</definedName>
    <definedName name="FECHAS2">'900005'!$AF$19:$AF$50</definedName>
    <definedName name="LISTA_1_900000">'900000'!$C$22:$C$121</definedName>
    <definedName name="LISTA_1_900001">'900001'!$D$36:$E$55</definedName>
    <definedName name="LISTA_1_900003">'900003'!$D$15</definedName>
    <definedName name="LISTA_1_900005">'900005'!$P$19:$P$100</definedName>
    <definedName name="LISTA_1_900008">'900008'!$N$71:$N$86,'900008'!$N$94:$N$96</definedName>
    <definedName name="LISTA_2_900000">'900000'!$D$22:$D$121,'900000'!$F$22:$F$121,'900000'!$L$22:$L$121</definedName>
    <definedName name="LISTA_2_900008">'900008'!$H$71:$H$86,'900008'!$H$94:$H$96,'900008'!$Y$71:$Y$86,'900008'!$Y$94:$Y$96</definedName>
    <definedName name="LISTA_3_900000">'900000'!$J$22:$J$121</definedName>
    <definedName name="NUM_1_900000">'900000'!$I$22:$I$121,'900000'!$O$22:$O$121,'900000'!$U$22:$V$121,'900000'!$U$127:$V$127,'900000'!$U$129:$V$130</definedName>
    <definedName name="NUM_1_900002">'900002'!$D$21:$J$24,'900002'!$L$21:$L$24,'900002'!$D$26:$J$31,'900002'!$L$26:$L$31,'900002'!$D$33:$J$35,'900002'!$L$33:$L$35</definedName>
    <definedName name="NUM_1_900003">'900003'!$E$17</definedName>
    <definedName name="NUM_1_900004">'900004'!$D$16:$E$20</definedName>
    <definedName name="NUM_1_900005">'900005'!$E$19:$H$54,'900005'!$E$56:$H$66,'900005'!$E$68:$H$74,'900005'!$E$76:$H$81,'900005'!$E$83:$H$85,'900005'!$E$87:$H$89,'900005'!$E$91:$H$93,'900005'!$E$95:$H$98</definedName>
    <definedName name="NUM_1_900006">'900006'!$D$24:$D$28</definedName>
    <definedName name="NUM_1_900007">'900007'!$E$19:$E$27,'900007'!$E$29:$E$37,'900007'!$E$40:$E$53</definedName>
    <definedName name="NUM_1_900008">'900008'!$E$19:$F$33</definedName>
    <definedName name="NUM_2_900000">'900000'!$S$22:$S$121</definedName>
    <definedName name="NUM_2_900004">'900004'!$D$35:$E$38</definedName>
    <definedName name="NUM_2_900007">'900007'!$F$15:$F$16,'900007'!$F$54</definedName>
    <definedName name="NUM_2_900008">'900008'!$E$42:$F$56,'900008'!$I$42:$I$56</definedName>
    <definedName name="NUM_3_900000">'900000'!$W$135:$W$136</definedName>
    <definedName name="NUM_3_900004">'900004'!$D$40:$E$40</definedName>
    <definedName name="NUM_3_900008">'900008'!$E$71:$E$85,'900008'!$F$73:$F$85,'900008'!$I$71:$I$85,'900008'!$J$73:$J$85</definedName>
    <definedName name="NUM_4_900000">'900000'!$Y$22:$Z$121,'900000'!$AB$22:$AB$121</definedName>
    <definedName name="NUM_4_900008">'900008'!$E$94:$F$95,'900008'!$I$94:$J$95</definedName>
    <definedName name="NUM_5_900000">'900000'!$AD$22:$AD$121,'900000'!$AG$22:$AJ$121,'900000'!$AD$127,'900000'!$AD$129:$AD$130,'900000'!$AG$127:$AJ$127,'900000'!$AG$129:$AJ$130</definedName>
    <definedName name="TEXTOS_1_900000">'900000'!$C$22:$D$121,'900000'!$F$22:$F$121,'900000'!$H$22:$H$121,'900000'!$J$22:$J$121,'900000'!$L$22:$L$121,'900000'!$N$22:$N$121,'900000'!$P$22:$R$121</definedName>
    <definedName name="TEXTOS_1_900001">'900001'!$C$36:$C$55</definedName>
    <definedName name="TEXTOS_1_900002">'900002'!$K$21:$K$24,'900002'!$K$26:$K$31,'900002'!$K$33:$K$35</definedName>
    <definedName name="TEXTOS_1_900003">'900003'!$D$15,'900003'!$D$18:$F$20</definedName>
    <definedName name="TEXTOS_1_900004">'900004'!$G$17:$G$19</definedName>
    <definedName name="TEXTOS_1_900005">'900005'!$P$19:$P$100</definedName>
    <definedName name="TEXTOS_1_900006">'900006'!$C$23</definedName>
    <definedName name="TEXTOS_1_900007">'900007'!$D$19:$D$27,'900007'!$D$29:$D$37,'900007'!$D$40:$D$53</definedName>
    <definedName name="TEXTOS_1_900008">'900008'!$H$19:$H$33</definedName>
    <definedName name="TEXTOS_2_900000">'900000'!$AK$22:$AK$121</definedName>
    <definedName name="TEXTOS_2_900001">'900001'!$D$36:$E$55</definedName>
    <definedName name="TEXTOS_2_900003">'900003'!$F$17</definedName>
    <definedName name="TEXTOS_2_900004">'900004'!$C$25</definedName>
    <definedName name="TEXTOS_2_900005">'900005'!$Q$19:$R$100</definedName>
    <definedName name="TEXTOS_2_900006">'900006'!$E$26</definedName>
    <definedName name="TEXTOS_2_900007">'900007'!$D$38</definedName>
    <definedName name="TEXTOS_2_900008">'900008'!$C$42:$D$57,'900008'!$H$42:$H$57</definedName>
    <definedName name="TEXTOS_3_900005">'900005'!$C$19:$C$54,'900005'!$C$56:$C$66,'900005'!$C$68:$C$74,'900005'!$C$76:$C$81,'900005'!$C$83:$C$85,'900005'!$C$87:$C$89,'900005'!$C$91:$C$93,'900005'!$C$95:$C$98</definedName>
    <definedName name="TEXTOS_3_900008">'900008'!$H$71:$H$86,'900008'!$N$71:$N$86</definedName>
    <definedName name="TEXTOS_4_900008">'900008'!$H$94:$H$96,'900008'!$N$94:$N$96</definedName>
  </definedNames>
  <calcPr calcId="145621"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85" i="69" l="1"/>
  <c r="AA84" i="69"/>
  <c r="P54" i="62"/>
  <c r="O53" i="62"/>
  <c r="AA98" i="69" l="1"/>
  <c r="AA97" i="69"/>
  <c r="AA96" i="69"/>
  <c r="AA95" i="69"/>
  <c r="AA93" i="69"/>
  <c r="AA92" i="69"/>
  <c r="AA91" i="69"/>
  <c r="AA89" i="69"/>
  <c r="AA88" i="69"/>
  <c r="AA87" i="69"/>
  <c r="AA83" i="69"/>
  <c r="AA81" i="69"/>
  <c r="AA80" i="69"/>
  <c r="AA79" i="69"/>
  <c r="AA78" i="69"/>
  <c r="AA77" i="69"/>
  <c r="AA76" i="69"/>
  <c r="AA74" i="69"/>
  <c r="AA73" i="69"/>
  <c r="AA72" i="69"/>
  <c r="AA70" i="69"/>
  <c r="AA69" i="69"/>
  <c r="AA68" i="69"/>
  <c r="AA66" i="69"/>
  <c r="AA65" i="69"/>
  <c r="AA64" i="69"/>
  <c r="AA63" i="69"/>
  <c r="AA62" i="69"/>
  <c r="AA61" i="69"/>
  <c r="AA60" i="69"/>
  <c r="AA59" i="69"/>
  <c r="AA58" i="69"/>
  <c r="AA57" i="69"/>
  <c r="AA56" i="69"/>
  <c r="AA54" i="69"/>
  <c r="AA53" i="69"/>
  <c r="AA52" i="69"/>
  <c r="AA51" i="69"/>
  <c r="AA50" i="69"/>
  <c r="AA49" i="69"/>
  <c r="AA48" i="69"/>
  <c r="AA47" i="69"/>
  <c r="AA46" i="69"/>
  <c r="AA45" i="69"/>
  <c r="AA44" i="69"/>
  <c r="AA43" i="69"/>
  <c r="AA42" i="69"/>
  <c r="AA41" i="69"/>
  <c r="AA40" i="69"/>
  <c r="AA39" i="69"/>
  <c r="AA38" i="69"/>
  <c r="AA37" i="69"/>
  <c r="AA36" i="69"/>
  <c r="AA35" i="69"/>
  <c r="AA34" i="69"/>
  <c r="AA33" i="69"/>
  <c r="AA32" i="69"/>
  <c r="AA31" i="69"/>
  <c r="AA30" i="69"/>
  <c r="AA29" i="69"/>
  <c r="AA28" i="69"/>
  <c r="AA27" i="69"/>
  <c r="AA26" i="69"/>
  <c r="AA25" i="69"/>
  <c r="AA24" i="69"/>
  <c r="AA23" i="69"/>
  <c r="AA22" i="69"/>
  <c r="AA21" i="69"/>
  <c r="AA20" i="69"/>
  <c r="AA19" i="69"/>
  <c r="V124" i="66" l="1"/>
  <c r="U124" i="66"/>
  <c r="E1963" i="111" l="1"/>
  <c r="E1967" i="111"/>
  <c r="E1971" i="111"/>
  <c r="E1979" i="111"/>
  <c r="E1983" i="111"/>
  <c r="E1987" i="111"/>
  <c r="E1995" i="111"/>
  <c r="E1999" i="111"/>
  <c r="E2003" i="111"/>
  <c r="E2011" i="111"/>
  <c r="E2015" i="111"/>
  <c r="E2019" i="111"/>
  <c r="E2023" i="111"/>
  <c r="E2027" i="111"/>
  <c r="E2031" i="111"/>
  <c r="E2035" i="111"/>
  <c r="E2034" i="111"/>
  <c r="E2033" i="111"/>
  <c r="E2032" i="111"/>
  <c r="E2030" i="111"/>
  <c r="E2029" i="111"/>
  <c r="E2028" i="111"/>
  <c r="E2026" i="111"/>
  <c r="E2025" i="111"/>
  <c r="E2024" i="111"/>
  <c r="E2022" i="111"/>
  <c r="E2021" i="111"/>
  <c r="E2020" i="111"/>
  <c r="E2018" i="111"/>
  <c r="E2017" i="111"/>
  <c r="E2016" i="111"/>
  <c r="E2014" i="111"/>
  <c r="E2013" i="111"/>
  <c r="E2012" i="111"/>
  <c r="E2010" i="111"/>
  <c r="E2009" i="111"/>
  <c r="E2008" i="111"/>
  <c r="E2007" i="111"/>
  <c r="E2006" i="111"/>
  <c r="E2005" i="111"/>
  <c r="E2004" i="111"/>
  <c r="E2002" i="111"/>
  <c r="E2001" i="111"/>
  <c r="E2000" i="111"/>
  <c r="E1998" i="111"/>
  <c r="E1997" i="111"/>
  <c r="E1996" i="111"/>
  <c r="E1994" i="111"/>
  <c r="E1993" i="111"/>
  <c r="E1992" i="111"/>
  <c r="E1991" i="111"/>
  <c r="E1990" i="111"/>
  <c r="E1989" i="111"/>
  <c r="E1988" i="111"/>
  <c r="E1986" i="111"/>
  <c r="E1985" i="111"/>
  <c r="E1984" i="111"/>
  <c r="E1982" i="111"/>
  <c r="E1981" i="111"/>
  <c r="E1980" i="111"/>
  <c r="E1978" i="111"/>
  <c r="E1977" i="111"/>
  <c r="E1976" i="111"/>
  <c r="E1975" i="111"/>
  <c r="E1974" i="111"/>
  <c r="E1973" i="111"/>
  <c r="E1972" i="111"/>
  <c r="E1970" i="111"/>
  <c r="E1969" i="111"/>
  <c r="E1968" i="111"/>
  <c r="E1966" i="111"/>
  <c r="E1965" i="111"/>
  <c r="E1964" i="111"/>
  <c r="D2035" i="111"/>
  <c r="D2034" i="111"/>
  <c r="D2033" i="111"/>
  <c r="D2032" i="111"/>
  <c r="D2031" i="111"/>
  <c r="D2030" i="111"/>
  <c r="D2029" i="111"/>
  <c r="D2028" i="111"/>
  <c r="D2027" i="111"/>
  <c r="D2026" i="111"/>
  <c r="D2025" i="111"/>
  <c r="D2024" i="111"/>
  <c r="D2023" i="111"/>
  <c r="D2022" i="111"/>
  <c r="D2021" i="111"/>
  <c r="D2020" i="111"/>
  <c r="D2019" i="111"/>
  <c r="D2018" i="111"/>
  <c r="D2017" i="111"/>
  <c r="D2016" i="111"/>
  <c r="D2015" i="111"/>
  <c r="D2014" i="111"/>
  <c r="D2013" i="111"/>
  <c r="D2012" i="111"/>
  <c r="D2011" i="111"/>
  <c r="D2010" i="111"/>
  <c r="D2009" i="111"/>
  <c r="D2008" i="111"/>
  <c r="D2007" i="111"/>
  <c r="D2006" i="111"/>
  <c r="D2005" i="111"/>
  <c r="D2004" i="111"/>
  <c r="D2003" i="111"/>
  <c r="D2002" i="111"/>
  <c r="D2001" i="111"/>
  <c r="D2000" i="111"/>
  <c r="D1999" i="111"/>
  <c r="D1998" i="111"/>
  <c r="D1997" i="111"/>
  <c r="D1996" i="111"/>
  <c r="D1995" i="111"/>
  <c r="D1994" i="111"/>
  <c r="D1993" i="111"/>
  <c r="D1992" i="111"/>
  <c r="D1991" i="111"/>
  <c r="D1990" i="111"/>
  <c r="D1989" i="111"/>
  <c r="D1988" i="111"/>
  <c r="D1987" i="111"/>
  <c r="D1986" i="111"/>
  <c r="D1985" i="111"/>
  <c r="D1984" i="111"/>
  <c r="D1983" i="111"/>
  <c r="D1982" i="111"/>
  <c r="D1981" i="111"/>
  <c r="D1980" i="111"/>
  <c r="D1979" i="111"/>
  <c r="D1978" i="111"/>
  <c r="D1977" i="111"/>
  <c r="D1976" i="111"/>
  <c r="D1975" i="111"/>
  <c r="D1974" i="111"/>
  <c r="D1973" i="111"/>
  <c r="D1972" i="111"/>
  <c r="D1971" i="111"/>
  <c r="D1970" i="111"/>
  <c r="D1969" i="111"/>
  <c r="D1968" i="111"/>
  <c r="D1967" i="111"/>
  <c r="D1966" i="111"/>
  <c r="D1965" i="111"/>
  <c r="D1964" i="111"/>
  <c r="D1963" i="111"/>
  <c r="C2033" i="111"/>
  <c r="C2034" i="111"/>
  <c r="C2035" i="111"/>
  <c r="C2032" i="111"/>
  <c r="C2030" i="111"/>
  <c r="C2031" i="111"/>
  <c r="C2029" i="111"/>
  <c r="C2027" i="111"/>
  <c r="C2028" i="111"/>
  <c r="C2026" i="111"/>
  <c r="C2024" i="111"/>
  <c r="C2025" i="111"/>
  <c r="C2023" i="111"/>
  <c r="C2018" i="111"/>
  <c r="C2019" i="111"/>
  <c r="C2020" i="111"/>
  <c r="C2021" i="111"/>
  <c r="C2022" i="111"/>
  <c r="C2017" i="111"/>
  <c r="C2016" i="111"/>
  <c r="C2011" i="111"/>
  <c r="C2012" i="111"/>
  <c r="C2013" i="111"/>
  <c r="C2014" i="111"/>
  <c r="C2015" i="111"/>
  <c r="C2010" i="111"/>
  <c r="C2000" i="111"/>
  <c r="C2001" i="111"/>
  <c r="C2002" i="111"/>
  <c r="C2003" i="111"/>
  <c r="C2004" i="111"/>
  <c r="C2005" i="111"/>
  <c r="C2006" i="111"/>
  <c r="C2007" i="111"/>
  <c r="C2008" i="111"/>
  <c r="C2009" i="111"/>
  <c r="C1999" i="111"/>
  <c r="C1997" i="111"/>
  <c r="C1998" i="111"/>
  <c r="C1996" i="111"/>
  <c r="C1994" i="111"/>
  <c r="C1995" i="111"/>
  <c r="C1991" i="111"/>
  <c r="C1992" i="111"/>
  <c r="C1993" i="111"/>
  <c r="C1985" i="111"/>
  <c r="C1986" i="111"/>
  <c r="C1987" i="111"/>
  <c r="C1988" i="111"/>
  <c r="C1989" i="111"/>
  <c r="C1990" i="111"/>
  <c r="C1964" i="111"/>
  <c r="C1965" i="111"/>
  <c r="C1966" i="111"/>
  <c r="C1967" i="111"/>
  <c r="C1968" i="111"/>
  <c r="C1969" i="111"/>
  <c r="C1970" i="111"/>
  <c r="C1971" i="111"/>
  <c r="C1972" i="111"/>
  <c r="C1973" i="111"/>
  <c r="C1974" i="111"/>
  <c r="C1975" i="111"/>
  <c r="C1976" i="111"/>
  <c r="C1977" i="111"/>
  <c r="C1978" i="111"/>
  <c r="C1979" i="111"/>
  <c r="C1980" i="111"/>
  <c r="C1981" i="111"/>
  <c r="C1982" i="111"/>
  <c r="C1983" i="111"/>
  <c r="C1984" i="111"/>
  <c r="C1963" i="111"/>
  <c r="D1962" i="111"/>
  <c r="D1961" i="111"/>
  <c r="D1960" i="111"/>
  <c r="D1959" i="111"/>
  <c r="D1958" i="111"/>
  <c r="D1957" i="111"/>
  <c r="D1956" i="111"/>
  <c r="D1955" i="111"/>
  <c r="D1954" i="111"/>
  <c r="D1922" i="102"/>
  <c r="D1921" i="102"/>
  <c r="D1920" i="102"/>
  <c r="D1919" i="102"/>
  <c r="D1918" i="102"/>
  <c r="D1917" i="102"/>
  <c r="D1916" i="102"/>
  <c r="D1915" i="102"/>
  <c r="D1914" i="102"/>
  <c r="AB19" i="69" l="1"/>
  <c r="AB20" i="69"/>
  <c r="AB21" i="69"/>
  <c r="AB22" i="69"/>
  <c r="AB23" i="69"/>
  <c r="AB24" i="69"/>
  <c r="AB25" i="69"/>
  <c r="AB26" i="69"/>
  <c r="AB27" i="69"/>
  <c r="AB28" i="69"/>
  <c r="AB29" i="69"/>
  <c r="AB30" i="69"/>
  <c r="AB31" i="69"/>
  <c r="AB32" i="69"/>
  <c r="AB33" i="69"/>
  <c r="AB34" i="69"/>
  <c r="AB35" i="69"/>
  <c r="AB36" i="69"/>
  <c r="AB37" i="69"/>
  <c r="AB38" i="69"/>
  <c r="AB39" i="69"/>
  <c r="AB40" i="69"/>
  <c r="AB41" i="69"/>
  <c r="AB42" i="69"/>
  <c r="AB43" i="69"/>
  <c r="AB44" i="69"/>
  <c r="AB45" i="69"/>
  <c r="AB46" i="69"/>
  <c r="AB47" i="69"/>
  <c r="AB48" i="69"/>
  <c r="AB49" i="69"/>
  <c r="AB50" i="69"/>
  <c r="AB51" i="69"/>
  <c r="AB52" i="69"/>
  <c r="AB53" i="69"/>
  <c r="AB54" i="69"/>
  <c r="AB56" i="69"/>
  <c r="AB57" i="69"/>
  <c r="AB58" i="69"/>
  <c r="AB59" i="69"/>
  <c r="AB60" i="69"/>
  <c r="AB61" i="69"/>
  <c r="AB62" i="69"/>
  <c r="AB63" i="69"/>
  <c r="AB64" i="69"/>
  <c r="AB65" i="69"/>
  <c r="AB66" i="69"/>
  <c r="AB68" i="69"/>
  <c r="AB69" i="69"/>
  <c r="AB70" i="69"/>
  <c r="AB72" i="69"/>
  <c r="AB73" i="69"/>
  <c r="AB74" i="69"/>
  <c r="AB76" i="69"/>
  <c r="AB77" i="69"/>
  <c r="AB78" i="69"/>
  <c r="AB79" i="69"/>
  <c r="AB80" i="69"/>
  <c r="AB81" i="69"/>
  <c r="AB83" i="69"/>
  <c r="AB87" i="69"/>
  <c r="AB88" i="69"/>
  <c r="AB89" i="69"/>
  <c r="AB91" i="69"/>
  <c r="AB92" i="69"/>
  <c r="AB93" i="69"/>
  <c r="AB95" i="69"/>
  <c r="AB96" i="69"/>
  <c r="AB97" i="69"/>
  <c r="AB98" i="69"/>
  <c r="C100" i="69"/>
  <c r="C99" i="69"/>
  <c r="C94" i="69"/>
  <c r="C90" i="69"/>
  <c r="C86" i="69"/>
  <c r="C82" i="69"/>
  <c r="C75" i="69"/>
  <c r="C67" i="69"/>
  <c r="C55" i="69"/>
  <c r="D28" i="69"/>
  <c r="AB84" i="69" l="1"/>
  <c r="AA71" i="69"/>
  <c r="AB71" i="69" s="1"/>
  <c r="AB85" i="69"/>
  <c r="D98" i="69"/>
  <c r="D97" i="69"/>
  <c r="D96" i="69"/>
  <c r="D95" i="69"/>
  <c r="D93" i="69"/>
  <c r="D92" i="69"/>
  <c r="D91" i="69"/>
  <c r="D89" i="69"/>
  <c r="D88" i="69"/>
  <c r="D87" i="69"/>
  <c r="D85" i="69"/>
  <c r="D84" i="69"/>
  <c r="D83" i="69"/>
  <c r="D81" i="69"/>
  <c r="D80" i="69"/>
  <c r="D79" i="69"/>
  <c r="D78" i="69"/>
  <c r="D77" i="69"/>
  <c r="D76" i="69"/>
  <c r="D74" i="69"/>
  <c r="D73" i="69"/>
  <c r="D72" i="69"/>
  <c r="D71" i="69"/>
  <c r="D70" i="69"/>
  <c r="D69" i="69"/>
  <c r="D68" i="69"/>
  <c r="D66" i="69"/>
  <c r="D65" i="69"/>
  <c r="D64" i="69"/>
  <c r="D63" i="69"/>
  <c r="D62" i="69"/>
  <c r="D61" i="69"/>
  <c r="D60" i="69"/>
  <c r="D59" i="69"/>
  <c r="D58" i="69"/>
  <c r="D57" i="69"/>
  <c r="D56" i="69"/>
  <c r="D20" i="69"/>
  <c r="D21" i="69"/>
  <c r="D22" i="69"/>
  <c r="D23" i="69"/>
  <c r="D24" i="69"/>
  <c r="D25" i="69"/>
  <c r="D26" i="69"/>
  <c r="D27" i="69"/>
  <c r="D29" i="69"/>
  <c r="D30" i="69"/>
  <c r="D31" i="69"/>
  <c r="D32" i="69"/>
  <c r="D33" i="69"/>
  <c r="D34" i="69"/>
  <c r="D35" i="69"/>
  <c r="D36" i="69"/>
  <c r="D37" i="69"/>
  <c r="D38" i="69"/>
  <c r="D39" i="69"/>
  <c r="D40" i="69"/>
  <c r="D41" i="69"/>
  <c r="D42" i="69"/>
  <c r="D43" i="69"/>
  <c r="D44" i="69"/>
  <c r="D45" i="69"/>
  <c r="D46" i="69"/>
  <c r="D47" i="69"/>
  <c r="D48" i="69"/>
  <c r="D49" i="69"/>
  <c r="D50" i="69"/>
  <c r="D51" i="69"/>
  <c r="D52" i="69"/>
  <c r="D53" i="69"/>
  <c r="D54" i="69"/>
  <c r="B98" i="69"/>
  <c r="B97" i="69"/>
  <c r="B96" i="69"/>
  <c r="B95" i="69"/>
  <c r="B93" i="69"/>
  <c r="B92" i="69"/>
  <c r="B91" i="69"/>
  <c r="B89" i="69"/>
  <c r="B88" i="69"/>
  <c r="B87" i="69"/>
  <c r="B85" i="69"/>
  <c r="B84" i="69"/>
  <c r="B83" i="69"/>
  <c r="B81" i="69"/>
  <c r="B80" i="69"/>
  <c r="B79" i="69"/>
  <c r="B78" i="69"/>
  <c r="B77" i="69"/>
  <c r="B76" i="69"/>
  <c r="B74" i="69"/>
  <c r="B73" i="69"/>
  <c r="B72" i="69"/>
  <c r="B71" i="69"/>
  <c r="B70" i="69"/>
  <c r="B69" i="69"/>
  <c r="B68" i="69"/>
  <c r="B66" i="69"/>
  <c r="B65" i="69"/>
  <c r="B64" i="69"/>
  <c r="B63" i="69"/>
  <c r="B62" i="69"/>
  <c r="B61" i="69"/>
  <c r="B60" i="69"/>
  <c r="B59" i="69"/>
  <c r="B58" i="69"/>
  <c r="B57" i="69"/>
  <c r="B56" i="69"/>
  <c r="B20" i="69"/>
  <c r="B21" i="69"/>
  <c r="B22" i="69"/>
  <c r="B23" i="69"/>
  <c r="B24" i="69"/>
  <c r="B25" i="69"/>
  <c r="B26" i="69"/>
  <c r="B27" i="69"/>
  <c r="B28" i="69"/>
  <c r="B29" i="69"/>
  <c r="B30" i="69"/>
  <c r="B31" i="69"/>
  <c r="B32" i="69"/>
  <c r="B33" i="69"/>
  <c r="B34" i="69"/>
  <c r="B35" i="69"/>
  <c r="B36" i="69"/>
  <c r="B37" i="69"/>
  <c r="B38" i="69"/>
  <c r="B39" i="69"/>
  <c r="B40" i="69"/>
  <c r="B41" i="69"/>
  <c r="B42" i="69"/>
  <c r="B43" i="69"/>
  <c r="B44" i="69"/>
  <c r="B45" i="69"/>
  <c r="B46" i="69"/>
  <c r="B47" i="69"/>
  <c r="B48" i="69"/>
  <c r="B49" i="69"/>
  <c r="B50" i="69"/>
  <c r="B51" i="69"/>
  <c r="B52" i="69"/>
  <c r="B53" i="69"/>
  <c r="B54" i="69"/>
  <c r="E1916" i="102" l="1"/>
  <c r="E1921" i="102"/>
  <c r="E1915" i="102"/>
  <c r="E1918" i="102"/>
  <c r="E1914" i="102"/>
  <c r="E1920" i="102"/>
  <c r="E1917" i="102"/>
  <c r="E1922" i="102"/>
  <c r="E1919" i="102"/>
  <c r="C1959" i="111"/>
  <c r="C1922" i="102"/>
  <c r="C1916" i="102"/>
  <c r="C1956" i="111"/>
  <c r="C1919" i="102"/>
  <c r="C1962" i="111"/>
  <c r="C1961" i="111"/>
  <c r="C1955" i="111"/>
  <c r="C1958" i="111"/>
  <c r="C1921" i="102"/>
  <c r="C1918" i="102"/>
  <c r="C1915" i="102"/>
  <c r="C1914" i="102"/>
  <c r="C1920" i="102"/>
  <c r="C1954" i="111"/>
  <c r="C1917" i="102"/>
  <c r="C1960" i="111"/>
  <c r="C1957" i="111"/>
  <c r="N84" i="69"/>
  <c r="O85" i="69"/>
  <c r="L85" i="69"/>
  <c r="M85" i="69"/>
  <c r="N85" i="69"/>
  <c r="M84" i="69"/>
  <c r="O84" i="69"/>
  <c r="L84" i="69"/>
  <c r="O89" i="69"/>
  <c r="L89" i="69"/>
  <c r="N89" i="69"/>
  <c r="M89" i="69"/>
  <c r="Z92" i="69" l="1"/>
  <c r="Z68" i="69"/>
  <c r="E1961" i="111"/>
  <c r="Z70" i="69"/>
  <c r="Z29" i="69"/>
  <c r="E1962" i="111"/>
  <c r="E1960" i="111"/>
  <c r="Z52" i="69"/>
  <c r="E1957" i="111"/>
  <c r="Z96" i="69"/>
  <c r="E1956" i="111"/>
  <c r="E1954" i="111"/>
  <c r="E1955" i="111"/>
  <c r="E86" i="69"/>
  <c r="F86" i="69"/>
  <c r="G86" i="69"/>
  <c r="H86" i="69"/>
  <c r="Z97" i="69" l="1"/>
  <c r="Z61" i="69"/>
  <c r="Z37" i="69"/>
  <c r="Z93" i="69"/>
  <c r="Z35" i="69"/>
  <c r="Z51" i="69"/>
  <c r="Z22" i="69"/>
  <c r="Z91" i="69"/>
  <c r="Z72" i="69"/>
  <c r="Z26" i="69"/>
  <c r="Z87" i="69"/>
  <c r="Z69" i="69"/>
  <c r="Z44" i="69"/>
  <c r="Z64" i="69"/>
  <c r="Z59" i="69"/>
  <c r="Z27" i="69"/>
  <c r="Z42" i="69"/>
  <c r="Z57" i="69"/>
  <c r="Z33" i="69"/>
  <c r="Z73" i="69"/>
  <c r="Z89" i="69"/>
  <c r="A89" i="69" s="1"/>
  <c r="Z81" i="69"/>
  <c r="Z84" i="69"/>
  <c r="A84" i="69" s="1"/>
  <c r="E1959" i="111"/>
  <c r="Z63" i="69"/>
  <c r="Z95" i="69"/>
  <c r="Z45" i="69"/>
  <c r="Z65" i="69"/>
  <c r="Z49" i="69"/>
  <c r="Z60" i="69"/>
  <c r="Z30" i="69"/>
  <c r="Z20" i="69"/>
  <c r="Z78" i="69"/>
  <c r="Z98" i="69"/>
  <c r="Z54" i="69"/>
  <c r="Z71" i="69"/>
  <c r="Z25" i="69"/>
  <c r="Z79" i="69"/>
  <c r="Z41" i="69"/>
  <c r="Z85" i="69"/>
  <c r="A85" i="69" s="1"/>
  <c r="Z77" i="69"/>
  <c r="Z83" i="69"/>
  <c r="Z38" i="69"/>
  <c r="Z58" i="69"/>
  <c r="Z62" i="69"/>
  <c r="Z40" i="69"/>
  <c r="Z80" i="69"/>
  <c r="Z39" i="69"/>
  <c r="Z56" i="69"/>
  <c r="Z76" i="69"/>
  <c r="Z36" i="69"/>
  <c r="Z50" i="69"/>
  <c r="Z66" i="69"/>
  <c r="Z88" i="69"/>
  <c r="Z34" i="69"/>
  <c r="Z74" i="69"/>
  <c r="Z47" i="69"/>
  <c r="Z48" i="69"/>
  <c r="Z43" i="69"/>
  <c r="Z53" i="69"/>
  <c r="Z46" i="69"/>
  <c r="Z31" i="69"/>
  <c r="Z21" i="69"/>
  <c r="Z32" i="69"/>
  <c r="Z28" i="69"/>
  <c r="Z24" i="69"/>
  <c r="Z23" i="69"/>
  <c r="E1958" i="111"/>
  <c r="K8" i="46"/>
  <c r="K6" i="46" l="1"/>
  <c r="O74" i="68" l="1"/>
  <c r="F108" i="69"/>
  <c r="E108" i="69"/>
  <c r="E54" i="62"/>
  <c r="D53" i="62"/>
  <c r="E47" i="62"/>
  <c r="E44" i="62"/>
  <c r="D17" i="65"/>
  <c r="P35" i="64"/>
  <c r="P34" i="64"/>
  <c r="P33" i="64"/>
  <c r="P32" i="64"/>
  <c r="P29" i="64"/>
  <c r="P28" i="64"/>
  <c r="P27" i="64"/>
  <c r="P26" i="64"/>
  <c r="P25" i="64"/>
  <c r="P22" i="64"/>
  <c r="P21" i="64"/>
  <c r="B9" i="68" l="1"/>
  <c r="B9" i="81"/>
  <c r="B9" i="67"/>
  <c r="B9" i="69"/>
  <c r="B9" i="62"/>
  <c r="B9" i="65"/>
  <c r="B9" i="64"/>
  <c r="B9" i="63"/>
  <c r="B9" i="66"/>
  <c r="AA22" i="66" l="1"/>
  <c r="E1951" i="111" l="1"/>
  <c r="AE36" i="64"/>
  <c r="AE35" i="64"/>
  <c r="AE34" i="64"/>
  <c r="AE33" i="64"/>
  <c r="AE32" i="64"/>
  <c r="AE31" i="64"/>
  <c r="AE30" i="64"/>
  <c r="AE29" i="64"/>
  <c r="AE28" i="64"/>
  <c r="AE27" i="64"/>
  <c r="AE26" i="64"/>
  <c r="AE25" i="64"/>
  <c r="AE24" i="64"/>
  <c r="AE23" i="64"/>
  <c r="AE22" i="64"/>
  <c r="AE21" i="64"/>
  <c r="D1953" i="111"/>
  <c r="D1952" i="111"/>
  <c r="D1951" i="111"/>
  <c r="D1950" i="111"/>
  <c r="D1949" i="111"/>
  <c r="D1948" i="111"/>
  <c r="D1947" i="111"/>
  <c r="D1946" i="111"/>
  <c r="D1945" i="111"/>
  <c r="D1944" i="111"/>
  <c r="D1943" i="111"/>
  <c r="D1942" i="111"/>
  <c r="D1941" i="111"/>
  <c r="C1952" i="111"/>
  <c r="C1953" i="111"/>
  <c r="C1951" i="111"/>
  <c r="C1946" i="111"/>
  <c r="C1947" i="111"/>
  <c r="C1948" i="111"/>
  <c r="C1949" i="111"/>
  <c r="C1950" i="111"/>
  <c r="C1945" i="111"/>
  <c r="C1942" i="111"/>
  <c r="C1943" i="111"/>
  <c r="C1944" i="111"/>
  <c r="C1941" i="111"/>
  <c r="E1941" i="111"/>
  <c r="E1942" i="111"/>
  <c r="E1943" i="111"/>
  <c r="E1944" i="111"/>
  <c r="E1945" i="111"/>
  <c r="E1946" i="111"/>
  <c r="E1947" i="111"/>
  <c r="E1948" i="111"/>
  <c r="E1949" i="111"/>
  <c r="E1950" i="111"/>
  <c r="E1952" i="111"/>
  <c r="E1953" i="111"/>
  <c r="D1913" i="102" l="1"/>
  <c r="D1912" i="102"/>
  <c r="D1911" i="102"/>
  <c r="D1910" i="102"/>
  <c r="C1913" i="102"/>
  <c r="C1912" i="102"/>
  <c r="C1911" i="102"/>
  <c r="C1910" i="102"/>
  <c r="B6" i="66" l="1"/>
  <c r="C6" i="66"/>
  <c r="B7" i="66"/>
  <c r="C7" i="66"/>
  <c r="E6" i="66"/>
  <c r="X50" i="64" l="1"/>
  <c r="X49" i="64"/>
  <c r="X47" i="64"/>
  <c r="X46" i="64"/>
  <c r="D50" i="64"/>
  <c r="E1913" i="102" s="1"/>
  <c r="D49" i="64"/>
  <c r="E1912" i="102" s="1"/>
  <c r="D47" i="64"/>
  <c r="E1911" i="102" s="1"/>
  <c r="D46" i="64"/>
  <c r="E1910" i="102" s="1"/>
  <c r="Z56" i="68" l="1"/>
  <c r="Z55" i="68"/>
  <c r="Z54" i="68"/>
  <c r="Z53" i="68"/>
  <c r="Z52" i="68"/>
  <c r="Z51" i="68"/>
  <c r="Z50" i="68"/>
  <c r="Z49" i="68"/>
  <c r="Z48" i="68"/>
  <c r="Z47" i="68"/>
  <c r="Z46" i="68"/>
  <c r="Z45" i="68"/>
  <c r="Z44" i="68"/>
  <c r="Z43" i="68"/>
  <c r="Z42" i="68"/>
  <c r="W56" i="68"/>
  <c r="V56" i="68"/>
  <c r="W55" i="68"/>
  <c r="V55" i="68"/>
  <c r="W54" i="68"/>
  <c r="V54" i="68"/>
  <c r="W53" i="68"/>
  <c r="V53" i="68"/>
  <c r="W52" i="68"/>
  <c r="V52" i="68"/>
  <c r="W51" i="68"/>
  <c r="V51" i="68"/>
  <c r="W50" i="68"/>
  <c r="V50" i="68"/>
  <c r="W49" i="68"/>
  <c r="V49" i="68"/>
  <c r="W48" i="68"/>
  <c r="V48" i="68"/>
  <c r="W47" i="68"/>
  <c r="V47" i="68"/>
  <c r="W46" i="68"/>
  <c r="V46" i="68"/>
  <c r="W45" i="68"/>
  <c r="V45" i="68"/>
  <c r="W44" i="68"/>
  <c r="V44" i="68"/>
  <c r="W43" i="68"/>
  <c r="V43" i="68"/>
  <c r="W42" i="68"/>
  <c r="V42" i="68"/>
  <c r="W33" i="68"/>
  <c r="V33" i="68"/>
  <c r="W32" i="68"/>
  <c r="V32" i="68"/>
  <c r="W31" i="68"/>
  <c r="V31" i="68"/>
  <c r="W30" i="68"/>
  <c r="V30" i="68"/>
  <c r="W29" i="68"/>
  <c r="V29" i="68"/>
  <c r="W28" i="68"/>
  <c r="V28" i="68"/>
  <c r="W27" i="68"/>
  <c r="V27" i="68"/>
  <c r="W26" i="68"/>
  <c r="V26" i="68"/>
  <c r="W25" i="68"/>
  <c r="V25" i="68"/>
  <c r="W24" i="68"/>
  <c r="V24" i="68"/>
  <c r="W23" i="68"/>
  <c r="V23" i="68"/>
  <c r="W22" i="68"/>
  <c r="V22" i="68"/>
  <c r="W21" i="68"/>
  <c r="V21" i="68"/>
  <c r="W20" i="68"/>
  <c r="V20" i="68"/>
  <c r="V19" i="68"/>
  <c r="S16" i="81"/>
  <c r="S15" i="81"/>
  <c r="L28" i="67"/>
  <c r="L27" i="67"/>
  <c r="L26" i="67"/>
  <c r="L25" i="67"/>
  <c r="L24" i="67"/>
  <c r="O98" i="69"/>
  <c r="N98" i="69"/>
  <c r="M98" i="69"/>
  <c r="L98" i="69"/>
  <c r="O97" i="69"/>
  <c r="N97" i="69"/>
  <c r="M97" i="69"/>
  <c r="L97" i="69"/>
  <c r="O96" i="69"/>
  <c r="N96" i="69"/>
  <c r="M96" i="69"/>
  <c r="L96" i="69"/>
  <c r="O95" i="69"/>
  <c r="N95" i="69"/>
  <c r="M95" i="69"/>
  <c r="L95" i="69"/>
  <c r="O91" i="69"/>
  <c r="N91" i="69"/>
  <c r="M91" i="69"/>
  <c r="L91" i="69"/>
  <c r="O93" i="69"/>
  <c r="N93" i="69"/>
  <c r="M93" i="69"/>
  <c r="L93" i="69"/>
  <c r="O92" i="69"/>
  <c r="N92" i="69"/>
  <c r="M92" i="69"/>
  <c r="L92" i="69"/>
  <c r="O83" i="69"/>
  <c r="O86" i="69" s="1"/>
  <c r="N83" i="69"/>
  <c r="N86" i="69" s="1"/>
  <c r="M83" i="69"/>
  <c r="M86" i="69" s="1"/>
  <c r="L83" i="69"/>
  <c r="L86" i="69" s="1"/>
  <c r="O81" i="69"/>
  <c r="N81" i="69"/>
  <c r="M81" i="69"/>
  <c r="L81" i="69"/>
  <c r="O80" i="69"/>
  <c r="N80" i="69"/>
  <c r="M80" i="69"/>
  <c r="L80" i="69"/>
  <c r="O79" i="69"/>
  <c r="N79" i="69"/>
  <c r="M79" i="69"/>
  <c r="L79" i="69"/>
  <c r="O78" i="69"/>
  <c r="N78" i="69"/>
  <c r="M78" i="69"/>
  <c r="L78" i="69"/>
  <c r="O77" i="69"/>
  <c r="N77" i="69"/>
  <c r="M77" i="69"/>
  <c r="L77" i="69"/>
  <c r="O76" i="69"/>
  <c r="N76" i="69"/>
  <c r="M76" i="69"/>
  <c r="L76" i="69"/>
  <c r="O74" i="69"/>
  <c r="N74" i="69"/>
  <c r="M74" i="69"/>
  <c r="L74" i="69"/>
  <c r="O73" i="69"/>
  <c r="N73" i="69"/>
  <c r="M73" i="69"/>
  <c r="L73" i="69"/>
  <c r="O72" i="69"/>
  <c r="N72" i="69"/>
  <c r="M72" i="69"/>
  <c r="L72" i="69"/>
  <c r="O71" i="69"/>
  <c r="N71" i="69"/>
  <c r="M71" i="69"/>
  <c r="L71" i="69"/>
  <c r="O70" i="69"/>
  <c r="N70" i="69"/>
  <c r="M70" i="69"/>
  <c r="L70" i="69"/>
  <c r="O69" i="69"/>
  <c r="N69" i="69"/>
  <c r="M69" i="69"/>
  <c r="L69" i="69"/>
  <c r="O68" i="69"/>
  <c r="N68" i="69"/>
  <c r="M68" i="69"/>
  <c r="L68" i="69"/>
  <c r="O66" i="69"/>
  <c r="N66" i="69"/>
  <c r="M66" i="69"/>
  <c r="L66" i="69"/>
  <c r="O65" i="69"/>
  <c r="N65" i="69"/>
  <c r="M65" i="69"/>
  <c r="L65" i="69"/>
  <c r="O64" i="69"/>
  <c r="N64" i="69"/>
  <c r="M64" i="69"/>
  <c r="L64" i="69"/>
  <c r="O63" i="69"/>
  <c r="N63" i="69"/>
  <c r="M63" i="69"/>
  <c r="L63" i="69"/>
  <c r="O62" i="69"/>
  <c r="N62" i="69"/>
  <c r="M62" i="69"/>
  <c r="L62" i="69"/>
  <c r="O61" i="69"/>
  <c r="N61" i="69"/>
  <c r="M61" i="69"/>
  <c r="L61" i="69"/>
  <c r="O60" i="69"/>
  <c r="N60" i="69"/>
  <c r="M60" i="69"/>
  <c r="L60" i="69"/>
  <c r="O59" i="69"/>
  <c r="N59" i="69"/>
  <c r="M59" i="69"/>
  <c r="L59" i="69"/>
  <c r="O58" i="69"/>
  <c r="N58" i="69"/>
  <c r="M58" i="69"/>
  <c r="L58" i="69"/>
  <c r="O57" i="69"/>
  <c r="N57" i="69"/>
  <c r="M57" i="69"/>
  <c r="L57" i="69"/>
  <c r="O56" i="69"/>
  <c r="N56" i="69"/>
  <c r="M56" i="69"/>
  <c r="L56" i="69"/>
  <c r="O54" i="69"/>
  <c r="N54" i="69"/>
  <c r="M54" i="69"/>
  <c r="L54" i="69"/>
  <c r="O53" i="69"/>
  <c r="N53" i="69"/>
  <c r="M53" i="69"/>
  <c r="L53" i="69"/>
  <c r="O52" i="69"/>
  <c r="N52" i="69"/>
  <c r="M52" i="69"/>
  <c r="L52" i="69"/>
  <c r="O51" i="69"/>
  <c r="N51" i="69"/>
  <c r="M51" i="69"/>
  <c r="L51" i="69"/>
  <c r="O50" i="69"/>
  <c r="N50" i="69"/>
  <c r="M50" i="69"/>
  <c r="L50" i="69"/>
  <c r="O49" i="69"/>
  <c r="N49" i="69"/>
  <c r="M49" i="69"/>
  <c r="L49" i="69"/>
  <c r="O48" i="69"/>
  <c r="N48" i="69"/>
  <c r="M48" i="69"/>
  <c r="L48" i="69"/>
  <c r="O47" i="69"/>
  <c r="N47" i="69"/>
  <c r="M47" i="69"/>
  <c r="L47" i="69"/>
  <c r="O46" i="69"/>
  <c r="N46" i="69"/>
  <c r="M46" i="69"/>
  <c r="L46" i="69"/>
  <c r="O45" i="69"/>
  <c r="N45" i="69"/>
  <c r="M45" i="69"/>
  <c r="L45" i="69"/>
  <c r="O44" i="69"/>
  <c r="N44" i="69"/>
  <c r="M44" i="69"/>
  <c r="L44" i="69"/>
  <c r="O43" i="69"/>
  <c r="N43" i="69"/>
  <c r="M43" i="69"/>
  <c r="L43" i="69"/>
  <c r="O42" i="69"/>
  <c r="N42" i="69"/>
  <c r="M42" i="69"/>
  <c r="L42" i="69"/>
  <c r="O41" i="69"/>
  <c r="N41" i="69"/>
  <c r="M41" i="69"/>
  <c r="L41" i="69"/>
  <c r="O40" i="69"/>
  <c r="N40" i="69"/>
  <c r="M40" i="69"/>
  <c r="L40" i="69"/>
  <c r="O39" i="69"/>
  <c r="N39" i="69"/>
  <c r="M39" i="69"/>
  <c r="L39" i="69"/>
  <c r="O38" i="69"/>
  <c r="N38" i="69"/>
  <c r="M38" i="69"/>
  <c r="L38" i="69"/>
  <c r="O37" i="69"/>
  <c r="N37" i="69"/>
  <c r="M37" i="69"/>
  <c r="L37" i="69"/>
  <c r="O36" i="69"/>
  <c r="N36" i="69"/>
  <c r="M36" i="69"/>
  <c r="L36" i="69"/>
  <c r="O35" i="69"/>
  <c r="N35" i="69"/>
  <c r="M35" i="69"/>
  <c r="L35" i="69"/>
  <c r="O34" i="69"/>
  <c r="N34" i="69"/>
  <c r="M34" i="69"/>
  <c r="L34" i="69"/>
  <c r="O33" i="69"/>
  <c r="N33" i="69"/>
  <c r="M33" i="69"/>
  <c r="L33" i="69"/>
  <c r="O32" i="69"/>
  <c r="N32" i="69"/>
  <c r="M32" i="69"/>
  <c r="L32" i="69"/>
  <c r="O31" i="69"/>
  <c r="N31" i="69"/>
  <c r="M31" i="69"/>
  <c r="L31" i="69"/>
  <c r="O30" i="69"/>
  <c r="N30" i="69"/>
  <c r="M30" i="69"/>
  <c r="L30" i="69"/>
  <c r="O29" i="69"/>
  <c r="N29" i="69"/>
  <c r="M29" i="69"/>
  <c r="L29" i="69"/>
  <c r="O28" i="69"/>
  <c r="N28" i="69"/>
  <c r="M28" i="69"/>
  <c r="L28" i="69"/>
  <c r="O27" i="69"/>
  <c r="N27" i="69"/>
  <c r="M27" i="69"/>
  <c r="L27" i="69"/>
  <c r="O26" i="69"/>
  <c r="N26" i="69"/>
  <c r="M26" i="69"/>
  <c r="L26" i="69"/>
  <c r="O25" i="69"/>
  <c r="N25" i="69"/>
  <c r="M25" i="69"/>
  <c r="L25" i="69"/>
  <c r="O24" i="69"/>
  <c r="N24" i="69"/>
  <c r="M24" i="69"/>
  <c r="L24" i="69"/>
  <c r="O23" i="69"/>
  <c r="N23" i="69"/>
  <c r="M23" i="69"/>
  <c r="L23" i="69"/>
  <c r="O22" i="69"/>
  <c r="N22" i="69"/>
  <c r="M22" i="69"/>
  <c r="L22" i="69"/>
  <c r="O21" i="69"/>
  <c r="N21" i="69"/>
  <c r="M21" i="69"/>
  <c r="L21" i="69"/>
  <c r="O20" i="69"/>
  <c r="N20" i="69"/>
  <c r="M20" i="69"/>
  <c r="L20" i="69"/>
  <c r="P40" i="62"/>
  <c r="O40" i="62"/>
  <c r="P38" i="62"/>
  <c r="O38" i="62"/>
  <c r="P37" i="62"/>
  <c r="O37" i="62"/>
  <c r="P36" i="62"/>
  <c r="O36" i="62"/>
  <c r="P35" i="62"/>
  <c r="O35" i="62"/>
  <c r="O20" i="62"/>
  <c r="O19" i="62"/>
  <c r="O18" i="62"/>
  <c r="O17" i="62"/>
  <c r="O16" i="62"/>
  <c r="Q17" i="65"/>
  <c r="P17" i="65"/>
  <c r="AF35" i="64"/>
  <c r="AF34" i="64"/>
  <c r="AF33" i="64"/>
  <c r="AD35" i="64"/>
  <c r="AC35" i="64"/>
  <c r="AB35" i="64"/>
  <c r="AA35" i="64"/>
  <c r="Z35" i="64"/>
  <c r="Y35" i="64"/>
  <c r="X35" i="64"/>
  <c r="AD34" i="64"/>
  <c r="AC34" i="64"/>
  <c r="AB34" i="64"/>
  <c r="AA34" i="64"/>
  <c r="Z34" i="64"/>
  <c r="Y34" i="64"/>
  <c r="X34" i="64"/>
  <c r="AD33" i="64"/>
  <c r="AC33" i="64"/>
  <c r="AB33" i="64"/>
  <c r="AA33" i="64"/>
  <c r="Z33" i="64"/>
  <c r="Y33" i="64"/>
  <c r="X33" i="64"/>
  <c r="AF31" i="64"/>
  <c r="AF30" i="64"/>
  <c r="AF29" i="64"/>
  <c r="AF28" i="64"/>
  <c r="AF27" i="64"/>
  <c r="AF26" i="64"/>
  <c r="AD31" i="64"/>
  <c r="AC31" i="64"/>
  <c r="AB31" i="64"/>
  <c r="AA31" i="64"/>
  <c r="Z31" i="64"/>
  <c r="Y31" i="64"/>
  <c r="X31" i="64"/>
  <c r="AD30" i="64"/>
  <c r="AC30" i="64"/>
  <c r="AB30" i="64"/>
  <c r="AA30" i="64"/>
  <c r="Z30" i="64"/>
  <c r="Y30" i="64"/>
  <c r="X30" i="64"/>
  <c r="AD29" i="64"/>
  <c r="AC29" i="64"/>
  <c r="AB29" i="64"/>
  <c r="AA29" i="64"/>
  <c r="Z29" i="64"/>
  <c r="Y29" i="64"/>
  <c r="X29" i="64"/>
  <c r="AD28" i="64"/>
  <c r="AC28" i="64"/>
  <c r="AB28" i="64"/>
  <c r="AA28" i="64"/>
  <c r="Z28" i="64"/>
  <c r="Y28" i="64"/>
  <c r="X28" i="64"/>
  <c r="AD27" i="64"/>
  <c r="AC27" i="64"/>
  <c r="AB27" i="64"/>
  <c r="AA27" i="64"/>
  <c r="Z27" i="64"/>
  <c r="Y27" i="64"/>
  <c r="X27" i="64"/>
  <c r="AD26" i="64"/>
  <c r="AC26" i="64"/>
  <c r="AB26" i="64"/>
  <c r="AA26" i="64"/>
  <c r="Z26" i="64"/>
  <c r="Y26" i="64"/>
  <c r="X26" i="64"/>
  <c r="AF24" i="64"/>
  <c r="AF23" i="64"/>
  <c r="AF22" i="64"/>
  <c r="AF21" i="64"/>
  <c r="AD24" i="64"/>
  <c r="AC24" i="64"/>
  <c r="AB24" i="64"/>
  <c r="AA24" i="64"/>
  <c r="Z24" i="64"/>
  <c r="Y24" i="64"/>
  <c r="X24" i="64"/>
  <c r="AD23" i="64"/>
  <c r="AC23" i="64"/>
  <c r="AB23" i="64"/>
  <c r="AA23" i="64"/>
  <c r="Z23" i="64"/>
  <c r="Y23" i="64"/>
  <c r="X23" i="64"/>
  <c r="AD22" i="64"/>
  <c r="AC22" i="64"/>
  <c r="AB22" i="64"/>
  <c r="AA22" i="64"/>
  <c r="Z22" i="64"/>
  <c r="Y22" i="64"/>
  <c r="X22" i="64"/>
  <c r="AD21" i="64"/>
  <c r="AC21" i="64"/>
  <c r="AB21" i="64"/>
  <c r="AA21" i="64"/>
  <c r="Z21" i="64"/>
  <c r="Y21" i="64"/>
  <c r="X21" i="64"/>
  <c r="C7" i="81" l="1"/>
  <c r="C7" i="67"/>
  <c r="C7" i="69"/>
  <c r="C7" i="62"/>
  <c r="C7" i="65"/>
  <c r="C7" i="64"/>
  <c r="C7" i="63"/>
  <c r="K7" i="46"/>
  <c r="K4" i="46"/>
  <c r="K5" i="46"/>
  <c r="K3" i="46"/>
  <c r="B2034" i="111" l="1"/>
  <c r="B2030" i="111"/>
  <c r="B2026" i="111"/>
  <c r="B2022" i="111"/>
  <c r="B2018" i="111"/>
  <c r="B2014" i="111"/>
  <c r="B2010" i="111"/>
  <c r="B2006" i="111"/>
  <c r="B2002" i="111"/>
  <c r="B1998" i="111"/>
  <c r="B1994" i="111"/>
  <c r="B1990" i="111"/>
  <c r="B1986" i="111"/>
  <c r="B1982" i="111"/>
  <c r="B1978" i="111"/>
  <c r="B1974" i="111"/>
  <c r="B1970" i="111"/>
  <c r="B1966" i="111"/>
  <c r="B1959" i="111"/>
  <c r="B1955" i="111"/>
  <c r="B1922" i="102"/>
  <c r="B1918" i="102"/>
  <c r="B2033" i="111"/>
  <c r="B2029" i="111"/>
  <c r="B2025" i="111"/>
  <c r="B2021" i="111"/>
  <c r="B2017" i="111"/>
  <c r="B2013" i="111"/>
  <c r="B2009" i="111"/>
  <c r="B2005" i="111"/>
  <c r="B2001" i="111"/>
  <c r="B1997" i="111"/>
  <c r="B1993" i="111"/>
  <c r="B1989" i="111"/>
  <c r="B1985" i="111"/>
  <c r="B1981" i="111"/>
  <c r="B1977" i="111"/>
  <c r="B1973" i="111"/>
  <c r="B1969" i="111"/>
  <c r="B1965" i="111"/>
  <c r="B1962" i="111"/>
  <c r="B1958" i="111"/>
  <c r="B1954" i="111"/>
  <c r="B1921" i="102"/>
  <c r="B1917" i="102"/>
  <c r="B1916" i="102"/>
  <c r="B2032" i="111"/>
  <c r="B2028" i="111"/>
  <c r="B2024" i="111"/>
  <c r="B2020" i="111"/>
  <c r="B2016" i="111"/>
  <c r="B2012" i="111"/>
  <c r="B2008" i="111"/>
  <c r="B2004" i="111"/>
  <c r="B2000" i="111"/>
  <c r="B1996" i="111"/>
  <c r="B1992" i="111"/>
  <c r="B1988" i="111"/>
  <c r="B1984" i="111"/>
  <c r="B1980" i="111"/>
  <c r="B1976" i="111"/>
  <c r="B1972" i="111"/>
  <c r="B1968" i="111"/>
  <c r="B1964" i="111"/>
  <c r="B1961" i="111"/>
  <c r="B1957" i="111"/>
  <c r="B1920" i="102"/>
  <c r="B1915" i="102"/>
  <c r="B2035" i="111"/>
  <c r="B2031" i="111"/>
  <c r="B2027" i="111"/>
  <c r="B2023" i="111"/>
  <c r="B2019" i="111"/>
  <c r="B2015" i="111"/>
  <c r="B2011" i="111"/>
  <c r="B2007" i="111"/>
  <c r="B2003" i="111"/>
  <c r="B1999" i="111"/>
  <c r="B1995" i="111"/>
  <c r="B1991" i="111"/>
  <c r="B1987" i="111"/>
  <c r="B1983" i="111"/>
  <c r="B1979" i="111"/>
  <c r="B1975" i="111"/>
  <c r="B1971" i="111"/>
  <c r="B1967" i="111"/>
  <c r="B1963" i="111"/>
  <c r="B1960" i="111"/>
  <c r="B1956" i="111"/>
  <c r="B1919" i="102"/>
  <c r="B1914" i="102"/>
  <c r="A1962" i="111"/>
  <c r="A1960" i="111"/>
  <c r="A1958" i="111"/>
  <c r="A1956" i="111"/>
  <c r="A1954" i="111"/>
  <c r="A1922" i="102"/>
  <c r="A1920" i="102"/>
  <c r="A1918" i="102"/>
  <c r="A1915" i="102"/>
  <c r="A1998" i="111"/>
  <c r="A1988" i="111"/>
  <c r="A1980" i="111"/>
  <c r="A1974" i="111"/>
  <c r="A1968" i="111"/>
  <c r="A1964" i="111"/>
  <c r="A1914" i="102"/>
  <c r="A2035" i="111"/>
  <c r="A2033" i="111"/>
  <c r="A2031" i="111"/>
  <c r="A2029" i="111"/>
  <c r="A2027" i="111"/>
  <c r="A2025" i="111"/>
  <c r="A2023" i="111"/>
  <c r="A2021" i="111"/>
  <c r="A2019" i="111"/>
  <c r="A2017" i="111"/>
  <c r="A2015" i="111"/>
  <c r="A2013" i="111"/>
  <c r="A2011" i="111"/>
  <c r="A2009" i="111"/>
  <c r="A2007" i="111"/>
  <c r="A2005" i="111"/>
  <c r="A2003" i="111"/>
  <c r="A2001" i="111"/>
  <c r="A1999" i="111"/>
  <c r="A1997" i="111"/>
  <c r="A1995" i="111"/>
  <c r="A1993" i="111"/>
  <c r="A1991" i="111"/>
  <c r="A1989" i="111"/>
  <c r="A1987" i="111"/>
  <c r="A1985" i="111"/>
  <c r="A1983" i="111"/>
  <c r="A1981" i="111"/>
  <c r="A1979" i="111"/>
  <c r="A1977" i="111"/>
  <c r="A1975" i="111"/>
  <c r="A1973" i="111"/>
  <c r="A1971" i="111"/>
  <c r="A1969" i="111"/>
  <c r="A1967" i="111"/>
  <c r="A1965" i="111"/>
  <c r="A1963" i="111"/>
  <c r="A2000" i="111"/>
  <c r="A1992" i="111"/>
  <c r="A1986" i="111"/>
  <c r="A1982" i="111"/>
  <c r="A1978" i="111"/>
  <c r="A1972" i="111"/>
  <c r="A1966" i="111"/>
  <c r="A1961" i="111"/>
  <c r="A1959" i="111"/>
  <c r="A1957" i="111"/>
  <c r="A1955" i="111"/>
  <c r="A1921" i="102"/>
  <c r="A1919" i="102"/>
  <c r="A1917" i="102"/>
  <c r="A2032" i="111"/>
  <c r="A2030" i="111"/>
  <c r="A2028" i="111"/>
  <c r="A2026" i="111"/>
  <c r="A2024" i="111"/>
  <c r="A2022" i="111"/>
  <c r="A2020" i="111"/>
  <c r="A2018" i="111"/>
  <c r="A2016" i="111"/>
  <c r="A2014" i="111"/>
  <c r="A2012" i="111"/>
  <c r="A2010" i="111"/>
  <c r="A2008" i="111"/>
  <c r="A2006" i="111"/>
  <c r="A2004" i="111"/>
  <c r="A2002" i="111"/>
  <c r="A1996" i="111"/>
  <c r="A1994" i="111"/>
  <c r="A1990" i="111"/>
  <c r="A1984" i="111"/>
  <c r="A1976" i="111"/>
  <c r="A1970" i="111"/>
  <c r="A1916" i="102"/>
  <c r="A2034" i="111"/>
  <c r="B8" i="81"/>
  <c r="B8" i="65"/>
  <c r="B8" i="63"/>
  <c r="B8" i="67"/>
  <c r="B8" i="68"/>
  <c r="B8" i="62"/>
  <c r="B8" i="64"/>
  <c r="B8" i="66"/>
  <c r="B8" i="69"/>
  <c r="B1951" i="111"/>
  <c r="B1947" i="111"/>
  <c r="B1943" i="111"/>
  <c r="B1950" i="111"/>
  <c r="B1946" i="111"/>
  <c r="B1942" i="111"/>
  <c r="B1953" i="111"/>
  <c r="B1949" i="111"/>
  <c r="B1945" i="111"/>
  <c r="B1941" i="111"/>
  <c r="B1952" i="111"/>
  <c r="B1948" i="111"/>
  <c r="B1944" i="111"/>
  <c r="A1952" i="111"/>
  <c r="A1950" i="111"/>
  <c r="A1948" i="111"/>
  <c r="A1946" i="111"/>
  <c r="A1944" i="111"/>
  <c r="A1942" i="111"/>
  <c r="A1953" i="111"/>
  <c r="A1951" i="111"/>
  <c r="A1949" i="111"/>
  <c r="A1947" i="111"/>
  <c r="A1945" i="111"/>
  <c r="A1943" i="111"/>
  <c r="A1941" i="111"/>
  <c r="B1910" i="102"/>
  <c r="B1913" i="102"/>
  <c r="B1912" i="102"/>
  <c r="B1911" i="102"/>
  <c r="A1912" i="102"/>
  <c r="A1910" i="102"/>
  <c r="A1913" i="102"/>
  <c r="A1911" i="102"/>
  <c r="A1939" i="111"/>
  <c r="A1935" i="111"/>
  <c r="A1931" i="111"/>
  <c r="A1927" i="111"/>
  <c r="A1923" i="111"/>
  <c r="A1919" i="111"/>
  <c r="A1915" i="111"/>
  <c r="A1911" i="111"/>
  <c r="A1907" i="111"/>
  <c r="A1903" i="111"/>
  <c r="A1899" i="111"/>
  <c r="A1895" i="111"/>
  <c r="A1891" i="111"/>
  <c r="A1887" i="111"/>
  <c r="A1883" i="111"/>
  <c r="A1879" i="111"/>
  <c r="A1875" i="111"/>
  <c r="A1871" i="111"/>
  <c r="A1867" i="111"/>
  <c r="A1863" i="111"/>
  <c r="A1859" i="111"/>
  <c r="A1855" i="111"/>
  <c r="A1851" i="111"/>
  <c r="A1847" i="111"/>
  <c r="A1843" i="111"/>
  <c r="A1839" i="111"/>
  <c r="A1835" i="111"/>
  <c r="A1831" i="111"/>
  <c r="A1827" i="111"/>
  <c r="A1823" i="111"/>
  <c r="A1819" i="111"/>
  <c r="A1815" i="111"/>
  <c r="A1811" i="111"/>
  <c r="A1807" i="111"/>
  <c r="A1803" i="111"/>
  <c r="A1799" i="111"/>
  <c r="A1795" i="111"/>
  <c r="A1791" i="111"/>
  <c r="A1787" i="111"/>
  <c r="A1783" i="111"/>
  <c r="A1779" i="111"/>
  <c r="A1775" i="111"/>
  <c r="A1771" i="111"/>
  <c r="A1767" i="111"/>
  <c r="A1763" i="111"/>
  <c r="A1759" i="111"/>
  <c r="A1755" i="111"/>
  <c r="A1751" i="111"/>
  <c r="A1747" i="111"/>
  <c r="A1743" i="111"/>
  <c r="A1739" i="111"/>
  <c r="A1735" i="111"/>
  <c r="A1731" i="111"/>
  <c r="A1727" i="111"/>
  <c r="A1723" i="111"/>
  <c r="A1719" i="111"/>
  <c r="A1715" i="111"/>
  <c r="A1711" i="111"/>
  <c r="A1707" i="111"/>
  <c r="A1703" i="111"/>
  <c r="A1699" i="111"/>
  <c r="A1695" i="111"/>
  <c r="A1691" i="111"/>
  <c r="A1687" i="111"/>
  <c r="A1683" i="111"/>
  <c r="A1679" i="111"/>
  <c r="A1675" i="111"/>
  <c r="A1671" i="111"/>
  <c r="A1667" i="111"/>
  <c r="A1663" i="111"/>
  <c r="A1938" i="111"/>
  <c r="A1934" i="111"/>
  <c r="A1930" i="111"/>
  <c r="A1926" i="111"/>
  <c r="A1922" i="111"/>
  <c r="A1918" i="111"/>
  <c r="A1914" i="111"/>
  <c r="A1910" i="111"/>
  <c r="A1906" i="111"/>
  <c r="A1902" i="111"/>
  <c r="A1898" i="111"/>
  <c r="A1894" i="111"/>
  <c r="A1890" i="111"/>
  <c r="A1886" i="111"/>
  <c r="A1882" i="111"/>
  <c r="A1878" i="111"/>
  <c r="A1874" i="111"/>
  <c r="A1870" i="111"/>
  <c r="A1866" i="111"/>
  <c r="A1862" i="111"/>
  <c r="A1858" i="111"/>
  <c r="A1854" i="111"/>
  <c r="A1850" i="111"/>
  <c r="A1846" i="111"/>
  <c r="A1842" i="111"/>
  <c r="A1838" i="111"/>
  <c r="A1834" i="111"/>
  <c r="A1830" i="111"/>
  <c r="A1826" i="111"/>
  <c r="A1822" i="111"/>
  <c r="A1818" i="111"/>
  <c r="A1814" i="111"/>
  <c r="A1810" i="111"/>
  <c r="A1806" i="111"/>
  <c r="A1802" i="111"/>
  <c r="A1798" i="111"/>
  <c r="A1794" i="111"/>
  <c r="A1790" i="111"/>
  <c r="A1786" i="111"/>
  <c r="A1782" i="111"/>
  <c r="A1778" i="111"/>
  <c r="A1774" i="111"/>
  <c r="A1770" i="111"/>
  <c r="A1766" i="111"/>
  <c r="A1762" i="111"/>
  <c r="A1758" i="111"/>
  <c r="A1754" i="111"/>
  <c r="A1750" i="111"/>
  <c r="A1746" i="111"/>
  <c r="A1742" i="111"/>
  <c r="A1738" i="111"/>
  <c r="A1734" i="111"/>
  <c r="A1730" i="111"/>
  <c r="A1726" i="111"/>
  <c r="A1722" i="111"/>
  <c r="A1718" i="111"/>
  <c r="A1714" i="111"/>
  <c r="A1710" i="111"/>
  <c r="A1706" i="111"/>
  <c r="A1702" i="111"/>
  <c r="A1698" i="111"/>
  <c r="A1694" i="111"/>
  <c r="A1690" i="111"/>
  <c r="A1686" i="111"/>
  <c r="A1682" i="111"/>
  <c r="A1678" i="111"/>
  <c r="A1674" i="111"/>
  <c r="A1670" i="111"/>
  <c r="A1666" i="111"/>
  <c r="A1937" i="111"/>
  <c r="A1933" i="111"/>
  <c r="A1929" i="111"/>
  <c r="A1925" i="111"/>
  <c r="A1921" i="111"/>
  <c r="A1917" i="111"/>
  <c r="A1913" i="111"/>
  <c r="A1909" i="111"/>
  <c r="A1905" i="111"/>
  <c r="A1901" i="111"/>
  <c r="A1897" i="111"/>
  <c r="A1893" i="111"/>
  <c r="A1889" i="111"/>
  <c r="A1885" i="111"/>
  <c r="A1881" i="111"/>
  <c r="A1877" i="111"/>
  <c r="A1873" i="111"/>
  <c r="A1869" i="111"/>
  <c r="A1865" i="111"/>
  <c r="A1861" i="111"/>
  <c r="A1857" i="111"/>
  <c r="A1853" i="111"/>
  <c r="A1849" i="111"/>
  <c r="A1845" i="111"/>
  <c r="A1841" i="111"/>
  <c r="A1837" i="111"/>
  <c r="A1833" i="111"/>
  <c r="A1829" i="111"/>
  <c r="A1825" i="111"/>
  <c r="A1821" i="111"/>
  <c r="A1817" i="111"/>
  <c r="A1813" i="111"/>
  <c r="A1809" i="111"/>
  <c r="A1805" i="111"/>
  <c r="A1801" i="111"/>
  <c r="A1797" i="111"/>
  <c r="A1793" i="111"/>
  <c r="A1789" i="111"/>
  <c r="A1785" i="111"/>
  <c r="A1781" i="111"/>
  <c r="A1777" i="111"/>
  <c r="A1773" i="111"/>
  <c r="A1769" i="111"/>
  <c r="A1765" i="111"/>
  <c r="A1761" i="111"/>
  <c r="A1757" i="111"/>
  <c r="A1753" i="111"/>
  <c r="A1749" i="111"/>
  <c r="A1745" i="111"/>
  <c r="A1741" i="111"/>
  <c r="A1940" i="111"/>
  <c r="A1924" i="111"/>
  <c r="A1908" i="111"/>
  <c r="A1892" i="111"/>
  <c r="A1876" i="111"/>
  <c r="A1860" i="111"/>
  <c r="A1844" i="111"/>
  <c r="A1828" i="111"/>
  <c r="A1812" i="111"/>
  <c r="A1796" i="111"/>
  <c r="A1780" i="111"/>
  <c r="A1764" i="111"/>
  <c r="A1748" i="111"/>
  <c r="A1736" i="111"/>
  <c r="A1728" i="111"/>
  <c r="A1720" i="111"/>
  <c r="A1712" i="111"/>
  <c r="A1704" i="111"/>
  <c r="A1696" i="111"/>
  <c r="A1688" i="111"/>
  <c r="A1680" i="111"/>
  <c r="A1672" i="111"/>
  <c r="A1664" i="111"/>
  <c r="A1659" i="111"/>
  <c r="A1655" i="111"/>
  <c r="A1651" i="111"/>
  <c r="A1647" i="111"/>
  <c r="A1643" i="111"/>
  <c r="A1639" i="111"/>
  <c r="A1635" i="111"/>
  <c r="A1631" i="111"/>
  <c r="A1627" i="111"/>
  <c r="A1623" i="111"/>
  <c r="A1619" i="111"/>
  <c r="A1615" i="111"/>
  <c r="A1611" i="111"/>
  <c r="A1607" i="111"/>
  <c r="A1603" i="111"/>
  <c r="A1599" i="111"/>
  <c r="A1595" i="111"/>
  <c r="A1591" i="111"/>
  <c r="A1587" i="111"/>
  <c r="A1583" i="111"/>
  <c r="A1579" i="111"/>
  <c r="A1575" i="111"/>
  <c r="A1571" i="111"/>
  <c r="A1567" i="111"/>
  <c r="A1563" i="111"/>
  <c r="A1559" i="111"/>
  <c r="A1555" i="111"/>
  <c r="A1551" i="111"/>
  <c r="A1547" i="111"/>
  <c r="A1543" i="111"/>
  <c r="A1539" i="111"/>
  <c r="A1535" i="111"/>
  <c r="A1531" i="111"/>
  <c r="A1527" i="111"/>
  <c r="A1523" i="111"/>
  <c r="A1519" i="111"/>
  <c r="A1515" i="111"/>
  <c r="A1511" i="111"/>
  <c r="A1507" i="111"/>
  <c r="A1503" i="111"/>
  <c r="A1499" i="111"/>
  <c r="A1495" i="111"/>
  <c r="A1491" i="111"/>
  <c r="A1487" i="111"/>
  <c r="A1483" i="111"/>
  <c r="A1479" i="111"/>
  <c r="A1475" i="111"/>
  <c r="A1471" i="111"/>
  <c r="A1467" i="111"/>
  <c r="A1463" i="111"/>
  <c r="A1459" i="111"/>
  <c r="A1455" i="111"/>
  <c r="A1451" i="111"/>
  <c r="A1447" i="111"/>
  <c r="A1443" i="111"/>
  <c r="A1439" i="111"/>
  <c r="A1435" i="111"/>
  <c r="A1431" i="111"/>
  <c r="A1427" i="111"/>
  <c r="A1423" i="111"/>
  <c r="A1419" i="111"/>
  <c r="A1415" i="111"/>
  <c r="A1411" i="111"/>
  <c r="A1407" i="111"/>
  <c r="A1403" i="111"/>
  <c r="A1399" i="111"/>
  <c r="A1395" i="111"/>
  <c r="A1391" i="111"/>
  <c r="A1387" i="111"/>
  <c r="A1383" i="111"/>
  <c r="A1379" i="111"/>
  <c r="A1375" i="111"/>
  <c r="A1371" i="111"/>
  <c r="A1367" i="111"/>
  <c r="A1363" i="111"/>
  <c r="A1359" i="111"/>
  <c r="A1355" i="111"/>
  <c r="A1351" i="111"/>
  <c r="A1347" i="111"/>
  <c r="A1343" i="111"/>
  <c r="A1339" i="111"/>
  <c r="A1335" i="111"/>
  <c r="A1331" i="111"/>
  <c r="A1327" i="111"/>
  <c r="A1323" i="111"/>
  <c r="A1319" i="111"/>
  <c r="A1315" i="111"/>
  <c r="A1311" i="111"/>
  <c r="A1307" i="111"/>
  <c r="A1303" i="111"/>
  <c r="A1299" i="111"/>
  <c r="A1295" i="111"/>
  <c r="A1291" i="111"/>
  <c r="A1287" i="111"/>
  <c r="A1283" i="111"/>
  <c r="A1279" i="111"/>
  <c r="A1275" i="111"/>
  <c r="A1271" i="111"/>
  <c r="A1267" i="111"/>
  <c r="A1263" i="111"/>
  <c r="A1259" i="111"/>
  <c r="A1255" i="111"/>
  <c r="A1251" i="111"/>
  <c r="A1247" i="111"/>
  <c r="A1243" i="111"/>
  <c r="A1239" i="111"/>
  <c r="A1235" i="111"/>
  <c r="A1231" i="111"/>
  <c r="A1227" i="111"/>
  <c r="A1223" i="111"/>
  <c r="A1219" i="111"/>
  <c r="A1215" i="111"/>
  <c r="A1211" i="111"/>
  <c r="A1207" i="111"/>
  <c r="A1203" i="111"/>
  <c r="A1199" i="111"/>
  <c r="A1195" i="111"/>
  <c r="A1191" i="111"/>
  <c r="A1187" i="111"/>
  <c r="A1183" i="111"/>
  <c r="A1179" i="111"/>
  <c r="A1175" i="111"/>
  <c r="A1171" i="111"/>
  <c r="A1936" i="111"/>
  <c r="A1920" i="111"/>
  <c r="A1904" i="111"/>
  <c r="A1888" i="111"/>
  <c r="A1872" i="111"/>
  <c r="A1856" i="111"/>
  <c r="A1840" i="111"/>
  <c r="A1824" i="111"/>
  <c r="A1808" i="111"/>
  <c r="A1792" i="111"/>
  <c r="A1776" i="111"/>
  <c r="A1760" i="111"/>
  <c r="A1744" i="111"/>
  <c r="A1733" i="111"/>
  <c r="A1725" i="111"/>
  <c r="A1717" i="111"/>
  <c r="A1709" i="111"/>
  <c r="A1701" i="111"/>
  <c r="A1693" i="111"/>
  <c r="A1685" i="111"/>
  <c r="A1677" i="111"/>
  <c r="A1669" i="111"/>
  <c r="A1662" i="111"/>
  <c r="A1658" i="111"/>
  <c r="A1654" i="111"/>
  <c r="A1650" i="111"/>
  <c r="A1646" i="111"/>
  <c r="A1642" i="111"/>
  <c r="A1638" i="111"/>
  <c r="A1634" i="111"/>
  <c r="A1630" i="111"/>
  <c r="A1626" i="111"/>
  <c r="A1622" i="111"/>
  <c r="A1618" i="111"/>
  <c r="A1614" i="111"/>
  <c r="A1610" i="111"/>
  <c r="A1606" i="111"/>
  <c r="A1602" i="111"/>
  <c r="A1598" i="111"/>
  <c r="A1594" i="111"/>
  <c r="A1590" i="111"/>
  <c r="A1586" i="111"/>
  <c r="A1582" i="111"/>
  <c r="A1578" i="111"/>
  <c r="A1574" i="111"/>
  <c r="A1570" i="111"/>
  <c r="A1566" i="111"/>
  <c r="A1562" i="111"/>
  <c r="A1558" i="111"/>
  <c r="A1554" i="111"/>
  <c r="A1550" i="111"/>
  <c r="A1546" i="111"/>
  <c r="A1542" i="111"/>
  <c r="A1538" i="111"/>
  <c r="A1534" i="111"/>
  <c r="A1530" i="111"/>
  <c r="A1526" i="111"/>
  <c r="A1522" i="111"/>
  <c r="A1518" i="111"/>
  <c r="A1514" i="111"/>
  <c r="A1510" i="111"/>
  <c r="A1506" i="111"/>
  <c r="A1502" i="111"/>
  <c r="A1498" i="111"/>
  <c r="A1494" i="111"/>
  <c r="A1490" i="111"/>
  <c r="A1486" i="111"/>
  <c r="A1482" i="111"/>
  <c r="A1478" i="111"/>
  <c r="A1474" i="111"/>
  <c r="A1470" i="111"/>
  <c r="A1466" i="111"/>
  <c r="A1462" i="111"/>
  <c r="A1458" i="111"/>
  <c r="A1454" i="111"/>
  <c r="A1450" i="111"/>
  <c r="A1446" i="111"/>
  <c r="A1442" i="111"/>
  <c r="A1438" i="111"/>
  <c r="A1434" i="111"/>
  <c r="A1430" i="111"/>
  <c r="A1426" i="111"/>
  <c r="A1422" i="111"/>
  <c r="A1418" i="111"/>
  <c r="A1414" i="111"/>
  <c r="A1410" i="111"/>
  <c r="A1406" i="111"/>
  <c r="A1402" i="111"/>
  <c r="A1398" i="111"/>
  <c r="A1394" i="111"/>
  <c r="A1390" i="111"/>
  <c r="A1386" i="111"/>
  <c r="A1382" i="111"/>
  <c r="A1378" i="111"/>
  <c r="A1374" i="111"/>
  <c r="A1370" i="111"/>
  <c r="A1366" i="111"/>
  <c r="A1362" i="111"/>
  <c r="A1358" i="111"/>
  <c r="A1354" i="111"/>
  <c r="A1350" i="111"/>
  <c r="A1346" i="111"/>
  <c r="A1342" i="111"/>
  <c r="A1338" i="111"/>
  <c r="A1334" i="111"/>
  <c r="A1330" i="111"/>
  <c r="A1326" i="111"/>
  <c r="A1322" i="111"/>
  <c r="A1318" i="111"/>
  <c r="A1314" i="111"/>
  <c r="A1310" i="111"/>
  <c r="A1306" i="111"/>
  <c r="A1302" i="111"/>
  <c r="A1298" i="111"/>
  <c r="A1294" i="111"/>
  <c r="A1290" i="111"/>
  <c r="A1286" i="111"/>
  <c r="A1282" i="111"/>
  <c r="A1278" i="111"/>
  <c r="A1274" i="111"/>
  <c r="A1270" i="111"/>
  <c r="A1266" i="111"/>
  <c r="A1262" i="111"/>
  <c r="A1258" i="111"/>
  <c r="A1254" i="111"/>
  <c r="A1250" i="111"/>
  <c r="A1246" i="111"/>
  <c r="A1242" i="111"/>
  <c r="A1238" i="111"/>
  <c r="A1234" i="111"/>
  <c r="A1230" i="111"/>
  <c r="A1226" i="111"/>
  <c r="A1222" i="111"/>
  <c r="A1218" i="111"/>
  <c r="A1214" i="111"/>
  <c r="A1210" i="111"/>
  <c r="A1206" i="111"/>
  <c r="A1202" i="111"/>
  <c r="A1198" i="111"/>
  <c r="A1194" i="111"/>
  <c r="A1190" i="111"/>
  <c r="A1186" i="111"/>
  <c r="A1182" i="111"/>
  <c r="A1178" i="111"/>
  <c r="A1174" i="111"/>
  <c r="A1170" i="111"/>
  <c r="A1932" i="111"/>
  <c r="A1916" i="111"/>
  <c r="A1900" i="111"/>
  <c r="A1884" i="111"/>
  <c r="A1868" i="111"/>
  <c r="A1852" i="111"/>
  <c r="A1836" i="111"/>
  <c r="A1820" i="111"/>
  <c r="A1804" i="111"/>
  <c r="A1788" i="111"/>
  <c r="A1772" i="111"/>
  <c r="A1756" i="111"/>
  <c r="A1740" i="111"/>
  <c r="A1732" i="111"/>
  <c r="A1724" i="111"/>
  <c r="A1716" i="111"/>
  <c r="A1708" i="111"/>
  <c r="A1700" i="111"/>
  <c r="A1692" i="111"/>
  <c r="A1684" i="111"/>
  <c r="A1676" i="111"/>
  <c r="A1668" i="111"/>
  <c r="A1661" i="111"/>
  <c r="A1657" i="111"/>
  <c r="A1653" i="111"/>
  <c r="A1649" i="111"/>
  <c r="A1645" i="111"/>
  <c r="A1641" i="111"/>
  <c r="A1637" i="111"/>
  <c r="A1633" i="111"/>
  <c r="A1629" i="111"/>
  <c r="A1625" i="111"/>
  <c r="A1621" i="111"/>
  <c r="A1617" i="111"/>
  <c r="A1613" i="111"/>
  <c r="A1609" i="111"/>
  <c r="A1605" i="111"/>
  <c r="A1601" i="111"/>
  <c r="A1597" i="111"/>
  <c r="A1593" i="111"/>
  <c r="A1589" i="111"/>
  <c r="A1585" i="111"/>
  <c r="A1581" i="111"/>
  <c r="A1577" i="111"/>
  <c r="A1573" i="111"/>
  <c r="A1569" i="111"/>
  <c r="A1565" i="111"/>
  <c r="A1561" i="111"/>
  <c r="A1557" i="111"/>
  <c r="A1553" i="111"/>
  <c r="A1549" i="111"/>
  <c r="A1545" i="111"/>
  <c r="A1541" i="111"/>
  <c r="A1537" i="111"/>
  <c r="A1533" i="111"/>
  <c r="A1529" i="111"/>
  <c r="A1525" i="111"/>
  <c r="A1521" i="111"/>
  <c r="A1517" i="111"/>
  <c r="A1513" i="111"/>
  <c r="A1509" i="111"/>
  <c r="A1505" i="111"/>
  <c r="A1501" i="111"/>
  <c r="A1497" i="111"/>
  <c r="A1493" i="111"/>
  <c r="A1489" i="111"/>
  <c r="A1485" i="111"/>
  <c r="A1481" i="111"/>
  <c r="A1477" i="111"/>
  <c r="A1473" i="111"/>
  <c r="A1469" i="111"/>
  <c r="A1465" i="111"/>
  <c r="A1461" i="111"/>
  <c r="A1457" i="111"/>
  <c r="A1453" i="111"/>
  <c r="A1449" i="111"/>
  <c r="A1445" i="111"/>
  <c r="A1441" i="111"/>
  <c r="A1437" i="111"/>
  <c r="A1433" i="111"/>
  <c r="A1429" i="111"/>
  <c r="A1425" i="111"/>
  <c r="A1421" i="111"/>
  <c r="A1417" i="111"/>
  <c r="A1413" i="111"/>
  <c r="A1409" i="111"/>
  <c r="A1405" i="111"/>
  <c r="A1401" i="111"/>
  <c r="A1397" i="111"/>
  <c r="A1393" i="111"/>
  <c r="A1389" i="111"/>
  <c r="A1385" i="111"/>
  <c r="A1381" i="111"/>
  <c r="A1377" i="111"/>
  <c r="A1373" i="111"/>
  <c r="A1369" i="111"/>
  <c r="A1365" i="111"/>
  <c r="A1361" i="111"/>
  <c r="A1357" i="111"/>
  <c r="A1353" i="111"/>
  <c r="A1349" i="111"/>
  <c r="A1345" i="111"/>
  <c r="A1341" i="111"/>
  <c r="A1337" i="111"/>
  <c r="A1333" i="111"/>
  <c r="A1329" i="111"/>
  <c r="A1325" i="111"/>
  <c r="A1321" i="111"/>
  <c r="A1317" i="111"/>
  <c r="A1313" i="111"/>
  <c r="A1309" i="111"/>
  <c r="A1305" i="111"/>
  <c r="A1301" i="111"/>
  <c r="A1297" i="111"/>
  <c r="A1293" i="111"/>
  <c r="A1289" i="111"/>
  <c r="A1285" i="111"/>
  <c r="A1281" i="111"/>
  <c r="A1277" i="111"/>
  <c r="A1273" i="111"/>
  <c r="A1269" i="111"/>
  <c r="A1265" i="111"/>
  <c r="A1261" i="111"/>
  <c r="A1257" i="111"/>
  <c r="A1253" i="111"/>
  <c r="A1249" i="111"/>
  <c r="A1245" i="111"/>
  <c r="A1241" i="111"/>
  <c r="A1237" i="111"/>
  <c r="A1233" i="111"/>
  <c r="A1229" i="111"/>
  <c r="A1225" i="111"/>
  <c r="A1221" i="111"/>
  <c r="A1217" i="111"/>
  <c r="A1213" i="111"/>
  <c r="A1209" i="111"/>
  <c r="A1205" i="111"/>
  <c r="A1201" i="111"/>
  <c r="A1197" i="111"/>
  <c r="A1193" i="111"/>
  <c r="A1189" i="111"/>
  <c r="A1185" i="111"/>
  <c r="A1181" i="111"/>
  <c r="A1177" i="111"/>
  <c r="A1173" i="111"/>
  <c r="A1880" i="111"/>
  <c r="A1816" i="111"/>
  <c r="A1752" i="111"/>
  <c r="A1713" i="111"/>
  <c r="A1681" i="111"/>
  <c r="A1656" i="111"/>
  <c r="A1640" i="111"/>
  <c r="A1624" i="111"/>
  <c r="A1608" i="111"/>
  <c r="A1592" i="111"/>
  <c r="A1576" i="111"/>
  <c r="A1560" i="111"/>
  <c r="A1544" i="111"/>
  <c r="A1528" i="111"/>
  <c r="A1512" i="111"/>
  <c r="A1496" i="111"/>
  <c r="A1480" i="111"/>
  <c r="A1464" i="111"/>
  <c r="A1448" i="111"/>
  <c r="A1432" i="111"/>
  <c r="A1416" i="111"/>
  <c r="A1400" i="111"/>
  <c r="A1384" i="111"/>
  <c r="A1368" i="111"/>
  <c r="A1352" i="111"/>
  <c r="A1336" i="111"/>
  <c r="A1320" i="111"/>
  <c r="A1304" i="111"/>
  <c r="A1288" i="111"/>
  <c r="A1272" i="111"/>
  <c r="A1256" i="111"/>
  <c r="A1240" i="111"/>
  <c r="A1224" i="111"/>
  <c r="A1208" i="111"/>
  <c r="A1192" i="111"/>
  <c r="A1176" i="111"/>
  <c r="A1167" i="111"/>
  <c r="A1163" i="111"/>
  <c r="A1159" i="111"/>
  <c r="A1155" i="111"/>
  <c r="A1151" i="111"/>
  <c r="A1147" i="111"/>
  <c r="A1143" i="111"/>
  <c r="A1139" i="111"/>
  <c r="A1135" i="111"/>
  <c r="A1131" i="111"/>
  <c r="A1127" i="111"/>
  <c r="A1123" i="111"/>
  <c r="A1119" i="111"/>
  <c r="A1115" i="111"/>
  <c r="A1111" i="111"/>
  <c r="A1107" i="111"/>
  <c r="A1103" i="111"/>
  <c r="A1099" i="111"/>
  <c r="A1095" i="111"/>
  <c r="A1091" i="111"/>
  <c r="A1087" i="111"/>
  <c r="A1083" i="111"/>
  <c r="A1079" i="111"/>
  <c r="A1075" i="111"/>
  <c r="A1071" i="111"/>
  <c r="A1067" i="111"/>
  <c r="A1063" i="111"/>
  <c r="A1059" i="111"/>
  <c r="A1055" i="111"/>
  <c r="A1051" i="111"/>
  <c r="A1047" i="111"/>
  <c r="A1043" i="111"/>
  <c r="A1039" i="111"/>
  <c r="A1035" i="111"/>
  <c r="A1031" i="111"/>
  <c r="A1027" i="111"/>
  <c r="A1023" i="111"/>
  <c r="A1019" i="111"/>
  <c r="A1015" i="111"/>
  <c r="A1011" i="111"/>
  <c r="A1007" i="111"/>
  <c r="A1003" i="111"/>
  <c r="A999" i="111"/>
  <c r="A995" i="111"/>
  <c r="A991" i="111"/>
  <c r="A987" i="111"/>
  <c r="A983" i="111"/>
  <c r="A979" i="111"/>
  <c r="A975" i="111"/>
  <c r="A971" i="111"/>
  <c r="A967" i="111"/>
  <c r="A963" i="111"/>
  <c r="A959" i="111"/>
  <c r="A955" i="111"/>
  <c r="A951" i="111"/>
  <c r="A947" i="111"/>
  <c r="A943" i="111"/>
  <c r="A939" i="111"/>
  <c r="A935" i="111"/>
  <c r="A931" i="111"/>
  <c r="A927" i="111"/>
  <c r="A923" i="111"/>
  <c r="A919" i="111"/>
  <c r="A915" i="111"/>
  <c r="A911" i="111"/>
  <c r="A907" i="111"/>
  <c r="A903" i="111"/>
  <c r="A899" i="111"/>
  <c r="A895" i="111"/>
  <c r="A891" i="111"/>
  <c r="A887" i="111"/>
  <c r="A883" i="111"/>
  <c r="A879" i="111"/>
  <c r="A875" i="111"/>
  <c r="A871" i="111"/>
  <c r="A867" i="111"/>
  <c r="A863" i="111"/>
  <c r="A859" i="111"/>
  <c r="A855" i="111"/>
  <c r="A851" i="111"/>
  <c r="A847" i="111"/>
  <c r="A843" i="111"/>
  <c r="A839" i="111"/>
  <c r="A835" i="111"/>
  <c r="A831" i="111"/>
  <c r="A827" i="111"/>
  <c r="A823" i="111"/>
  <c r="A819" i="111"/>
  <c r="A815" i="111"/>
  <c r="A811" i="111"/>
  <c r="A807" i="111"/>
  <c r="A803" i="111"/>
  <c r="A799" i="111"/>
  <c r="A795" i="111"/>
  <c r="A791" i="111"/>
  <c r="A787" i="111"/>
  <c r="A783" i="111"/>
  <c r="A779" i="111"/>
  <c r="A775" i="111"/>
  <c r="A771" i="111"/>
  <c r="A767" i="111"/>
  <c r="A763" i="111"/>
  <c r="A759" i="111"/>
  <c r="A755" i="111"/>
  <c r="A751" i="111"/>
  <c r="A747" i="111"/>
  <c r="A743" i="111"/>
  <c r="A739" i="111"/>
  <c r="A735" i="111"/>
  <c r="A731" i="111"/>
  <c r="A727" i="111"/>
  <c r="A723" i="111"/>
  <c r="A719" i="111"/>
  <c r="A715" i="111"/>
  <c r="A711" i="111"/>
  <c r="A707" i="111"/>
  <c r="A703" i="111"/>
  <c r="A699" i="111"/>
  <c r="A695" i="111"/>
  <c r="A691" i="111"/>
  <c r="A687" i="111"/>
  <c r="A683" i="111"/>
  <c r="A679" i="111"/>
  <c r="A675" i="111"/>
  <c r="A671" i="111"/>
  <c r="A667" i="111"/>
  <c r="A663" i="111"/>
  <c r="A659" i="111"/>
  <c r="A655" i="111"/>
  <c r="A651" i="111"/>
  <c r="A647" i="111"/>
  <c r="A643" i="111"/>
  <c r="A639" i="111"/>
  <c r="A635" i="111"/>
  <c r="A631" i="111"/>
  <c r="A627" i="111"/>
  <c r="A623" i="111"/>
  <c r="A619" i="111"/>
  <c r="A615" i="111"/>
  <c r="A611" i="111"/>
  <c r="A607" i="111"/>
  <c r="A603" i="111"/>
  <c r="A599" i="111"/>
  <c r="A595" i="111"/>
  <c r="A591" i="111"/>
  <c r="A587" i="111"/>
  <c r="A583" i="111"/>
  <c r="A579" i="111"/>
  <c r="A575" i="111"/>
  <c r="A571" i="111"/>
  <c r="A567" i="111"/>
  <c r="A563" i="111"/>
  <c r="A559" i="111"/>
  <c r="A555" i="111"/>
  <c r="A551" i="111"/>
  <c r="A547" i="111"/>
  <c r="A543" i="111"/>
  <c r="A539" i="111"/>
  <c r="A535" i="111"/>
  <c r="A531" i="111"/>
  <c r="A527" i="111"/>
  <c r="A523" i="111"/>
  <c r="A519" i="111"/>
  <c r="A515" i="111"/>
  <c r="A511" i="111"/>
  <c r="A507" i="111"/>
  <c r="A503" i="111"/>
  <c r="A499" i="111"/>
  <c r="A495" i="111"/>
  <c r="A491" i="111"/>
  <c r="A487" i="111"/>
  <c r="A483" i="111"/>
  <c r="A479" i="111"/>
  <c r="A475" i="111"/>
  <c r="A471" i="111"/>
  <c r="A467" i="111"/>
  <c r="A463" i="111"/>
  <c r="A459" i="111"/>
  <c r="A455" i="111"/>
  <c r="A451" i="111"/>
  <c r="A447" i="111"/>
  <c r="A443" i="111"/>
  <c r="A439" i="111"/>
  <c r="A435" i="111"/>
  <c r="A431" i="111"/>
  <c r="A427" i="111"/>
  <c r="A423" i="111"/>
  <c r="A419" i="111"/>
  <c r="A415" i="111"/>
  <c r="A411" i="111"/>
  <c r="A407" i="111"/>
  <c r="A403" i="111"/>
  <c r="A399" i="111"/>
  <c r="A395" i="111"/>
  <c r="A391" i="111"/>
  <c r="A387" i="111"/>
  <c r="A383" i="111"/>
  <c r="A379" i="111"/>
  <c r="A375" i="111"/>
  <c r="A371" i="111"/>
  <c r="A367" i="111"/>
  <c r="A363" i="111"/>
  <c r="A359" i="111"/>
  <c r="A355" i="111"/>
  <c r="A351" i="111"/>
  <c r="A347" i="111"/>
  <c r="A343" i="111"/>
  <c r="A339" i="111"/>
  <c r="A335" i="111"/>
  <c r="A331" i="111"/>
  <c r="A327" i="111"/>
  <c r="A323" i="111"/>
  <c r="A319" i="111"/>
  <c r="A315" i="111"/>
  <c r="A311" i="111"/>
  <c r="A307" i="111"/>
  <c r="A303" i="111"/>
  <c r="A299" i="111"/>
  <c r="A295" i="111"/>
  <c r="A291" i="111"/>
  <c r="A287" i="111"/>
  <c r="A283" i="111"/>
  <c r="A279" i="111"/>
  <c r="A275" i="111"/>
  <c r="A271" i="111"/>
  <c r="A267" i="111"/>
  <c r="A263" i="111"/>
  <c r="A259" i="111"/>
  <c r="A255" i="111"/>
  <c r="A251" i="111"/>
  <c r="A247" i="111"/>
  <c r="A243" i="111"/>
  <c r="A239" i="111"/>
  <c r="A235" i="111"/>
  <c r="A231" i="111"/>
  <c r="A227" i="111"/>
  <c r="A223" i="111"/>
  <c r="A219" i="111"/>
  <c r="A215" i="111"/>
  <c r="A211" i="111"/>
  <c r="A207" i="111"/>
  <c r="A203" i="111"/>
  <c r="A199" i="111"/>
  <c r="A195" i="111"/>
  <c r="A191" i="111"/>
  <c r="A187" i="111"/>
  <c r="A183" i="111"/>
  <c r="A179" i="111"/>
  <c r="A175" i="111"/>
  <c r="A171" i="111"/>
  <c r="A167" i="111"/>
  <c r="A163" i="111"/>
  <c r="A159" i="111"/>
  <c r="A155" i="111"/>
  <c r="A151" i="111"/>
  <c r="A147" i="111"/>
  <c r="A143" i="111"/>
  <c r="A139" i="111"/>
  <c r="A135" i="111"/>
  <c r="A131" i="111"/>
  <c r="A127" i="111"/>
  <c r="A123" i="111"/>
  <c r="A119" i="111"/>
  <c r="A115" i="111"/>
  <c r="A111" i="111"/>
  <c r="A107" i="111"/>
  <c r="A103" i="111"/>
  <c r="A99" i="111"/>
  <c r="A95" i="111"/>
  <c r="A91" i="111"/>
  <c r="A87" i="111"/>
  <c r="A83" i="111"/>
  <c r="A79" i="111"/>
  <c r="A75" i="111"/>
  <c r="A71" i="111"/>
  <c r="A67" i="111"/>
  <c r="A63" i="111"/>
  <c r="A59" i="111"/>
  <c r="A55" i="111"/>
  <c r="A51" i="111"/>
  <c r="A47" i="111"/>
  <c r="A43" i="111"/>
  <c r="A39" i="111"/>
  <c r="A35" i="111"/>
  <c r="A31" i="111"/>
  <c r="A27" i="111"/>
  <c r="A23" i="111"/>
  <c r="A19" i="111"/>
  <c r="A15" i="111"/>
  <c r="A11" i="111"/>
  <c r="A7" i="111"/>
  <c r="A3" i="111"/>
  <c r="A1928" i="111"/>
  <c r="A1864" i="111"/>
  <c r="A1800" i="111"/>
  <c r="A1737" i="111"/>
  <c r="A1705" i="111"/>
  <c r="A1673" i="111"/>
  <c r="A1652" i="111"/>
  <c r="A1636" i="111"/>
  <c r="A1620" i="111"/>
  <c r="A1604" i="111"/>
  <c r="A1588" i="111"/>
  <c r="A1572" i="111"/>
  <c r="A1556" i="111"/>
  <c r="A1540" i="111"/>
  <c r="A1524" i="111"/>
  <c r="A1508" i="111"/>
  <c r="A1492" i="111"/>
  <c r="A1476" i="111"/>
  <c r="A1460" i="111"/>
  <c r="A1444" i="111"/>
  <c r="A1428" i="111"/>
  <c r="A1412" i="111"/>
  <c r="A1396" i="111"/>
  <c r="A1380" i="111"/>
  <c r="A1364" i="111"/>
  <c r="A1348" i="111"/>
  <c r="A1332" i="111"/>
  <c r="A1316" i="111"/>
  <c r="A1300" i="111"/>
  <c r="A1284" i="111"/>
  <c r="A1268" i="111"/>
  <c r="A1252" i="111"/>
  <c r="A1236" i="111"/>
  <c r="A1220" i="111"/>
  <c r="A1204" i="111"/>
  <c r="A1188" i="111"/>
  <c r="A1172" i="111"/>
  <c r="A1166" i="111"/>
  <c r="A1162" i="111"/>
  <c r="A1158" i="111"/>
  <c r="A1154" i="111"/>
  <c r="A1150" i="111"/>
  <c r="A1146" i="111"/>
  <c r="A1142" i="111"/>
  <c r="A1138" i="111"/>
  <c r="A1134" i="111"/>
  <c r="A1130" i="111"/>
  <c r="A1126" i="111"/>
  <c r="A1122" i="111"/>
  <c r="A1118" i="111"/>
  <c r="A1114" i="111"/>
  <c r="A1110" i="111"/>
  <c r="A1106" i="111"/>
  <c r="A1102" i="111"/>
  <c r="A1098" i="111"/>
  <c r="A1094" i="111"/>
  <c r="A1090" i="111"/>
  <c r="A1086" i="111"/>
  <c r="A1082" i="111"/>
  <c r="A1078" i="111"/>
  <c r="A1074" i="111"/>
  <c r="A1070" i="111"/>
  <c r="A1066" i="111"/>
  <c r="A1062" i="111"/>
  <c r="A1058" i="111"/>
  <c r="A1054" i="111"/>
  <c r="A1050" i="111"/>
  <c r="A1046" i="111"/>
  <c r="A1042" i="111"/>
  <c r="A1038" i="111"/>
  <c r="A1034" i="111"/>
  <c r="A1030" i="111"/>
  <c r="A1026" i="111"/>
  <c r="A1022" i="111"/>
  <c r="A1018" i="111"/>
  <c r="A1014" i="111"/>
  <c r="A1010" i="111"/>
  <c r="A1006" i="111"/>
  <c r="A1002" i="111"/>
  <c r="A998" i="111"/>
  <c r="A994" i="111"/>
  <c r="A990" i="111"/>
  <c r="A986" i="111"/>
  <c r="A982" i="111"/>
  <c r="A978" i="111"/>
  <c r="A974" i="111"/>
  <c r="A970" i="111"/>
  <c r="A966" i="111"/>
  <c r="A962" i="111"/>
  <c r="A958" i="111"/>
  <c r="A954" i="111"/>
  <c r="A950" i="111"/>
  <c r="A946" i="111"/>
  <c r="A942" i="111"/>
  <c r="A938" i="111"/>
  <c r="A934" i="111"/>
  <c r="A930" i="111"/>
  <c r="A926" i="111"/>
  <c r="A922" i="111"/>
  <c r="A918" i="111"/>
  <c r="A914" i="111"/>
  <c r="A910" i="111"/>
  <c r="A906" i="111"/>
  <c r="A902" i="111"/>
  <c r="A898" i="111"/>
  <c r="A894" i="111"/>
  <c r="A890" i="111"/>
  <c r="A886" i="111"/>
  <c r="A882" i="111"/>
  <c r="A878" i="111"/>
  <c r="A874" i="111"/>
  <c r="A870" i="111"/>
  <c r="A866" i="111"/>
  <c r="A862" i="111"/>
  <c r="A858" i="111"/>
  <c r="A854" i="111"/>
  <c r="A850" i="111"/>
  <c r="A846" i="111"/>
  <c r="A842" i="111"/>
  <c r="A838" i="111"/>
  <c r="A834" i="111"/>
  <c r="A830" i="111"/>
  <c r="A826" i="111"/>
  <c r="A822" i="111"/>
  <c r="A818" i="111"/>
  <c r="A814" i="111"/>
  <c r="A810" i="111"/>
  <c r="A806" i="111"/>
  <c r="A802" i="111"/>
  <c r="A798" i="111"/>
  <c r="A794" i="111"/>
  <c r="A790" i="111"/>
  <c r="A786" i="111"/>
  <c r="A782" i="111"/>
  <c r="A778" i="111"/>
  <c r="A774" i="111"/>
  <c r="A770" i="111"/>
  <c r="A766" i="111"/>
  <c r="A762" i="111"/>
  <c r="A758" i="111"/>
  <c r="A754" i="111"/>
  <c r="A750" i="111"/>
  <c r="A746" i="111"/>
  <c r="A742" i="111"/>
  <c r="A738" i="111"/>
  <c r="A734" i="111"/>
  <c r="A730" i="111"/>
  <c r="A726" i="111"/>
  <c r="A722" i="111"/>
  <c r="A718" i="111"/>
  <c r="A714" i="111"/>
  <c r="A710" i="111"/>
  <c r="A706" i="111"/>
  <c r="A702" i="111"/>
  <c r="A698" i="111"/>
  <c r="A694" i="111"/>
  <c r="A690" i="111"/>
  <c r="A686" i="111"/>
  <c r="A682" i="111"/>
  <c r="A678" i="111"/>
  <c r="A674" i="111"/>
  <c r="A670" i="111"/>
  <c r="A666" i="111"/>
  <c r="A662" i="111"/>
  <c r="A658" i="111"/>
  <c r="A654" i="111"/>
  <c r="A650" i="111"/>
  <c r="A646" i="111"/>
  <c r="A642" i="111"/>
  <c r="A638" i="111"/>
  <c r="A634" i="111"/>
  <c r="A630" i="111"/>
  <c r="A626" i="111"/>
  <c r="A622" i="111"/>
  <c r="A618" i="111"/>
  <c r="A614" i="111"/>
  <c r="A610" i="111"/>
  <c r="A606" i="111"/>
  <c r="A602" i="111"/>
  <c r="A598" i="111"/>
  <c r="A594" i="111"/>
  <c r="A590" i="111"/>
  <c r="A586" i="111"/>
  <c r="A582" i="111"/>
  <c r="A578" i="111"/>
  <c r="A574" i="111"/>
  <c r="A570" i="111"/>
  <c r="A566" i="111"/>
  <c r="A562" i="111"/>
  <c r="A558" i="111"/>
  <c r="A554" i="111"/>
  <c r="A550" i="111"/>
  <c r="A546" i="111"/>
  <c r="A542" i="111"/>
  <c r="A538" i="111"/>
  <c r="A534" i="111"/>
  <c r="A530" i="111"/>
  <c r="A526" i="111"/>
  <c r="A522" i="111"/>
  <c r="A518" i="111"/>
  <c r="A514" i="111"/>
  <c r="A510" i="111"/>
  <c r="A506" i="111"/>
  <c r="A502" i="111"/>
  <c r="A498" i="111"/>
  <c r="A494" i="111"/>
  <c r="A490" i="111"/>
  <c r="A486" i="111"/>
  <c r="A482" i="111"/>
  <c r="A478" i="111"/>
  <c r="A474" i="111"/>
  <c r="A470" i="111"/>
  <c r="A466" i="111"/>
  <c r="A462" i="111"/>
  <c r="A458" i="111"/>
  <c r="A454" i="111"/>
  <c r="A450" i="111"/>
  <c r="A446" i="111"/>
  <c r="A442" i="111"/>
  <c r="A438" i="111"/>
  <c r="A434" i="111"/>
  <c r="A430" i="111"/>
  <c r="A426" i="111"/>
  <c r="A422" i="111"/>
  <c r="A418" i="111"/>
  <c r="A414" i="111"/>
  <c r="A410" i="111"/>
  <c r="A406" i="111"/>
  <c r="A402" i="111"/>
  <c r="A398" i="111"/>
  <c r="A394" i="111"/>
  <c r="A390" i="111"/>
  <c r="A386" i="111"/>
  <c r="A382" i="111"/>
  <c r="A378" i="111"/>
  <c r="A374" i="111"/>
  <c r="A370" i="111"/>
  <c r="A366" i="111"/>
  <c r="A362" i="111"/>
  <c r="A358" i="111"/>
  <c r="A354" i="111"/>
  <c r="A350" i="111"/>
  <c r="A346" i="111"/>
  <c r="A342" i="111"/>
  <c r="A338" i="111"/>
  <c r="A334" i="111"/>
  <c r="A330" i="111"/>
  <c r="A326" i="111"/>
  <c r="A322" i="111"/>
  <c r="A318" i="111"/>
  <c r="A314" i="111"/>
  <c r="A310" i="111"/>
  <c r="A306" i="111"/>
  <c r="A302" i="111"/>
  <c r="A298" i="111"/>
  <c r="A294" i="111"/>
  <c r="A290" i="111"/>
  <c r="A286" i="111"/>
  <c r="A282" i="111"/>
  <c r="A278" i="111"/>
  <c r="A274" i="111"/>
  <c r="A270" i="111"/>
  <c r="A266" i="111"/>
  <c r="A262" i="111"/>
  <c r="A258" i="111"/>
  <c r="A254" i="111"/>
  <c r="A250" i="111"/>
  <c r="A246" i="111"/>
  <c r="A242" i="111"/>
  <c r="A238" i="111"/>
  <c r="A234" i="111"/>
  <c r="A230" i="111"/>
  <c r="A226" i="111"/>
  <c r="A222" i="111"/>
  <c r="A218" i="111"/>
  <c r="A214" i="111"/>
  <c r="A210" i="111"/>
  <c r="A206" i="111"/>
  <c r="A202" i="111"/>
  <c r="A198" i="111"/>
  <c r="A194" i="111"/>
  <c r="A190" i="111"/>
  <c r="A186" i="111"/>
  <c r="A182" i="111"/>
  <c r="A178" i="111"/>
  <c r="A174" i="111"/>
  <c r="A170" i="111"/>
  <c r="A166" i="111"/>
  <c r="A162" i="111"/>
  <c r="A158" i="111"/>
  <c r="A154" i="111"/>
  <c r="A150" i="111"/>
  <c r="A146" i="111"/>
  <c r="A142" i="111"/>
  <c r="A138" i="111"/>
  <c r="A134" i="111"/>
  <c r="A130" i="111"/>
  <c r="A126" i="111"/>
  <c r="A122" i="111"/>
  <c r="A118" i="111"/>
  <c r="A114" i="111"/>
  <c r="A110" i="111"/>
  <c r="A106" i="111"/>
  <c r="A102" i="111"/>
  <c r="A98" i="111"/>
  <c r="A94" i="111"/>
  <c r="A90" i="111"/>
  <c r="A86" i="111"/>
  <c r="A82" i="111"/>
  <c r="A78" i="111"/>
  <c r="A74" i="111"/>
  <c r="A70" i="111"/>
  <c r="A66" i="111"/>
  <c r="A62" i="111"/>
  <c r="A58" i="111"/>
  <c r="A54" i="111"/>
  <c r="A50" i="111"/>
  <c r="A46" i="111"/>
  <c r="A42" i="111"/>
  <c r="A38" i="111"/>
  <c r="A34" i="111"/>
  <c r="A30" i="111"/>
  <c r="A26" i="111"/>
  <c r="A22" i="111"/>
  <c r="A18" i="111"/>
  <c r="A14" i="111"/>
  <c r="A10" i="111"/>
  <c r="A6" i="111"/>
  <c r="A1912" i="111"/>
  <c r="A1848" i="111"/>
  <c r="A1784" i="111"/>
  <c r="A1729" i="111"/>
  <c r="A1697" i="111"/>
  <c r="A1665" i="111"/>
  <c r="A1648" i="111"/>
  <c r="A1632" i="111"/>
  <c r="A1616" i="111"/>
  <c r="A1600" i="111"/>
  <c r="A1584" i="111"/>
  <c r="A1568" i="111"/>
  <c r="A1552" i="111"/>
  <c r="A1536" i="111"/>
  <c r="A1520" i="111"/>
  <c r="A1504" i="111"/>
  <c r="A1488" i="111"/>
  <c r="A1472" i="111"/>
  <c r="A1456" i="111"/>
  <c r="A1440" i="111"/>
  <c r="A1424" i="111"/>
  <c r="A1408" i="111"/>
  <c r="A1392" i="111"/>
  <c r="A1376" i="111"/>
  <c r="A1360" i="111"/>
  <c r="A1344" i="111"/>
  <c r="A1328" i="111"/>
  <c r="A1312" i="111"/>
  <c r="A1296" i="111"/>
  <c r="A1280" i="111"/>
  <c r="A1264" i="111"/>
  <c r="A1248" i="111"/>
  <c r="A1232" i="111"/>
  <c r="A1216" i="111"/>
  <c r="A1200" i="111"/>
  <c r="A1184" i="111"/>
  <c r="A1169" i="111"/>
  <c r="A1165" i="111"/>
  <c r="A1161" i="111"/>
  <c r="A1157" i="111"/>
  <c r="A1153" i="111"/>
  <c r="A1149" i="111"/>
  <c r="A1145" i="111"/>
  <c r="A1141" i="111"/>
  <c r="A1137" i="111"/>
  <c r="A1133" i="111"/>
  <c r="A1129" i="111"/>
  <c r="A1125" i="111"/>
  <c r="A1121" i="111"/>
  <c r="A1117" i="111"/>
  <c r="A1113" i="111"/>
  <c r="A1109" i="111"/>
  <c r="A1105" i="111"/>
  <c r="A1101" i="111"/>
  <c r="A1097" i="111"/>
  <c r="A1093" i="111"/>
  <c r="A1089" i="111"/>
  <c r="A1085" i="111"/>
  <c r="A1081" i="111"/>
  <c r="A1077" i="111"/>
  <c r="A1073" i="111"/>
  <c r="A1069" i="111"/>
  <c r="A1065" i="111"/>
  <c r="A1061" i="111"/>
  <c r="A1057" i="111"/>
  <c r="A1053" i="111"/>
  <c r="A1049" i="111"/>
  <c r="A1045" i="111"/>
  <c r="A1041" i="111"/>
  <c r="A1037" i="111"/>
  <c r="A1033" i="111"/>
  <c r="A1029" i="111"/>
  <c r="A1025" i="111"/>
  <c r="A1021" i="111"/>
  <c r="A1017" i="111"/>
  <c r="A1013" i="111"/>
  <c r="A1009" i="111"/>
  <c r="A1005" i="111"/>
  <c r="A1001" i="111"/>
  <c r="A997" i="111"/>
  <c r="A993" i="111"/>
  <c r="A989" i="111"/>
  <c r="A985" i="111"/>
  <c r="A981" i="111"/>
  <c r="A977" i="111"/>
  <c r="A973" i="111"/>
  <c r="A969" i="111"/>
  <c r="A965" i="111"/>
  <c r="A961" i="111"/>
  <c r="A957" i="111"/>
  <c r="A953" i="111"/>
  <c r="A949" i="111"/>
  <c r="A945" i="111"/>
  <c r="A941" i="111"/>
  <c r="A937" i="111"/>
  <c r="A933" i="111"/>
  <c r="A929" i="111"/>
  <c r="A925" i="111"/>
  <c r="A921" i="111"/>
  <c r="A917" i="111"/>
  <c r="A913" i="111"/>
  <c r="A909" i="111"/>
  <c r="A905" i="111"/>
  <c r="A901" i="111"/>
  <c r="A897" i="111"/>
  <c r="A893" i="111"/>
  <c r="A889" i="111"/>
  <c r="A885" i="111"/>
  <c r="A881" i="111"/>
  <c r="A877" i="111"/>
  <c r="A873" i="111"/>
  <c r="A869" i="111"/>
  <c r="A865" i="111"/>
  <c r="A861" i="111"/>
  <c r="A857" i="111"/>
  <c r="A853" i="111"/>
  <c r="A849" i="111"/>
  <c r="A845" i="111"/>
  <c r="A841" i="111"/>
  <c r="A837" i="111"/>
  <c r="A833" i="111"/>
  <c r="A829" i="111"/>
  <c r="A825" i="111"/>
  <c r="A821" i="111"/>
  <c r="A817" i="111"/>
  <c r="A813" i="111"/>
  <c r="A809" i="111"/>
  <c r="A805" i="111"/>
  <c r="A801" i="111"/>
  <c r="A797" i="111"/>
  <c r="A793" i="111"/>
  <c r="A789" i="111"/>
  <c r="A785" i="111"/>
  <c r="A781" i="111"/>
  <c r="A777" i="111"/>
  <c r="A773" i="111"/>
  <c r="A769" i="111"/>
  <c r="A765" i="111"/>
  <c r="A761" i="111"/>
  <c r="A757" i="111"/>
  <c r="A753" i="111"/>
  <c r="A749" i="111"/>
  <c r="A745" i="111"/>
  <c r="A741" i="111"/>
  <c r="A737" i="111"/>
  <c r="A733" i="111"/>
  <c r="A729" i="111"/>
  <c r="A725" i="111"/>
  <c r="A721" i="111"/>
  <c r="A717" i="111"/>
  <c r="A713" i="111"/>
  <c r="A709" i="111"/>
  <c r="A705" i="111"/>
  <c r="A701" i="111"/>
  <c r="A697" i="111"/>
  <c r="A693" i="111"/>
  <c r="A689" i="111"/>
  <c r="A685" i="111"/>
  <c r="A681" i="111"/>
  <c r="A677" i="111"/>
  <c r="A673" i="111"/>
  <c r="A669" i="111"/>
  <c r="A665" i="111"/>
  <c r="A661" i="111"/>
  <c r="A657" i="111"/>
  <c r="A653" i="111"/>
  <c r="A649" i="111"/>
  <c r="A645" i="111"/>
  <c r="A641" i="111"/>
  <c r="A637" i="111"/>
  <c r="A633" i="111"/>
  <c r="A629" i="111"/>
  <c r="A625" i="111"/>
  <c r="A621" i="111"/>
  <c r="A617" i="111"/>
  <c r="A613" i="111"/>
  <c r="A609" i="111"/>
  <c r="A605" i="111"/>
  <c r="A601" i="111"/>
  <c r="A597" i="111"/>
  <c r="A593" i="111"/>
  <c r="A589" i="111"/>
  <c r="A585" i="111"/>
  <c r="A581" i="111"/>
  <c r="A577" i="111"/>
  <c r="A573" i="111"/>
  <c r="A569" i="111"/>
  <c r="A565" i="111"/>
  <c r="A561" i="111"/>
  <c r="A557" i="111"/>
  <c r="A553" i="111"/>
  <c r="A549" i="111"/>
  <c r="A545" i="111"/>
  <c r="A541" i="111"/>
  <c r="A537" i="111"/>
  <c r="A533" i="111"/>
  <c r="A529" i="111"/>
  <c r="A525" i="111"/>
  <c r="A521" i="111"/>
  <c r="A517" i="111"/>
  <c r="A513" i="111"/>
  <c r="A509" i="111"/>
  <c r="A505" i="111"/>
  <c r="A501" i="111"/>
  <c r="A497" i="111"/>
  <c r="A493" i="111"/>
  <c r="A489" i="111"/>
  <c r="A485" i="111"/>
  <c r="A481" i="111"/>
  <c r="A477" i="111"/>
  <c r="A473" i="111"/>
  <c r="A469" i="111"/>
  <c r="A465" i="111"/>
  <c r="A461" i="111"/>
  <c r="A457" i="111"/>
  <c r="A453" i="111"/>
  <c r="A449" i="111"/>
  <c r="A445" i="111"/>
  <c r="A441" i="111"/>
  <c r="A437" i="111"/>
  <c r="A433" i="111"/>
  <c r="A429" i="111"/>
  <c r="A425" i="111"/>
  <c r="A421" i="111"/>
  <c r="A417" i="111"/>
  <c r="A413" i="111"/>
  <c r="A409" i="111"/>
  <c r="A405" i="111"/>
  <c r="A401" i="111"/>
  <c r="A397" i="111"/>
  <c r="A393" i="111"/>
  <c r="A389" i="111"/>
  <c r="A385" i="111"/>
  <c r="A381" i="111"/>
  <c r="A377" i="111"/>
  <c r="A373" i="111"/>
  <c r="A369" i="111"/>
  <c r="A365" i="111"/>
  <c r="A361" i="111"/>
  <c r="A357" i="111"/>
  <c r="A353" i="111"/>
  <c r="A349" i="111"/>
  <c r="A345" i="111"/>
  <c r="A341" i="111"/>
  <c r="A337" i="111"/>
  <c r="A333" i="111"/>
  <c r="A329" i="111"/>
  <c r="A325" i="111"/>
  <c r="A321" i="111"/>
  <c r="A317" i="111"/>
  <c r="A313" i="111"/>
  <c r="A309" i="111"/>
  <c r="A305" i="111"/>
  <c r="A301" i="111"/>
  <c r="A297" i="111"/>
  <c r="A293" i="111"/>
  <c r="A289" i="111"/>
  <c r="A285" i="111"/>
  <c r="A281" i="111"/>
  <c r="A277" i="111"/>
  <c r="A273" i="111"/>
  <c r="A269" i="111"/>
  <c r="A265" i="111"/>
  <c r="A261" i="111"/>
  <c r="A257" i="111"/>
  <c r="A253" i="111"/>
  <c r="A249" i="111"/>
  <c r="A245" i="111"/>
  <c r="A241" i="111"/>
  <c r="A237" i="111"/>
  <c r="A233" i="111"/>
  <c r="A229" i="111"/>
  <c r="A225" i="111"/>
  <c r="A221" i="111"/>
  <c r="A217" i="111"/>
  <c r="A213" i="111"/>
  <c r="A209" i="111"/>
  <c r="A205" i="111"/>
  <c r="A201" i="111"/>
  <c r="A197" i="111"/>
  <c r="A193" i="111"/>
  <c r="A189" i="111"/>
  <c r="A185" i="111"/>
  <c r="A181" i="111"/>
  <c r="A177" i="111"/>
  <c r="A173" i="111"/>
  <c r="A169" i="111"/>
  <c r="A165" i="111"/>
  <c r="A161" i="111"/>
  <c r="A157" i="111"/>
  <c r="A153" i="111"/>
  <c r="A149" i="111"/>
  <c r="A145" i="111"/>
  <c r="A141" i="111"/>
  <c r="A137" i="111"/>
  <c r="A133" i="111"/>
  <c r="A129" i="111"/>
  <c r="A125" i="111"/>
  <c r="A121" i="111"/>
  <c r="A117" i="111"/>
  <c r="A113" i="111"/>
  <c r="A109" i="111"/>
  <c r="A105" i="111"/>
  <c r="A101" i="111"/>
  <c r="A97" i="111"/>
  <c r="A93" i="111"/>
  <c r="A89" i="111"/>
  <c r="A85" i="111"/>
  <c r="A81" i="111"/>
  <c r="A77" i="111"/>
  <c r="A73" i="111"/>
  <c r="A69" i="111"/>
  <c r="A65" i="111"/>
  <c r="A61" i="111"/>
  <c r="A57" i="111"/>
  <c r="A53" i="111"/>
  <c r="A49" i="111"/>
  <c r="A45" i="111"/>
  <c r="A41" i="111"/>
  <c r="A37" i="111"/>
  <c r="A33" i="111"/>
  <c r="A29" i="111"/>
  <c r="A25" i="111"/>
  <c r="A21" i="111"/>
  <c r="A17" i="111"/>
  <c r="A13" i="111"/>
  <c r="A9" i="111"/>
  <c r="A5" i="111"/>
  <c r="A2" i="111"/>
  <c r="A1768" i="111"/>
  <c r="A1644" i="111"/>
  <c r="A1580" i="111"/>
  <c r="A1516" i="111"/>
  <c r="A1452" i="111"/>
  <c r="A1388" i="111"/>
  <c r="A1324" i="111"/>
  <c r="A1260" i="111"/>
  <c r="A1196" i="111"/>
  <c r="A1160" i="111"/>
  <c r="A1144" i="111"/>
  <c r="A1128" i="111"/>
  <c r="A1112" i="111"/>
  <c r="A1096" i="111"/>
  <c r="A1080" i="111"/>
  <c r="A1064" i="111"/>
  <c r="A1048" i="111"/>
  <c r="A1032" i="111"/>
  <c r="A1016" i="111"/>
  <c r="A1000" i="111"/>
  <c r="A984" i="111"/>
  <c r="A968" i="111"/>
  <c r="A952" i="111"/>
  <c r="A936" i="111"/>
  <c r="A920" i="111"/>
  <c r="A904" i="111"/>
  <c r="A888" i="111"/>
  <c r="A872" i="111"/>
  <c r="A856" i="111"/>
  <c r="A840" i="111"/>
  <c r="A824" i="111"/>
  <c r="A808" i="111"/>
  <c r="A792" i="111"/>
  <c r="A776" i="111"/>
  <c r="A760" i="111"/>
  <c r="A744" i="111"/>
  <c r="A728" i="111"/>
  <c r="A712" i="111"/>
  <c r="A696" i="111"/>
  <c r="A680" i="111"/>
  <c r="A664" i="111"/>
  <c r="A648" i="111"/>
  <c r="A632" i="111"/>
  <c r="A616" i="111"/>
  <c r="A600" i="111"/>
  <c r="A584" i="111"/>
  <c r="A568" i="111"/>
  <c r="A552" i="111"/>
  <c r="A536" i="111"/>
  <c r="A520" i="111"/>
  <c r="A504" i="111"/>
  <c r="A488" i="111"/>
  <c r="A472" i="111"/>
  <c r="A456" i="111"/>
  <c r="A440" i="111"/>
  <c r="A424" i="111"/>
  <c r="A408" i="111"/>
  <c r="A392" i="111"/>
  <c r="A376" i="111"/>
  <c r="A360" i="111"/>
  <c r="A344" i="111"/>
  <c r="A328" i="111"/>
  <c r="A312" i="111"/>
  <c r="A296" i="111"/>
  <c r="A280" i="111"/>
  <c r="A264" i="111"/>
  <c r="A248" i="111"/>
  <c r="A232" i="111"/>
  <c r="A216" i="111"/>
  <c r="A200" i="111"/>
  <c r="A184" i="111"/>
  <c r="A168" i="111"/>
  <c r="A152" i="111"/>
  <c r="A136" i="111"/>
  <c r="A120" i="111"/>
  <c r="A104" i="111"/>
  <c r="A88" i="111"/>
  <c r="A72" i="111"/>
  <c r="A56" i="111"/>
  <c r="A40" i="111"/>
  <c r="A24" i="111"/>
  <c r="A8" i="111"/>
  <c r="A1721" i="111"/>
  <c r="A1628" i="111"/>
  <c r="A1564" i="111"/>
  <c r="A1500" i="111"/>
  <c r="A1436" i="111"/>
  <c r="A1372" i="111"/>
  <c r="A1308" i="111"/>
  <c r="A1244" i="111"/>
  <c r="A1180" i="111"/>
  <c r="A1156" i="111"/>
  <c r="A1140" i="111"/>
  <c r="A1124" i="111"/>
  <c r="A1108" i="111"/>
  <c r="A1092" i="111"/>
  <c r="A1076" i="111"/>
  <c r="A1060" i="111"/>
  <c r="A1044" i="111"/>
  <c r="A1028" i="111"/>
  <c r="A1012" i="111"/>
  <c r="A996" i="111"/>
  <c r="A980" i="111"/>
  <c r="A964" i="111"/>
  <c r="A948" i="111"/>
  <c r="A932" i="111"/>
  <c r="A916" i="111"/>
  <c r="A900" i="111"/>
  <c r="A884" i="111"/>
  <c r="A868" i="111"/>
  <c r="A852" i="111"/>
  <c r="A836" i="111"/>
  <c r="A820" i="111"/>
  <c r="A804" i="111"/>
  <c r="A788" i="111"/>
  <c r="A772" i="111"/>
  <c r="A756" i="111"/>
  <c r="A740" i="111"/>
  <c r="A724" i="111"/>
  <c r="A708" i="111"/>
  <c r="A692" i="111"/>
  <c r="A676" i="111"/>
  <c r="A660" i="111"/>
  <c r="A644" i="111"/>
  <c r="A628" i="111"/>
  <c r="A612" i="111"/>
  <c r="A596" i="111"/>
  <c r="A580" i="111"/>
  <c r="A564" i="111"/>
  <c r="A548" i="111"/>
  <c r="A532" i="111"/>
  <c r="A516" i="111"/>
  <c r="A500" i="111"/>
  <c r="A484" i="111"/>
  <c r="A468" i="111"/>
  <c r="A452" i="111"/>
  <c r="A436" i="111"/>
  <c r="A420" i="111"/>
  <c r="A404" i="111"/>
  <c r="A388" i="111"/>
  <c r="A372" i="111"/>
  <c r="A356" i="111"/>
  <c r="A340" i="111"/>
  <c r="A324" i="111"/>
  <c r="A308" i="111"/>
  <c r="A292" i="111"/>
  <c r="A276" i="111"/>
  <c r="A260" i="111"/>
  <c r="A244" i="111"/>
  <c r="A228" i="111"/>
  <c r="A212" i="111"/>
  <c r="A196" i="111"/>
  <c r="A180" i="111"/>
  <c r="A164" i="111"/>
  <c r="A148" i="111"/>
  <c r="A132" i="111"/>
  <c r="A116" i="111"/>
  <c r="A100" i="111"/>
  <c r="A84" i="111"/>
  <c r="A68" i="111"/>
  <c r="A52" i="111"/>
  <c r="A36" i="111"/>
  <c r="A20" i="111"/>
  <c r="A4" i="111"/>
  <c r="A1896" i="111"/>
  <c r="A1689" i="111"/>
  <c r="A1612" i="111"/>
  <c r="A1548" i="111"/>
  <c r="A1484" i="111"/>
  <c r="A1420" i="111"/>
  <c r="A1356" i="111"/>
  <c r="A1292" i="111"/>
  <c r="A1228" i="111"/>
  <c r="A1168" i="111"/>
  <c r="A1152" i="111"/>
  <c r="A1136" i="111"/>
  <c r="A1120" i="111"/>
  <c r="A1104" i="111"/>
  <c r="A1088" i="111"/>
  <c r="A1072" i="111"/>
  <c r="A1056" i="111"/>
  <c r="A1040" i="111"/>
  <c r="A1024" i="111"/>
  <c r="A1008" i="111"/>
  <c r="A992" i="111"/>
  <c r="A976" i="111"/>
  <c r="A960" i="111"/>
  <c r="A944" i="111"/>
  <c r="A928" i="111"/>
  <c r="A912" i="111"/>
  <c r="A896" i="111"/>
  <c r="A880" i="111"/>
  <c r="A864" i="111"/>
  <c r="A848" i="111"/>
  <c r="A832" i="111"/>
  <c r="A816" i="111"/>
  <c r="A800" i="111"/>
  <c r="A784" i="111"/>
  <c r="A768" i="111"/>
  <c r="A752" i="111"/>
  <c r="A736" i="111"/>
  <c r="A720" i="111"/>
  <c r="A704" i="111"/>
  <c r="A688" i="111"/>
  <c r="A672" i="111"/>
  <c r="A656" i="111"/>
  <c r="A640" i="111"/>
  <c r="A624" i="111"/>
  <c r="A608" i="111"/>
  <c r="A592" i="111"/>
  <c r="A576" i="111"/>
  <c r="A560" i="111"/>
  <c r="A544" i="111"/>
  <c r="A528" i="111"/>
  <c r="A512" i="111"/>
  <c r="A496" i="111"/>
  <c r="A480" i="111"/>
  <c r="A464" i="111"/>
  <c r="A448" i="111"/>
  <c r="A432" i="111"/>
  <c r="A416" i="111"/>
  <c r="A400" i="111"/>
  <c r="A384" i="111"/>
  <c r="A368" i="111"/>
  <c r="A352" i="111"/>
  <c r="A336" i="111"/>
  <c r="A320" i="111"/>
  <c r="A304" i="111"/>
  <c r="A288" i="111"/>
  <c r="A272" i="111"/>
  <c r="A256" i="111"/>
  <c r="A240" i="111"/>
  <c r="A224" i="111"/>
  <c r="A208" i="111"/>
  <c r="A192" i="111"/>
  <c r="A176" i="111"/>
  <c r="A160" i="111"/>
  <c r="A144" i="111"/>
  <c r="A128" i="111"/>
  <c r="A112" i="111"/>
  <c r="A96" i="111"/>
  <c r="A80" i="111"/>
  <c r="A64" i="111"/>
  <c r="A48" i="111"/>
  <c r="A32" i="111"/>
  <c r="A16" i="111"/>
  <c r="A1532" i="111"/>
  <c r="A1276" i="111"/>
  <c r="A1132" i="111"/>
  <c r="A1068" i="111"/>
  <c r="A1004" i="111"/>
  <c r="A940" i="111"/>
  <c r="A876" i="111"/>
  <c r="A812" i="111"/>
  <c r="A748" i="111"/>
  <c r="A684" i="111"/>
  <c r="A620" i="111"/>
  <c r="A556" i="111"/>
  <c r="A492" i="111"/>
  <c r="A428" i="111"/>
  <c r="A364" i="111"/>
  <c r="A300" i="111"/>
  <c r="A236" i="111"/>
  <c r="A172" i="111"/>
  <c r="A108" i="111"/>
  <c r="A44" i="111"/>
  <c r="A1907" i="102"/>
  <c r="A1903" i="102"/>
  <c r="A1899" i="102"/>
  <c r="A1895" i="102"/>
  <c r="A1891" i="102"/>
  <c r="A1887" i="102"/>
  <c r="A1883" i="102"/>
  <c r="A1879" i="102"/>
  <c r="A1875" i="102"/>
  <c r="A1871" i="102"/>
  <c r="A1867" i="102"/>
  <c r="A1863" i="102"/>
  <c r="A1859" i="102"/>
  <c r="A1855" i="102"/>
  <c r="A1851" i="102"/>
  <c r="A1847" i="102"/>
  <c r="A1843" i="102"/>
  <c r="A1839" i="102"/>
  <c r="A1835" i="102"/>
  <c r="A1831" i="102"/>
  <c r="A1827" i="102"/>
  <c r="A1823" i="102"/>
  <c r="A1819" i="102"/>
  <c r="A1815" i="102"/>
  <c r="A1811" i="102"/>
  <c r="A1807" i="102"/>
  <c r="A1803" i="102"/>
  <c r="A1799" i="102"/>
  <c r="A1795" i="102"/>
  <c r="A1791" i="102"/>
  <c r="A1787" i="102"/>
  <c r="A1783" i="102"/>
  <c r="A1832" i="111"/>
  <c r="A1468" i="111"/>
  <c r="A1212" i="111"/>
  <c r="A1116" i="111"/>
  <c r="A1052" i="111"/>
  <c r="A988" i="111"/>
  <c r="A924" i="111"/>
  <c r="A860" i="111"/>
  <c r="A796" i="111"/>
  <c r="A732" i="111"/>
  <c r="A668" i="111"/>
  <c r="A604" i="111"/>
  <c r="A540" i="111"/>
  <c r="A476" i="111"/>
  <c r="A412" i="111"/>
  <c r="A348" i="111"/>
  <c r="A284" i="111"/>
  <c r="A220" i="111"/>
  <c r="A156" i="111"/>
  <c r="A92" i="111"/>
  <c r="A28" i="111"/>
  <c r="A1906" i="102"/>
  <c r="A1902" i="102"/>
  <c r="A1898" i="102"/>
  <c r="A1894" i="102"/>
  <c r="A1890" i="102"/>
  <c r="A1886" i="102"/>
  <c r="A1882" i="102"/>
  <c r="A1878" i="102"/>
  <c r="A1874" i="102"/>
  <c r="A1870" i="102"/>
  <c r="A1866" i="102"/>
  <c r="A1862" i="102"/>
  <c r="A1858" i="102"/>
  <c r="A1854" i="102"/>
  <c r="A1850" i="102"/>
  <c r="A1846" i="102"/>
  <c r="A1842" i="102"/>
  <c r="A1838" i="102"/>
  <c r="A1834" i="102"/>
  <c r="A1830" i="102"/>
  <c r="A1826" i="102"/>
  <c r="A1822" i="102"/>
  <c r="A1818" i="102"/>
  <c r="A1814" i="102"/>
  <c r="A1810" i="102"/>
  <c r="A1806" i="102"/>
  <c r="A1802" i="102"/>
  <c r="A1798" i="102"/>
  <c r="A1794" i="102"/>
  <c r="A1790" i="102"/>
  <c r="A1786" i="102"/>
  <c r="A1660" i="111"/>
  <c r="A1404" i="111"/>
  <c r="A1164" i="111"/>
  <c r="A1100" i="111"/>
  <c r="A1036" i="111"/>
  <c r="A972" i="111"/>
  <c r="A908" i="111"/>
  <c r="A844" i="111"/>
  <c r="A780" i="111"/>
  <c r="A716" i="111"/>
  <c r="A652" i="111"/>
  <c r="A588" i="111"/>
  <c r="A524" i="111"/>
  <c r="A460" i="111"/>
  <c r="A396" i="111"/>
  <c r="A332" i="111"/>
  <c r="A268" i="111"/>
  <c r="A204" i="111"/>
  <c r="A140" i="111"/>
  <c r="A76" i="111"/>
  <c r="A12" i="111"/>
  <c r="A1909" i="102"/>
  <c r="A1905" i="102"/>
  <c r="A1901" i="102"/>
  <c r="A1897" i="102"/>
  <c r="A1893" i="102"/>
  <c r="A1889" i="102"/>
  <c r="A1885" i="102"/>
  <c r="A1881" i="102"/>
  <c r="A1877" i="102"/>
  <c r="A1873" i="102"/>
  <c r="A1869" i="102"/>
  <c r="A1865" i="102"/>
  <c r="A1861" i="102"/>
  <c r="A1857" i="102"/>
  <c r="A1853" i="102"/>
  <c r="A1849" i="102"/>
  <c r="A1845" i="102"/>
  <c r="A1841" i="102"/>
  <c r="A1837" i="102"/>
  <c r="A1833" i="102"/>
  <c r="A1829" i="102"/>
  <c r="A1825" i="102"/>
  <c r="A1821" i="102"/>
  <c r="A1817" i="102"/>
  <c r="A1813" i="102"/>
  <c r="A1809" i="102"/>
  <c r="A1805" i="102"/>
  <c r="A1801" i="102"/>
  <c r="A1797" i="102"/>
  <c r="A1793" i="102"/>
  <c r="A1789" i="102"/>
  <c r="A1596" i="111"/>
  <c r="A1020" i="111"/>
  <c r="A764" i="111"/>
  <c r="A508" i="111"/>
  <c r="A252" i="111"/>
  <c r="A1900" i="102"/>
  <c r="A1884" i="102"/>
  <c r="A1868" i="102"/>
  <c r="A1852" i="102"/>
  <c r="A1836" i="102"/>
  <c r="A1820" i="102"/>
  <c r="A1804" i="102"/>
  <c r="A1788" i="102"/>
  <c r="A1781" i="102"/>
  <c r="A1777" i="102"/>
  <c r="A1773" i="102"/>
  <c r="A1769" i="102"/>
  <c r="A1765" i="102"/>
  <c r="A1761" i="102"/>
  <c r="A1757" i="102"/>
  <c r="A1753" i="102"/>
  <c r="A1749" i="102"/>
  <c r="A1745" i="102"/>
  <c r="A1741" i="102"/>
  <c r="A1737" i="102"/>
  <c r="A1733" i="102"/>
  <c r="A1729" i="102"/>
  <c r="A1725" i="102"/>
  <c r="A1721" i="102"/>
  <c r="A1717" i="102"/>
  <c r="A1713" i="102"/>
  <c r="A1709" i="102"/>
  <c r="A1705" i="102"/>
  <c r="A1701" i="102"/>
  <c r="A1697" i="102"/>
  <c r="A1693" i="102"/>
  <c r="A1689" i="102"/>
  <c r="A1685" i="102"/>
  <c r="A1681" i="102"/>
  <c r="A1677" i="102"/>
  <c r="A1673" i="102"/>
  <c r="A1669" i="102"/>
  <c r="A1665" i="102"/>
  <c r="A1661" i="102"/>
  <c r="A1657" i="102"/>
  <c r="A1653" i="102"/>
  <c r="A1649" i="102"/>
  <c r="A1645" i="102"/>
  <c r="A1641" i="102"/>
  <c r="A1637" i="102"/>
  <c r="A1633" i="102"/>
  <c r="A1629" i="102"/>
  <c r="A1625" i="102"/>
  <c r="A1621" i="102"/>
  <c r="A1617" i="102"/>
  <c r="A1613" i="102"/>
  <c r="A1609" i="102"/>
  <c r="A1605" i="102"/>
  <c r="A1601" i="102"/>
  <c r="A1597" i="102"/>
  <c r="A1593" i="102"/>
  <c r="A1589" i="102"/>
  <c r="A1585" i="102"/>
  <c r="A1581" i="102"/>
  <c r="A1577" i="102"/>
  <c r="A1573" i="102"/>
  <c r="A1569" i="102"/>
  <c r="A1565" i="102"/>
  <c r="A1561" i="102"/>
  <c r="A1557" i="102"/>
  <c r="A1553" i="102"/>
  <c r="A1549" i="102"/>
  <c r="A1545" i="102"/>
  <c r="A1541" i="102"/>
  <c r="A1537" i="102"/>
  <c r="A1533" i="102"/>
  <c r="A1529" i="102"/>
  <c r="A1525" i="102"/>
  <c r="A1521" i="102"/>
  <c r="A1517" i="102"/>
  <c r="A1513" i="102"/>
  <c r="A1509" i="102"/>
  <c r="A1505" i="102"/>
  <c r="A1501" i="102"/>
  <c r="A1497" i="102"/>
  <c r="A1493" i="102"/>
  <c r="A1489" i="102"/>
  <c r="A1485" i="102"/>
  <c r="A1481" i="102"/>
  <c r="A1477" i="102"/>
  <c r="A1473" i="102"/>
  <c r="A1469" i="102"/>
  <c r="A1465" i="102"/>
  <c r="A1461" i="102"/>
  <c r="A1457" i="102"/>
  <c r="A1453" i="102"/>
  <c r="A1449" i="102"/>
  <c r="A1445" i="102"/>
  <c r="A1441" i="102"/>
  <c r="A1437" i="102"/>
  <c r="A1433" i="102"/>
  <c r="A1429" i="102"/>
  <c r="A1425" i="102"/>
  <c r="A1421" i="102"/>
  <c r="A1417" i="102"/>
  <c r="A1413" i="102"/>
  <c r="A1409" i="102"/>
  <c r="A1405" i="102"/>
  <c r="A1401" i="102"/>
  <c r="A1397" i="102"/>
  <c r="A1393" i="102"/>
  <c r="A1389" i="102"/>
  <c r="A1385" i="102"/>
  <c r="A1381" i="102"/>
  <c r="A1377" i="102"/>
  <c r="A1373" i="102"/>
  <c r="A1369" i="102"/>
  <c r="A1365" i="102"/>
  <c r="A1361" i="102"/>
  <c r="A1357" i="102"/>
  <c r="A1353" i="102"/>
  <c r="A1349" i="102"/>
  <c r="A1345" i="102"/>
  <c r="A1341" i="102"/>
  <c r="A1337" i="102"/>
  <c r="A1333" i="102"/>
  <c r="A1329" i="102"/>
  <c r="A1325" i="102"/>
  <c r="A1321" i="102"/>
  <c r="A1317" i="102"/>
  <c r="A1313" i="102"/>
  <c r="A1309" i="102"/>
  <c r="A1305" i="102"/>
  <c r="A1301" i="102"/>
  <c r="A1297" i="102"/>
  <c r="A1293" i="102"/>
  <c r="A1289" i="102"/>
  <c r="A1285" i="102"/>
  <c r="A1281" i="102"/>
  <c r="A1277" i="102"/>
  <c r="A1273" i="102"/>
  <c r="A1269" i="102"/>
  <c r="A1265" i="102"/>
  <c r="A1261" i="102"/>
  <c r="A1257" i="102"/>
  <c r="A1253" i="102"/>
  <c r="A1249" i="102"/>
  <c r="A1245" i="102"/>
  <c r="A1241" i="102"/>
  <c r="A1237" i="102"/>
  <c r="A1233" i="102"/>
  <c r="A1229" i="102"/>
  <c r="A1225" i="102"/>
  <c r="A1221" i="102"/>
  <c r="A1217" i="102"/>
  <c r="A1213" i="102"/>
  <c r="A1209" i="102"/>
  <c r="A1205" i="102"/>
  <c r="A1201" i="102"/>
  <c r="A1197" i="102"/>
  <c r="A1193" i="102"/>
  <c r="A1189" i="102"/>
  <c r="A1185" i="102"/>
  <c r="A1181" i="102"/>
  <c r="A1177" i="102"/>
  <c r="A1173" i="102"/>
  <c r="A1169" i="102"/>
  <c r="A1165" i="102"/>
  <c r="A1161" i="102"/>
  <c r="A1157" i="102"/>
  <c r="A1153" i="102"/>
  <c r="A1149" i="102"/>
  <c r="A1145" i="102"/>
  <c r="A1141" i="102"/>
  <c r="A1137" i="102"/>
  <c r="A1133" i="102"/>
  <c r="A1129" i="102"/>
  <c r="A1125" i="102"/>
  <c r="A1121" i="102"/>
  <c r="A1117" i="102"/>
  <c r="A1113" i="102"/>
  <c r="A1109" i="102"/>
  <c r="A1105" i="102"/>
  <c r="A1101" i="102"/>
  <c r="A1097" i="102"/>
  <c r="A1093" i="102"/>
  <c r="A1089" i="102"/>
  <c r="A1085" i="102"/>
  <c r="A1081" i="102"/>
  <c r="A1077" i="102"/>
  <c r="A1073" i="102"/>
  <c r="A1069" i="102"/>
  <c r="A1065" i="102"/>
  <c r="A1061" i="102"/>
  <c r="A1057" i="102"/>
  <c r="A1053" i="102"/>
  <c r="A1049" i="102"/>
  <c r="A1045" i="102"/>
  <c r="A1041" i="102"/>
  <c r="A1037" i="102"/>
  <c r="A1033" i="102"/>
  <c r="A1029" i="102"/>
  <c r="A1025" i="102"/>
  <c r="A1021" i="102"/>
  <c r="A1017" i="102"/>
  <c r="A1013" i="102"/>
  <c r="A1009" i="102"/>
  <c r="A1005" i="102"/>
  <c r="A1001" i="102"/>
  <c r="A997" i="102"/>
  <c r="A993" i="102"/>
  <c r="A989" i="102"/>
  <c r="A985" i="102"/>
  <c r="A981" i="102"/>
  <c r="A977" i="102"/>
  <c r="A973" i="102"/>
  <c r="A969" i="102"/>
  <c r="A965" i="102"/>
  <c r="A961" i="102"/>
  <c r="A957" i="102"/>
  <c r="A953" i="102"/>
  <c r="A949" i="102"/>
  <c r="A945" i="102"/>
  <c r="A941" i="102"/>
  <c r="A937" i="102"/>
  <c r="A933" i="102"/>
  <c r="A929" i="102"/>
  <c r="A925" i="102"/>
  <c r="A921" i="102"/>
  <c r="A917" i="102"/>
  <c r="A913" i="102"/>
  <c r="A909" i="102"/>
  <c r="A905" i="102"/>
  <c r="A901" i="102"/>
  <c r="A897" i="102"/>
  <c r="A893" i="102"/>
  <c r="A889" i="102"/>
  <c r="A885" i="102"/>
  <c r="A881" i="102"/>
  <c r="A877" i="102"/>
  <c r="A873" i="102"/>
  <c r="A869" i="102"/>
  <c r="A865" i="102"/>
  <c r="A861" i="102"/>
  <c r="A857" i="102"/>
  <c r="A853" i="102"/>
  <c r="A849" i="102"/>
  <c r="A845" i="102"/>
  <c r="A841" i="102"/>
  <c r="A837" i="102"/>
  <c r="A833" i="102"/>
  <c r="A829" i="102"/>
  <c r="A825" i="102"/>
  <c r="A821" i="102"/>
  <c r="A817" i="102"/>
  <c r="A813" i="102"/>
  <c r="A809" i="102"/>
  <c r="A805" i="102"/>
  <c r="A801" i="102"/>
  <c r="A797" i="102"/>
  <c r="A793" i="102"/>
  <c r="A789" i="102"/>
  <c r="A785" i="102"/>
  <c r="A781" i="102"/>
  <c r="A777" i="102"/>
  <c r="A773" i="102"/>
  <c r="A769" i="102"/>
  <c r="A765" i="102"/>
  <c r="A761" i="102"/>
  <c r="A757" i="102"/>
  <c r="A753" i="102"/>
  <c r="A749" i="102"/>
  <c r="A745" i="102"/>
  <c r="A741" i="102"/>
  <c r="A737" i="102"/>
  <c r="A733" i="102"/>
  <c r="A729" i="102"/>
  <c r="A725" i="102"/>
  <c r="A721" i="102"/>
  <c r="A717" i="102"/>
  <c r="A713" i="102"/>
  <c r="A709" i="102"/>
  <c r="A705" i="102"/>
  <c r="A701" i="102"/>
  <c r="A697" i="102"/>
  <c r="A693" i="102"/>
  <c r="A689" i="102"/>
  <c r="A685" i="102"/>
  <c r="A681" i="102"/>
  <c r="A677" i="102"/>
  <c r="A673" i="102"/>
  <c r="A669" i="102"/>
  <c r="A665" i="102"/>
  <c r="A661" i="102"/>
  <c r="A657" i="102"/>
  <c r="A653" i="102"/>
  <c r="A649" i="102"/>
  <c r="A645" i="102"/>
  <c r="A641" i="102"/>
  <c r="A637" i="102"/>
  <c r="A633" i="102"/>
  <c r="A629" i="102"/>
  <c r="A625" i="102"/>
  <c r="A621" i="102"/>
  <c r="A617" i="102"/>
  <c r="A613" i="102"/>
  <c r="A609" i="102"/>
  <c r="A605" i="102"/>
  <c r="A601" i="102"/>
  <c r="A597" i="102"/>
  <c r="A593" i="102"/>
  <c r="A589" i="102"/>
  <c r="A585" i="102"/>
  <c r="A581" i="102"/>
  <c r="A577" i="102"/>
  <c r="A573" i="102"/>
  <c r="A569" i="102"/>
  <c r="A565" i="102"/>
  <c r="A561" i="102"/>
  <c r="A557" i="102"/>
  <c r="A553" i="102"/>
  <c r="A549" i="102"/>
  <c r="A545" i="102"/>
  <c r="A541" i="102"/>
  <c r="A537" i="102"/>
  <c r="A533" i="102"/>
  <c r="A529" i="102"/>
  <c r="A525" i="102"/>
  <c r="A521" i="102"/>
  <c r="A517" i="102"/>
  <c r="A513" i="102"/>
  <c r="A509" i="102"/>
  <c r="A505" i="102"/>
  <c r="A501" i="102"/>
  <c r="A497" i="102"/>
  <c r="A493" i="102"/>
  <c r="A489" i="102"/>
  <c r="A485" i="102"/>
  <c r="A481" i="102"/>
  <c r="A477" i="102"/>
  <c r="A473" i="102"/>
  <c r="A469" i="102"/>
  <c r="A465" i="102"/>
  <c r="A461" i="102"/>
  <c r="A457" i="102"/>
  <c r="A453" i="102"/>
  <c r="A449" i="102"/>
  <c r="A445" i="102"/>
  <c r="A441" i="102"/>
  <c r="A437" i="102"/>
  <c r="A433" i="102"/>
  <c r="A429" i="102"/>
  <c r="A425" i="102"/>
  <c r="A421" i="102"/>
  <c r="A417" i="102"/>
  <c r="A413" i="102"/>
  <c r="A409" i="102"/>
  <c r="A405" i="102"/>
  <c r="A401" i="102"/>
  <c r="A397" i="102"/>
  <c r="A393" i="102"/>
  <c r="A389" i="102"/>
  <c r="A385" i="102"/>
  <c r="A381" i="102"/>
  <c r="A377" i="102"/>
  <c r="A373" i="102"/>
  <c r="A369" i="102"/>
  <c r="A365" i="102"/>
  <c r="A361" i="102"/>
  <c r="A357" i="102"/>
  <c r="A353" i="102"/>
  <c r="A349" i="102"/>
  <c r="A345" i="102"/>
  <c r="A341" i="102"/>
  <c r="A337" i="102"/>
  <c r="A333" i="102"/>
  <c r="A329" i="102"/>
  <c r="A325" i="102"/>
  <c r="A321" i="102"/>
  <c r="A317" i="102"/>
  <c r="A313" i="102"/>
  <c r="A309" i="102"/>
  <c r="A305" i="102"/>
  <c r="A301" i="102"/>
  <c r="A297" i="102"/>
  <c r="A293" i="102"/>
  <c r="A289" i="102"/>
  <c r="A285" i="102"/>
  <c r="A281" i="102"/>
  <c r="A277" i="102"/>
  <c r="A273" i="102"/>
  <c r="A269" i="102"/>
  <c r="A265" i="102"/>
  <c r="A261" i="102"/>
  <c r="A257" i="102"/>
  <c r="A253" i="102"/>
  <c r="A249" i="102"/>
  <c r="A245" i="102"/>
  <c r="A241" i="102"/>
  <c r="A237" i="102"/>
  <c r="A233" i="102"/>
  <c r="A229" i="102"/>
  <c r="A225" i="102"/>
  <c r="A221" i="102"/>
  <c r="A217" i="102"/>
  <c r="A213" i="102"/>
  <c r="A209" i="102"/>
  <c r="A205" i="102"/>
  <c r="A201" i="102"/>
  <c r="A197" i="102"/>
  <c r="A193" i="102"/>
  <c r="A189" i="102"/>
  <c r="A185" i="102"/>
  <c r="A181" i="102"/>
  <c r="A177" i="102"/>
  <c r="A173" i="102"/>
  <c r="A169" i="102"/>
  <c r="A165" i="102"/>
  <c r="A161" i="102"/>
  <c r="A157" i="102"/>
  <c r="A153" i="102"/>
  <c r="A149" i="102"/>
  <c r="A145" i="102"/>
  <c r="A141" i="102"/>
  <c r="A137" i="102"/>
  <c r="A133" i="102"/>
  <c r="A129" i="102"/>
  <c r="A125" i="102"/>
  <c r="A121" i="102"/>
  <c r="A117" i="102"/>
  <c r="A113" i="102"/>
  <c r="A109" i="102"/>
  <c r="A105" i="102"/>
  <c r="A101" i="102"/>
  <c r="A97" i="102"/>
  <c r="A93" i="102"/>
  <c r="A89" i="102"/>
  <c r="A85" i="102"/>
  <c r="A81" i="102"/>
  <c r="A77" i="102"/>
  <c r="A73" i="102"/>
  <c r="A69" i="102"/>
  <c r="A65" i="102"/>
  <c r="A61" i="102"/>
  <c r="A57" i="102"/>
  <c r="A53" i="102"/>
  <c r="A49" i="102"/>
  <c r="A45" i="102"/>
  <c r="A41" i="102"/>
  <c r="A37" i="102"/>
  <c r="A33" i="102"/>
  <c r="A29" i="102"/>
  <c r="A25" i="102"/>
  <c r="A21" i="102"/>
  <c r="A17" i="102"/>
  <c r="A13" i="102"/>
  <c r="A9" i="102"/>
  <c r="A5" i="102"/>
  <c r="A2" i="102"/>
  <c r="A1340" i="111"/>
  <c r="A956" i="111"/>
  <c r="A700" i="111"/>
  <c r="A444" i="111"/>
  <c r="A188" i="111"/>
  <c r="A1896" i="102"/>
  <c r="A1880" i="102"/>
  <c r="A1864" i="102"/>
  <c r="A1848" i="102"/>
  <c r="A1832" i="102"/>
  <c r="A1816" i="102"/>
  <c r="A1800" i="102"/>
  <c r="A1785" i="102"/>
  <c r="A1780" i="102"/>
  <c r="A1776" i="102"/>
  <c r="A1772" i="102"/>
  <c r="A1768" i="102"/>
  <c r="A1764" i="102"/>
  <c r="A1760" i="102"/>
  <c r="A1756" i="102"/>
  <c r="A1752" i="102"/>
  <c r="A1748" i="102"/>
  <c r="A1744" i="102"/>
  <c r="A1740" i="102"/>
  <c r="A1736" i="102"/>
  <c r="A1732" i="102"/>
  <c r="A1728" i="102"/>
  <c r="A1724" i="102"/>
  <c r="A1720" i="102"/>
  <c r="A1716" i="102"/>
  <c r="A1712" i="102"/>
  <c r="A1708" i="102"/>
  <c r="A1704" i="102"/>
  <c r="A1700" i="102"/>
  <c r="A1696" i="102"/>
  <c r="A1692" i="102"/>
  <c r="A1688" i="102"/>
  <c r="A1684" i="102"/>
  <c r="A1680" i="102"/>
  <c r="A1676" i="102"/>
  <c r="A1672" i="102"/>
  <c r="A1668" i="102"/>
  <c r="A1664" i="102"/>
  <c r="A1660" i="102"/>
  <c r="A1656" i="102"/>
  <c r="A1652" i="102"/>
  <c r="A1648" i="102"/>
  <c r="A1644" i="102"/>
  <c r="A1640" i="102"/>
  <c r="A1636" i="102"/>
  <c r="A1632" i="102"/>
  <c r="A1628" i="102"/>
  <c r="A1624" i="102"/>
  <c r="A1620" i="102"/>
  <c r="A1616" i="102"/>
  <c r="A1612" i="102"/>
  <c r="A1608" i="102"/>
  <c r="A1604" i="102"/>
  <c r="A1600" i="102"/>
  <c r="A1596" i="102"/>
  <c r="A1592" i="102"/>
  <c r="A1588" i="102"/>
  <c r="A1584" i="102"/>
  <c r="A1580" i="102"/>
  <c r="A1576" i="102"/>
  <c r="A1572" i="102"/>
  <c r="A1568" i="102"/>
  <c r="A1564" i="102"/>
  <c r="A1560" i="102"/>
  <c r="A1556" i="102"/>
  <c r="A1552" i="102"/>
  <c r="A1548" i="102"/>
  <c r="A1544" i="102"/>
  <c r="A1540" i="102"/>
  <c r="A1536" i="102"/>
  <c r="A1532" i="102"/>
  <c r="A1528" i="102"/>
  <c r="A1524" i="102"/>
  <c r="A1520" i="102"/>
  <c r="A1516" i="102"/>
  <c r="A1512" i="102"/>
  <c r="A1508" i="102"/>
  <c r="A1504" i="102"/>
  <c r="A1500" i="102"/>
  <c r="A1496" i="102"/>
  <c r="A1492" i="102"/>
  <c r="A1488" i="102"/>
  <c r="A1484" i="102"/>
  <c r="A1480" i="102"/>
  <c r="A1476" i="102"/>
  <c r="A1472" i="102"/>
  <c r="A1468" i="102"/>
  <c r="A1464" i="102"/>
  <c r="A1460" i="102"/>
  <c r="A1456" i="102"/>
  <c r="A1452" i="102"/>
  <c r="A1448" i="102"/>
  <c r="A1444" i="102"/>
  <c r="A1440" i="102"/>
  <c r="A1436" i="102"/>
  <c r="A1432" i="102"/>
  <c r="A1428" i="102"/>
  <c r="A1424" i="102"/>
  <c r="A1420" i="102"/>
  <c r="A1416" i="102"/>
  <c r="A1412" i="102"/>
  <c r="A1408" i="102"/>
  <c r="A1404" i="102"/>
  <c r="A1400" i="102"/>
  <c r="A1396" i="102"/>
  <c r="A1392" i="102"/>
  <c r="A1388" i="102"/>
  <c r="A1384" i="102"/>
  <c r="A1380" i="102"/>
  <c r="A1376" i="102"/>
  <c r="A1372" i="102"/>
  <c r="A1368" i="102"/>
  <c r="A1364" i="102"/>
  <c r="A1360" i="102"/>
  <c r="A1356" i="102"/>
  <c r="A1352" i="102"/>
  <c r="A1348" i="102"/>
  <c r="A1344" i="102"/>
  <c r="A1340" i="102"/>
  <c r="A1336" i="102"/>
  <c r="A1332" i="102"/>
  <c r="A1328" i="102"/>
  <c r="A1324" i="102"/>
  <c r="A1320" i="102"/>
  <c r="A1316" i="102"/>
  <c r="A1312" i="102"/>
  <c r="A1308" i="102"/>
  <c r="A1304" i="102"/>
  <c r="A1300" i="102"/>
  <c r="A1296" i="102"/>
  <c r="A1292" i="102"/>
  <c r="A1288" i="102"/>
  <c r="A1284" i="102"/>
  <c r="A1280" i="102"/>
  <c r="A1276" i="102"/>
  <c r="A1272" i="102"/>
  <c r="A1268" i="102"/>
  <c r="A1264" i="102"/>
  <c r="A1260" i="102"/>
  <c r="A1256" i="102"/>
  <c r="A1252" i="102"/>
  <c r="A1248" i="102"/>
  <c r="A1244" i="102"/>
  <c r="A1240" i="102"/>
  <c r="A1236" i="102"/>
  <c r="A1232" i="102"/>
  <c r="A1228" i="102"/>
  <c r="A1224" i="102"/>
  <c r="A1220" i="102"/>
  <c r="A1216" i="102"/>
  <c r="A1212" i="102"/>
  <c r="A1208" i="102"/>
  <c r="A1204" i="102"/>
  <c r="A1200" i="102"/>
  <c r="A1196" i="102"/>
  <c r="A1192" i="102"/>
  <c r="A1188" i="102"/>
  <c r="A1184" i="102"/>
  <c r="A1180" i="102"/>
  <c r="A1176" i="102"/>
  <c r="A1172" i="102"/>
  <c r="A1168" i="102"/>
  <c r="A1164" i="102"/>
  <c r="A1160" i="102"/>
  <c r="A1156" i="102"/>
  <c r="A1152" i="102"/>
  <c r="A1148" i="102"/>
  <c r="A1144" i="102"/>
  <c r="A1140" i="102"/>
  <c r="A1136" i="102"/>
  <c r="A1132" i="102"/>
  <c r="A1128" i="102"/>
  <c r="A1124" i="102"/>
  <c r="A1120" i="102"/>
  <c r="A1116" i="102"/>
  <c r="A1112" i="102"/>
  <c r="A1108" i="102"/>
  <c r="A1104" i="102"/>
  <c r="A1100" i="102"/>
  <c r="A1096" i="102"/>
  <c r="A1092" i="102"/>
  <c r="A1088" i="102"/>
  <c r="A1084" i="102"/>
  <c r="A1080" i="102"/>
  <c r="A1076" i="102"/>
  <c r="A1072" i="102"/>
  <c r="A1068" i="102"/>
  <c r="A1064" i="102"/>
  <c r="A1060" i="102"/>
  <c r="A1056" i="102"/>
  <c r="A1052" i="102"/>
  <c r="A1048" i="102"/>
  <c r="A1044" i="102"/>
  <c r="A1040" i="102"/>
  <c r="A1036" i="102"/>
  <c r="A1032" i="102"/>
  <c r="A1028" i="102"/>
  <c r="A1024" i="102"/>
  <c r="A1020" i="102"/>
  <c r="A1016" i="102"/>
  <c r="A1012" i="102"/>
  <c r="A1008" i="102"/>
  <c r="A1004" i="102"/>
  <c r="A1000" i="102"/>
  <c r="A996" i="102"/>
  <c r="A992" i="102"/>
  <c r="A988" i="102"/>
  <c r="A984" i="102"/>
  <c r="A980" i="102"/>
  <c r="A976" i="102"/>
  <c r="A972" i="102"/>
  <c r="A968" i="102"/>
  <c r="A964" i="102"/>
  <c r="A960" i="102"/>
  <c r="A956" i="102"/>
  <c r="A952" i="102"/>
  <c r="A948" i="102"/>
  <c r="A944" i="102"/>
  <c r="A940" i="102"/>
  <c r="A936" i="102"/>
  <c r="A932" i="102"/>
  <c r="A928" i="102"/>
  <c r="A924" i="102"/>
  <c r="A920" i="102"/>
  <c r="A916" i="102"/>
  <c r="A912" i="102"/>
  <c r="A908" i="102"/>
  <c r="A904" i="102"/>
  <c r="A900" i="102"/>
  <c r="A896" i="102"/>
  <c r="A892" i="102"/>
  <c r="A888" i="102"/>
  <c r="A884" i="102"/>
  <c r="A880" i="102"/>
  <c r="A876" i="102"/>
  <c r="A872" i="102"/>
  <c r="A868" i="102"/>
  <c r="A864" i="102"/>
  <c r="A860" i="102"/>
  <c r="A856" i="102"/>
  <c r="A852" i="102"/>
  <c r="A848" i="102"/>
  <c r="A844" i="102"/>
  <c r="A840" i="102"/>
  <c r="A836" i="102"/>
  <c r="A832" i="102"/>
  <c r="A828" i="102"/>
  <c r="A824" i="102"/>
  <c r="A820" i="102"/>
  <c r="A816" i="102"/>
  <c r="A812" i="102"/>
  <c r="A808" i="102"/>
  <c r="A804" i="102"/>
  <c r="A800" i="102"/>
  <c r="A796" i="102"/>
  <c r="A792" i="102"/>
  <c r="A788" i="102"/>
  <c r="A784" i="102"/>
  <c r="A780" i="102"/>
  <c r="A776" i="102"/>
  <c r="A772" i="102"/>
  <c r="A768" i="102"/>
  <c r="A764" i="102"/>
  <c r="A760" i="102"/>
  <c r="A756" i="102"/>
  <c r="A752" i="102"/>
  <c r="A748" i="102"/>
  <c r="A744" i="102"/>
  <c r="A740" i="102"/>
  <c r="A736" i="102"/>
  <c r="A732" i="102"/>
  <c r="A728" i="102"/>
  <c r="A724" i="102"/>
  <c r="A720" i="102"/>
  <c r="A716" i="102"/>
  <c r="A712" i="102"/>
  <c r="A708" i="102"/>
  <c r="A704" i="102"/>
  <c r="A700" i="102"/>
  <c r="A696" i="102"/>
  <c r="A692" i="102"/>
  <c r="A688" i="102"/>
  <c r="A684" i="102"/>
  <c r="A680" i="102"/>
  <c r="A676" i="102"/>
  <c r="A672" i="102"/>
  <c r="A668" i="102"/>
  <c r="A664" i="102"/>
  <c r="A660" i="102"/>
  <c r="A656" i="102"/>
  <c r="A652" i="102"/>
  <c r="A648" i="102"/>
  <c r="A644" i="102"/>
  <c r="A640" i="102"/>
  <c r="A636" i="102"/>
  <c r="A632" i="102"/>
  <c r="A628" i="102"/>
  <c r="A624" i="102"/>
  <c r="A620" i="102"/>
  <c r="A616" i="102"/>
  <c r="A612" i="102"/>
  <c r="A608" i="102"/>
  <c r="A604" i="102"/>
  <c r="A600" i="102"/>
  <c r="A596" i="102"/>
  <c r="A592" i="102"/>
  <c r="A588" i="102"/>
  <c r="A584" i="102"/>
  <c r="A580" i="102"/>
  <c r="A576" i="102"/>
  <c r="A572" i="102"/>
  <c r="A568" i="102"/>
  <c r="A564" i="102"/>
  <c r="A560" i="102"/>
  <c r="A556" i="102"/>
  <c r="A552" i="102"/>
  <c r="A548" i="102"/>
  <c r="A544" i="102"/>
  <c r="A540" i="102"/>
  <c r="A536" i="102"/>
  <c r="A532" i="102"/>
  <c r="A528" i="102"/>
  <c r="A524" i="102"/>
  <c r="A520" i="102"/>
  <c r="A516" i="102"/>
  <c r="A512" i="102"/>
  <c r="A508" i="102"/>
  <c r="A504" i="102"/>
  <c r="A500" i="102"/>
  <c r="A496" i="102"/>
  <c r="A492" i="102"/>
  <c r="A488" i="102"/>
  <c r="A484" i="102"/>
  <c r="A480" i="102"/>
  <c r="A476" i="102"/>
  <c r="A472" i="102"/>
  <c r="A468" i="102"/>
  <c r="A464" i="102"/>
  <c r="A460" i="102"/>
  <c r="A456" i="102"/>
  <c r="A452" i="102"/>
  <c r="A448" i="102"/>
  <c r="A444" i="102"/>
  <c r="A440" i="102"/>
  <c r="A436" i="102"/>
  <c r="A432" i="102"/>
  <c r="A428" i="102"/>
  <c r="A424" i="102"/>
  <c r="A420" i="102"/>
  <c r="A416" i="102"/>
  <c r="A412" i="102"/>
  <c r="A408" i="102"/>
  <c r="A404" i="102"/>
  <c r="A400" i="102"/>
  <c r="A396" i="102"/>
  <c r="A392" i="102"/>
  <c r="A388" i="102"/>
  <c r="A384" i="102"/>
  <c r="A380" i="102"/>
  <c r="A376" i="102"/>
  <c r="A372" i="102"/>
  <c r="A368" i="102"/>
  <c r="A364" i="102"/>
  <c r="A360" i="102"/>
  <c r="A356" i="102"/>
  <c r="A352" i="102"/>
  <c r="A348" i="102"/>
  <c r="A344" i="102"/>
  <c r="A340" i="102"/>
  <c r="A336" i="102"/>
  <c r="A332" i="102"/>
  <c r="A328" i="102"/>
  <c r="A324" i="102"/>
  <c r="A320" i="102"/>
  <c r="A316" i="102"/>
  <c r="A312" i="102"/>
  <c r="A308" i="102"/>
  <c r="A304" i="102"/>
  <c r="A300" i="102"/>
  <c r="A296" i="102"/>
  <c r="A292" i="102"/>
  <c r="A288" i="102"/>
  <c r="A284" i="102"/>
  <c r="A280" i="102"/>
  <c r="A276" i="102"/>
  <c r="A272" i="102"/>
  <c r="A268" i="102"/>
  <c r="A264" i="102"/>
  <c r="A260" i="102"/>
  <c r="A256" i="102"/>
  <c r="A252" i="102"/>
  <c r="A248" i="102"/>
  <c r="A244" i="102"/>
  <c r="A240" i="102"/>
  <c r="A236" i="102"/>
  <c r="A232" i="102"/>
  <c r="A228" i="102"/>
  <c r="A224" i="102"/>
  <c r="A220" i="102"/>
  <c r="A216" i="102"/>
  <c r="A212" i="102"/>
  <c r="A208" i="102"/>
  <c r="A204" i="102"/>
  <c r="A200" i="102"/>
  <c r="A196" i="102"/>
  <c r="A192" i="102"/>
  <c r="A188" i="102"/>
  <c r="A184" i="102"/>
  <c r="A180" i="102"/>
  <c r="A176" i="102"/>
  <c r="A172" i="102"/>
  <c r="A168" i="102"/>
  <c r="A164" i="102"/>
  <c r="A160" i="102"/>
  <c r="A156" i="102"/>
  <c r="A152" i="102"/>
  <c r="A148" i="102"/>
  <c r="A144" i="102"/>
  <c r="A140" i="102"/>
  <c r="A136" i="102"/>
  <c r="A132" i="102"/>
  <c r="A128" i="102"/>
  <c r="A124" i="102"/>
  <c r="A120" i="102"/>
  <c r="A116" i="102"/>
  <c r="A112" i="102"/>
  <c r="A108" i="102"/>
  <c r="A104" i="102"/>
  <c r="A100" i="102"/>
  <c r="A96" i="102"/>
  <c r="A92" i="102"/>
  <c r="A88" i="102"/>
  <c r="A84" i="102"/>
  <c r="A80" i="102"/>
  <c r="A76" i="102"/>
  <c r="A72" i="102"/>
  <c r="A68" i="102"/>
  <c r="A64" i="102"/>
  <c r="A60" i="102"/>
  <c r="A56" i="102"/>
  <c r="A52" i="102"/>
  <c r="A48" i="102"/>
  <c r="A44" i="102"/>
  <c r="A40" i="102"/>
  <c r="A36" i="102"/>
  <c r="A32" i="102"/>
  <c r="A28" i="102"/>
  <c r="A24" i="102"/>
  <c r="A20" i="102"/>
  <c r="A16" i="102"/>
  <c r="A12" i="102"/>
  <c r="A8" i="102"/>
  <c r="A4" i="102"/>
  <c r="A1148" i="111"/>
  <c r="A892" i="111"/>
  <c r="A636" i="111"/>
  <c r="A380" i="111"/>
  <c r="A124" i="111"/>
  <c r="A1908" i="102"/>
  <c r="A1892" i="102"/>
  <c r="A1876" i="102"/>
  <c r="A1860" i="102"/>
  <c r="A1844" i="102"/>
  <c r="A1828" i="102"/>
  <c r="A1812" i="102"/>
  <c r="A1796" i="102"/>
  <c r="A1784" i="102"/>
  <c r="A1779" i="102"/>
  <c r="A1775" i="102"/>
  <c r="A1771" i="102"/>
  <c r="A1767" i="102"/>
  <c r="A1763" i="102"/>
  <c r="A1759" i="102"/>
  <c r="A1755" i="102"/>
  <c r="A1751" i="102"/>
  <c r="A1747" i="102"/>
  <c r="A1743" i="102"/>
  <c r="A1739" i="102"/>
  <c r="A1735" i="102"/>
  <c r="A1731" i="102"/>
  <c r="A1727" i="102"/>
  <c r="A1723" i="102"/>
  <c r="A1719" i="102"/>
  <c r="A1715" i="102"/>
  <c r="A1711" i="102"/>
  <c r="A1707" i="102"/>
  <c r="A1703" i="102"/>
  <c r="A1699" i="102"/>
  <c r="A1695" i="102"/>
  <c r="A1691" i="102"/>
  <c r="A1687" i="102"/>
  <c r="A1683" i="102"/>
  <c r="A1679" i="102"/>
  <c r="A1675" i="102"/>
  <c r="A1671" i="102"/>
  <c r="A1667" i="102"/>
  <c r="A1663" i="102"/>
  <c r="A1659" i="102"/>
  <c r="A1655" i="102"/>
  <c r="A1651" i="102"/>
  <c r="A1647" i="102"/>
  <c r="A1643" i="102"/>
  <c r="A1639" i="102"/>
  <c r="A1635" i="102"/>
  <c r="A1631" i="102"/>
  <c r="A1627" i="102"/>
  <c r="A1623" i="102"/>
  <c r="A1619" i="102"/>
  <c r="A1615" i="102"/>
  <c r="A1611" i="102"/>
  <c r="A1607" i="102"/>
  <c r="A1603" i="102"/>
  <c r="A1599" i="102"/>
  <c r="A1595" i="102"/>
  <c r="A1591" i="102"/>
  <c r="A1587" i="102"/>
  <c r="A1583" i="102"/>
  <c r="A1579" i="102"/>
  <c r="A1575" i="102"/>
  <c r="A1571" i="102"/>
  <c r="A1567" i="102"/>
  <c r="A1563" i="102"/>
  <c r="A1559" i="102"/>
  <c r="A1555" i="102"/>
  <c r="A1551" i="102"/>
  <c r="A1547" i="102"/>
  <c r="A1543" i="102"/>
  <c r="A1539" i="102"/>
  <c r="A1535" i="102"/>
  <c r="A1531" i="102"/>
  <c r="A1527" i="102"/>
  <c r="A1523" i="102"/>
  <c r="A1519" i="102"/>
  <c r="A1515" i="102"/>
  <c r="A1511" i="102"/>
  <c r="A1507" i="102"/>
  <c r="A1503" i="102"/>
  <c r="A1499" i="102"/>
  <c r="A1495" i="102"/>
  <c r="A1491" i="102"/>
  <c r="A1487" i="102"/>
  <c r="A1483" i="102"/>
  <c r="A1479" i="102"/>
  <c r="A1475" i="102"/>
  <c r="A1471" i="102"/>
  <c r="A1467" i="102"/>
  <c r="A1463" i="102"/>
  <c r="A1459" i="102"/>
  <c r="A1455" i="102"/>
  <c r="A1451" i="102"/>
  <c r="A1447" i="102"/>
  <c r="A1443" i="102"/>
  <c r="A1439" i="102"/>
  <c r="A1435" i="102"/>
  <c r="A1431" i="102"/>
  <c r="A1427" i="102"/>
  <c r="A1423" i="102"/>
  <c r="A1419" i="102"/>
  <c r="A1415" i="102"/>
  <c r="A1411" i="102"/>
  <c r="A1407" i="102"/>
  <c r="A1403" i="102"/>
  <c r="A1399" i="102"/>
  <c r="A1395" i="102"/>
  <c r="A1391" i="102"/>
  <c r="A1387" i="102"/>
  <c r="A1383" i="102"/>
  <c r="A1379" i="102"/>
  <c r="A1375" i="102"/>
  <c r="A1371" i="102"/>
  <c r="A1367" i="102"/>
  <c r="A1363" i="102"/>
  <c r="A1359" i="102"/>
  <c r="A1355" i="102"/>
  <c r="A1351" i="102"/>
  <c r="A1347" i="102"/>
  <c r="A1343" i="102"/>
  <c r="A1339" i="102"/>
  <c r="A1335" i="102"/>
  <c r="A1331" i="102"/>
  <c r="A1327" i="102"/>
  <c r="A1323" i="102"/>
  <c r="A1319" i="102"/>
  <c r="A1315" i="102"/>
  <c r="A1311" i="102"/>
  <c r="A1307" i="102"/>
  <c r="A1303" i="102"/>
  <c r="A1299" i="102"/>
  <c r="A1295" i="102"/>
  <c r="A1291" i="102"/>
  <c r="A1287" i="102"/>
  <c r="A1283" i="102"/>
  <c r="A1279" i="102"/>
  <c r="A1275" i="102"/>
  <c r="A1271" i="102"/>
  <c r="A1267" i="102"/>
  <c r="A1263" i="102"/>
  <c r="A1259" i="102"/>
  <c r="A1255" i="102"/>
  <c r="A1251" i="102"/>
  <c r="A1247" i="102"/>
  <c r="A1243" i="102"/>
  <c r="A1239" i="102"/>
  <c r="A1235" i="102"/>
  <c r="A1231" i="102"/>
  <c r="A1227" i="102"/>
  <c r="A1223" i="102"/>
  <c r="A1219" i="102"/>
  <c r="A1215" i="102"/>
  <c r="A1211" i="102"/>
  <c r="A1207" i="102"/>
  <c r="A1203" i="102"/>
  <c r="A1199" i="102"/>
  <c r="A1195" i="102"/>
  <c r="A1191" i="102"/>
  <c r="A1187" i="102"/>
  <c r="A1183" i="102"/>
  <c r="A1179" i="102"/>
  <c r="A1175" i="102"/>
  <c r="A1171" i="102"/>
  <c r="A1167" i="102"/>
  <c r="A1163" i="102"/>
  <c r="A1159" i="102"/>
  <c r="A1155" i="102"/>
  <c r="A1151" i="102"/>
  <c r="A1147" i="102"/>
  <c r="A1143" i="102"/>
  <c r="A1139" i="102"/>
  <c r="A1135" i="102"/>
  <c r="A1131" i="102"/>
  <c r="A1127" i="102"/>
  <c r="A1123" i="102"/>
  <c r="A1119" i="102"/>
  <c r="A1115" i="102"/>
  <c r="A1111" i="102"/>
  <c r="A1107" i="102"/>
  <c r="A1103" i="102"/>
  <c r="A1099" i="102"/>
  <c r="A1095" i="102"/>
  <c r="A1091" i="102"/>
  <c r="A1087" i="102"/>
  <c r="A1083" i="102"/>
  <c r="A1079" i="102"/>
  <c r="A1075" i="102"/>
  <c r="A1071" i="102"/>
  <c r="A1067" i="102"/>
  <c r="A1063" i="102"/>
  <c r="A1059" i="102"/>
  <c r="A1055" i="102"/>
  <c r="A1051" i="102"/>
  <c r="A1047" i="102"/>
  <c r="A1043" i="102"/>
  <c r="A1039" i="102"/>
  <c r="A1035" i="102"/>
  <c r="A1031" i="102"/>
  <c r="A1027" i="102"/>
  <c r="A1023" i="102"/>
  <c r="A1019" i="102"/>
  <c r="A1015" i="102"/>
  <c r="A1011" i="102"/>
  <c r="A1007" i="102"/>
  <c r="A1003" i="102"/>
  <c r="A999" i="102"/>
  <c r="A995" i="102"/>
  <c r="A991" i="102"/>
  <c r="A987" i="102"/>
  <c r="A983" i="102"/>
  <c r="A979" i="102"/>
  <c r="A975" i="102"/>
  <c r="A971" i="102"/>
  <c r="A967" i="102"/>
  <c r="A963" i="102"/>
  <c r="A959" i="102"/>
  <c r="A955" i="102"/>
  <c r="A951" i="102"/>
  <c r="A947" i="102"/>
  <c r="A943" i="102"/>
  <c r="A939" i="102"/>
  <c r="A935" i="102"/>
  <c r="A931" i="102"/>
  <c r="A927" i="102"/>
  <c r="A923" i="102"/>
  <c r="A919" i="102"/>
  <c r="A915" i="102"/>
  <c r="A911" i="102"/>
  <c r="A907" i="102"/>
  <c r="A903" i="102"/>
  <c r="A899" i="102"/>
  <c r="A895" i="102"/>
  <c r="A891" i="102"/>
  <c r="A887" i="102"/>
  <c r="A883" i="102"/>
  <c r="A879" i="102"/>
  <c r="A875" i="102"/>
  <c r="A871" i="102"/>
  <c r="A867" i="102"/>
  <c r="A863" i="102"/>
  <c r="A859" i="102"/>
  <c r="A855" i="102"/>
  <c r="A851" i="102"/>
  <c r="A847" i="102"/>
  <c r="A843" i="102"/>
  <c r="A839" i="102"/>
  <c r="A835" i="102"/>
  <c r="A831" i="102"/>
  <c r="A827" i="102"/>
  <c r="A823" i="102"/>
  <c r="A819" i="102"/>
  <c r="A815" i="102"/>
  <c r="A811" i="102"/>
  <c r="A807" i="102"/>
  <c r="A803" i="102"/>
  <c r="A799" i="102"/>
  <c r="A795" i="102"/>
  <c r="A791" i="102"/>
  <c r="A787" i="102"/>
  <c r="A783" i="102"/>
  <c r="A779" i="102"/>
  <c r="A775" i="102"/>
  <c r="A771" i="102"/>
  <c r="A767" i="102"/>
  <c r="A763" i="102"/>
  <c r="A759" i="102"/>
  <c r="A755" i="102"/>
  <c r="A751" i="102"/>
  <c r="A747" i="102"/>
  <c r="A743" i="102"/>
  <c r="A739" i="102"/>
  <c r="A735" i="102"/>
  <c r="A731" i="102"/>
  <c r="A727" i="102"/>
  <c r="A723" i="102"/>
  <c r="A719" i="102"/>
  <c r="A715" i="102"/>
  <c r="A711" i="102"/>
  <c r="A707" i="102"/>
  <c r="A703" i="102"/>
  <c r="A699" i="102"/>
  <c r="A695" i="102"/>
  <c r="A691" i="102"/>
  <c r="A687" i="102"/>
  <c r="A683" i="102"/>
  <c r="A679" i="102"/>
  <c r="A675" i="102"/>
  <c r="A671" i="102"/>
  <c r="A667" i="102"/>
  <c r="A663" i="102"/>
  <c r="A659" i="102"/>
  <c r="A655" i="102"/>
  <c r="A651" i="102"/>
  <c r="A647" i="102"/>
  <c r="A643" i="102"/>
  <c r="A639" i="102"/>
  <c r="A635" i="102"/>
  <c r="A631" i="102"/>
  <c r="A627" i="102"/>
  <c r="A623" i="102"/>
  <c r="A619" i="102"/>
  <c r="A615" i="102"/>
  <c r="A611" i="102"/>
  <c r="A607" i="102"/>
  <c r="A603" i="102"/>
  <c r="A599" i="102"/>
  <c r="A595" i="102"/>
  <c r="A591" i="102"/>
  <c r="A587" i="102"/>
  <c r="A583" i="102"/>
  <c r="A579" i="102"/>
  <c r="A575" i="102"/>
  <c r="A571" i="102"/>
  <c r="A567" i="102"/>
  <c r="A563" i="102"/>
  <c r="A559" i="102"/>
  <c r="A555" i="102"/>
  <c r="A551" i="102"/>
  <c r="A547" i="102"/>
  <c r="A543" i="102"/>
  <c r="A539" i="102"/>
  <c r="A535" i="102"/>
  <c r="A531" i="102"/>
  <c r="A527" i="102"/>
  <c r="A523" i="102"/>
  <c r="A519" i="102"/>
  <c r="A515" i="102"/>
  <c r="A511" i="102"/>
  <c r="A507" i="102"/>
  <c r="A503" i="102"/>
  <c r="A499" i="102"/>
  <c r="A495" i="102"/>
  <c r="A491" i="102"/>
  <c r="A487" i="102"/>
  <c r="A483" i="102"/>
  <c r="A479" i="102"/>
  <c r="A475" i="102"/>
  <c r="A471" i="102"/>
  <c r="A467" i="102"/>
  <c r="A463" i="102"/>
  <c r="A459" i="102"/>
  <c r="A455" i="102"/>
  <c r="A451" i="102"/>
  <c r="A447" i="102"/>
  <c r="A443" i="102"/>
  <c r="A439" i="102"/>
  <c r="A435" i="102"/>
  <c r="A431" i="102"/>
  <c r="A427" i="102"/>
  <c r="A423" i="102"/>
  <c r="A419" i="102"/>
  <c r="A415" i="102"/>
  <c r="A411" i="102"/>
  <c r="A407" i="102"/>
  <c r="A403" i="102"/>
  <c r="A399" i="102"/>
  <c r="A395" i="102"/>
  <c r="A391" i="102"/>
  <c r="A387" i="102"/>
  <c r="A383" i="102"/>
  <c r="A379" i="102"/>
  <c r="A375" i="102"/>
  <c r="A371" i="102"/>
  <c r="A367" i="102"/>
  <c r="A363" i="102"/>
  <c r="A359" i="102"/>
  <c r="A355" i="102"/>
  <c r="A351" i="102"/>
  <c r="A347" i="102"/>
  <c r="A343" i="102"/>
  <c r="A339" i="102"/>
  <c r="A335" i="102"/>
  <c r="A331" i="102"/>
  <c r="A327" i="102"/>
  <c r="A323" i="102"/>
  <c r="A319" i="102"/>
  <c r="A315" i="102"/>
  <c r="A311" i="102"/>
  <c r="A307" i="102"/>
  <c r="A303" i="102"/>
  <c r="A299" i="102"/>
  <c r="A295" i="102"/>
  <c r="A291" i="102"/>
  <c r="A287" i="102"/>
  <c r="A283" i="102"/>
  <c r="A279" i="102"/>
  <c r="A275" i="102"/>
  <c r="A271" i="102"/>
  <c r="A267" i="102"/>
  <c r="A263" i="102"/>
  <c r="A259" i="102"/>
  <c r="A255" i="102"/>
  <c r="A251" i="102"/>
  <c r="A247" i="102"/>
  <c r="A243" i="102"/>
  <c r="A239" i="102"/>
  <c r="A235" i="102"/>
  <c r="A231" i="102"/>
  <c r="A227" i="102"/>
  <c r="A223" i="102"/>
  <c r="A219" i="102"/>
  <c r="A215" i="102"/>
  <c r="A211" i="102"/>
  <c r="A207" i="102"/>
  <c r="A203" i="102"/>
  <c r="A199" i="102"/>
  <c r="A195" i="102"/>
  <c r="A191" i="102"/>
  <c r="A187" i="102"/>
  <c r="A183" i="102"/>
  <c r="A179" i="102"/>
  <c r="A175" i="102"/>
  <c r="A171" i="102"/>
  <c r="A167" i="102"/>
  <c r="A163" i="102"/>
  <c r="A159" i="102"/>
  <c r="A155" i="102"/>
  <c r="A151" i="102"/>
  <c r="A147" i="102"/>
  <c r="A143" i="102"/>
  <c r="A139" i="102"/>
  <c r="A135" i="102"/>
  <c r="A131" i="102"/>
  <c r="A127" i="102"/>
  <c r="A123" i="102"/>
  <c r="A119" i="102"/>
  <c r="A115" i="102"/>
  <c r="A111" i="102"/>
  <c r="A107" i="102"/>
  <c r="A103" i="102"/>
  <c r="A99" i="102"/>
  <c r="A95" i="102"/>
  <c r="A91" i="102"/>
  <c r="A87" i="102"/>
  <c r="A83" i="102"/>
  <c r="A79" i="102"/>
  <c r="A75" i="102"/>
  <c r="A71" i="102"/>
  <c r="A67" i="102"/>
  <c r="A63" i="102"/>
  <c r="A59" i="102"/>
  <c r="A55" i="102"/>
  <c r="A51" i="102"/>
  <c r="A47" i="102"/>
  <c r="A43" i="102"/>
  <c r="A39" i="102"/>
  <c r="A35" i="102"/>
  <c r="A31" i="102"/>
  <c r="A27" i="102"/>
  <c r="A23" i="102"/>
  <c r="A19" i="102"/>
  <c r="A15" i="102"/>
  <c r="A11" i="102"/>
  <c r="A7" i="102"/>
  <c r="A3" i="102"/>
  <c r="A1084" i="111"/>
  <c r="A828" i="111"/>
  <c r="A572" i="111"/>
  <c r="A316" i="111"/>
  <c r="A60" i="111"/>
  <c r="A1904" i="102"/>
  <c r="A1888" i="102"/>
  <c r="A1872" i="102"/>
  <c r="A1856" i="102"/>
  <c r="A1840" i="102"/>
  <c r="A1824" i="102"/>
  <c r="A1808" i="102"/>
  <c r="A1792" i="102"/>
  <c r="A1782" i="102"/>
  <c r="A1778" i="102"/>
  <c r="A1774" i="102"/>
  <c r="A1770" i="102"/>
  <c r="A1766" i="102"/>
  <c r="A1762" i="102"/>
  <c r="A1758" i="102"/>
  <c r="A1754" i="102"/>
  <c r="A1750" i="102"/>
  <c r="A1746" i="102"/>
  <c r="A1742" i="102"/>
  <c r="A1738" i="102"/>
  <c r="A1734" i="102"/>
  <c r="A1730" i="102"/>
  <c r="A1726" i="102"/>
  <c r="A1722" i="102"/>
  <c r="A1718" i="102"/>
  <c r="A1714" i="102"/>
  <c r="A1710" i="102"/>
  <c r="A1706" i="102"/>
  <c r="A1702" i="102"/>
  <c r="A1698" i="102"/>
  <c r="A1694" i="102"/>
  <c r="A1690" i="102"/>
  <c r="A1686" i="102"/>
  <c r="A1682" i="102"/>
  <c r="A1678" i="102"/>
  <c r="A1674" i="102"/>
  <c r="A1670" i="102"/>
  <c r="A1666" i="102"/>
  <c r="A1662" i="102"/>
  <c r="A1658" i="102"/>
  <c r="A1654" i="102"/>
  <c r="A1650" i="102"/>
  <c r="A1646" i="102"/>
  <c r="A1642" i="102"/>
  <c r="A1638" i="102"/>
  <c r="A1634" i="102"/>
  <c r="A1630" i="102"/>
  <c r="A1626" i="102"/>
  <c r="A1622" i="102"/>
  <c r="A1618" i="102"/>
  <c r="A1614" i="102"/>
  <c r="A1610" i="102"/>
  <c r="A1606" i="102"/>
  <c r="A1602" i="102"/>
  <c r="A1598" i="102"/>
  <c r="A1594" i="102"/>
  <c r="A1590" i="102"/>
  <c r="A1586" i="102"/>
  <c r="A1582" i="102"/>
  <c r="A1578" i="102"/>
  <c r="A1574" i="102"/>
  <c r="A1570" i="102"/>
  <c r="A1566" i="102"/>
  <c r="A1562" i="102"/>
  <c r="A1558" i="102"/>
  <c r="A1554" i="102"/>
  <c r="A1550" i="102"/>
  <c r="A1546" i="102"/>
  <c r="A1542" i="102"/>
  <c r="A1538" i="102"/>
  <c r="A1534" i="102"/>
  <c r="A1530" i="102"/>
  <c r="A1526" i="102"/>
  <c r="A1522" i="102"/>
  <c r="A1518" i="102"/>
  <c r="A1514" i="102"/>
  <c r="A1510" i="102"/>
  <c r="A1506" i="102"/>
  <c r="A1502" i="102"/>
  <c r="A1498" i="102"/>
  <c r="A1494" i="102"/>
  <c r="A1490" i="102"/>
  <c r="A1486" i="102"/>
  <c r="A1482" i="102"/>
  <c r="A1478" i="102"/>
  <c r="A1474" i="102"/>
  <c r="A1470" i="102"/>
  <c r="A1466" i="102"/>
  <c r="A1462" i="102"/>
  <c r="A1458" i="102"/>
  <c r="A1454" i="102"/>
  <c r="A1450" i="102"/>
  <c r="A1446" i="102"/>
  <c r="A1442" i="102"/>
  <c r="A1426" i="102"/>
  <c r="A1410" i="102"/>
  <c r="A1394" i="102"/>
  <c r="A1378" i="102"/>
  <c r="A1362" i="102"/>
  <c r="A1346" i="102"/>
  <c r="A1330" i="102"/>
  <c r="A1314" i="102"/>
  <c r="A1298" i="102"/>
  <c r="A1282" i="102"/>
  <c r="A1266" i="102"/>
  <c r="A1250" i="102"/>
  <c r="A1234" i="102"/>
  <c r="A1218" i="102"/>
  <c r="A1202" i="102"/>
  <c r="A1186" i="102"/>
  <c r="A1170" i="102"/>
  <c r="A1154" i="102"/>
  <c r="A1138" i="102"/>
  <c r="A1122" i="102"/>
  <c r="A1106" i="102"/>
  <c r="A1090" i="102"/>
  <c r="A1074" i="102"/>
  <c r="A1058" i="102"/>
  <c r="A1042" i="102"/>
  <c r="A1026" i="102"/>
  <c r="A1010" i="102"/>
  <c r="A994" i="102"/>
  <c r="A978" i="102"/>
  <c r="A962" i="102"/>
  <c r="A946" i="102"/>
  <c r="A930" i="102"/>
  <c r="A914" i="102"/>
  <c r="A898" i="102"/>
  <c r="A882" i="102"/>
  <c r="A866" i="102"/>
  <c r="A850" i="102"/>
  <c r="A834" i="102"/>
  <c r="A818" i="102"/>
  <c r="A802" i="102"/>
  <c r="A786" i="102"/>
  <c r="A770" i="102"/>
  <c r="A754" i="102"/>
  <c r="A738" i="102"/>
  <c r="A722" i="102"/>
  <c r="A706" i="102"/>
  <c r="A690" i="102"/>
  <c r="A674" i="102"/>
  <c r="A658" i="102"/>
  <c r="A642" i="102"/>
  <c r="A626" i="102"/>
  <c r="A610" i="102"/>
  <c r="A594" i="102"/>
  <c r="A578" i="102"/>
  <c r="A562" i="102"/>
  <c r="A546" i="102"/>
  <c r="A530" i="102"/>
  <c r="A514" i="102"/>
  <c r="A498" i="102"/>
  <c r="A482" i="102"/>
  <c r="A466" i="102"/>
  <c r="A450" i="102"/>
  <c r="A434" i="102"/>
  <c r="A418" i="102"/>
  <c r="A402" i="102"/>
  <c r="A386" i="102"/>
  <c r="A370" i="102"/>
  <c r="A354" i="102"/>
  <c r="A338" i="102"/>
  <c r="A322" i="102"/>
  <c r="A306" i="102"/>
  <c r="A290" i="102"/>
  <c r="A274" i="102"/>
  <c r="A258" i="102"/>
  <c r="A242" i="102"/>
  <c r="A226" i="102"/>
  <c r="A210" i="102"/>
  <c r="A194" i="102"/>
  <c r="A178" i="102"/>
  <c r="A162" i="102"/>
  <c r="A146" i="102"/>
  <c r="A130" i="102"/>
  <c r="A114" i="102"/>
  <c r="A98" i="102"/>
  <c r="A82" i="102"/>
  <c r="A66" i="102"/>
  <c r="A50" i="102"/>
  <c r="A34" i="102"/>
  <c r="A18" i="102"/>
  <c r="A1438" i="102"/>
  <c r="A1422" i="102"/>
  <c r="A1406" i="102"/>
  <c r="A1390" i="102"/>
  <c r="A1374" i="102"/>
  <c r="A1358" i="102"/>
  <c r="A1342" i="102"/>
  <c r="A1326" i="102"/>
  <c r="A1310" i="102"/>
  <c r="A1294" i="102"/>
  <c r="A1278" i="102"/>
  <c r="A1262" i="102"/>
  <c r="A1246" i="102"/>
  <c r="A1230" i="102"/>
  <c r="A1214" i="102"/>
  <c r="A1198" i="102"/>
  <c r="A1182" i="102"/>
  <c r="A1166" i="102"/>
  <c r="A1150" i="102"/>
  <c r="A1134" i="102"/>
  <c r="A1118" i="102"/>
  <c r="A1102" i="102"/>
  <c r="A1086" i="102"/>
  <c r="A1070" i="102"/>
  <c r="A1054" i="102"/>
  <c r="A1038" i="102"/>
  <c r="A1022" i="102"/>
  <c r="A1006" i="102"/>
  <c r="A990" i="102"/>
  <c r="A974" i="102"/>
  <c r="A958" i="102"/>
  <c r="A942" i="102"/>
  <c r="A926" i="102"/>
  <c r="A910" i="102"/>
  <c r="A894" i="102"/>
  <c r="A878" i="102"/>
  <c r="A862" i="102"/>
  <c r="A846" i="102"/>
  <c r="A830" i="102"/>
  <c r="A814" i="102"/>
  <c r="A798" i="102"/>
  <c r="A782" i="102"/>
  <c r="A766" i="102"/>
  <c r="A750" i="102"/>
  <c r="A734" i="102"/>
  <c r="A718" i="102"/>
  <c r="A702" i="102"/>
  <c r="A686" i="102"/>
  <c r="A670" i="102"/>
  <c r="A654" i="102"/>
  <c r="A638" i="102"/>
  <c r="A622" i="102"/>
  <c r="A606" i="102"/>
  <c r="A590" i="102"/>
  <c r="A574" i="102"/>
  <c r="A558" i="102"/>
  <c r="A542" i="102"/>
  <c r="A526" i="102"/>
  <c r="A510" i="102"/>
  <c r="A494" i="102"/>
  <c r="A478" i="102"/>
  <c r="A462" i="102"/>
  <c r="A446" i="102"/>
  <c r="A430" i="102"/>
  <c r="A414" i="102"/>
  <c r="A398" i="102"/>
  <c r="A382" i="102"/>
  <c r="A366" i="102"/>
  <c r="A350" i="102"/>
  <c r="A334" i="102"/>
  <c r="A318" i="102"/>
  <c r="A302" i="102"/>
  <c r="A286" i="102"/>
  <c r="A270" i="102"/>
  <c r="A254" i="102"/>
  <c r="A238" i="102"/>
  <c r="A222" i="102"/>
  <c r="A206" i="102"/>
  <c r="A190" i="102"/>
  <c r="A174" i="102"/>
  <c r="A158" i="102"/>
  <c r="A142" i="102"/>
  <c r="A126" i="102"/>
  <c r="A110" i="102"/>
  <c r="A94" i="102"/>
  <c r="A78" i="102"/>
  <c r="A62" i="102"/>
  <c r="A46" i="102"/>
  <c r="A30" i="102"/>
  <c r="A14" i="102"/>
  <c r="A1434" i="102"/>
  <c r="A1418" i="102"/>
  <c r="A1402" i="102"/>
  <c r="A1386" i="102"/>
  <c r="A1370" i="102"/>
  <c r="A1354" i="102"/>
  <c r="A1338" i="102"/>
  <c r="A1322" i="102"/>
  <c r="A1306" i="102"/>
  <c r="A1290" i="102"/>
  <c r="A1274" i="102"/>
  <c r="A1258" i="102"/>
  <c r="A1242" i="102"/>
  <c r="A1226" i="102"/>
  <c r="A1210" i="102"/>
  <c r="A1194" i="102"/>
  <c r="A1178" i="102"/>
  <c r="A1162" i="102"/>
  <c r="A1146" i="102"/>
  <c r="A1130" i="102"/>
  <c r="A1114" i="102"/>
  <c r="A1098" i="102"/>
  <c r="A1082" i="102"/>
  <c r="A1066" i="102"/>
  <c r="A1050" i="102"/>
  <c r="A1034" i="102"/>
  <c r="A1018" i="102"/>
  <c r="A1002" i="102"/>
  <c r="A986" i="102"/>
  <c r="A970" i="102"/>
  <c r="A954" i="102"/>
  <c r="A938" i="102"/>
  <c r="A922" i="102"/>
  <c r="A906" i="102"/>
  <c r="A890" i="102"/>
  <c r="A874" i="102"/>
  <c r="A858" i="102"/>
  <c r="A842" i="102"/>
  <c r="A826" i="102"/>
  <c r="A810" i="102"/>
  <c r="A794" i="102"/>
  <c r="A778" i="102"/>
  <c r="A762" i="102"/>
  <c r="A746" i="102"/>
  <c r="A730" i="102"/>
  <c r="A714" i="102"/>
  <c r="A698" i="102"/>
  <c r="A682" i="102"/>
  <c r="A666" i="102"/>
  <c r="A650" i="102"/>
  <c r="A634" i="102"/>
  <c r="A618" i="102"/>
  <c r="A602" i="102"/>
  <c r="A586" i="102"/>
  <c r="A570" i="102"/>
  <c r="A554" i="102"/>
  <c r="A538" i="102"/>
  <c r="A522" i="102"/>
  <c r="A506" i="102"/>
  <c r="A490" i="102"/>
  <c r="A474" i="102"/>
  <c r="A458" i="102"/>
  <c r="A442" i="102"/>
  <c r="A426" i="102"/>
  <c r="A410" i="102"/>
  <c r="A394" i="102"/>
  <c r="A378" i="102"/>
  <c r="A362" i="102"/>
  <c r="A346" i="102"/>
  <c r="A330" i="102"/>
  <c r="A314" i="102"/>
  <c r="A298" i="102"/>
  <c r="A282" i="102"/>
  <c r="A266" i="102"/>
  <c r="A250" i="102"/>
  <c r="A234" i="102"/>
  <c r="A218" i="102"/>
  <c r="A202" i="102"/>
  <c r="A186" i="102"/>
  <c r="A170" i="102"/>
  <c r="A154" i="102"/>
  <c r="A138" i="102"/>
  <c r="A122" i="102"/>
  <c r="A106" i="102"/>
  <c r="A90" i="102"/>
  <c r="A74" i="102"/>
  <c r="A58" i="102"/>
  <c r="A42" i="102"/>
  <c r="A26" i="102"/>
  <c r="A10" i="102"/>
  <c r="A1430" i="102"/>
  <c r="A1414" i="102"/>
  <c r="A1398" i="102"/>
  <c r="A1382" i="102"/>
  <c r="A1366" i="102"/>
  <c r="A1350" i="102"/>
  <c r="A1334" i="102"/>
  <c r="A1318" i="102"/>
  <c r="A1302" i="102"/>
  <c r="A1286" i="102"/>
  <c r="A1270" i="102"/>
  <c r="A1254" i="102"/>
  <c r="A1238" i="102"/>
  <c r="A1222" i="102"/>
  <c r="A1206" i="102"/>
  <c r="A1190" i="102"/>
  <c r="A1174" i="102"/>
  <c r="A1158" i="102"/>
  <c r="A1142" i="102"/>
  <c r="A1126" i="102"/>
  <c r="A1110" i="102"/>
  <c r="A1094" i="102"/>
  <c r="A1078" i="102"/>
  <c r="A1062" i="102"/>
  <c r="A1046" i="102"/>
  <c r="A1030" i="102"/>
  <c r="A1014" i="102"/>
  <c r="A998" i="102"/>
  <c r="A982" i="102"/>
  <c r="A966" i="102"/>
  <c r="A950" i="102"/>
  <c r="A934" i="102"/>
  <c r="A918" i="102"/>
  <c r="A902" i="102"/>
  <c r="A886" i="102"/>
  <c r="A870" i="102"/>
  <c r="A854" i="102"/>
  <c r="A838" i="102"/>
  <c r="A822" i="102"/>
  <c r="A806" i="102"/>
  <c r="A790" i="102"/>
  <c r="A774" i="102"/>
  <c r="A758" i="102"/>
  <c r="A742" i="102"/>
  <c r="A726" i="102"/>
  <c r="A710" i="102"/>
  <c r="A694" i="102"/>
  <c r="A678" i="102"/>
  <c r="A662" i="102"/>
  <c r="A646" i="102"/>
  <c r="A630" i="102"/>
  <c r="A614" i="102"/>
  <c r="A598" i="102"/>
  <c r="A582" i="102"/>
  <c r="A566" i="102"/>
  <c r="A550" i="102"/>
  <c r="A534" i="102"/>
  <c r="A518" i="102"/>
  <c r="A502" i="102"/>
  <c r="A486" i="102"/>
  <c r="A470" i="102"/>
  <c r="A454" i="102"/>
  <c r="A438" i="102"/>
  <c r="A422" i="102"/>
  <c r="A406" i="102"/>
  <c r="A390" i="102"/>
  <c r="A374" i="102"/>
  <c r="A358" i="102"/>
  <c r="A342" i="102"/>
  <c r="A326" i="102"/>
  <c r="A310" i="102"/>
  <c r="A294" i="102"/>
  <c r="A278" i="102"/>
  <c r="A262" i="102"/>
  <c r="A246" i="102"/>
  <c r="A230" i="102"/>
  <c r="A214" i="102"/>
  <c r="A198" i="102"/>
  <c r="A182" i="102"/>
  <c r="A166" i="102"/>
  <c r="A150" i="102"/>
  <c r="A134" i="102"/>
  <c r="A118" i="102"/>
  <c r="A102" i="102"/>
  <c r="A86" i="102"/>
  <c r="A70" i="102"/>
  <c r="A54" i="102"/>
  <c r="A38" i="102"/>
  <c r="A22" i="102"/>
  <c r="A6" i="102"/>
  <c r="B1940" i="111"/>
  <c r="B1936" i="111"/>
  <c r="B1932" i="111"/>
  <c r="B1928" i="111"/>
  <c r="B1924" i="111"/>
  <c r="B1920" i="111"/>
  <c r="B1916" i="111"/>
  <c r="B1912" i="111"/>
  <c r="B1908" i="111"/>
  <c r="B1904" i="111"/>
  <c r="B1900" i="111"/>
  <c r="B1896" i="111"/>
  <c r="B1892" i="111"/>
  <c r="B1888" i="111"/>
  <c r="B1884" i="111"/>
  <c r="B1880" i="111"/>
  <c r="B1876" i="111"/>
  <c r="B1872" i="111"/>
  <c r="B1868" i="111"/>
  <c r="B1864" i="111"/>
  <c r="B1860" i="111"/>
  <c r="B1856" i="111"/>
  <c r="B1852" i="111"/>
  <c r="B1848" i="111"/>
  <c r="B1844" i="111"/>
  <c r="B1840" i="111"/>
  <c r="B1836" i="111"/>
  <c r="B1832" i="111"/>
  <c r="B1828" i="111"/>
  <c r="B1824" i="111"/>
  <c r="B1820" i="111"/>
  <c r="B1816" i="111"/>
  <c r="B1812" i="111"/>
  <c r="B1808" i="111"/>
  <c r="B1804" i="111"/>
  <c r="B1800" i="111"/>
  <c r="B1796" i="111"/>
  <c r="B1792" i="111"/>
  <c r="B1788" i="111"/>
  <c r="B1784" i="111"/>
  <c r="B1780" i="111"/>
  <c r="B1776" i="111"/>
  <c r="B1772" i="111"/>
  <c r="B1768" i="111"/>
  <c r="B1764" i="111"/>
  <c r="B1760" i="111"/>
  <c r="B1756" i="111"/>
  <c r="B1752" i="111"/>
  <c r="B1748" i="111"/>
  <c r="B1744" i="111"/>
  <c r="B1740" i="111"/>
  <c r="B1736" i="111"/>
  <c r="B1732" i="111"/>
  <c r="B1728" i="111"/>
  <c r="B1724" i="111"/>
  <c r="B1720" i="111"/>
  <c r="B1716" i="111"/>
  <c r="B1712" i="111"/>
  <c r="B1708" i="111"/>
  <c r="B1704" i="111"/>
  <c r="B1700" i="111"/>
  <c r="B1696" i="111"/>
  <c r="B1692" i="111"/>
  <c r="B1688" i="111"/>
  <c r="B1684" i="111"/>
  <c r="B1680" i="111"/>
  <c r="B1676" i="111"/>
  <c r="B1672" i="111"/>
  <c r="B1668" i="111"/>
  <c r="B1664" i="111"/>
  <c r="B1660" i="111"/>
  <c r="B1656" i="111"/>
  <c r="B1652" i="111"/>
  <c r="B1648" i="111"/>
  <c r="B1644" i="111"/>
  <c r="B1640" i="111"/>
  <c r="B1636" i="111"/>
  <c r="B1632" i="111"/>
  <c r="B1628" i="111"/>
  <c r="B1624" i="111"/>
  <c r="B1620" i="111"/>
  <c r="B1616" i="111"/>
  <c r="B1612" i="111"/>
  <c r="B1608" i="111"/>
  <c r="B1604" i="111"/>
  <c r="B1939" i="111"/>
  <c r="B1935" i="111"/>
  <c r="B1931" i="111"/>
  <c r="B1927" i="111"/>
  <c r="B1923" i="111"/>
  <c r="B1919" i="111"/>
  <c r="B1915" i="111"/>
  <c r="B1911" i="111"/>
  <c r="B1907" i="111"/>
  <c r="B1903" i="111"/>
  <c r="B1899" i="111"/>
  <c r="B1895" i="111"/>
  <c r="B1891" i="111"/>
  <c r="B1887" i="111"/>
  <c r="B1883" i="111"/>
  <c r="B1879" i="111"/>
  <c r="B1875" i="111"/>
  <c r="B1871" i="111"/>
  <c r="B1867" i="111"/>
  <c r="B1863" i="111"/>
  <c r="B1859" i="111"/>
  <c r="B1855" i="111"/>
  <c r="B1851" i="111"/>
  <c r="B1847" i="111"/>
  <c r="B1843" i="111"/>
  <c r="B1839" i="111"/>
  <c r="B1835" i="111"/>
  <c r="B1831" i="111"/>
  <c r="B1827" i="111"/>
  <c r="B1823" i="111"/>
  <c r="B1819" i="111"/>
  <c r="B1815" i="111"/>
  <c r="B1811" i="111"/>
  <c r="B1807" i="111"/>
  <c r="B1803" i="111"/>
  <c r="B1799" i="111"/>
  <c r="B1795" i="111"/>
  <c r="B1791" i="111"/>
  <c r="B1787" i="111"/>
  <c r="B1783" i="111"/>
  <c r="B1779" i="111"/>
  <c r="B1775" i="111"/>
  <c r="B1771" i="111"/>
  <c r="B1767" i="111"/>
  <c r="B1763" i="111"/>
  <c r="B1759" i="111"/>
  <c r="B1755" i="111"/>
  <c r="B1751" i="111"/>
  <c r="B1747" i="111"/>
  <c r="B1743" i="111"/>
  <c r="B1739" i="111"/>
  <c r="B1735" i="111"/>
  <c r="B1731" i="111"/>
  <c r="B1727" i="111"/>
  <c r="B1723" i="111"/>
  <c r="B1719" i="111"/>
  <c r="B1715" i="111"/>
  <c r="B1711" i="111"/>
  <c r="B1707" i="111"/>
  <c r="B1703" i="111"/>
  <c r="B1699" i="111"/>
  <c r="B1695" i="111"/>
  <c r="B1691" i="111"/>
  <c r="B1687" i="111"/>
  <c r="B1683" i="111"/>
  <c r="B1679" i="111"/>
  <c r="B1675" i="111"/>
  <c r="B1671" i="111"/>
  <c r="B1667" i="111"/>
  <c r="B1663" i="111"/>
  <c r="B1659" i="111"/>
  <c r="B1655" i="111"/>
  <c r="B1651" i="111"/>
  <c r="B1647" i="111"/>
  <c r="B1643" i="111"/>
  <c r="B1639" i="111"/>
  <c r="B1635" i="111"/>
  <c r="B1631" i="111"/>
  <c r="B1627" i="111"/>
  <c r="B1623" i="111"/>
  <c r="B1619" i="111"/>
  <c r="B1615" i="111"/>
  <c r="B1611" i="111"/>
  <c r="B1607" i="111"/>
  <c r="B1603" i="111"/>
  <c r="B1938" i="111"/>
  <c r="B1934" i="111"/>
  <c r="B1930" i="111"/>
  <c r="B1926" i="111"/>
  <c r="B1922" i="111"/>
  <c r="B1918" i="111"/>
  <c r="B1914" i="111"/>
  <c r="B1910" i="111"/>
  <c r="B1906" i="111"/>
  <c r="B1902" i="111"/>
  <c r="B1898" i="111"/>
  <c r="B1894" i="111"/>
  <c r="B1890" i="111"/>
  <c r="B1886" i="111"/>
  <c r="B1882" i="111"/>
  <c r="B1878" i="111"/>
  <c r="B1874" i="111"/>
  <c r="B1870" i="111"/>
  <c r="B1866" i="111"/>
  <c r="B1862" i="111"/>
  <c r="B1858" i="111"/>
  <c r="B1854" i="111"/>
  <c r="B1850" i="111"/>
  <c r="B1846" i="111"/>
  <c r="B1842" i="111"/>
  <c r="B1838" i="111"/>
  <c r="B1834" i="111"/>
  <c r="B1830" i="111"/>
  <c r="B1826" i="111"/>
  <c r="B1822" i="111"/>
  <c r="B1818" i="111"/>
  <c r="B1814" i="111"/>
  <c r="B1810" i="111"/>
  <c r="B1806" i="111"/>
  <c r="B1802" i="111"/>
  <c r="B1798" i="111"/>
  <c r="B1794" i="111"/>
  <c r="B1790" i="111"/>
  <c r="B1786" i="111"/>
  <c r="B1782" i="111"/>
  <c r="B1778" i="111"/>
  <c r="B1774" i="111"/>
  <c r="B1770" i="111"/>
  <c r="B1766" i="111"/>
  <c r="B1762" i="111"/>
  <c r="B1758" i="111"/>
  <c r="B1754" i="111"/>
  <c r="B1750" i="111"/>
  <c r="B1746" i="111"/>
  <c r="B1742" i="111"/>
  <c r="B1738" i="111"/>
  <c r="B1734" i="111"/>
  <c r="B1730" i="111"/>
  <c r="B1726" i="111"/>
  <c r="B1722" i="111"/>
  <c r="B1718" i="111"/>
  <c r="B1714" i="111"/>
  <c r="B1710" i="111"/>
  <c r="B1706" i="111"/>
  <c r="B1702" i="111"/>
  <c r="B1698" i="111"/>
  <c r="B1694" i="111"/>
  <c r="B1690" i="111"/>
  <c r="B1686" i="111"/>
  <c r="B1682" i="111"/>
  <c r="B1678" i="111"/>
  <c r="B1674" i="111"/>
  <c r="B1670" i="111"/>
  <c r="B1666" i="111"/>
  <c r="B1662" i="111"/>
  <c r="B1658" i="111"/>
  <c r="B1654" i="111"/>
  <c r="B1650" i="111"/>
  <c r="B1646" i="111"/>
  <c r="B1642" i="111"/>
  <c r="B1638" i="111"/>
  <c r="B1634" i="111"/>
  <c r="B1630" i="111"/>
  <c r="B1626" i="111"/>
  <c r="B1622" i="111"/>
  <c r="B1618" i="111"/>
  <c r="B1614" i="111"/>
  <c r="B1610" i="111"/>
  <c r="B1606" i="111"/>
  <c r="B1602" i="111"/>
  <c r="B1937" i="111"/>
  <c r="B1933" i="111"/>
  <c r="B1929" i="111"/>
  <c r="B1925" i="111"/>
  <c r="B1921" i="111"/>
  <c r="B1917" i="111"/>
  <c r="B1913" i="111"/>
  <c r="B1909" i="111"/>
  <c r="B1905" i="111"/>
  <c r="B1901" i="111"/>
  <c r="B1897" i="111"/>
  <c r="B1893" i="111"/>
  <c r="B1889" i="111"/>
  <c r="B1885" i="111"/>
  <c r="B1881" i="111"/>
  <c r="B1877" i="111"/>
  <c r="B1873" i="111"/>
  <c r="B1869" i="111"/>
  <c r="B1865" i="111"/>
  <c r="B1861" i="111"/>
  <c r="B1857" i="111"/>
  <c r="B1853" i="111"/>
  <c r="B1849" i="111"/>
  <c r="B1845" i="111"/>
  <c r="B1841" i="111"/>
  <c r="B1837" i="111"/>
  <c r="B1833" i="111"/>
  <c r="B1829" i="111"/>
  <c r="B1825" i="111"/>
  <c r="B1821" i="111"/>
  <c r="B1817" i="111"/>
  <c r="B1813" i="111"/>
  <c r="B1809" i="111"/>
  <c r="B1805" i="111"/>
  <c r="B1801" i="111"/>
  <c r="B1797" i="111"/>
  <c r="B1793" i="111"/>
  <c r="B1789" i="111"/>
  <c r="B1785" i="111"/>
  <c r="B1781" i="111"/>
  <c r="B1777" i="111"/>
  <c r="B1773" i="111"/>
  <c r="B1769" i="111"/>
  <c r="B1765" i="111"/>
  <c r="B1761" i="111"/>
  <c r="B1757" i="111"/>
  <c r="B1753" i="111"/>
  <c r="B1749" i="111"/>
  <c r="B1745" i="111"/>
  <c r="B1741" i="111"/>
  <c r="B1737" i="111"/>
  <c r="B1733" i="111"/>
  <c r="B1729" i="111"/>
  <c r="B1725" i="111"/>
  <c r="B1721" i="111"/>
  <c r="B1717" i="111"/>
  <c r="B1713" i="111"/>
  <c r="B1709" i="111"/>
  <c r="B1705" i="111"/>
  <c r="B1701" i="111"/>
  <c r="B1697" i="111"/>
  <c r="B1693" i="111"/>
  <c r="B1689" i="111"/>
  <c r="B1685" i="111"/>
  <c r="B1681" i="111"/>
  <c r="B1677" i="111"/>
  <c r="B1673" i="111"/>
  <c r="B1669" i="111"/>
  <c r="B1665" i="111"/>
  <c r="B1661" i="111"/>
  <c r="B1657" i="111"/>
  <c r="B1653" i="111"/>
  <c r="B1649" i="111"/>
  <c r="B1645" i="111"/>
  <c r="B1641" i="111"/>
  <c r="B1637" i="111"/>
  <c r="B1633" i="111"/>
  <c r="B1629" i="111"/>
  <c r="B1625" i="111"/>
  <c r="B1621" i="111"/>
  <c r="B1617" i="111"/>
  <c r="B1613" i="111"/>
  <c r="B1609" i="111"/>
  <c r="B1605" i="111"/>
  <c r="B1601" i="111"/>
  <c r="B1600" i="111"/>
  <c r="B1596" i="111"/>
  <c r="B1592" i="111"/>
  <c r="B1588" i="111"/>
  <c r="B1584" i="111"/>
  <c r="B1580" i="111"/>
  <c r="B1576" i="111"/>
  <c r="B1572" i="111"/>
  <c r="B1568" i="111"/>
  <c r="B1564" i="111"/>
  <c r="B1560" i="111"/>
  <c r="B1556" i="111"/>
  <c r="B1552" i="111"/>
  <c r="B1548" i="111"/>
  <c r="B1544" i="111"/>
  <c r="B1540" i="111"/>
  <c r="B1536" i="111"/>
  <c r="B1532" i="111"/>
  <c r="B1528" i="111"/>
  <c r="B1524" i="111"/>
  <c r="B1520" i="111"/>
  <c r="B1516" i="111"/>
  <c r="B1512" i="111"/>
  <c r="B1508" i="111"/>
  <c r="B1504" i="111"/>
  <c r="B1500" i="111"/>
  <c r="B1496" i="111"/>
  <c r="B1492" i="111"/>
  <c r="B1488" i="111"/>
  <c r="B1484" i="111"/>
  <c r="B1480" i="111"/>
  <c r="B1476" i="111"/>
  <c r="B1472" i="111"/>
  <c r="B1468" i="111"/>
  <c r="B1464" i="111"/>
  <c r="B1460" i="111"/>
  <c r="B1456" i="111"/>
  <c r="B1452" i="111"/>
  <c r="B1448" i="111"/>
  <c r="B1444" i="111"/>
  <c r="B1440" i="111"/>
  <c r="B1436" i="111"/>
  <c r="B1432" i="111"/>
  <c r="B1428" i="111"/>
  <c r="B1424" i="111"/>
  <c r="B1420" i="111"/>
  <c r="B1416" i="111"/>
  <c r="B1412" i="111"/>
  <c r="B1408" i="111"/>
  <c r="B1404" i="111"/>
  <c r="B1400" i="111"/>
  <c r="B1396" i="111"/>
  <c r="B1392" i="111"/>
  <c r="B1388" i="111"/>
  <c r="B1384" i="111"/>
  <c r="B1380" i="111"/>
  <c r="B1376" i="111"/>
  <c r="B1372" i="111"/>
  <c r="B1368" i="111"/>
  <c r="B1364" i="111"/>
  <c r="B1360" i="111"/>
  <c r="B1356" i="111"/>
  <c r="B1352" i="111"/>
  <c r="B1348" i="111"/>
  <c r="B1344" i="111"/>
  <c r="B1340" i="111"/>
  <c r="B1336" i="111"/>
  <c r="B1332" i="111"/>
  <c r="B1328" i="111"/>
  <c r="B1324" i="111"/>
  <c r="B1320" i="111"/>
  <c r="B1316" i="111"/>
  <c r="B1312" i="111"/>
  <c r="B1308" i="111"/>
  <c r="B1304" i="111"/>
  <c r="B1300" i="111"/>
  <c r="B1296" i="111"/>
  <c r="B1292" i="111"/>
  <c r="B1288" i="111"/>
  <c r="B1284" i="111"/>
  <c r="B1280" i="111"/>
  <c r="B1276" i="111"/>
  <c r="B1272" i="111"/>
  <c r="B1268" i="111"/>
  <c r="B1264" i="111"/>
  <c r="B1260" i="111"/>
  <c r="B1599" i="111"/>
  <c r="B1595" i="111"/>
  <c r="B1591" i="111"/>
  <c r="B1587" i="111"/>
  <c r="B1583" i="111"/>
  <c r="B1579" i="111"/>
  <c r="B1575" i="111"/>
  <c r="B1571" i="111"/>
  <c r="B1567" i="111"/>
  <c r="B1563" i="111"/>
  <c r="B1559" i="111"/>
  <c r="B1555" i="111"/>
  <c r="B1551" i="111"/>
  <c r="B1547" i="111"/>
  <c r="B1543" i="111"/>
  <c r="B1539" i="111"/>
  <c r="B1535" i="111"/>
  <c r="B1531" i="111"/>
  <c r="B1527" i="111"/>
  <c r="B1523" i="111"/>
  <c r="B1519" i="111"/>
  <c r="B1515" i="111"/>
  <c r="B1511" i="111"/>
  <c r="B1507" i="111"/>
  <c r="B1503" i="111"/>
  <c r="B1499" i="111"/>
  <c r="B1495" i="111"/>
  <c r="B1491" i="111"/>
  <c r="B1487" i="111"/>
  <c r="B1483" i="111"/>
  <c r="B1479" i="111"/>
  <c r="B1475" i="111"/>
  <c r="B1471" i="111"/>
  <c r="B1467" i="111"/>
  <c r="B1463" i="111"/>
  <c r="B1459" i="111"/>
  <c r="B1455" i="111"/>
  <c r="B1451" i="111"/>
  <c r="B1447" i="111"/>
  <c r="B1443" i="111"/>
  <c r="B1439" i="111"/>
  <c r="B1435" i="111"/>
  <c r="B1431" i="111"/>
  <c r="B1427" i="111"/>
  <c r="B1423" i="111"/>
  <c r="B1419" i="111"/>
  <c r="B1415" i="111"/>
  <c r="B1411" i="111"/>
  <c r="B1407" i="111"/>
  <c r="B1403" i="111"/>
  <c r="B1399" i="111"/>
  <c r="B1395" i="111"/>
  <c r="B1391" i="111"/>
  <c r="B1387" i="111"/>
  <c r="B1383" i="111"/>
  <c r="B1379" i="111"/>
  <c r="B1375" i="111"/>
  <c r="B1371" i="111"/>
  <c r="B1367" i="111"/>
  <c r="B1363" i="111"/>
  <c r="B1359" i="111"/>
  <c r="B1355" i="111"/>
  <c r="B1351" i="111"/>
  <c r="B1347" i="111"/>
  <c r="B1343" i="111"/>
  <c r="B1339" i="111"/>
  <c r="B1335" i="111"/>
  <c r="B1331" i="111"/>
  <c r="B1327" i="111"/>
  <c r="B1323" i="111"/>
  <c r="B1319" i="111"/>
  <c r="B1315" i="111"/>
  <c r="B1311" i="111"/>
  <c r="B1307" i="111"/>
  <c r="B1303" i="111"/>
  <c r="B1299" i="111"/>
  <c r="B1295" i="111"/>
  <c r="B1291" i="111"/>
  <c r="B1287" i="111"/>
  <c r="B1283" i="111"/>
  <c r="B1279" i="111"/>
  <c r="B1275" i="111"/>
  <c r="B1271" i="111"/>
  <c r="B1267" i="111"/>
  <c r="B1263" i="111"/>
  <c r="B1259" i="111"/>
  <c r="B1598" i="111"/>
  <c r="B1594" i="111"/>
  <c r="B1590" i="111"/>
  <c r="B1586" i="111"/>
  <c r="B1582" i="111"/>
  <c r="B1578" i="111"/>
  <c r="B1574" i="111"/>
  <c r="B1570" i="111"/>
  <c r="B1566" i="111"/>
  <c r="B1562" i="111"/>
  <c r="B1558" i="111"/>
  <c r="B1554" i="111"/>
  <c r="B1550" i="111"/>
  <c r="B1546" i="111"/>
  <c r="B1542" i="111"/>
  <c r="B1538" i="111"/>
  <c r="B1534" i="111"/>
  <c r="B1530" i="111"/>
  <c r="B1526" i="111"/>
  <c r="B1522" i="111"/>
  <c r="B1518" i="111"/>
  <c r="B1514" i="111"/>
  <c r="B1510" i="111"/>
  <c r="B1506" i="111"/>
  <c r="B1502" i="111"/>
  <c r="B1498" i="111"/>
  <c r="B1494" i="111"/>
  <c r="B1490" i="111"/>
  <c r="B1486" i="111"/>
  <c r="B1482" i="111"/>
  <c r="B1478" i="111"/>
  <c r="B1474" i="111"/>
  <c r="B1470" i="111"/>
  <c r="B1466" i="111"/>
  <c r="B1462" i="111"/>
  <c r="B1458" i="111"/>
  <c r="B1454" i="111"/>
  <c r="B1450" i="111"/>
  <c r="B1446" i="111"/>
  <c r="B1442" i="111"/>
  <c r="B1438" i="111"/>
  <c r="B1434" i="111"/>
  <c r="B1430" i="111"/>
  <c r="B1426" i="111"/>
  <c r="B1422" i="111"/>
  <c r="B1418" i="111"/>
  <c r="B1414" i="111"/>
  <c r="B1410" i="111"/>
  <c r="B1406" i="111"/>
  <c r="B1402" i="111"/>
  <c r="B1398" i="111"/>
  <c r="B1394" i="111"/>
  <c r="B1390" i="111"/>
  <c r="B1386" i="111"/>
  <c r="B1382" i="111"/>
  <c r="B1378" i="111"/>
  <c r="B1374" i="111"/>
  <c r="B1370" i="111"/>
  <c r="B1366" i="111"/>
  <c r="B1362" i="111"/>
  <c r="B1358" i="111"/>
  <c r="B1354" i="111"/>
  <c r="B1350" i="111"/>
  <c r="B1346" i="111"/>
  <c r="B1342" i="111"/>
  <c r="B1338" i="111"/>
  <c r="B1334" i="111"/>
  <c r="B1330" i="111"/>
  <c r="B1326" i="111"/>
  <c r="B1322" i="111"/>
  <c r="B1318" i="111"/>
  <c r="B1314" i="111"/>
  <c r="B1310" i="111"/>
  <c r="B1306" i="111"/>
  <c r="B1302" i="111"/>
  <c r="B1298" i="111"/>
  <c r="B1294" i="111"/>
  <c r="B1290" i="111"/>
  <c r="B1286" i="111"/>
  <c r="B1282" i="111"/>
  <c r="B1278" i="111"/>
  <c r="B1274" i="111"/>
  <c r="B1270" i="111"/>
  <c r="B1266" i="111"/>
  <c r="B1262" i="111"/>
  <c r="B1597" i="111"/>
  <c r="B1593" i="111"/>
  <c r="B1589" i="111"/>
  <c r="B1585" i="111"/>
  <c r="B1581" i="111"/>
  <c r="B1577" i="111"/>
  <c r="B1573" i="111"/>
  <c r="B1569" i="111"/>
  <c r="B1565" i="111"/>
  <c r="B1561" i="111"/>
  <c r="B1557" i="111"/>
  <c r="B1553" i="111"/>
  <c r="B1549" i="111"/>
  <c r="B1545" i="111"/>
  <c r="B1541" i="111"/>
  <c r="B1537" i="111"/>
  <c r="B1533" i="111"/>
  <c r="B1529" i="111"/>
  <c r="B1525" i="111"/>
  <c r="B1521" i="111"/>
  <c r="B1517" i="111"/>
  <c r="B1513" i="111"/>
  <c r="B1509" i="111"/>
  <c r="B1505" i="111"/>
  <c r="B1501" i="111"/>
  <c r="B1497" i="111"/>
  <c r="B1493" i="111"/>
  <c r="B1489" i="111"/>
  <c r="B1485" i="111"/>
  <c r="B1481" i="111"/>
  <c r="B1477" i="111"/>
  <c r="B1473" i="111"/>
  <c r="B1469" i="111"/>
  <c r="B1465" i="111"/>
  <c r="B1461" i="111"/>
  <c r="B1457" i="111"/>
  <c r="B1453" i="111"/>
  <c r="B1449" i="111"/>
  <c r="B1445" i="111"/>
  <c r="B1441" i="111"/>
  <c r="B1437" i="111"/>
  <c r="B1433" i="111"/>
  <c r="B1429" i="111"/>
  <c r="B1425" i="111"/>
  <c r="B1421" i="111"/>
  <c r="B1417" i="111"/>
  <c r="B1413" i="111"/>
  <c r="B1409" i="111"/>
  <c r="B1405" i="111"/>
  <c r="B1401" i="111"/>
  <c r="B1397" i="111"/>
  <c r="B1393" i="111"/>
  <c r="B1389" i="111"/>
  <c r="B1385" i="111"/>
  <c r="B1381" i="111"/>
  <c r="B1377" i="111"/>
  <c r="B1373" i="111"/>
  <c r="B1369" i="111"/>
  <c r="B1365" i="111"/>
  <c r="B1361" i="111"/>
  <c r="B1357" i="111"/>
  <c r="B1353" i="111"/>
  <c r="B1349" i="111"/>
  <c r="B1345" i="111"/>
  <c r="B1341" i="111"/>
  <c r="B1337" i="111"/>
  <c r="B1333" i="111"/>
  <c r="B1329" i="111"/>
  <c r="B1325" i="111"/>
  <c r="B1321" i="111"/>
  <c r="B1317" i="111"/>
  <c r="B1313" i="111"/>
  <c r="B1309" i="111"/>
  <c r="B1305" i="111"/>
  <c r="B1301" i="111"/>
  <c r="B1297" i="111"/>
  <c r="B1293" i="111"/>
  <c r="B1289" i="111"/>
  <c r="B1285" i="111"/>
  <c r="B1281" i="111"/>
  <c r="B1277" i="111"/>
  <c r="B1273" i="111"/>
  <c r="B1269" i="111"/>
  <c r="B1265" i="111"/>
  <c r="B1261" i="111"/>
  <c r="B1258" i="111"/>
  <c r="B1254" i="111"/>
  <c r="B1250" i="111"/>
  <c r="B1246" i="111"/>
  <c r="B1242" i="111"/>
  <c r="B1238" i="111"/>
  <c r="B1234" i="111"/>
  <c r="B1230" i="111"/>
  <c r="B1226" i="111"/>
  <c r="B1222" i="111"/>
  <c r="B1218" i="111"/>
  <c r="B1214" i="111"/>
  <c r="B1210" i="111"/>
  <c r="B1206" i="111"/>
  <c r="B1202" i="111"/>
  <c r="B1198" i="111"/>
  <c r="B1194" i="111"/>
  <c r="B1190" i="111"/>
  <c r="B1186" i="111"/>
  <c r="B1182" i="111"/>
  <c r="B1178" i="111"/>
  <c r="B1174" i="111"/>
  <c r="B1170" i="111"/>
  <c r="B1166" i="111"/>
  <c r="B1162" i="111"/>
  <c r="B1158" i="111"/>
  <c r="B1154" i="111"/>
  <c r="B1150" i="111"/>
  <c r="B1146" i="111"/>
  <c r="B1142" i="111"/>
  <c r="B1138" i="111"/>
  <c r="B1134" i="111"/>
  <c r="B1130" i="111"/>
  <c r="B1126" i="111"/>
  <c r="B1122" i="111"/>
  <c r="B1118" i="111"/>
  <c r="B1114" i="111"/>
  <c r="B1110" i="111"/>
  <c r="B1106" i="111"/>
  <c r="B1102" i="111"/>
  <c r="B1098" i="111"/>
  <c r="B1094" i="111"/>
  <c r="B1090" i="111"/>
  <c r="B1086" i="111"/>
  <c r="B1082" i="111"/>
  <c r="B1078" i="111"/>
  <c r="B1074" i="111"/>
  <c r="B1070" i="111"/>
  <c r="B1066" i="111"/>
  <c r="B1062" i="111"/>
  <c r="B1058" i="111"/>
  <c r="B1054" i="111"/>
  <c r="B1050" i="111"/>
  <c r="B1046" i="111"/>
  <c r="B1042" i="111"/>
  <c r="B1038" i="111"/>
  <c r="B1034" i="111"/>
  <c r="B1030" i="111"/>
  <c r="B1026" i="111"/>
  <c r="B1022" i="111"/>
  <c r="B1018" i="111"/>
  <c r="B1014" i="111"/>
  <c r="B1010" i="111"/>
  <c r="B1006" i="111"/>
  <c r="B1002" i="111"/>
  <c r="B998" i="111"/>
  <c r="B994" i="111"/>
  <c r="B990" i="111"/>
  <c r="B986" i="111"/>
  <c r="B982" i="111"/>
  <c r="B978" i="111"/>
  <c r="B974" i="111"/>
  <c r="B970" i="111"/>
  <c r="B966" i="111"/>
  <c r="B962" i="111"/>
  <c r="B958" i="111"/>
  <c r="B954" i="111"/>
  <c r="B950" i="111"/>
  <c r="B946" i="111"/>
  <c r="B942" i="111"/>
  <c r="B938" i="111"/>
  <c r="B934" i="111"/>
  <c r="B930" i="111"/>
  <c r="B926" i="111"/>
  <c r="B922" i="111"/>
  <c r="B918" i="111"/>
  <c r="B1257" i="111"/>
  <c r="B1253" i="111"/>
  <c r="B1249" i="111"/>
  <c r="B1245" i="111"/>
  <c r="B1241" i="111"/>
  <c r="B1237" i="111"/>
  <c r="B1233" i="111"/>
  <c r="B1229" i="111"/>
  <c r="B1225" i="111"/>
  <c r="B1221" i="111"/>
  <c r="B1217" i="111"/>
  <c r="B1213" i="111"/>
  <c r="B1209" i="111"/>
  <c r="B1205" i="111"/>
  <c r="B1201" i="111"/>
  <c r="B1197" i="111"/>
  <c r="B1193" i="111"/>
  <c r="B1189" i="111"/>
  <c r="B1185" i="111"/>
  <c r="B1181" i="111"/>
  <c r="B1177" i="111"/>
  <c r="B1173" i="111"/>
  <c r="B1169" i="111"/>
  <c r="B1165" i="111"/>
  <c r="B1161" i="111"/>
  <c r="B1157" i="111"/>
  <c r="B1153" i="111"/>
  <c r="B1149" i="111"/>
  <c r="B1145" i="111"/>
  <c r="B1141" i="111"/>
  <c r="B1137" i="111"/>
  <c r="B1133" i="111"/>
  <c r="B1129" i="111"/>
  <c r="B1125" i="111"/>
  <c r="B1121" i="111"/>
  <c r="B1117" i="111"/>
  <c r="B1113" i="111"/>
  <c r="B1109" i="111"/>
  <c r="B1105" i="111"/>
  <c r="B1101" i="111"/>
  <c r="B1097" i="111"/>
  <c r="B1093" i="111"/>
  <c r="B1089" i="111"/>
  <c r="B1085" i="111"/>
  <c r="B1081" i="111"/>
  <c r="B1077" i="111"/>
  <c r="B1073" i="111"/>
  <c r="B1069" i="111"/>
  <c r="B1065" i="111"/>
  <c r="B1061" i="111"/>
  <c r="B1057" i="111"/>
  <c r="B1053" i="111"/>
  <c r="B1049" i="111"/>
  <c r="B1045" i="111"/>
  <c r="B1041" i="111"/>
  <c r="B1037" i="111"/>
  <c r="B1033" i="111"/>
  <c r="B1029" i="111"/>
  <c r="B1025" i="111"/>
  <c r="B1021" i="111"/>
  <c r="B1017" i="111"/>
  <c r="B1013" i="111"/>
  <c r="B1009" i="111"/>
  <c r="B1005" i="111"/>
  <c r="B1001" i="111"/>
  <c r="B997" i="111"/>
  <c r="B993" i="111"/>
  <c r="B989" i="111"/>
  <c r="B985" i="111"/>
  <c r="B981" i="111"/>
  <c r="B977" i="111"/>
  <c r="B973" i="111"/>
  <c r="B969" i="111"/>
  <c r="B965" i="111"/>
  <c r="B961" i="111"/>
  <c r="B957" i="111"/>
  <c r="B953" i="111"/>
  <c r="B949" i="111"/>
  <c r="B945" i="111"/>
  <c r="B941" i="111"/>
  <c r="B937" i="111"/>
  <c r="B933" i="111"/>
  <c r="B929" i="111"/>
  <c r="B925" i="111"/>
  <c r="B921" i="111"/>
  <c r="B917" i="111"/>
  <c r="B1256" i="111"/>
  <c r="B1252" i="111"/>
  <c r="B1248" i="111"/>
  <c r="B1244" i="111"/>
  <c r="B1240" i="111"/>
  <c r="B1236" i="111"/>
  <c r="B1232" i="111"/>
  <c r="B1228" i="111"/>
  <c r="B1224" i="111"/>
  <c r="B1220" i="111"/>
  <c r="B1216" i="111"/>
  <c r="B1212" i="111"/>
  <c r="B1208" i="111"/>
  <c r="B1204" i="111"/>
  <c r="B1200" i="111"/>
  <c r="B1196" i="111"/>
  <c r="B1192" i="111"/>
  <c r="B1188" i="111"/>
  <c r="B1184" i="111"/>
  <c r="B1180" i="111"/>
  <c r="B1176" i="111"/>
  <c r="B1172" i="111"/>
  <c r="B1168" i="111"/>
  <c r="B1164" i="111"/>
  <c r="B1160" i="111"/>
  <c r="B1156" i="111"/>
  <c r="B1152" i="111"/>
  <c r="B1148" i="111"/>
  <c r="B1144" i="111"/>
  <c r="B1140" i="111"/>
  <c r="B1136" i="111"/>
  <c r="B1132" i="111"/>
  <c r="B1128" i="111"/>
  <c r="B1124" i="111"/>
  <c r="B1120" i="111"/>
  <c r="B1116" i="111"/>
  <c r="B1112" i="111"/>
  <c r="B1108" i="111"/>
  <c r="B1104" i="111"/>
  <c r="B1100" i="111"/>
  <c r="B1096" i="111"/>
  <c r="B1092" i="111"/>
  <c r="B1088" i="111"/>
  <c r="B1084" i="111"/>
  <c r="B1080" i="111"/>
  <c r="B1076" i="111"/>
  <c r="B1072" i="111"/>
  <c r="B1068" i="111"/>
  <c r="B1064" i="111"/>
  <c r="B1060" i="111"/>
  <c r="B1056" i="111"/>
  <c r="B1052" i="111"/>
  <c r="B1048" i="111"/>
  <c r="B1044" i="111"/>
  <c r="B1040" i="111"/>
  <c r="B1036" i="111"/>
  <c r="B1032" i="111"/>
  <c r="B1028" i="111"/>
  <c r="B1024" i="111"/>
  <c r="B1020" i="111"/>
  <c r="B1016" i="111"/>
  <c r="B1012" i="111"/>
  <c r="B1008" i="111"/>
  <c r="B1004" i="111"/>
  <c r="B1000" i="111"/>
  <c r="B996" i="111"/>
  <c r="B992" i="111"/>
  <c r="B988" i="111"/>
  <c r="B984" i="111"/>
  <c r="B980" i="111"/>
  <c r="B976" i="111"/>
  <c r="B972" i="111"/>
  <c r="B968" i="111"/>
  <c r="B964" i="111"/>
  <c r="B960" i="111"/>
  <c r="B956" i="111"/>
  <c r="B952" i="111"/>
  <c r="B948" i="111"/>
  <c r="B944" i="111"/>
  <c r="B940" i="111"/>
  <c r="B936" i="111"/>
  <c r="B932" i="111"/>
  <c r="B928" i="111"/>
  <c r="B924" i="111"/>
  <c r="B920" i="111"/>
  <c r="B916" i="111"/>
  <c r="B1255" i="111"/>
  <c r="B1251" i="111"/>
  <c r="B1247" i="111"/>
  <c r="B1243" i="111"/>
  <c r="B1239" i="111"/>
  <c r="B1235" i="111"/>
  <c r="B1231" i="111"/>
  <c r="B1227" i="111"/>
  <c r="B1223" i="111"/>
  <c r="B1219" i="111"/>
  <c r="B1215" i="111"/>
  <c r="B1211" i="111"/>
  <c r="B1207" i="111"/>
  <c r="B1203" i="111"/>
  <c r="B1199" i="111"/>
  <c r="B1195" i="111"/>
  <c r="B1191" i="111"/>
  <c r="B1187" i="111"/>
  <c r="B1183" i="111"/>
  <c r="B1179" i="111"/>
  <c r="B1175" i="111"/>
  <c r="B1171" i="111"/>
  <c r="B1167" i="111"/>
  <c r="B1163" i="111"/>
  <c r="B1159" i="111"/>
  <c r="B1155" i="111"/>
  <c r="B1151" i="111"/>
  <c r="B1147" i="111"/>
  <c r="B1143" i="111"/>
  <c r="B1139" i="111"/>
  <c r="B1135" i="111"/>
  <c r="B1131" i="111"/>
  <c r="B1127" i="111"/>
  <c r="B1123" i="111"/>
  <c r="B1119" i="111"/>
  <c r="B1115" i="111"/>
  <c r="B1111" i="111"/>
  <c r="B1107" i="111"/>
  <c r="B1103" i="111"/>
  <c r="B1099" i="111"/>
  <c r="B1095" i="111"/>
  <c r="B1091" i="111"/>
  <c r="B1087" i="111"/>
  <c r="B1083" i="111"/>
  <c r="B1079" i="111"/>
  <c r="B1075" i="111"/>
  <c r="B1071" i="111"/>
  <c r="B1067" i="111"/>
  <c r="B1063" i="111"/>
  <c r="B1059" i="111"/>
  <c r="B1055" i="111"/>
  <c r="B1051" i="111"/>
  <c r="B1047" i="111"/>
  <c r="B1043" i="111"/>
  <c r="B1039" i="111"/>
  <c r="B1035" i="111"/>
  <c r="B1031" i="111"/>
  <c r="B1027" i="111"/>
  <c r="B1023" i="111"/>
  <c r="B1019" i="111"/>
  <c r="B1015" i="111"/>
  <c r="B1011" i="111"/>
  <c r="B1007" i="111"/>
  <c r="B1003" i="111"/>
  <c r="B999" i="111"/>
  <c r="B995" i="111"/>
  <c r="B991" i="111"/>
  <c r="B987" i="111"/>
  <c r="B983" i="111"/>
  <c r="B979" i="111"/>
  <c r="B975" i="111"/>
  <c r="B971" i="111"/>
  <c r="B967" i="111"/>
  <c r="B963" i="111"/>
  <c r="B959" i="111"/>
  <c r="B955" i="111"/>
  <c r="B951" i="111"/>
  <c r="B947" i="111"/>
  <c r="B943" i="111"/>
  <c r="B939" i="111"/>
  <c r="B935" i="111"/>
  <c r="B931" i="111"/>
  <c r="B927" i="111"/>
  <c r="B923" i="111"/>
  <c r="B919" i="111"/>
  <c r="B915" i="111"/>
  <c r="B911" i="111"/>
  <c r="B907" i="111"/>
  <c r="B903" i="111"/>
  <c r="B899" i="111"/>
  <c r="B895" i="111"/>
  <c r="B891" i="111"/>
  <c r="B887" i="111"/>
  <c r="B883" i="111"/>
  <c r="B879" i="111"/>
  <c r="B875" i="111"/>
  <c r="B871" i="111"/>
  <c r="B867" i="111"/>
  <c r="B863" i="111"/>
  <c r="B859" i="111"/>
  <c r="B855" i="111"/>
  <c r="B851" i="111"/>
  <c r="B847" i="111"/>
  <c r="B843" i="111"/>
  <c r="B839" i="111"/>
  <c r="B835" i="111"/>
  <c r="B831" i="111"/>
  <c r="B827" i="111"/>
  <c r="B823" i="111"/>
  <c r="B819" i="111"/>
  <c r="B815" i="111"/>
  <c r="B811" i="111"/>
  <c r="B807" i="111"/>
  <c r="B803" i="111"/>
  <c r="B799" i="111"/>
  <c r="B795" i="111"/>
  <c r="B791" i="111"/>
  <c r="B787" i="111"/>
  <c r="B783" i="111"/>
  <c r="B779" i="111"/>
  <c r="B775" i="111"/>
  <c r="B771" i="111"/>
  <c r="B767" i="111"/>
  <c r="B763" i="111"/>
  <c r="B759" i="111"/>
  <c r="B755" i="111"/>
  <c r="B751" i="111"/>
  <c r="B747" i="111"/>
  <c r="B743" i="111"/>
  <c r="B739" i="111"/>
  <c r="B735" i="111"/>
  <c r="B731" i="111"/>
  <c r="B727" i="111"/>
  <c r="B723" i="111"/>
  <c r="B719" i="111"/>
  <c r="B715" i="111"/>
  <c r="B711" i="111"/>
  <c r="B707" i="111"/>
  <c r="B703" i="111"/>
  <c r="B699" i="111"/>
  <c r="B695" i="111"/>
  <c r="B691" i="111"/>
  <c r="B687" i="111"/>
  <c r="B683" i="111"/>
  <c r="B679" i="111"/>
  <c r="B675" i="111"/>
  <c r="B671" i="111"/>
  <c r="B667" i="111"/>
  <c r="B663" i="111"/>
  <c r="B659" i="111"/>
  <c r="B655" i="111"/>
  <c r="B651" i="111"/>
  <c r="B647" i="111"/>
  <c r="B643" i="111"/>
  <c r="B639" i="111"/>
  <c r="B635" i="111"/>
  <c r="B631" i="111"/>
  <c r="B627" i="111"/>
  <c r="B623" i="111"/>
  <c r="B619" i="111"/>
  <c r="B615" i="111"/>
  <c r="B611" i="111"/>
  <c r="B607" i="111"/>
  <c r="B603" i="111"/>
  <c r="B599" i="111"/>
  <c r="B595" i="111"/>
  <c r="B591" i="111"/>
  <c r="B587" i="111"/>
  <c r="B583" i="111"/>
  <c r="B579" i="111"/>
  <c r="B575" i="111"/>
  <c r="B571" i="111"/>
  <c r="B567" i="111"/>
  <c r="B563" i="111"/>
  <c r="B559" i="111"/>
  <c r="B555" i="111"/>
  <c r="B551" i="111"/>
  <c r="B547" i="111"/>
  <c r="B543" i="111"/>
  <c r="B539" i="111"/>
  <c r="B535" i="111"/>
  <c r="B531" i="111"/>
  <c r="B527" i="111"/>
  <c r="B523" i="111"/>
  <c r="B519" i="111"/>
  <c r="B515" i="111"/>
  <c r="B511" i="111"/>
  <c r="B507" i="111"/>
  <c r="B503" i="111"/>
  <c r="B499" i="111"/>
  <c r="B495" i="111"/>
  <c r="B491" i="111"/>
  <c r="B487" i="111"/>
  <c r="B483" i="111"/>
  <c r="B479" i="111"/>
  <c r="B475" i="111"/>
  <c r="B471" i="111"/>
  <c r="B467" i="111"/>
  <c r="B463" i="111"/>
  <c r="B459" i="111"/>
  <c r="B455" i="111"/>
  <c r="B451" i="111"/>
  <c r="B447" i="111"/>
  <c r="B443" i="111"/>
  <c r="B439" i="111"/>
  <c r="B435" i="111"/>
  <c r="B431" i="111"/>
  <c r="B427" i="111"/>
  <c r="B423" i="111"/>
  <c r="B419" i="111"/>
  <c r="B415" i="111"/>
  <c r="B411" i="111"/>
  <c r="B407" i="111"/>
  <c r="B403" i="111"/>
  <c r="B399" i="111"/>
  <c r="B395" i="111"/>
  <c r="B391" i="111"/>
  <c r="B387" i="111"/>
  <c r="B383" i="111"/>
  <c r="B379" i="111"/>
  <c r="B375" i="111"/>
  <c r="B371" i="111"/>
  <c r="B367" i="111"/>
  <c r="B363" i="111"/>
  <c r="B359" i="111"/>
  <c r="B355" i="111"/>
  <c r="B351" i="111"/>
  <c r="B347" i="111"/>
  <c r="B343" i="111"/>
  <c r="B339" i="111"/>
  <c r="B335" i="111"/>
  <c r="B331" i="111"/>
  <c r="B327" i="111"/>
  <c r="B323" i="111"/>
  <c r="B319" i="111"/>
  <c r="B315" i="111"/>
  <c r="B311" i="111"/>
  <c r="B307" i="111"/>
  <c r="B303" i="111"/>
  <c r="B299" i="111"/>
  <c r="B295" i="111"/>
  <c r="B291" i="111"/>
  <c r="B287" i="111"/>
  <c r="B283" i="111"/>
  <c r="B279" i="111"/>
  <c r="B275" i="111"/>
  <c r="B271" i="111"/>
  <c r="B267" i="111"/>
  <c r="B263" i="111"/>
  <c r="B259" i="111"/>
  <c r="B255" i="111"/>
  <c r="B251" i="111"/>
  <c r="B247" i="111"/>
  <c r="B243" i="111"/>
  <c r="B239" i="111"/>
  <c r="B914" i="111"/>
  <c r="B910" i="111"/>
  <c r="B906" i="111"/>
  <c r="B902" i="111"/>
  <c r="B898" i="111"/>
  <c r="B894" i="111"/>
  <c r="B890" i="111"/>
  <c r="B886" i="111"/>
  <c r="B882" i="111"/>
  <c r="B878" i="111"/>
  <c r="B874" i="111"/>
  <c r="B870" i="111"/>
  <c r="B866" i="111"/>
  <c r="B862" i="111"/>
  <c r="B858" i="111"/>
  <c r="B854" i="111"/>
  <c r="B850" i="111"/>
  <c r="B846" i="111"/>
  <c r="B842" i="111"/>
  <c r="B838" i="111"/>
  <c r="B834" i="111"/>
  <c r="B830" i="111"/>
  <c r="B826" i="111"/>
  <c r="B822" i="111"/>
  <c r="B818" i="111"/>
  <c r="B814" i="111"/>
  <c r="B810" i="111"/>
  <c r="B806" i="111"/>
  <c r="B802" i="111"/>
  <c r="B798" i="111"/>
  <c r="B794" i="111"/>
  <c r="B790" i="111"/>
  <c r="B786" i="111"/>
  <c r="B782" i="111"/>
  <c r="B778" i="111"/>
  <c r="B774" i="111"/>
  <c r="B770" i="111"/>
  <c r="B766" i="111"/>
  <c r="B762" i="111"/>
  <c r="B758" i="111"/>
  <c r="B754" i="111"/>
  <c r="B750" i="111"/>
  <c r="B746" i="111"/>
  <c r="B742" i="111"/>
  <c r="B738" i="111"/>
  <c r="B734" i="111"/>
  <c r="B730" i="111"/>
  <c r="B726" i="111"/>
  <c r="B722" i="111"/>
  <c r="B718" i="111"/>
  <c r="B714" i="111"/>
  <c r="B710" i="111"/>
  <c r="B706" i="111"/>
  <c r="B702" i="111"/>
  <c r="B698" i="111"/>
  <c r="B694" i="111"/>
  <c r="B690" i="111"/>
  <c r="B686" i="111"/>
  <c r="B682" i="111"/>
  <c r="B678" i="111"/>
  <c r="B674" i="111"/>
  <c r="B670" i="111"/>
  <c r="B666" i="111"/>
  <c r="B662" i="111"/>
  <c r="B658" i="111"/>
  <c r="B654" i="111"/>
  <c r="B650" i="111"/>
  <c r="B646" i="111"/>
  <c r="B642" i="111"/>
  <c r="B638" i="111"/>
  <c r="B634" i="111"/>
  <c r="B630" i="111"/>
  <c r="B626" i="111"/>
  <c r="B622" i="111"/>
  <c r="B618" i="111"/>
  <c r="B614" i="111"/>
  <c r="B610" i="111"/>
  <c r="B606" i="111"/>
  <c r="B602" i="111"/>
  <c r="B598" i="111"/>
  <c r="B594" i="111"/>
  <c r="B590" i="111"/>
  <c r="B586" i="111"/>
  <c r="B582" i="111"/>
  <c r="B578" i="111"/>
  <c r="B574" i="111"/>
  <c r="B570" i="111"/>
  <c r="B566" i="111"/>
  <c r="B562" i="111"/>
  <c r="B558" i="111"/>
  <c r="B554" i="111"/>
  <c r="B550" i="111"/>
  <c r="B546" i="111"/>
  <c r="B542" i="111"/>
  <c r="B538" i="111"/>
  <c r="B534" i="111"/>
  <c r="B530" i="111"/>
  <c r="B526" i="111"/>
  <c r="B522" i="111"/>
  <c r="B518" i="111"/>
  <c r="B514" i="111"/>
  <c r="B510" i="111"/>
  <c r="B506" i="111"/>
  <c r="B502" i="111"/>
  <c r="B498" i="111"/>
  <c r="B494" i="111"/>
  <c r="B490" i="111"/>
  <c r="B486" i="111"/>
  <c r="B482" i="111"/>
  <c r="B478" i="111"/>
  <c r="B474" i="111"/>
  <c r="B470" i="111"/>
  <c r="B466" i="111"/>
  <c r="B462" i="111"/>
  <c r="B458" i="111"/>
  <c r="B454" i="111"/>
  <c r="B450" i="111"/>
  <c r="B446" i="111"/>
  <c r="B442" i="111"/>
  <c r="B438" i="111"/>
  <c r="B434" i="111"/>
  <c r="B430" i="111"/>
  <c r="B426" i="111"/>
  <c r="B422" i="111"/>
  <c r="B418" i="111"/>
  <c r="B414" i="111"/>
  <c r="B410" i="111"/>
  <c r="B406" i="111"/>
  <c r="B402" i="111"/>
  <c r="B398" i="111"/>
  <c r="B394" i="111"/>
  <c r="B390" i="111"/>
  <c r="B386" i="111"/>
  <c r="B382" i="111"/>
  <c r="B378" i="111"/>
  <c r="B374" i="111"/>
  <c r="B370" i="111"/>
  <c r="B366" i="111"/>
  <c r="B362" i="111"/>
  <c r="B358" i="111"/>
  <c r="B354" i="111"/>
  <c r="B350" i="111"/>
  <c r="B346" i="111"/>
  <c r="B342" i="111"/>
  <c r="B338" i="111"/>
  <c r="B334" i="111"/>
  <c r="B330" i="111"/>
  <c r="B326" i="111"/>
  <c r="B322" i="111"/>
  <c r="B318" i="111"/>
  <c r="B314" i="111"/>
  <c r="B310" i="111"/>
  <c r="B306" i="111"/>
  <c r="B302" i="111"/>
  <c r="B298" i="111"/>
  <c r="B294" i="111"/>
  <c r="B290" i="111"/>
  <c r="B286" i="111"/>
  <c r="B282" i="111"/>
  <c r="B278" i="111"/>
  <c r="B274" i="111"/>
  <c r="B270" i="111"/>
  <c r="B266" i="111"/>
  <c r="B262" i="111"/>
  <c r="B258" i="111"/>
  <c r="B254" i="111"/>
  <c r="B250" i="111"/>
  <c r="B246" i="111"/>
  <c r="B242" i="111"/>
  <c r="B238" i="111"/>
  <c r="B913" i="111"/>
  <c r="B909" i="111"/>
  <c r="B905" i="111"/>
  <c r="B901" i="111"/>
  <c r="B897" i="111"/>
  <c r="B893" i="111"/>
  <c r="B889" i="111"/>
  <c r="B885" i="111"/>
  <c r="B881" i="111"/>
  <c r="B877" i="111"/>
  <c r="B873" i="111"/>
  <c r="B869" i="111"/>
  <c r="B865" i="111"/>
  <c r="B861" i="111"/>
  <c r="B857" i="111"/>
  <c r="B853" i="111"/>
  <c r="B849" i="111"/>
  <c r="B845" i="111"/>
  <c r="B841" i="111"/>
  <c r="B837" i="111"/>
  <c r="B833" i="111"/>
  <c r="B829" i="111"/>
  <c r="B825" i="111"/>
  <c r="B821" i="111"/>
  <c r="B817" i="111"/>
  <c r="B813" i="111"/>
  <c r="B809" i="111"/>
  <c r="B805" i="111"/>
  <c r="B801" i="111"/>
  <c r="B797" i="111"/>
  <c r="B793" i="111"/>
  <c r="B789" i="111"/>
  <c r="B785" i="111"/>
  <c r="B781" i="111"/>
  <c r="B777" i="111"/>
  <c r="B773" i="111"/>
  <c r="B769" i="111"/>
  <c r="B765" i="111"/>
  <c r="B761" i="111"/>
  <c r="B757" i="111"/>
  <c r="B753" i="111"/>
  <c r="B749" i="111"/>
  <c r="B745" i="111"/>
  <c r="B741" i="111"/>
  <c r="B737" i="111"/>
  <c r="B733" i="111"/>
  <c r="B729" i="111"/>
  <c r="B725" i="111"/>
  <c r="B721" i="111"/>
  <c r="B717" i="111"/>
  <c r="B713" i="111"/>
  <c r="B709" i="111"/>
  <c r="B705" i="111"/>
  <c r="B701" i="111"/>
  <c r="B697" i="111"/>
  <c r="B693" i="111"/>
  <c r="B689" i="111"/>
  <c r="B685" i="111"/>
  <c r="B681" i="111"/>
  <c r="B677" i="111"/>
  <c r="B673" i="111"/>
  <c r="B669" i="111"/>
  <c r="B665" i="111"/>
  <c r="B661" i="111"/>
  <c r="B657" i="111"/>
  <c r="B653" i="111"/>
  <c r="B649" i="111"/>
  <c r="B645" i="111"/>
  <c r="B641" i="111"/>
  <c r="B637" i="111"/>
  <c r="B633" i="111"/>
  <c r="B629" i="111"/>
  <c r="B625" i="111"/>
  <c r="B621" i="111"/>
  <c r="B617" i="111"/>
  <c r="B613" i="111"/>
  <c r="B609" i="111"/>
  <c r="B605" i="111"/>
  <c r="B601" i="111"/>
  <c r="B597" i="111"/>
  <c r="B593" i="111"/>
  <c r="B589" i="111"/>
  <c r="B585" i="111"/>
  <c r="B581" i="111"/>
  <c r="B577" i="111"/>
  <c r="B573" i="111"/>
  <c r="B569" i="111"/>
  <c r="B565" i="111"/>
  <c r="B561" i="111"/>
  <c r="B557" i="111"/>
  <c r="B553" i="111"/>
  <c r="B549" i="111"/>
  <c r="B545" i="111"/>
  <c r="B541" i="111"/>
  <c r="B537" i="111"/>
  <c r="B533" i="111"/>
  <c r="B529" i="111"/>
  <c r="B525" i="111"/>
  <c r="B521" i="111"/>
  <c r="B517" i="111"/>
  <c r="B513" i="111"/>
  <c r="B509" i="111"/>
  <c r="B505" i="111"/>
  <c r="B501" i="111"/>
  <c r="B497" i="111"/>
  <c r="B493" i="111"/>
  <c r="B489" i="111"/>
  <c r="B485" i="111"/>
  <c r="B481" i="111"/>
  <c r="B477" i="111"/>
  <c r="B473" i="111"/>
  <c r="B469" i="111"/>
  <c r="B465" i="111"/>
  <c r="B461" i="111"/>
  <c r="B457" i="111"/>
  <c r="B453" i="111"/>
  <c r="B449" i="111"/>
  <c r="B445" i="111"/>
  <c r="B441" i="111"/>
  <c r="B437" i="111"/>
  <c r="B433" i="111"/>
  <c r="B429" i="111"/>
  <c r="B425" i="111"/>
  <c r="B421" i="111"/>
  <c r="B417" i="111"/>
  <c r="B413" i="111"/>
  <c r="B409" i="111"/>
  <c r="B405" i="111"/>
  <c r="B401" i="111"/>
  <c r="B397" i="111"/>
  <c r="B393" i="111"/>
  <c r="B389" i="111"/>
  <c r="B385" i="111"/>
  <c r="B381" i="111"/>
  <c r="B377" i="111"/>
  <c r="B373" i="111"/>
  <c r="B369" i="111"/>
  <c r="B365" i="111"/>
  <c r="B361" i="111"/>
  <c r="B357" i="111"/>
  <c r="B353" i="111"/>
  <c r="B349" i="111"/>
  <c r="B345" i="111"/>
  <c r="B341" i="111"/>
  <c r="B337" i="111"/>
  <c r="B333" i="111"/>
  <c r="B329" i="111"/>
  <c r="B325" i="111"/>
  <c r="B321" i="111"/>
  <c r="B317" i="111"/>
  <c r="B313" i="111"/>
  <c r="B309" i="111"/>
  <c r="B305" i="111"/>
  <c r="B301" i="111"/>
  <c r="B297" i="111"/>
  <c r="B293" i="111"/>
  <c r="B289" i="111"/>
  <c r="B285" i="111"/>
  <c r="B281" i="111"/>
  <c r="B277" i="111"/>
  <c r="B273" i="111"/>
  <c r="B269" i="111"/>
  <c r="B265" i="111"/>
  <c r="B261" i="111"/>
  <c r="B257" i="111"/>
  <c r="B253" i="111"/>
  <c r="B249" i="111"/>
  <c r="B245" i="111"/>
  <c r="B241" i="111"/>
  <c r="B237" i="111"/>
  <c r="B912" i="111"/>
  <c r="B896" i="111"/>
  <c r="B880" i="111"/>
  <c r="B864" i="111"/>
  <c r="B848" i="111"/>
  <c r="B832" i="111"/>
  <c r="B816" i="111"/>
  <c r="B800" i="111"/>
  <c r="B784" i="111"/>
  <c r="B768" i="111"/>
  <c r="B752" i="111"/>
  <c r="B736" i="111"/>
  <c r="B720" i="111"/>
  <c r="B704" i="111"/>
  <c r="B688" i="111"/>
  <c r="B672" i="111"/>
  <c r="B656" i="111"/>
  <c r="B640" i="111"/>
  <c r="B624" i="111"/>
  <c r="B608" i="111"/>
  <c r="B592" i="111"/>
  <c r="B576" i="111"/>
  <c r="B560" i="111"/>
  <c r="B544" i="111"/>
  <c r="B528" i="111"/>
  <c r="B512" i="111"/>
  <c r="B496" i="111"/>
  <c r="B480" i="111"/>
  <c r="B464" i="111"/>
  <c r="B448" i="111"/>
  <c r="B432" i="111"/>
  <c r="B416" i="111"/>
  <c r="B400" i="111"/>
  <c r="B384" i="111"/>
  <c r="B368" i="111"/>
  <c r="B352" i="111"/>
  <c r="B336" i="111"/>
  <c r="B320" i="111"/>
  <c r="B304" i="111"/>
  <c r="B288" i="111"/>
  <c r="B272" i="111"/>
  <c r="B256" i="111"/>
  <c r="B240" i="111"/>
  <c r="B233" i="111"/>
  <c r="B229" i="111"/>
  <c r="B225" i="111"/>
  <c r="B221" i="111"/>
  <c r="B217" i="111"/>
  <c r="B213" i="111"/>
  <c r="B209" i="111"/>
  <c r="B205" i="111"/>
  <c r="B201" i="111"/>
  <c r="B197" i="111"/>
  <c r="B193" i="111"/>
  <c r="B189" i="111"/>
  <c r="B185" i="111"/>
  <c r="B181" i="111"/>
  <c r="B177" i="111"/>
  <c r="B173" i="111"/>
  <c r="B169" i="111"/>
  <c r="B165" i="111"/>
  <c r="B161" i="111"/>
  <c r="B157" i="111"/>
  <c r="B153" i="111"/>
  <c r="B149" i="111"/>
  <c r="B145" i="111"/>
  <c r="B141" i="111"/>
  <c r="B137" i="111"/>
  <c r="B133" i="111"/>
  <c r="B129" i="111"/>
  <c r="B125" i="111"/>
  <c r="B121" i="111"/>
  <c r="B117" i="111"/>
  <c r="B113" i="111"/>
  <c r="B109" i="111"/>
  <c r="B105" i="111"/>
  <c r="B101" i="111"/>
  <c r="B97" i="111"/>
  <c r="B93" i="111"/>
  <c r="B89" i="111"/>
  <c r="B85" i="111"/>
  <c r="B81" i="111"/>
  <c r="B77" i="111"/>
  <c r="B73" i="111"/>
  <c r="B69" i="111"/>
  <c r="B65" i="111"/>
  <c r="B61" i="111"/>
  <c r="B57" i="111"/>
  <c r="B53" i="111"/>
  <c r="B49" i="111"/>
  <c r="B45" i="111"/>
  <c r="B41" i="111"/>
  <c r="B37" i="111"/>
  <c r="B33" i="111"/>
  <c r="B29" i="111"/>
  <c r="B25" i="111"/>
  <c r="B21" i="111"/>
  <c r="B17" i="111"/>
  <c r="B13" i="111"/>
  <c r="B9" i="111"/>
  <c r="B5" i="111"/>
  <c r="B908" i="111"/>
  <c r="B892" i="111"/>
  <c r="B876" i="111"/>
  <c r="B860" i="111"/>
  <c r="B844" i="111"/>
  <c r="B828" i="111"/>
  <c r="B812" i="111"/>
  <c r="B796" i="111"/>
  <c r="B780" i="111"/>
  <c r="B764" i="111"/>
  <c r="B748" i="111"/>
  <c r="B732" i="111"/>
  <c r="B716" i="111"/>
  <c r="B700" i="111"/>
  <c r="B684" i="111"/>
  <c r="B668" i="111"/>
  <c r="B652" i="111"/>
  <c r="B636" i="111"/>
  <c r="B620" i="111"/>
  <c r="B604" i="111"/>
  <c r="B588" i="111"/>
  <c r="B572" i="111"/>
  <c r="B556" i="111"/>
  <c r="B540" i="111"/>
  <c r="B524" i="111"/>
  <c r="B508" i="111"/>
  <c r="B492" i="111"/>
  <c r="B476" i="111"/>
  <c r="B460" i="111"/>
  <c r="B444" i="111"/>
  <c r="B428" i="111"/>
  <c r="B412" i="111"/>
  <c r="B396" i="111"/>
  <c r="B380" i="111"/>
  <c r="B364" i="111"/>
  <c r="B348" i="111"/>
  <c r="B332" i="111"/>
  <c r="B316" i="111"/>
  <c r="B300" i="111"/>
  <c r="B284" i="111"/>
  <c r="B268" i="111"/>
  <c r="B252" i="111"/>
  <c r="B236" i="111"/>
  <c r="B232" i="111"/>
  <c r="B228" i="111"/>
  <c r="B224" i="111"/>
  <c r="B220" i="111"/>
  <c r="B216" i="111"/>
  <c r="B212" i="111"/>
  <c r="B208" i="111"/>
  <c r="B204" i="111"/>
  <c r="B200" i="111"/>
  <c r="B196" i="111"/>
  <c r="B192" i="111"/>
  <c r="B188" i="111"/>
  <c r="B184" i="111"/>
  <c r="B180" i="111"/>
  <c r="B176" i="111"/>
  <c r="B172" i="111"/>
  <c r="B168" i="111"/>
  <c r="B164" i="111"/>
  <c r="B160" i="111"/>
  <c r="B156" i="111"/>
  <c r="B152" i="111"/>
  <c r="B148" i="111"/>
  <c r="B144" i="111"/>
  <c r="B140" i="111"/>
  <c r="B136" i="111"/>
  <c r="B132" i="111"/>
  <c r="B128" i="111"/>
  <c r="B124" i="111"/>
  <c r="B120" i="111"/>
  <c r="B116" i="111"/>
  <c r="B112" i="111"/>
  <c r="B108" i="111"/>
  <c r="B104" i="111"/>
  <c r="B100" i="111"/>
  <c r="B96" i="111"/>
  <c r="B92" i="111"/>
  <c r="B88" i="111"/>
  <c r="B84" i="111"/>
  <c r="B80" i="111"/>
  <c r="B76" i="111"/>
  <c r="B72" i="111"/>
  <c r="B68" i="111"/>
  <c r="B64" i="111"/>
  <c r="B60" i="111"/>
  <c r="B56" i="111"/>
  <c r="B52" i="111"/>
  <c r="B48" i="111"/>
  <c r="B44" i="111"/>
  <c r="B40" i="111"/>
  <c r="B36" i="111"/>
  <c r="B32" i="111"/>
  <c r="B28" i="111"/>
  <c r="B24" i="111"/>
  <c r="B20" i="111"/>
  <c r="B16" i="111"/>
  <c r="B12" i="111"/>
  <c r="B8" i="111"/>
  <c r="B4" i="111"/>
  <c r="B904" i="111"/>
  <c r="B888" i="111"/>
  <c r="B872" i="111"/>
  <c r="B856" i="111"/>
  <c r="B840" i="111"/>
  <c r="B824" i="111"/>
  <c r="B808" i="111"/>
  <c r="B792" i="111"/>
  <c r="B776" i="111"/>
  <c r="B760" i="111"/>
  <c r="B744" i="111"/>
  <c r="B728" i="111"/>
  <c r="B712" i="111"/>
  <c r="B696" i="111"/>
  <c r="B680" i="111"/>
  <c r="B664" i="111"/>
  <c r="B648" i="111"/>
  <c r="B632" i="111"/>
  <c r="B616" i="111"/>
  <c r="B600" i="111"/>
  <c r="B584" i="111"/>
  <c r="B568" i="111"/>
  <c r="B552" i="111"/>
  <c r="B536" i="111"/>
  <c r="B520" i="111"/>
  <c r="B504" i="111"/>
  <c r="B488" i="111"/>
  <c r="B472" i="111"/>
  <c r="B456" i="111"/>
  <c r="B440" i="111"/>
  <c r="B424" i="111"/>
  <c r="B408" i="111"/>
  <c r="B392" i="111"/>
  <c r="B376" i="111"/>
  <c r="B360" i="111"/>
  <c r="B344" i="111"/>
  <c r="B328" i="111"/>
  <c r="B312" i="111"/>
  <c r="B296" i="111"/>
  <c r="B280" i="111"/>
  <c r="B264" i="111"/>
  <c r="B248" i="111"/>
  <c r="B235" i="111"/>
  <c r="B231" i="111"/>
  <c r="B227" i="111"/>
  <c r="B223" i="111"/>
  <c r="B219" i="111"/>
  <c r="B215" i="111"/>
  <c r="B211" i="111"/>
  <c r="B207" i="111"/>
  <c r="B203" i="111"/>
  <c r="B199" i="111"/>
  <c r="B195" i="111"/>
  <c r="B191" i="111"/>
  <c r="B187" i="111"/>
  <c r="B183" i="111"/>
  <c r="B179" i="111"/>
  <c r="B175" i="111"/>
  <c r="B171" i="111"/>
  <c r="B167" i="111"/>
  <c r="B163" i="111"/>
  <c r="B159" i="111"/>
  <c r="B155" i="111"/>
  <c r="B151" i="111"/>
  <c r="B147" i="111"/>
  <c r="B143" i="111"/>
  <c r="B139" i="111"/>
  <c r="B135" i="111"/>
  <c r="B131" i="111"/>
  <c r="B127" i="111"/>
  <c r="B123" i="111"/>
  <c r="B119" i="111"/>
  <c r="B115" i="111"/>
  <c r="B111" i="111"/>
  <c r="B107" i="111"/>
  <c r="B103" i="111"/>
  <c r="B99" i="111"/>
  <c r="B95" i="111"/>
  <c r="B91" i="111"/>
  <c r="B87" i="111"/>
  <c r="B83" i="111"/>
  <c r="B79" i="111"/>
  <c r="B75" i="111"/>
  <c r="B71" i="111"/>
  <c r="B67" i="111"/>
  <c r="B63" i="111"/>
  <c r="B59" i="111"/>
  <c r="B55" i="111"/>
  <c r="B51" i="111"/>
  <c r="B47" i="111"/>
  <c r="B43" i="111"/>
  <c r="B39" i="111"/>
  <c r="B35" i="111"/>
  <c r="B31" i="111"/>
  <c r="B27" i="111"/>
  <c r="B23" i="111"/>
  <c r="B19" i="111"/>
  <c r="B15" i="111"/>
  <c r="B11" i="111"/>
  <c r="B7" i="111"/>
  <c r="B3" i="111"/>
  <c r="B900" i="111"/>
  <c r="B836" i="111"/>
  <c r="B772" i="111"/>
  <c r="B708" i="111"/>
  <c r="B644" i="111"/>
  <c r="B580" i="111"/>
  <c r="B516" i="111"/>
  <c r="B452" i="111"/>
  <c r="B388" i="111"/>
  <c r="B324" i="111"/>
  <c r="B260" i="111"/>
  <c r="B226" i="111"/>
  <c r="B210" i="111"/>
  <c r="B194" i="111"/>
  <c r="B178" i="111"/>
  <c r="B162" i="111"/>
  <c r="B146" i="111"/>
  <c r="B130" i="111"/>
  <c r="B114" i="111"/>
  <c r="B98" i="111"/>
  <c r="B82" i="111"/>
  <c r="B66" i="111"/>
  <c r="B50" i="111"/>
  <c r="B34" i="111"/>
  <c r="B18" i="111"/>
  <c r="B884" i="111"/>
  <c r="B820" i="111"/>
  <c r="B756" i="111"/>
  <c r="B692" i="111"/>
  <c r="B628" i="111"/>
  <c r="B564" i="111"/>
  <c r="B500" i="111"/>
  <c r="B436" i="111"/>
  <c r="B372" i="111"/>
  <c r="B308" i="111"/>
  <c r="B244" i="111"/>
  <c r="B222" i="111"/>
  <c r="B206" i="111"/>
  <c r="B190" i="111"/>
  <c r="B174" i="111"/>
  <c r="B158" i="111"/>
  <c r="B142" i="111"/>
  <c r="B126" i="111"/>
  <c r="B110" i="111"/>
  <c r="B94" i="111"/>
  <c r="B78" i="111"/>
  <c r="B62" i="111"/>
  <c r="B46" i="111"/>
  <c r="B30" i="111"/>
  <c r="B14" i="111"/>
  <c r="B868" i="111"/>
  <c r="B804" i="111"/>
  <c r="B740" i="111"/>
  <c r="B676" i="111"/>
  <c r="B612" i="111"/>
  <c r="B548" i="111"/>
  <c r="B484" i="111"/>
  <c r="B420" i="111"/>
  <c r="B356" i="111"/>
  <c r="B292" i="111"/>
  <c r="B234" i="111"/>
  <c r="B218" i="111"/>
  <c r="B202" i="111"/>
  <c r="B186" i="111"/>
  <c r="B170" i="111"/>
  <c r="B154" i="111"/>
  <c r="B138" i="111"/>
  <c r="B122" i="111"/>
  <c r="B106" i="111"/>
  <c r="B90" i="111"/>
  <c r="B74" i="111"/>
  <c r="B58" i="111"/>
  <c r="B42" i="111"/>
  <c r="B26" i="111"/>
  <c r="B10" i="111"/>
  <c r="B852" i="111"/>
  <c r="B596" i="111"/>
  <c r="B340" i="111"/>
  <c r="B198" i="111"/>
  <c r="B134" i="111"/>
  <c r="B70" i="111"/>
  <c r="B6" i="111"/>
  <c r="B1908" i="102"/>
  <c r="B1904" i="102"/>
  <c r="B1900" i="102"/>
  <c r="B1896" i="102"/>
  <c r="B1892" i="102"/>
  <c r="B1888" i="102"/>
  <c r="B788" i="111"/>
  <c r="B532" i="111"/>
  <c r="B276" i="111"/>
  <c r="B182" i="111"/>
  <c r="B118" i="111"/>
  <c r="B54" i="111"/>
  <c r="B2" i="111"/>
  <c r="B1907" i="102"/>
  <c r="B1903" i="102"/>
  <c r="B1899" i="102"/>
  <c r="B1895" i="102"/>
  <c r="B1891" i="102"/>
  <c r="B1887" i="102"/>
  <c r="B724" i="111"/>
  <c r="B468" i="111"/>
  <c r="B230" i="111"/>
  <c r="B166" i="111"/>
  <c r="B102" i="111"/>
  <c r="B38" i="111"/>
  <c r="B1906" i="102"/>
  <c r="B1902" i="102"/>
  <c r="B1898" i="102"/>
  <c r="B1894" i="102"/>
  <c r="B1890" i="102"/>
  <c r="B1886" i="102"/>
  <c r="B660" i="111"/>
  <c r="B86" i="111"/>
  <c r="B1901" i="102"/>
  <c r="B1885" i="102"/>
  <c r="B1881" i="102"/>
  <c r="B1877" i="102"/>
  <c r="B1873" i="102"/>
  <c r="B1869" i="102"/>
  <c r="B1865" i="102"/>
  <c r="B1861" i="102"/>
  <c r="B1857" i="102"/>
  <c r="B1853" i="102"/>
  <c r="B1849" i="102"/>
  <c r="B1845" i="102"/>
  <c r="B1841" i="102"/>
  <c r="B1837" i="102"/>
  <c r="B1833" i="102"/>
  <c r="B1829" i="102"/>
  <c r="B1825" i="102"/>
  <c r="B1821" i="102"/>
  <c r="B1817" i="102"/>
  <c r="B1813" i="102"/>
  <c r="B1809" i="102"/>
  <c r="B1805" i="102"/>
  <c r="B1801" i="102"/>
  <c r="B1797" i="102"/>
  <c r="B1793" i="102"/>
  <c r="B1789" i="102"/>
  <c r="B1785" i="102"/>
  <c r="B1781" i="102"/>
  <c r="B1777" i="102"/>
  <c r="B1773" i="102"/>
  <c r="B1769" i="102"/>
  <c r="B1765" i="102"/>
  <c r="B1761" i="102"/>
  <c r="B1757" i="102"/>
  <c r="B1753" i="102"/>
  <c r="B1749" i="102"/>
  <c r="B1745" i="102"/>
  <c r="B1741" i="102"/>
  <c r="B1737" i="102"/>
  <c r="B1733" i="102"/>
  <c r="B1729" i="102"/>
  <c r="B1725" i="102"/>
  <c r="B1721" i="102"/>
  <c r="B1717" i="102"/>
  <c r="B1713" i="102"/>
  <c r="B1709" i="102"/>
  <c r="B1705" i="102"/>
  <c r="B1701" i="102"/>
  <c r="B1697" i="102"/>
  <c r="B1693" i="102"/>
  <c r="B1689" i="102"/>
  <c r="B1685" i="102"/>
  <c r="B1681" i="102"/>
  <c r="B1677" i="102"/>
  <c r="B1673" i="102"/>
  <c r="B1669" i="102"/>
  <c r="B1665" i="102"/>
  <c r="B1661" i="102"/>
  <c r="B1657" i="102"/>
  <c r="B1653" i="102"/>
  <c r="B1649" i="102"/>
  <c r="B1645" i="102"/>
  <c r="B1641" i="102"/>
  <c r="B1637" i="102"/>
  <c r="B1633" i="102"/>
  <c r="B1629" i="102"/>
  <c r="B1625" i="102"/>
  <c r="B1621" i="102"/>
  <c r="B1617" i="102"/>
  <c r="B1613" i="102"/>
  <c r="B1609" i="102"/>
  <c r="B1605" i="102"/>
  <c r="B1601" i="102"/>
  <c r="B1597" i="102"/>
  <c r="B1593" i="102"/>
  <c r="B1589" i="102"/>
  <c r="B1585" i="102"/>
  <c r="B1581" i="102"/>
  <c r="B1577" i="102"/>
  <c r="B1573" i="102"/>
  <c r="B1569" i="102"/>
  <c r="B1565" i="102"/>
  <c r="B1561" i="102"/>
  <c r="B1557" i="102"/>
  <c r="B1553" i="102"/>
  <c r="B1549" i="102"/>
  <c r="B1545" i="102"/>
  <c r="B1541" i="102"/>
  <c r="B1537" i="102"/>
  <c r="B1533" i="102"/>
  <c r="B1529" i="102"/>
  <c r="B1525" i="102"/>
  <c r="B1521" i="102"/>
  <c r="B1517" i="102"/>
  <c r="B1513" i="102"/>
  <c r="B1509" i="102"/>
  <c r="B1505" i="102"/>
  <c r="B1501" i="102"/>
  <c r="B1497" i="102"/>
  <c r="B1493" i="102"/>
  <c r="B1489" i="102"/>
  <c r="B1485" i="102"/>
  <c r="B1481" i="102"/>
  <c r="B1477" i="102"/>
  <c r="B1473" i="102"/>
  <c r="B1469" i="102"/>
  <c r="B1465" i="102"/>
  <c r="B1461" i="102"/>
  <c r="B1457" i="102"/>
  <c r="B1453" i="102"/>
  <c r="B1449" i="102"/>
  <c r="B1445" i="102"/>
  <c r="B1441" i="102"/>
  <c r="B1437" i="102"/>
  <c r="B1433" i="102"/>
  <c r="B1429" i="102"/>
  <c r="B1425" i="102"/>
  <c r="B1421" i="102"/>
  <c r="B1417" i="102"/>
  <c r="B1413" i="102"/>
  <c r="B1409" i="102"/>
  <c r="B1405" i="102"/>
  <c r="B1401" i="102"/>
  <c r="B1397" i="102"/>
  <c r="B1393" i="102"/>
  <c r="B1389" i="102"/>
  <c r="B1385" i="102"/>
  <c r="B1381" i="102"/>
  <c r="B1377" i="102"/>
  <c r="B1373" i="102"/>
  <c r="B1369" i="102"/>
  <c r="B1365" i="102"/>
  <c r="B1361" i="102"/>
  <c r="B1357" i="102"/>
  <c r="B1353" i="102"/>
  <c r="B1349" i="102"/>
  <c r="B1345" i="102"/>
  <c r="B1341" i="102"/>
  <c r="B1337" i="102"/>
  <c r="B1333" i="102"/>
  <c r="B1329" i="102"/>
  <c r="B1325" i="102"/>
  <c r="B1321" i="102"/>
  <c r="B1317" i="102"/>
  <c r="B1313" i="102"/>
  <c r="B1309" i="102"/>
  <c r="B1305" i="102"/>
  <c r="B1301" i="102"/>
  <c r="B1297" i="102"/>
  <c r="B1293" i="102"/>
  <c r="B1289" i="102"/>
  <c r="B1285" i="102"/>
  <c r="B1281" i="102"/>
  <c r="B1277" i="102"/>
  <c r="B1273" i="102"/>
  <c r="B1269" i="102"/>
  <c r="B1265" i="102"/>
  <c r="B1261" i="102"/>
  <c r="B1257" i="102"/>
  <c r="B1253" i="102"/>
  <c r="B1249" i="102"/>
  <c r="B1245" i="102"/>
  <c r="B1241" i="102"/>
  <c r="B1237" i="102"/>
  <c r="B1233" i="102"/>
  <c r="B1229" i="102"/>
  <c r="B1225" i="102"/>
  <c r="B1221" i="102"/>
  <c r="B1217" i="102"/>
  <c r="B1213" i="102"/>
  <c r="B1209" i="102"/>
  <c r="B1205" i="102"/>
  <c r="B1201" i="102"/>
  <c r="B1197" i="102"/>
  <c r="B1193" i="102"/>
  <c r="B1189" i="102"/>
  <c r="B1185" i="102"/>
  <c r="B1181" i="102"/>
  <c r="B1177" i="102"/>
  <c r="B1173" i="102"/>
  <c r="B1169" i="102"/>
  <c r="B1165" i="102"/>
  <c r="B1161" i="102"/>
  <c r="B1157" i="102"/>
  <c r="B1153" i="102"/>
  <c r="B1149" i="102"/>
  <c r="B1145" i="102"/>
  <c r="B1141" i="102"/>
  <c r="B1137" i="102"/>
  <c r="B1133" i="102"/>
  <c r="B1129" i="102"/>
  <c r="B1125" i="102"/>
  <c r="B1121" i="102"/>
  <c r="B1117" i="102"/>
  <c r="B1113" i="102"/>
  <c r="B1109" i="102"/>
  <c r="B1105" i="102"/>
  <c r="B1101" i="102"/>
  <c r="B1097" i="102"/>
  <c r="B1093" i="102"/>
  <c r="B1089" i="102"/>
  <c r="B1085" i="102"/>
  <c r="B1081" i="102"/>
  <c r="B1077" i="102"/>
  <c r="B1073" i="102"/>
  <c r="B1069" i="102"/>
  <c r="B1065" i="102"/>
  <c r="B1061" i="102"/>
  <c r="B1057" i="102"/>
  <c r="B1053" i="102"/>
  <c r="B1049" i="102"/>
  <c r="B1045" i="102"/>
  <c r="B1041" i="102"/>
  <c r="B1037" i="102"/>
  <c r="B1033" i="102"/>
  <c r="B404" i="111"/>
  <c r="B22" i="111"/>
  <c r="B1897" i="102"/>
  <c r="B1884" i="102"/>
  <c r="B1880" i="102"/>
  <c r="B1876" i="102"/>
  <c r="B1872" i="102"/>
  <c r="B1868" i="102"/>
  <c r="B1864" i="102"/>
  <c r="B1860" i="102"/>
  <c r="B1856" i="102"/>
  <c r="B1852" i="102"/>
  <c r="B1848" i="102"/>
  <c r="B1844" i="102"/>
  <c r="B1840" i="102"/>
  <c r="B1836" i="102"/>
  <c r="B1832" i="102"/>
  <c r="B1828" i="102"/>
  <c r="B1824" i="102"/>
  <c r="B1820" i="102"/>
  <c r="B1816" i="102"/>
  <c r="B1812" i="102"/>
  <c r="B1808" i="102"/>
  <c r="B1804" i="102"/>
  <c r="B1800" i="102"/>
  <c r="B1796" i="102"/>
  <c r="B1792" i="102"/>
  <c r="B1788" i="102"/>
  <c r="B1784" i="102"/>
  <c r="B1780" i="102"/>
  <c r="B1776" i="102"/>
  <c r="B1772" i="102"/>
  <c r="B1768" i="102"/>
  <c r="B1764" i="102"/>
  <c r="B1760" i="102"/>
  <c r="B1756" i="102"/>
  <c r="B1752" i="102"/>
  <c r="B1748" i="102"/>
  <c r="B1744" i="102"/>
  <c r="B1740" i="102"/>
  <c r="B1736" i="102"/>
  <c r="B1732" i="102"/>
  <c r="B1728" i="102"/>
  <c r="B1724" i="102"/>
  <c r="B1720" i="102"/>
  <c r="B1716" i="102"/>
  <c r="B1712" i="102"/>
  <c r="B1708" i="102"/>
  <c r="B1704" i="102"/>
  <c r="B1700" i="102"/>
  <c r="B1696" i="102"/>
  <c r="B1692" i="102"/>
  <c r="B1688" i="102"/>
  <c r="B1684" i="102"/>
  <c r="B1680" i="102"/>
  <c r="B1676" i="102"/>
  <c r="B1672" i="102"/>
  <c r="B1668" i="102"/>
  <c r="B1664" i="102"/>
  <c r="B1660" i="102"/>
  <c r="B1656" i="102"/>
  <c r="B1652" i="102"/>
  <c r="B1648" i="102"/>
  <c r="B1644" i="102"/>
  <c r="B1640" i="102"/>
  <c r="B1636" i="102"/>
  <c r="B1632" i="102"/>
  <c r="B1628" i="102"/>
  <c r="B1624" i="102"/>
  <c r="B1620" i="102"/>
  <c r="B1616" i="102"/>
  <c r="B1612" i="102"/>
  <c r="B1608" i="102"/>
  <c r="B1604" i="102"/>
  <c r="B1600" i="102"/>
  <c r="B1596" i="102"/>
  <c r="B1592" i="102"/>
  <c r="B1588" i="102"/>
  <c r="B1584" i="102"/>
  <c r="B1580" i="102"/>
  <c r="B1576" i="102"/>
  <c r="B1572" i="102"/>
  <c r="B1568" i="102"/>
  <c r="B1564" i="102"/>
  <c r="B1560" i="102"/>
  <c r="B1556" i="102"/>
  <c r="B1552" i="102"/>
  <c r="B1548" i="102"/>
  <c r="B1544" i="102"/>
  <c r="B1540" i="102"/>
  <c r="B1536" i="102"/>
  <c r="B1532" i="102"/>
  <c r="B1528" i="102"/>
  <c r="B1524" i="102"/>
  <c r="B1520" i="102"/>
  <c r="B1516" i="102"/>
  <c r="B1512" i="102"/>
  <c r="B1508" i="102"/>
  <c r="B1504" i="102"/>
  <c r="B1500" i="102"/>
  <c r="B1496" i="102"/>
  <c r="B1492" i="102"/>
  <c r="B1488" i="102"/>
  <c r="B1484" i="102"/>
  <c r="B1480" i="102"/>
  <c r="B1476" i="102"/>
  <c r="B1472" i="102"/>
  <c r="B1468" i="102"/>
  <c r="B1464" i="102"/>
  <c r="B1460" i="102"/>
  <c r="B1456" i="102"/>
  <c r="B1452" i="102"/>
  <c r="B1448" i="102"/>
  <c r="B1444" i="102"/>
  <c r="B1440" i="102"/>
  <c r="B1436" i="102"/>
  <c r="B1432" i="102"/>
  <c r="B1428" i="102"/>
  <c r="B1424" i="102"/>
  <c r="B1420" i="102"/>
  <c r="B1416" i="102"/>
  <c r="B1412" i="102"/>
  <c r="B1408" i="102"/>
  <c r="B1404" i="102"/>
  <c r="B1400" i="102"/>
  <c r="B1396" i="102"/>
  <c r="B1392" i="102"/>
  <c r="B1388" i="102"/>
  <c r="B1384" i="102"/>
  <c r="B1380" i="102"/>
  <c r="B1376" i="102"/>
  <c r="B1372" i="102"/>
  <c r="B1368" i="102"/>
  <c r="B1364" i="102"/>
  <c r="B1360" i="102"/>
  <c r="B1356" i="102"/>
  <c r="B1352" i="102"/>
  <c r="B1348" i="102"/>
  <c r="B1344" i="102"/>
  <c r="B1340" i="102"/>
  <c r="B1336" i="102"/>
  <c r="B1332" i="102"/>
  <c r="B1328" i="102"/>
  <c r="B1324" i="102"/>
  <c r="B1320" i="102"/>
  <c r="B1316" i="102"/>
  <c r="B1312" i="102"/>
  <c r="B1308" i="102"/>
  <c r="B1304" i="102"/>
  <c r="B1300" i="102"/>
  <c r="B1296" i="102"/>
  <c r="B1292" i="102"/>
  <c r="B1288" i="102"/>
  <c r="B1284" i="102"/>
  <c r="B1280" i="102"/>
  <c r="B1276" i="102"/>
  <c r="B1272" i="102"/>
  <c r="B1268" i="102"/>
  <c r="B1264" i="102"/>
  <c r="B1260" i="102"/>
  <c r="B1256" i="102"/>
  <c r="B1252" i="102"/>
  <c r="B1248" i="102"/>
  <c r="B1244" i="102"/>
  <c r="B1240" i="102"/>
  <c r="B1236" i="102"/>
  <c r="B1232" i="102"/>
  <c r="B1228" i="102"/>
  <c r="B1224" i="102"/>
  <c r="B1220" i="102"/>
  <c r="B1216" i="102"/>
  <c r="B1212" i="102"/>
  <c r="B1208" i="102"/>
  <c r="B1204" i="102"/>
  <c r="B1200" i="102"/>
  <c r="B1196" i="102"/>
  <c r="B1192" i="102"/>
  <c r="B1188" i="102"/>
  <c r="B1184" i="102"/>
  <c r="B1180" i="102"/>
  <c r="B1176" i="102"/>
  <c r="B1172" i="102"/>
  <c r="B1168" i="102"/>
  <c r="B1164" i="102"/>
  <c r="B1160" i="102"/>
  <c r="B1156" i="102"/>
  <c r="B1152" i="102"/>
  <c r="B1148" i="102"/>
  <c r="B1144" i="102"/>
  <c r="B1140" i="102"/>
  <c r="B1136" i="102"/>
  <c r="B1132" i="102"/>
  <c r="B1128" i="102"/>
  <c r="B1124" i="102"/>
  <c r="B1120" i="102"/>
  <c r="B1116" i="102"/>
  <c r="B1112" i="102"/>
  <c r="B1108" i="102"/>
  <c r="B1104" i="102"/>
  <c r="B1100" i="102"/>
  <c r="B1096" i="102"/>
  <c r="B1092" i="102"/>
  <c r="B1088" i="102"/>
  <c r="B1084" i="102"/>
  <c r="B1080" i="102"/>
  <c r="B1076" i="102"/>
  <c r="B1072" i="102"/>
  <c r="B1068" i="102"/>
  <c r="B1064" i="102"/>
  <c r="B1060" i="102"/>
  <c r="B1056" i="102"/>
  <c r="B1052" i="102"/>
  <c r="B1048" i="102"/>
  <c r="B1044" i="102"/>
  <c r="B1040" i="102"/>
  <c r="B1036" i="102"/>
  <c r="B1032" i="102"/>
  <c r="B1028" i="102"/>
  <c r="B1024" i="102"/>
  <c r="B1020" i="102"/>
  <c r="B1016" i="102"/>
  <c r="B1012" i="102"/>
  <c r="B1008" i="102"/>
  <c r="B1004" i="102"/>
  <c r="B1000" i="102"/>
  <c r="B996" i="102"/>
  <c r="B992" i="102"/>
  <c r="B988" i="102"/>
  <c r="B984" i="102"/>
  <c r="B980" i="102"/>
  <c r="B976" i="102"/>
  <c r="B972" i="102"/>
  <c r="B968" i="102"/>
  <c r="B964" i="102"/>
  <c r="B960" i="102"/>
  <c r="B956" i="102"/>
  <c r="B952" i="102"/>
  <c r="B948" i="102"/>
  <c r="B944" i="102"/>
  <c r="B940" i="102"/>
  <c r="B936" i="102"/>
  <c r="B932" i="102"/>
  <c r="B928" i="102"/>
  <c r="B924" i="102"/>
  <c r="B920" i="102"/>
  <c r="B916" i="102"/>
  <c r="B912" i="102"/>
  <c r="B908" i="102"/>
  <c r="B904" i="102"/>
  <c r="B900" i="102"/>
  <c r="B896" i="102"/>
  <c r="B892" i="102"/>
  <c r="B888" i="102"/>
  <c r="B884" i="102"/>
  <c r="B880" i="102"/>
  <c r="B876" i="102"/>
  <c r="B872" i="102"/>
  <c r="B868" i="102"/>
  <c r="B864" i="102"/>
  <c r="B214" i="111"/>
  <c r="B1909" i="102"/>
  <c r="B1893" i="102"/>
  <c r="B1883" i="102"/>
  <c r="B1879" i="102"/>
  <c r="B1875" i="102"/>
  <c r="B1871" i="102"/>
  <c r="B1867" i="102"/>
  <c r="B1863" i="102"/>
  <c r="B1859" i="102"/>
  <c r="B1855" i="102"/>
  <c r="B1851" i="102"/>
  <c r="B1847" i="102"/>
  <c r="B1843" i="102"/>
  <c r="B1839" i="102"/>
  <c r="B1835" i="102"/>
  <c r="B1831" i="102"/>
  <c r="B1827" i="102"/>
  <c r="B1823" i="102"/>
  <c r="B1819" i="102"/>
  <c r="B1815" i="102"/>
  <c r="B1811" i="102"/>
  <c r="B1807" i="102"/>
  <c r="B1803" i="102"/>
  <c r="B1799" i="102"/>
  <c r="B1795" i="102"/>
  <c r="B1791" i="102"/>
  <c r="B1787" i="102"/>
  <c r="B1783" i="102"/>
  <c r="B1779" i="102"/>
  <c r="B1775" i="102"/>
  <c r="B1771" i="102"/>
  <c r="B1767" i="102"/>
  <c r="B1763" i="102"/>
  <c r="B1759" i="102"/>
  <c r="B1755" i="102"/>
  <c r="B1751" i="102"/>
  <c r="B1747" i="102"/>
  <c r="B1743" i="102"/>
  <c r="B1739" i="102"/>
  <c r="B1735" i="102"/>
  <c r="B1731" i="102"/>
  <c r="B1727" i="102"/>
  <c r="B1723" i="102"/>
  <c r="B1719" i="102"/>
  <c r="B1715" i="102"/>
  <c r="B1711" i="102"/>
  <c r="B1707" i="102"/>
  <c r="B1703" i="102"/>
  <c r="B1699" i="102"/>
  <c r="B1695" i="102"/>
  <c r="B1691" i="102"/>
  <c r="B1687" i="102"/>
  <c r="B1683" i="102"/>
  <c r="B1679" i="102"/>
  <c r="B1675" i="102"/>
  <c r="B1671" i="102"/>
  <c r="B1667" i="102"/>
  <c r="B1663" i="102"/>
  <c r="B1659" i="102"/>
  <c r="B1655" i="102"/>
  <c r="B1651" i="102"/>
  <c r="B1647" i="102"/>
  <c r="B1643" i="102"/>
  <c r="B1639" i="102"/>
  <c r="B1635" i="102"/>
  <c r="B1631" i="102"/>
  <c r="B1627" i="102"/>
  <c r="B1623" i="102"/>
  <c r="B1619" i="102"/>
  <c r="B1615" i="102"/>
  <c r="B1611" i="102"/>
  <c r="B1607" i="102"/>
  <c r="B1603" i="102"/>
  <c r="B1599" i="102"/>
  <c r="B1595" i="102"/>
  <c r="B1591" i="102"/>
  <c r="B1587" i="102"/>
  <c r="B1583" i="102"/>
  <c r="B1579" i="102"/>
  <c r="B1575" i="102"/>
  <c r="B1571" i="102"/>
  <c r="B1567" i="102"/>
  <c r="B1563" i="102"/>
  <c r="B1559" i="102"/>
  <c r="B1555" i="102"/>
  <c r="B1551" i="102"/>
  <c r="B1547" i="102"/>
  <c r="B1543" i="102"/>
  <c r="B1539" i="102"/>
  <c r="B1535" i="102"/>
  <c r="B1531" i="102"/>
  <c r="B1527" i="102"/>
  <c r="B1523" i="102"/>
  <c r="B1519" i="102"/>
  <c r="B1515" i="102"/>
  <c r="B1511" i="102"/>
  <c r="B1507" i="102"/>
  <c r="B1503" i="102"/>
  <c r="B1499" i="102"/>
  <c r="B1495" i="102"/>
  <c r="B1491" i="102"/>
  <c r="B1487" i="102"/>
  <c r="B1483" i="102"/>
  <c r="B1479" i="102"/>
  <c r="B1475" i="102"/>
  <c r="B1471" i="102"/>
  <c r="B1467" i="102"/>
  <c r="B1463" i="102"/>
  <c r="B1459" i="102"/>
  <c r="B1455" i="102"/>
  <c r="B1451" i="102"/>
  <c r="B1447" i="102"/>
  <c r="B1443" i="102"/>
  <c r="B1439" i="102"/>
  <c r="B1435" i="102"/>
  <c r="B1431" i="102"/>
  <c r="B1427" i="102"/>
  <c r="B1423" i="102"/>
  <c r="B1419" i="102"/>
  <c r="B1415" i="102"/>
  <c r="B1411" i="102"/>
  <c r="B1407" i="102"/>
  <c r="B1403" i="102"/>
  <c r="B1399" i="102"/>
  <c r="B1395" i="102"/>
  <c r="B1391" i="102"/>
  <c r="B1387" i="102"/>
  <c r="B1383" i="102"/>
  <c r="B1379" i="102"/>
  <c r="B1375" i="102"/>
  <c r="B1371" i="102"/>
  <c r="B1367" i="102"/>
  <c r="B1363" i="102"/>
  <c r="B1359" i="102"/>
  <c r="B1355" i="102"/>
  <c r="B1351" i="102"/>
  <c r="B1347" i="102"/>
  <c r="B1343" i="102"/>
  <c r="B1339" i="102"/>
  <c r="B1335" i="102"/>
  <c r="B1331" i="102"/>
  <c r="B1327" i="102"/>
  <c r="B1323" i="102"/>
  <c r="B1319" i="102"/>
  <c r="B1315" i="102"/>
  <c r="B1311" i="102"/>
  <c r="B1307" i="102"/>
  <c r="B1303" i="102"/>
  <c r="B1299" i="102"/>
  <c r="B1295" i="102"/>
  <c r="B1291" i="102"/>
  <c r="B1287" i="102"/>
  <c r="B1283" i="102"/>
  <c r="B1279" i="102"/>
  <c r="B1275" i="102"/>
  <c r="B1271" i="102"/>
  <c r="B1267" i="102"/>
  <c r="B1263" i="102"/>
  <c r="B1259" i="102"/>
  <c r="B1255" i="102"/>
  <c r="B1251" i="102"/>
  <c r="B1247" i="102"/>
  <c r="B1243" i="102"/>
  <c r="B1239" i="102"/>
  <c r="B1235" i="102"/>
  <c r="B1231" i="102"/>
  <c r="B1227" i="102"/>
  <c r="B1223" i="102"/>
  <c r="B1219" i="102"/>
  <c r="B1215" i="102"/>
  <c r="B1211" i="102"/>
  <c r="B1207" i="102"/>
  <c r="B1203" i="102"/>
  <c r="B1199" i="102"/>
  <c r="B1195" i="102"/>
  <c r="B1191" i="102"/>
  <c r="B1187" i="102"/>
  <c r="B1183" i="102"/>
  <c r="B1179" i="102"/>
  <c r="B1175" i="102"/>
  <c r="B1171" i="102"/>
  <c r="B1167" i="102"/>
  <c r="B1163" i="102"/>
  <c r="B1159" i="102"/>
  <c r="B1155" i="102"/>
  <c r="B1151" i="102"/>
  <c r="B1147" i="102"/>
  <c r="B1143" i="102"/>
  <c r="B1139" i="102"/>
  <c r="B1135" i="102"/>
  <c r="B1131" i="102"/>
  <c r="B1127" i="102"/>
  <c r="B1123" i="102"/>
  <c r="B1119" i="102"/>
  <c r="B1115" i="102"/>
  <c r="B1111" i="102"/>
  <c r="B1107" i="102"/>
  <c r="B1103" i="102"/>
  <c r="B1099" i="102"/>
  <c r="B1095" i="102"/>
  <c r="B1091" i="102"/>
  <c r="B1087" i="102"/>
  <c r="B1083" i="102"/>
  <c r="B1079" i="102"/>
  <c r="B1075" i="102"/>
  <c r="B1071" i="102"/>
  <c r="B1067" i="102"/>
  <c r="B1063" i="102"/>
  <c r="B1059" i="102"/>
  <c r="B1055" i="102"/>
  <c r="B1051" i="102"/>
  <c r="B1047" i="102"/>
  <c r="B1043" i="102"/>
  <c r="B1039" i="102"/>
  <c r="B1035" i="102"/>
  <c r="B1031" i="102"/>
  <c r="B1027" i="102"/>
  <c r="B1023" i="102"/>
  <c r="B1019" i="102"/>
  <c r="B1015" i="102"/>
  <c r="B1011" i="102"/>
  <c r="B1007" i="102"/>
  <c r="B1003" i="102"/>
  <c r="B999" i="102"/>
  <c r="B995" i="102"/>
  <c r="B991" i="102"/>
  <c r="B987" i="102"/>
  <c r="B983" i="102"/>
  <c r="B979" i="102"/>
  <c r="B975" i="102"/>
  <c r="B971" i="102"/>
  <c r="B967" i="102"/>
  <c r="B963" i="102"/>
  <c r="B959" i="102"/>
  <c r="B955" i="102"/>
  <c r="B951" i="102"/>
  <c r="B947" i="102"/>
  <c r="B943" i="102"/>
  <c r="B939" i="102"/>
  <c r="B935" i="102"/>
  <c r="B931" i="102"/>
  <c r="B927" i="102"/>
  <c r="B923" i="102"/>
  <c r="B919" i="102"/>
  <c r="B915" i="102"/>
  <c r="B911" i="102"/>
  <c r="B907" i="102"/>
  <c r="B903" i="102"/>
  <c r="B899" i="102"/>
  <c r="B895" i="102"/>
  <c r="B891" i="102"/>
  <c r="B887" i="102"/>
  <c r="B883" i="102"/>
  <c r="B879" i="102"/>
  <c r="B875" i="102"/>
  <c r="B871" i="102"/>
  <c r="B867" i="102"/>
  <c r="B863" i="102"/>
  <c r="B150" i="111"/>
  <c r="B1889" i="102"/>
  <c r="B1870" i="102"/>
  <c r="B1854" i="102"/>
  <c r="B1838" i="102"/>
  <c r="B1822" i="102"/>
  <c r="B1806" i="102"/>
  <c r="B1790" i="102"/>
  <c r="B1774" i="102"/>
  <c r="B1758" i="102"/>
  <c r="B1742" i="102"/>
  <c r="B1726" i="102"/>
  <c r="B1710" i="102"/>
  <c r="B1694" i="102"/>
  <c r="B1678" i="102"/>
  <c r="B1662" i="102"/>
  <c r="B1646" i="102"/>
  <c r="B1630" i="102"/>
  <c r="B1614" i="102"/>
  <c r="B1598" i="102"/>
  <c r="B1582" i="102"/>
  <c r="B1566" i="102"/>
  <c r="B1550" i="102"/>
  <c r="B1534" i="102"/>
  <c r="B1518" i="102"/>
  <c r="B1502" i="102"/>
  <c r="B1486" i="102"/>
  <c r="B1470" i="102"/>
  <c r="B1454" i="102"/>
  <c r="B1438" i="102"/>
  <c r="B1422" i="102"/>
  <c r="B1406" i="102"/>
  <c r="B1390" i="102"/>
  <c r="B1374" i="102"/>
  <c r="B1358" i="102"/>
  <c r="B1342" i="102"/>
  <c r="B1326" i="102"/>
  <c r="B1310" i="102"/>
  <c r="B1294" i="102"/>
  <c r="B1278" i="102"/>
  <c r="B1262" i="102"/>
  <c r="B1246" i="102"/>
  <c r="B1230" i="102"/>
  <c r="B1214" i="102"/>
  <c r="B1198" i="102"/>
  <c r="B1182" i="102"/>
  <c r="B1166" i="102"/>
  <c r="B1150" i="102"/>
  <c r="B1134" i="102"/>
  <c r="B1118" i="102"/>
  <c r="B1102" i="102"/>
  <c r="B1086" i="102"/>
  <c r="B1070" i="102"/>
  <c r="B1054" i="102"/>
  <c r="B1038" i="102"/>
  <c r="B1026" i="102"/>
  <c r="B1018" i="102"/>
  <c r="B1010" i="102"/>
  <c r="B1002" i="102"/>
  <c r="B994" i="102"/>
  <c r="B986" i="102"/>
  <c r="B978" i="102"/>
  <c r="B970" i="102"/>
  <c r="B962" i="102"/>
  <c r="B954" i="102"/>
  <c r="B946" i="102"/>
  <c r="B938" i="102"/>
  <c r="B930" i="102"/>
  <c r="B922" i="102"/>
  <c r="B914" i="102"/>
  <c r="B906" i="102"/>
  <c r="B898" i="102"/>
  <c r="B890" i="102"/>
  <c r="B882" i="102"/>
  <c r="B874" i="102"/>
  <c r="B866" i="102"/>
  <c r="B860" i="102"/>
  <c r="B856" i="102"/>
  <c r="B852" i="102"/>
  <c r="B848" i="102"/>
  <c r="B844" i="102"/>
  <c r="B840" i="102"/>
  <c r="B836" i="102"/>
  <c r="B832" i="102"/>
  <c r="B828" i="102"/>
  <c r="B824" i="102"/>
  <c r="B820" i="102"/>
  <c r="B816" i="102"/>
  <c r="B812" i="102"/>
  <c r="B808" i="102"/>
  <c r="B804" i="102"/>
  <c r="B800" i="102"/>
  <c r="B796" i="102"/>
  <c r="B792" i="102"/>
  <c r="B788" i="102"/>
  <c r="B784" i="102"/>
  <c r="B780" i="102"/>
  <c r="B776" i="102"/>
  <c r="B772" i="102"/>
  <c r="B768" i="102"/>
  <c r="B764" i="102"/>
  <c r="B760" i="102"/>
  <c r="B756" i="102"/>
  <c r="B752" i="102"/>
  <c r="B748" i="102"/>
  <c r="B744" i="102"/>
  <c r="B740" i="102"/>
  <c r="B736" i="102"/>
  <c r="B732" i="102"/>
  <c r="B728" i="102"/>
  <c r="B724" i="102"/>
  <c r="B720" i="102"/>
  <c r="B716" i="102"/>
  <c r="B712" i="102"/>
  <c r="B708" i="102"/>
  <c r="B704" i="102"/>
  <c r="B700" i="102"/>
  <c r="B696" i="102"/>
  <c r="B692" i="102"/>
  <c r="B688" i="102"/>
  <c r="B684" i="102"/>
  <c r="B680" i="102"/>
  <c r="B676" i="102"/>
  <c r="B672" i="102"/>
  <c r="B668" i="102"/>
  <c r="B664" i="102"/>
  <c r="B660" i="102"/>
  <c r="B656" i="102"/>
  <c r="B652" i="102"/>
  <c r="B648" i="102"/>
  <c r="B644" i="102"/>
  <c r="B640" i="102"/>
  <c r="B636" i="102"/>
  <c r="B632" i="102"/>
  <c r="B628" i="102"/>
  <c r="B624" i="102"/>
  <c r="B620" i="102"/>
  <c r="B616" i="102"/>
  <c r="B612" i="102"/>
  <c r="B608" i="102"/>
  <c r="B604" i="102"/>
  <c r="B600" i="102"/>
  <c r="B596" i="102"/>
  <c r="B592" i="102"/>
  <c r="B588" i="102"/>
  <c r="B584" i="102"/>
  <c r="B580" i="102"/>
  <c r="B576" i="102"/>
  <c r="B572" i="102"/>
  <c r="B568" i="102"/>
  <c r="B564" i="102"/>
  <c r="B560" i="102"/>
  <c r="B556" i="102"/>
  <c r="B552" i="102"/>
  <c r="B548" i="102"/>
  <c r="B544" i="102"/>
  <c r="B540" i="102"/>
  <c r="B536" i="102"/>
  <c r="B532" i="102"/>
  <c r="B528" i="102"/>
  <c r="B524" i="102"/>
  <c r="B520" i="102"/>
  <c r="B516" i="102"/>
  <c r="B512" i="102"/>
  <c r="B508" i="102"/>
  <c r="B504" i="102"/>
  <c r="B500" i="102"/>
  <c r="B496" i="102"/>
  <c r="B492" i="102"/>
  <c r="B488" i="102"/>
  <c r="B484" i="102"/>
  <c r="B480" i="102"/>
  <c r="B476" i="102"/>
  <c r="B472" i="102"/>
  <c r="B468" i="102"/>
  <c r="B464" i="102"/>
  <c r="B460" i="102"/>
  <c r="B456" i="102"/>
  <c r="B452" i="102"/>
  <c r="B448" i="102"/>
  <c r="B444" i="102"/>
  <c r="B440" i="102"/>
  <c r="B436" i="102"/>
  <c r="B432" i="102"/>
  <c r="B428" i="102"/>
  <c r="B424" i="102"/>
  <c r="B420" i="102"/>
  <c r="B416" i="102"/>
  <c r="B412" i="102"/>
  <c r="B408" i="102"/>
  <c r="B404" i="102"/>
  <c r="B400" i="102"/>
  <c r="B396" i="102"/>
  <c r="B392" i="102"/>
  <c r="B388" i="102"/>
  <c r="B384" i="102"/>
  <c r="B380" i="102"/>
  <c r="B376" i="102"/>
  <c r="B372" i="102"/>
  <c r="B368" i="102"/>
  <c r="B364" i="102"/>
  <c r="B360" i="102"/>
  <c r="B356" i="102"/>
  <c r="B352" i="102"/>
  <c r="B348" i="102"/>
  <c r="B344" i="102"/>
  <c r="B340" i="102"/>
  <c r="B336" i="102"/>
  <c r="B332" i="102"/>
  <c r="B328" i="102"/>
  <c r="B324" i="102"/>
  <c r="B320" i="102"/>
  <c r="B316" i="102"/>
  <c r="B312" i="102"/>
  <c r="B308" i="102"/>
  <c r="B304" i="102"/>
  <c r="B300" i="102"/>
  <c r="B296" i="102"/>
  <c r="B292" i="102"/>
  <c r="B288" i="102"/>
  <c r="B284" i="102"/>
  <c r="B280" i="102"/>
  <c r="B276" i="102"/>
  <c r="B272" i="102"/>
  <c r="B268" i="102"/>
  <c r="B264" i="102"/>
  <c r="B260" i="102"/>
  <c r="B256" i="102"/>
  <c r="B252" i="102"/>
  <c r="B248" i="102"/>
  <c r="B244" i="102"/>
  <c r="B240" i="102"/>
  <c r="B236" i="102"/>
  <c r="B232" i="102"/>
  <c r="B228" i="102"/>
  <c r="B224" i="102"/>
  <c r="B220" i="102"/>
  <c r="B216" i="102"/>
  <c r="B212" i="102"/>
  <c r="B208" i="102"/>
  <c r="B204" i="102"/>
  <c r="B200" i="102"/>
  <c r="B196" i="102"/>
  <c r="B192" i="102"/>
  <c r="B188" i="102"/>
  <c r="B184" i="102"/>
  <c r="B180" i="102"/>
  <c r="B176" i="102"/>
  <c r="B172" i="102"/>
  <c r="B168" i="102"/>
  <c r="B164" i="102"/>
  <c r="B160" i="102"/>
  <c r="B156" i="102"/>
  <c r="B152" i="102"/>
  <c r="B148" i="102"/>
  <c r="B144" i="102"/>
  <c r="B140" i="102"/>
  <c r="B136" i="102"/>
  <c r="B132" i="102"/>
  <c r="B128" i="102"/>
  <c r="B124" i="102"/>
  <c r="B120" i="102"/>
  <c r="B116" i="102"/>
  <c r="B112" i="102"/>
  <c r="B108" i="102"/>
  <c r="B104" i="102"/>
  <c r="B100" i="102"/>
  <c r="B96" i="102"/>
  <c r="B92" i="102"/>
  <c r="B88" i="102"/>
  <c r="B84" i="102"/>
  <c r="B80" i="102"/>
  <c r="B76" i="102"/>
  <c r="B72" i="102"/>
  <c r="B68" i="102"/>
  <c r="B64" i="102"/>
  <c r="B60" i="102"/>
  <c r="B56" i="102"/>
  <c r="B52" i="102"/>
  <c r="B48" i="102"/>
  <c r="B44" i="102"/>
  <c r="B40" i="102"/>
  <c r="B36" i="102"/>
  <c r="B32" i="102"/>
  <c r="B28" i="102"/>
  <c r="B24" i="102"/>
  <c r="B20" i="102"/>
  <c r="B16" i="102"/>
  <c r="B12" i="102"/>
  <c r="B8" i="102"/>
  <c r="B4" i="102"/>
  <c r="B1882" i="102"/>
  <c r="B1866" i="102"/>
  <c r="B1850" i="102"/>
  <c r="B1834" i="102"/>
  <c r="B1818" i="102"/>
  <c r="B1802" i="102"/>
  <c r="B1786" i="102"/>
  <c r="B1770" i="102"/>
  <c r="B1754" i="102"/>
  <c r="B1738" i="102"/>
  <c r="B1722" i="102"/>
  <c r="B1706" i="102"/>
  <c r="B1690" i="102"/>
  <c r="B1674" i="102"/>
  <c r="B1658" i="102"/>
  <c r="B1642" i="102"/>
  <c r="B1626" i="102"/>
  <c r="B1610" i="102"/>
  <c r="B1594" i="102"/>
  <c r="B1578" i="102"/>
  <c r="B1562" i="102"/>
  <c r="B1546" i="102"/>
  <c r="B1530" i="102"/>
  <c r="B1514" i="102"/>
  <c r="B1498" i="102"/>
  <c r="B1482" i="102"/>
  <c r="B1466" i="102"/>
  <c r="B1450" i="102"/>
  <c r="B1434" i="102"/>
  <c r="B1418" i="102"/>
  <c r="B1402" i="102"/>
  <c r="B1386" i="102"/>
  <c r="B1370" i="102"/>
  <c r="B1354" i="102"/>
  <c r="B1338" i="102"/>
  <c r="B1322" i="102"/>
  <c r="B1306" i="102"/>
  <c r="B1290" i="102"/>
  <c r="B1274" i="102"/>
  <c r="B1258" i="102"/>
  <c r="B1242" i="102"/>
  <c r="B1226" i="102"/>
  <c r="B1210" i="102"/>
  <c r="B1194" i="102"/>
  <c r="B1178" i="102"/>
  <c r="B1162" i="102"/>
  <c r="B1146" i="102"/>
  <c r="B1130" i="102"/>
  <c r="B1114" i="102"/>
  <c r="B1098" i="102"/>
  <c r="B1082" i="102"/>
  <c r="B1066" i="102"/>
  <c r="B1050" i="102"/>
  <c r="B1034" i="102"/>
  <c r="B1025" i="102"/>
  <c r="B1017" i="102"/>
  <c r="B1009" i="102"/>
  <c r="B1001" i="102"/>
  <c r="B993" i="102"/>
  <c r="B985" i="102"/>
  <c r="B977" i="102"/>
  <c r="B969" i="102"/>
  <c r="B961" i="102"/>
  <c r="B953" i="102"/>
  <c r="B945" i="102"/>
  <c r="B937" i="102"/>
  <c r="B929" i="102"/>
  <c r="B921" i="102"/>
  <c r="B913" i="102"/>
  <c r="B905" i="102"/>
  <c r="B897" i="102"/>
  <c r="B889" i="102"/>
  <c r="B881" i="102"/>
  <c r="B873" i="102"/>
  <c r="B865" i="102"/>
  <c r="B859" i="102"/>
  <c r="B855" i="102"/>
  <c r="B851" i="102"/>
  <c r="B847" i="102"/>
  <c r="B843" i="102"/>
  <c r="B839" i="102"/>
  <c r="B835" i="102"/>
  <c r="B831" i="102"/>
  <c r="B827" i="102"/>
  <c r="B823" i="102"/>
  <c r="B819" i="102"/>
  <c r="B815" i="102"/>
  <c r="B811" i="102"/>
  <c r="B807" i="102"/>
  <c r="B803" i="102"/>
  <c r="B799" i="102"/>
  <c r="B795" i="102"/>
  <c r="B791" i="102"/>
  <c r="B787" i="102"/>
  <c r="B783" i="102"/>
  <c r="B779" i="102"/>
  <c r="B775" i="102"/>
  <c r="B771" i="102"/>
  <c r="B767" i="102"/>
  <c r="B763" i="102"/>
  <c r="B759" i="102"/>
  <c r="B755" i="102"/>
  <c r="B751" i="102"/>
  <c r="B747" i="102"/>
  <c r="B743" i="102"/>
  <c r="B739" i="102"/>
  <c r="B735" i="102"/>
  <c r="B731" i="102"/>
  <c r="B727" i="102"/>
  <c r="B723" i="102"/>
  <c r="B719" i="102"/>
  <c r="B715" i="102"/>
  <c r="B711" i="102"/>
  <c r="B707" i="102"/>
  <c r="B703" i="102"/>
  <c r="B699" i="102"/>
  <c r="B695" i="102"/>
  <c r="B691" i="102"/>
  <c r="B687" i="102"/>
  <c r="B683" i="102"/>
  <c r="B679" i="102"/>
  <c r="B675" i="102"/>
  <c r="B671" i="102"/>
  <c r="B667" i="102"/>
  <c r="B663" i="102"/>
  <c r="B659" i="102"/>
  <c r="B655" i="102"/>
  <c r="B651" i="102"/>
  <c r="B647" i="102"/>
  <c r="B643" i="102"/>
  <c r="B639" i="102"/>
  <c r="B635" i="102"/>
  <c r="B631" i="102"/>
  <c r="B627" i="102"/>
  <c r="B623" i="102"/>
  <c r="B619" i="102"/>
  <c r="B615" i="102"/>
  <c r="B611" i="102"/>
  <c r="B607" i="102"/>
  <c r="B603" i="102"/>
  <c r="B599" i="102"/>
  <c r="B595" i="102"/>
  <c r="B591" i="102"/>
  <c r="B587" i="102"/>
  <c r="B583" i="102"/>
  <c r="B579" i="102"/>
  <c r="B575" i="102"/>
  <c r="B571" i="102"/>
  <c r="B567" i="102"/>
  <c r="B563" i="102"/>
  <c r="B559" i="102"/>
  <c r="B555" i="102"/>
  <c r="B551" i="102"/>
  <c r="B547" i="102"/>
  <c r="B543" i="102"/>
  <c r="B539" i="102"/>
  <c r="B535" i="102"/>
  <c r="B531" i="102"/>
  <c r="B527" i="102"/>
  <c r="B523" i="102"/>
  <c r="B519" i="102"/>
  <c r="B515" i="102"/>
  <c r="B511" i="102"/>
  <c r="B507" i="102"/>
  <c r="B503" i="102"/>
  <c r="B499" i="102"/>
  <c r="B495" i="102"/>
  <c r="B491" i="102"/>
  <c r="B487" i="102"/>
  <c r="B483" i="102"/>
  <c r="B479" i="102"/>
  <c r="B475" i="102"/>
  <c r="B471" i="102"/>
  <c r="B467" i="102"/>
  <c r="B463" i="102"/>
  <c r="B459" i="102"/>
  <c r="B455" i="102"/>
  <c r="B451" i="102"/>
  <c r="B447" i="102"/>
  <c r="B443" i="102"/>
  <c r="B439" i="102"/>
  <c r="B435" i="102"/>
  <c r="B431" i="102"/>
  <c r="B427" i="102"/>
  <c r="B423" i="102"/>
  <c r="B419" i="102"/>
  <c r="B415" i="102"/>
  <c r="B411" i="102"/>
  <c r="B407" i="102"/>
  <c r="B403" i="102"/>
  <c r="B399" i="102"/>
  <c r="B395" i="102"/>
  <c r="B391" i="102"/>
  <c r="B387" i="102"/>
  <c r="B383" i="102"/>
  <c r="B379" i="102"/>
  <c r="B375" i="102"/>
  <c r="B371" i="102"/>
  <c r="B367" i="102"/>
  <c r="B363" i="102"/>
  <c r="B359" i="102"/>
  <c r="B355" i="102"/>
  <c r="B351" i="102"/>
  <c r="B347" i="102"/>
  <c r="B343" i="102"/>
  <c r="B339" i="102"/>
  <c r="B335" i="102"/>
  <c r="B331" i="102"/>
  <c r="B327" i="102"/>
  <c r="B323" i="102"/>
  <c r="B319" i="102"/>
  <c r="B315" i="102"/>
  <c r="B311" i="102"/>
  <c r="B307" i="102"/>
  <c r="B303" i="102"/>
  <c r="B299" i="102"/>
  <c r="B295" i="102"/>
  <c r="B291" i="102"/>
  <c r="B287" i="102"/>
  <c r="B283" i="102"/>
  <c r="B279" i="102"/>
  <c r="B275" i="102"/>
  <c r="B271" i="102"/>
  <c r="B267" i="102"/>
  <c r="B263" i="102"/>
  <c r="B259" i="102"/>
  <c r="B255" i="102"/>
  <c r="B251" i="102"/>
  <c r="B247" i="102"/>
  <c r="B243" i="102"/>
  <c r="B239" i="102"/>
  <c r="B235" i="102"/>
  <c r="B231" i="102"/>
  <c r="B227" i="102"/>
  <c r="B223" i="102"/>
  <c r="B219" i="102"/>
  <c r="B215" i="102"/>
  <c r="B211" i="102"/>
  <c r="B207" i="102"/>
  <c r="B203" i="102"/>
  <c r="B199" i="102"/>
  <c r="B195" i="102"/>
  <c r="B191" i="102"/>
  <c r="B187" i="102"/>
  <c r="B183" i="102"/>
  <c r="B179" i="102"/>
  <c r="B175" i="102"/>
  <c r="B171" i="102"/>
  <c r="B167" i="102"/>
  <c r="B163" i="102"/>
  <c r="B159" i="102"/>
  <c r="B155" i="102"/>
  <c r="B151" i="102"/>
  <c r="B147" i="102"/>
  <c r="B143" i="102"/>
  <c r="B139" i="102"/>
  <c r="B135" i="102"/>
  <c r="B131" i="102"/>
  <c r="B127" i="102"/>
  <c r="B123" i="102"/>
  <c r="B119" i="102"/>
  <c r="B115" i="102"/>
  <c r="B111" i="102"/>
  <c r="B107" i="102"/>
  <c r="B103" i="102"/>
  <c r="B99" i="102"/>
  <c r="B95" i="102"/>
  <c r="B91" i="102"/>
  <c r="B87" i="102"/>
  <c r="B83" i="102"/>
  <c r="B79" i="102"/>
  <c r="B75" i="102"/>
  <c r="B71" i="102"/>
  <c r="B67" i="102"/>
  <c r="B63" i="102"/>
  <c r="B59" i="102"/>
  <c r="B55" i="102"/>
  <c r="B51" i="102"/>
  <c r="B47" i="102"/>
  <c r="B43" i="102"/>
  <c r="B39" i="102"/>
  <c r="B35" i="102"/>
  <c r="B31" i="102"/>
  <c r="B27" i="102"/>
  <c r="B23" i="102"/>
  <c r="B19" i="102"/>
  <c r="B15" i="102"/>
  <c r="B11" i="102"/>
  <c r="B7" i="102"/>
  <c r="B3" i="102"/>
  <c r="B1878" i="102"/>
  <c r="B1862" i="102"/>
  <c r="B1846" i="102"/>
  <c r="B1830" i="102"/>
  <c r="B1814" i="102"/>
  <c r="B1798" i="102"/>
  <c r="B1782" i="102"/>
  <c r="B1766" i="102"/>
  <c r="B1750" i="102"/>
  <c r="B1734" i="102"/>
  <c r="B1718" i="102"/>
  <c r="B1702" i="102"/>
  <c r="B1686" i="102"/>
  <c r="B1670" i="102"/>
  <c r="B1654" i="102"/>
  <c r="B1638" i="102"/>
  <c r="B1622" i="102"/>
  <c r="B1606" i="102"/>
  <c r="B1590" i="102"/>
  <c r="B1574" i="102"/>
  <c r="B1558" i="102"/>
  <c r="B1542" i="102"/>
  <c r="B1526" i="102"/>
  <c r="B1510" i="102"/>
  <c r="B1494" i="102"/>
  <c r="B1478" i="102"/>
  <c r="B1462" i="102"/>
  <c r="B1446" i="102"/>
  <c r="B1430" i="102"/>
  <c r="B1414" i="102"/>
  <c r="B1398" i="102"/>
  <c r="B1382" i="102"/>
  <c r="B1366" i="102"/>
  <c r="B1350" i="102"/>
  <c r="B1334" i="102"/>
  <c r="B1318" i="102"/>
  <c r="B1302" i="102"/>
  <c r="B1286" i="102"/>
  <c r="B1270" i="102"/>
  <c r="B1254" i="102"/>
  <c r="B1238" i="102"/>
  <c r="B1222" i="102"/>
  <c r="B1206" i="102"/>
  <c r="B1190" i="102"/>
  <c r="B1174" i="102"/>
  <c r="B1158" i="102"/>
  <c r="B1142" i="102"/>
  <c r="B1126" i="102"/>
  <c r="B1110" i="102"/>
  <c r="B1094" i="102"/>
  <c r="B1078" i="102"/>
  <c r="B1062" i="102"/>
  <c r="B1046" i="102"/>
  <c r="B1030" i="102"/>
  <c r="B1022" i="102"/>
  <c r="B1014" i="102"/>
  <c r="B1006" i="102"/>
  <c r="B998" i="102"/>
  <c r="B990" i="102"/>
  <c r="B982" i="102"/>
  <c r="B974" i="102"/>
  <c r="B966" i="102"/>
  <c r="B958" i="102"/>
  <c r="B950" i="102"/>
  <c r="B942" i="102"/>
  <c r="B934" i="102"/>
  <c r="B926" i="102"/>
  <c r="B918" i="102"/>
  <c r="B910" i="102"/>
  <c r="B902" i="102"/>
  <c r="B894" i="102"/>
  <c r="B886" i="102"/>
  <c r="B878" i="102"/>
  <c r="B870" i="102"/>
  <c r="B862" i="102"/>
  <c r="B858" i="102"/>
  <c r="B854" i="102"/>
  <c r="B850" i="102"/>
  <c r="B846" i="102"/>
  <c r="B842" i="102"/>
  <c r="B838" i="102"/>
  <c r="B834" i="102"/>
  <c r="B830" i="102"/>
  <c r="B826" i="102"/>
  <c r="B822" i="102"/>
  <c r="B818" i="102"/>
  <c r="B814" i="102"/>
  <c r="B810" i="102"/>
  <c r="B806" i="102"/>
  <c r="B802" i="102"/>
  <c r="B798" i="102"/>
  <c r="B794" i="102"/>
  <c r="B790" i="102"/>
  <c r="B786" i="102"/>
  <c r="B782" i="102"/>
  <c r="B778" i="102"/>
  <c r="B774" i="102"/>
  <c r="B770" i="102"/>
  <c r="B766" i="102"/>
  <c r="B762" i="102"/>
  <c r="B758" i="102"/>
  <c r="B754" i="102"/>
  <c r="B750" i="102"/>
  <c r="B746" i="102"/>
  <c r="B742" i="102"/>
  <c r="B738" i="102"/>
  <c r="B734" i="102"/>
  <c r="B730" i="102"/>
  <c r="B726" i="102"/>
  <c r="B722" i="102"/>
  <c r="B718" i="102"/>
  <c r="B714" i="102"/>
  <c r="B710" i="102"/>
  <c r="B706" i="102"/>
  <c r="B702" i="102"/>
  <c r="B698" i="102"/>
  <c r="B694" i="102"/>
  <c r="B690" i="102"/>
  <c r="B686" i="102"/>
  <c r="B682" i="102"/>
  <c r="B678" i="102"/>
  <c r="B674" i="102"/>
  <c r="B670" i="102"/>
  <c r="B666" i="102"/>
  <c r="B662" i="102"/>
  <c r="B658" i="102"/>
  <c r="B654" i="102"/>
  <c r="B650" i="102"/>
  <c r="B646" i="102"/>
  <c r="B642" i="102"/>
  <c r="B638" i="102"/>
  <c r="B634" i="102"/>
  <c r="B630" i="102"/>
  <c r="B626" i="102"/>
  <c r="B622" i="102"/>
  <c r="B618" i="102"/>
  <c r="B614" i="102"/>
  <c r="B610" i="102"/>
  <c r="B606" i="102"/>
  <c r="B602" i="102"/>
  <c r="B598" i="102"/>
  <c r="B594" i="102"/>
  <c r="B590" i="102"/>
  <c r="B586" i="102"/>
  <c r="B582" i="102"/>
  <c r="B578" i="102"/>
  <c r="B574" i="102"/>
  <c r="B570" i="102"/>
  <c r="B566" i="102"/>
  <c r="B562" i="102"/>
  <c r="B558" i="102"/>
  <c r="B554" i="102"/>
  <c r="B550" i="102"/>
  <c r="B546" i="102"/>
  <c r="B542" i="102"/>
  <c r="B538" i="102"/>
  <c r="B534" i="102"/>
  <c r="B530" i="102"/>
  <c r="B526" i="102"/>
  <c r="B522" i="102"/>
  <c r="B518" i="102"/>
  <c r="B514" i="102"/>
  <c r="B510" i="102"/>
  <c r="B506" i="102"/>
  <c r="B502" i="102"/>
  <c r="B498" i="102"/>
  <c r="B494" i="102"/>
  <c r="B490" i="102"/>
  <c r="B486" i="102"/>
  <c r="B482" i="102"/>
  <c r="B478" i="102"/>
  <c r="B474" i="102"/>
  <c r="B470" i="102"/>
  <c r="B466" i="102"/>
  <c r="B462" i="102"/>
  <c r="B458" i="102"/>
  <c r="B454" i="102"/>
  <c r="B450" i="102"/>
  <c r="B446" i="102"/>
  <c r="B442" i="102"/>
  <c r="B438" i="102"/>
  <c r="B434" i="102"/>
  <c r="B430" i="102"/>
  <c r="B426" i="102"/>
  <c r="B422" i="102"/>
  <c r="B418" i="102"/>
  <c r="B414" i="102"/>
  <c r="B410" i="102"/>
  <c r="B406" i="102"/>
  <c r="B402" i="102"/>
  <c r="B398" i="102"/>
  <c r="B394" i="102"/>
  <c r="B390" i="102"/>
  <c r="B386" i="102"/>
  <c r="B382" i="102"/>
  <c r="B378" i="102"/>
  <c r="B374" i="102"/>
  <c r="B370" i="102"/>
  <c r="B366" i="102"/>
  <c r="B362" i="102"/>
  <c r="B358" i="102"/>
  <c r="B354" i="102"/>
  <c r="B350" i="102"/>
  <c r="B346" i="102"/>
  <c r="B342" i="102"/>
  <c r="B338" i="102"/>
  <c r="B334" i="102"/>
  <c r="B330" i="102"/>
  <c r="B326" i="102"/>
  <c r="B322" i="102"/>
  <c r="B318" i="102"/>
  <c r="B314" i="102"/>
  <c r="B310" i="102"/>
  <c r="B306" i="102"/>
  <c r="B302" i="102"/>
  <c r="B298" i="102"/>
  <c r="B294" i="102"/>
  <c r="B290" i="102"/>
  <c r="B286" i="102"/>
  <c r="B282" i="102"/>
  <c r="B278" i="102"/>
  <c r="B274" i="102"/>
  <c r="B270" i="102"/>
  <c r="B266" i="102"/>
  <c r="B262" i="102"/>
  <c r="B258" i="102"/>
  <c r="B254" i="102"/>
  <c r="B250" i="102"/>
  <c r="B246" i="102"/>
  <c r="B242" i="102"/>
  <c r="B238" i="102"/>
  <c r="B234" i="102"/>
  <c r="B230" i="102"/>
  <c r="B226" i="102"/>
  <c r="B222" i="102"/>
  <c r="B218" i="102"/>
  <c r="B214" i="102"/>
  <c r="B210" i="102"/>
  <c r="B206" i="102"/>
  <c r="B202" i="102"/>
  <c r="B198" i="102"/>
  <c r="B194" i="102"/>
  <c r="B190" i="102"/>
  <c r="B186" i="102"/>
  <c r="B182" i="102"/>
  <c r="B178" i="102"/>
  <c r="B174" i="102"/>
  <c r="B170" i="102"/>
  <c r="B166" i="102"/>
  <c r="B162" i="102"/>
  <c r="B158" i="102"/>
  <c r="B154" i="102"/>
  <c r="B150" i="102"/>
  <c r="B146" i="102"/>
  <c r="B142" i="102"/>
  <c r="B138" i="102"/>
  <c r="B134" i="102"/>
  <c r="B130" i="102"/>
  <c r="B126" i="102"/>
  <c r="B122" i="102"/>
  <c r="B118" i="102"/>
  <c r="B114" i="102"/>
  <c r="B110" i="102"/>
  <c r="B106" i="102"/>
  <c r="B102" i="102"/>
  <c r="B98" i="102"/>
  <c r="B94" i="102"/>
  <c r="B90" i="102"/>
  <c r="B86" i="102"/>
  <c r="B82" i="102"/>
  <c r="B78" i="102"/>
  <c r="B74" i="102"/>
  <c r="B70" i="102"/>
  <c r="B66" i="102"/>
  <c r="B62" i="102"/>
  <c r="B58" i="102"/>
  <c r="B54" i="102"/>
  <c r="B50" i="102"/>
  <c r="B46" i="102"/>
  <c r="B42" i="102"/>
  <c r="B38" i="102"/>
  <c r="B34" i="102"/>
  <c r="B30" i="102"/>
  <c r="B26" i="102"/>
  <c r="B22" i="102"/>
  <c r="B18" i="102"/>
  <c r="B14" i="102"/>
  <c r="B10" i="102"/>
  <c r="B6" i="102"/>
  <c r="B1905" i="102"/>
  <c r="B1826" i="102"/>
  <c r="B1762" i="102"/>
  <c r="B1698" i="102"/>
  <c r="B1634" i="102"/>
  <c r="B1570" i="102"/>
  <c r="B1506" i="102"/>
  <c r="B1442" i="102"/>
  <c r="B1378" i="102"/>
  <c r="B1314" i="102"/>
  <c r="B1250" i="102"/>
  <c r="B1186" i="102"/>
  <c r="B1122" i="102"/>
  <c r="B1058" i="102"/>
  <c r="B1013" i="102"/>
  <c r="B981" i="102"/>
  <c r="B949" i="102"/>
  <c r="B917" i="102"/>
  <c r="B885" i="102"/>
  <c r="B857" i="102"/>
  <c r="B841" i="102"/>
  <c r="B825" i="102"/>
  <c r="B809" i="102"/>
  <c r="B793" i="102"/>
  <c r="B777" i="102"/>
  <c r="B761" i="102"/>
  <c r="B745" i="102"/>
  <c r="B729" i="102"/>
  <c r="B713" i="102"/>
  <c r="B697" i="102"/>
  <c r="B681" i="102"/>
  <c r="B665" i="102"/>
  <c r="B649" i="102"/>
  <c r="B633" i="102"/>
  <c r="B617" i="102"/>
  <c r="B601" i="102"/>
  <c r="B585" i="102"/>
  <c r="B569" i="102"/>
  <c r="B553" i="102"/>
  <c r="B537" i="102"/>
  <c r="B521" i="102"/>
  <c r="B505" i="102"/>
  <c r="B489" i="102"/>
  <c r="B473" i="102"/>
  <c r="B457" i="102"/>
  <c r="B441" i="102"/>
  <c r="B425" i="102"/>
  <c r="B409" i="102"/>
  <c r="B393" i="102"/>
  <c r="B377" i="102"/>
  <c r="B361" i="102"/>
  <c r="B345" i="102"/>
  <c r="B329" i="102"/>
  <c r="B313" i="102"/>
  <c r="B297" i="102"/>
  <c r="B281" i="102"/>
  <c r="B265" i="102"/>
  <c r="B249" i="102"/>
  <c r="B233" i="102"/>
  <c r="B217" i="102"/>
  <c r="B201" i="102"/>
  <c r="B185" i="102"/>
  <c r="B169" i="102"/>
  <c r="B153" i="102"/>
  <c r="B137" i="102"/>
  <c r="B121" i="102"/>
  <c r="B105" i="102"/>
  <c r="B89" i="102"/>
  <c r="B73" i="102"/>
  <c r="B57" i="102"/>
  <c r="B41" i="102"/>
  <c r="B25" i="102"/>
  <c r="B9" i="102"/>
  <c r="B1874" i="102"/>
  <c r="B1810" i="102"/>
  <c r="B1746" i="102"/>
  <c r="B1682" i="102"/>
  <c r="B1618" i="102"/>
  <c r="B1554" i="102"/>
  <c r="B1490" i="102"/>
  <c r="B1426" i="102"/>
  <c r="B1362" i="102"/>
  <c r="B1298" i="102"/>
  <c r="B1234" i="102"/>
  <c r="B1170" i="102"/>
  <c r="B1106" i="102"/>
  <c r="B1042" i="102"/>
  <c r="B1005" i="102"/>
  <c r="B973" i="102"/>
  <c r="B941" i="102"/>
  <c r="B909" i="102"/>
  <c r="B877" i="102"/>
  <c r="B853" i="102"/>
  <c r="B837" i="102"/>
  <c r="B821" i="102"/>
  <c r="B805" i="102"/>
  <c r="B789" i="102"/>
  <c r="B773" i="102"/>
  <c r="B757" i="102"/>
  <c r="B741" i="102"/>
  <c r="B725" i="102"/>
  <c r="B709" i="102"/>
  <c r="B693" i="102"/>
  <c r="B677" i="102"/>
  <c r="B661" i="102"/>
  <c r="B645" i="102"/>
  <c r="B629" i="102"/>
  <c r="B613" i="102"/>
  <c r="B597" i="102"/>
  <c r="B581" i="102"/>
  <c r="B565" i="102"/>
  <c r="B549" i="102"/>
  <c r="B533" i="102"/>
  <c r="B517" i="102"/>
  <c r="B501" i="102"/>
  <c r="B485" i="102"/>
  <c r="B469" i="102"/>
  <c r="B453" i="102"/>
  <c r="B437" i="102"/>
  <c r="B421" i="102"/>
  <c r="B405" i="102"/>
  <c r="B389" i="102"/>
  <c r="B373" i="102"/>
  <c r="B357" i="102"/>
  <c r="B341" i="102"/>
  <c r="B325" i="102"/>
  <c r="B309" i="102"/>
  <c r="B293" i="102"/>
  <c r="B277" i="102"/>
  <c r="B261" i="102"/>
  <c r="B245" i="102"/>
  <c r="B229" i="102"/>
  <c r="B213" i="102"/>
  <c r="B197" i="102"/>
  <c r="B181" i="102"/>
  <c r="B165" i="102"/>
  <c r="B149" i="102"/>
  <c r="B133" i="102"/>
  <c r="B117" i="102"/>
  <c r="B101" i="102"/>
  <c r="B85" i="102"/>
  <c r="B69" i="102"/>
  <c r="B53" i="102"/>
  <c r="B37" i="102"/>
  <c r="B21" i="102"/>
  <c r="B5" i="102"/>
  <c r="B1858" i="102"/>
  <c r="B1794" i="102"/>
  <c r="B1730" i="102"/>
  <c r="B1666" i="102"/>
  <c r="B1602" i="102"/>
  <c r="B1538" i="102"/>
  <c r="B1474" i="102"/>
  <c r="B1410" i="102"/>
  <c r="B1346" i="102"/>
  <c r="B1282" i="102"/>
  <c r="B1218" i="102"/>
  <c r="B1154" i="102"/>
  <c r="B1090" i="102"/>
  <c r="B1029" i="102"/>
  <c r="B997" i="102"/>
  <c r="B965" i="102"/>
  <c r="B933" i="102"/>
  <c r="B901" i="102"/>
  <c r="B869" i="102"/>
  <c r="B849" i="102"/>
  <c r="B833" i="102"/>
  <c r="B817" i="102"/>
  <c r="B801" i="102"/>
  <c r="B785" i="102"/>
  <c r="B769" i="102"/>
  <c r="B753" i="102"/>
  <c r="B737" i="102"/>
  <c r="B721" i="102"/>
  <c r="B705" i="102"/>
  <c r="B689" i="102"/>
  <c r="B673" i="102"/>
  <c r="B657" i="102"/>
  <c r="B641" i="102"/>
  <c r="B625" i="102"/>
  <c r="B609" i="102"/>
  <c r="B593" i="102"/>
  <c r="B577" i="102"/>
  <c r="B561" i="102"/>
  <c r="B545" i="102"/>
  <c r="B529" i="102"/>
  <c r="B513" i="102"/>
  <c r="B497" i="102"/>
  <c r="B481" i="102"/>
  <c r="B465" i="102"/>
  <c r="B449" i="102"/>
  <c r="B433" i="102"/>
  <c r="B417" i="102"/>
  <c r="B401" i="102"/>
  <c r="B385" i="102"/>
  <c r="B369" i="102"/>
  <c r="B353" i="102"/>
  <c r="B337" i="102"/>
  <c r="B321" i="102"/>
  <c r="B305" i="102"/>
  <c r="B289" i="102"/>
  <c r="B273" i="102"/>
  <c r="B257" i="102"/>
  <c r="B241" i="102"/>
  <c r="B225" i="102"/>
  <c r="B209" i="102"/>
  <c r="B193" i="102"/>
  <c r="B177" i="102"/>
  <c r="B161" i="102"/>
  <c r="B145" i="102"/>
  <c r="B129" i="102"/>
  <c r="B113" i="102"/>
  <c r="B97" i="102"/>
  <c r="B81" i="102"/>
  <c r="B65" i="102"/>
  <c r="B49" i="102"/>
  <c r="B33" i="102"/>
  <c r="B17" i="102"/>
  <c r="B1842" i="102"/>
  <c r="B1778" i="102"/>
  <c r="B1714" i="102"/>
  <c r="B1650" i="102"/>
  <c r="B1586" i="102"/>
  <c r="B1522" i="102"/>
  <c r="B1458" i="102"/>
  <c r="B1394" i="102"/>
  <c r="B1330" i="102"/>
  <c r="B1266" i="102"/>
  <c r="B1202" i="102"/>
  <c r="B1138" i="102"/>
  <c r="B1074" i="102"/>
  <c r="B1021" i="102"/>
  <c r="B989" i="102"/>
  <c r="B957" i="102"/>
  <c r="B925" i="102"/>
  <c r="B893" i="102"/>
  <c r="B861" i="102"/>
  <c r="B845" i="102"/>
  <c r="B829" i="102"/>
  <c r="B813" i="102"/>
  <c r="B797" i="102"/>
  <c r="B781" i="102"/>
  <c r="B765" i="102"/>
  <c r="B749" i="102"/>
  <c r="B733" i="102"/>
  <c r="B717" i="102"/>
  <c r="B701" i="102"/>
  <c r="B685" i="102"/>
  <c r="B669" i="102"/>
  <c r="B653" i="102"/>
  <c r="B637" i="102"/>
  <c r="B621" i="102"/>
  <c r="B605" i="102"/>
  <c r="B589" i="102"/>
  <c r="B573" i="102"/>
  <c r="B557" i="102"/>
  <c r="B541" i="102"/>
  <c r="B525" i="102"/>
  <c r="B509" i="102"/>
  <c r="B493" i="102"/>
  <c r="B477" i="102"/>
  <c r="B461" i="102"/>
  <c r="B445" i="102"/>
  <c r="B429" i="102"/>
  <c r="B413" i="102"/>
  <c r="B397" i="102"/>
  <c r="B381" i="102"/>
  <c r="B365" i="102"/>
  <c r="B349" i="102"/>
  <c r="B333" i="102"/>
  <c r="B317" i="102"/>
  <c r="B301" i="102"/>
  <c r="B285" i="102"/>
  <c r="B269" i="102"/>
  <c r="B253" i="102"/>
  <c r="B237" i="102"/>
  <c r="B221" i="102"/>
  <c r="B205" i="102"/>
  <c r="B189" i="102"/>
  <c r="B173" i="102"/>
  <c r="B157" i="102"/>
  <c r="B141" i="102"/>
  <c r="B125" i="102"/>
  <c r="B109" i="102"/>
  <c r="B93" i="102"/>
  <c r="B77" i="102"/>
  <c r="B61" i="102"/>
  <c r="B45" i="102"/>
  <c r="B29" i="102"/>
  <c r="B13" i="102"/>
  <c r="B2" i="102"/>
  <c r="B7" i="68"/>
  <c r="C6" i="68"/>
  <c r="B6" i="68"/>
  <c r="B5" i="68"/>
  <c r="B4" i="68"/>
  <c r="B3" i="68"/>
  <c r="B7" i="81"/>
  <c r="C6" i="81"/>
  <c r="B6" i="81"/>
  <c r="B5" i="81"/>
  <c r="B4" i="81"/>
  <c r="B3" i="81"/>
  <c r="B7" i="67"/>
  <c r="C6" i="67"/>
  <c r="B6" i="67"/>
  <c r="B5" i="67"/>
  <c r="B4" i="67"/>
  <c r="B3" i="67"/>
  <c r="B7" i="69"/>
  <c r="C6" i="69"/>
  <c r="B6" i="69"/>
  <c r="B5" i="69"/>
  <c r="B4" i="69"/>
  <c r="B3" i="69"/>
  <c r="B7" i="62"/>
  <c r="C6" i="62"/>
  <c r="B6" i="62"/>
  <c r="B5" i="62"/>
  <c r="B4" i="62"/>
  <c r="B3" i="62"/>
  <c r="B7" i="65"/>
  <c r="C6" i="65"/>
  <c r="B6" i="65"/>
  <c r="B5" i="65"/>
  <c r="B4" i="65"/>
  <c r="B3" i="65"/>
  <c r="B7" i="64"/>
  <c r="C6" i="64"/>
  <c r="B6" i="64"/>
  <c r="B5" i="64"/>
  <c r="B4" i="64"/>
  <c r="B3" i="64"/>
  <c r="B7" i="63"/>
  <c r="C6" i="63"/>
  <c r="B6" i="63"/>
  <c r="B5" i="63"/>
  <c r="B4" i="63"/>
  <c r="B3" i="63"/>
  <c r="B5" i="66"/>
  <c r="B4" i="66"/>
  <c r="B3" i="66"/>
  <c r="E1429" i="102" l="1"/>
  <c r="E112" i="111"/>
  <c r="E200" i="111"/>
  <c r="E54" i="111"/>
  <c r="E58" i="111"/>
  <c r="E62" i="111"/>
  <c r="E66" i="111"/>
  <c r="E70" i="111"/>
  <c r="E74" i="111"/>
  <c r="E78" i="111"/>
  <c r="E82" i="111"/>
  <c r="E86" i="111"/>
  <c r="E90" i="111"/>
  <c r="E94" i="111"/>
  <c r="E98" i="111"/>
  <c r="E302" i="111"/>
  <c r="E306" i="111"/>
  <c r="E310" i="111"/>
  <c r="E314" i="111"/>
  <c r="E318" i="111"/>
  <c r="E322" i="111"/>
  <c r="E326" i="111"/>
  <c r="E330" i="111"/>
  <c r="E334" i="111"/>
  <c r="E338" i="111"/>
  <c r="E342" i="111"/>
  <c r="E346" i="111"/>
  <c r="E350" i="111"/>
  <c r="E354" i="111"/>
  <c r="E358" i="111"/>
  <c r="E362" i="111"/>
  <c r="E366" i="111"/>
  <c r="E370" i="111"/>
  <c r="E374" i="111"/>
  <c r="E378" i="111"/>
  <c r="E382" i="111"/>
  <c r="E386" i="111"/>
  <c r="E390" i="111"/>
  <c r="E394" i="111"/>
  <c r="E398" i="111"/>
  <c r="E502" i="111"/>
  <c r="E506" i="111"/>
  <c r="E510" i="111"/>
  <c r="E514" i="111"/>
  <c r="E518" i="111"/>
  <c r="E522" i="111"/>
  <c r="E526" i="111"/>
  <c r="E530" i="111"/>
  <c r="E534" i="111"/>
  <c r="E538" i="111"/>
  <c r="E542" i="111"/>
  <c r="E546" i="111"/>
  <c r="E550" i="111"/>
  <c r="E554" i="111"/>
  <c r="E558" i="111"/>
  <c r="E562" i="111"/>
  <c r="E566" i="111"/>
  <c r="E570" i="111"/>
  <c r="E574" i="111"/>
  <c r="E578" i="111"/>
  <c r="E582" i="111"/>
  <c r="E586" i="111"/>
  <c r="E590" i="111"/>
  <c r="E594" i="111"/>
  <c r="E598" i="111"/>
  <c r="E1202" i="111"/>
  <c r="E1105" i="111"/>
  <c r="E1206" i="111"/>
  <c r="E1109" i="111"/>
  <c r="E1210" i="111"/>
  <c r="E1113" i="111"/>
  <c r="E1214" i="111"/>
  <c r="E1117" i="111"/>
  <c r="E1218" i="111"/>
  <c r="E1121" i="111"/>
  <c r="E1222" i="111"/>
  <c r="E1125" i="111"/>
  <c r="E1226" i="111"/>
  <c r="E1129" i="111"/>
  <c r="E1230" i="111"/>
  <c r="E1133" i="111"/>
  <c r="E1234" i="111"/>
  <c r="E1137" i="111"/>
  <c r="E1238" i="111"/>
  <c r="E1141" i="111"/>
  <c r="E1242" i="111"/>
  <c r="E1145" i="111"/>
  <c r="E1246" i="111"/>
  <c r="E1149" i="111"/>
  <c r="E1250" i="111"/>
  <c r="E1153" i="111"/>
  <c r="E1254" i="111"/>
  <c r="E1157" i="111"/>
  <c r="E1258" i="111"/>
  <c r="E1161" i="111"/>
  <c r="E1262" i="111"/>
  <c r="E1165" i="111"/>
  <c r="E1266" i="111"/>
  <c r="E1169" i="111"/>
  <c r="E1270" i="111"/>
  <c r="E1173" i="111"/>
  <c r="E1274" i="111"/>
  <c r="E1375" i="111"/>
  <c r="E1177" i="111"/>
  <c r="E1278" i="111"/>
  <c r="E1379" i="111"/>
  <c r="E1181" i="111"/>
  <c r="E1282" i="111"/>
  <c r="E1383" i="111"/>
  <c r="E1185" i="111"/>
  <c r="E1286" i="111"/>
  <c r="E1387" i="111"/>
  <c r="E1189" i="111"/>
  <c r="E1290" i="111"/>
  <c r="E1391" i="111"/>
  <c r="E1193" i="111"/>
  <c r="E1294" i="111"/>
  <c r="E1395" i="111"/>
  <c r="E1396" i="111"/>
  <c r="E1197" i="111"/>
  <c r="E1298" i="111"/>
  <c r="E1299" i="111"/>
  <c r="E1399" i="111"/>
  <c r="E1201" i="111"/>
  <c r="E1939" i="111"/>
  <c r="E1923" i="111"/>
  <c r="E1848" i="111"/>
  <c r="E1847" i="111"/>
  <c r="E1907" i="102"/>
  <c r="E1906" i="102"/>
  <c r="E1890" i="102"/>
  <c r="E1889" i="102"/>
  <c r="E1802" i="102"/>
  <c r="E1801" i="102"/>
  <c r="E1502" i="111"/>
  <c r="E1799" i="102"/>
  <c r="E1785" i="102"/>
  <c r="E1800" i="102"/>
  <c r="E1772" i="102"/>
  <c r="E1771" i="102"/>
  <c r="E1736" i="102"/>
  <c r="E1757" i="102"/>
  <c r="E1756" i="102"/>
  <c r="E1832" i="111"/>
  <c r="E1816" i="111"/>
  <c r="E1833" i="111"/>
  <c r="E1811" i="111"/>
  <c r="E1808" i="111"/>
  <c r="E1732" i="102"/>
  <c r="E1731" i="102"/>
  <c r="E1572" i="111"/>
  <c r="E1518" i="102"/>
  <c r="E1517" i="102"/>
  <c r="E1568" i="111"/>
  <c r="E1567" i="111"/>
  <c r="E1450" i="102"/>
  <c r="E1445" i="102"/>
  <c r="E1442" i="102"/>
  <c r="E1441" i="102"/>
  <c r="E1432" i="102"/>
  <c r="E1431" i="102"/>
  <c r="E1430" i="102"/>
  <c r="E1566" i="111"/>
  <c r="E1562" i="111"/>
  <c r="E1563" i="111"/>
  <c r="E1326" i="102"/>
  <c r="E1523" i="111"/>
  <c r="E1503" i="111"/>
  <c r="E1312" i="102"/>
  <c r="E1302" i="102"/>
  <c r="E1309" i="102"/>
  <c r="E1310" i="102"/>
  <c r="E1316" i="102"/>
  <c r="E1303" i="102"/>
  <c r="E1324" i="102"/>
  <c r="E1323" i="102"/>
  <c r="E3" i="102"/>
  <c r="E2" i="102"/>
  <c r="E1402" i="111"/>
  <c r="E1190" i="111"/>
  <c r="E1291" i="111"/>
  <c r="E1194" i="111"/>
  <c r="E1198" i="111"/>
  <c r="E1398" i="111"/>
  <c r="E1301" i="111"/>
  <c r="E3" i="111"/>
  <c r="A105" i="64"/>
  <c r="X54" i="64" s="1"/>
  <c r="A104" i="64"/>
  <c r="D54" i="64" s="1"/>
  <c r="N25" i="62"/>
  <c r="D1940" i="111"/>
  <c r="D1939" i="111"/>
  <c r="C1940" i="111"/>
  <c r="C1939" i="111"/>
  <c r="D1938" i="111"/>
  <c r="D1937" i="111"/>
  <c r="C1938" i="111"/>
  <c r="C1937" i="111"/>
  <c r="E1922" i="111"/>
  <c r="D1936" i="111"/>
  <c r="D1935" i="111"/>
  <c r="D1934" i="111"/>
  <c r="D1933" i="111"/>
  <c r="D1932" i="111"/>
  <c r="D1931" i="111"/>
  <c r="D1930" i="111"/>
  <c r="D1929" i="111"/>
  <c r="D1928" i="111"/>
  <c r="D1927" i="111"/>
  <c r="D1926" i="111"/>
  <c r="D1925" i="111"/>
  <c r="D1924" i="111"/>
  <c r="D1923" i="111"/>
  <c r="D1922" i="111"/>
  <c r="C1936" i="111"/>
  <c r="C1923" i="111"/>
  <c r="C1924" i="111"/>
  <c r="C1925" i="111"/>
  <c r="C1926" i="111"/>
  <c r="C1927" i="111"/>
  <c r="C1928" i="111"/>
  <c r="C1929" i="111"/>
  <c r="C1930" i="111"/>
  <c r="C1931" i="111"/>
  <c r="C1932" i="111"/>
  <c r="C1933" i="111"/>
  <c r="C1934" i="111"/>
  <c r="C1935" i="111"/>
  <c r="C1922" i="111"/>
  <c r="D1921" i="111"/>
  <c r="D1920" i="111"/>
  <c r="D1919" i="111"/>
  <c r="D1918" i="111"/>
  <c r="D1917" i="111"/>
  <c r="D1916" i="111"/>
  <c r="D1915" i="111"/>
  <c r="D1914" i="111"/>
  <c r="D1913" i="111"/>
  <c r="D1912" i="111"/>
  <c r="D1911" i="111"/>
  <c r="D1910" i="111"/>
  <c r="D1909" i="111"/>
  <c r="D1908" i="111"/>
  <c r="D1907" i="111"/>
  <c r="C1919" i="111"/>
  <c r="C1920" i="111"/>
  <c r="C1921" i="111"/>
  <c r="C1908" i="111"/>
  <c r="C1909" i="111"/>
  <c r="C1910" i="111"/>
  <c r="C1911" i="111"/>
  <c r="C1912" i="111"/>
  <c r="C1913" i="111"/>
  <c r="C1914" i="111"/>
  <c r="C1915" i="111"/>
  <c r="C1916" i="111"/>
  <c r="C1917" i="111"/>
  <c r="C1918" i="111"/>
  <c r="C1907" i="111"/>
  <c r="E1893" i="111"/>
  <c r="E1892" i="111"/>
  <c r="D1906" i="111"/>
  <c r="D1905" i="111"/>
  <c r="D1904" i="111"/>
  <c r="D1903" i="111"/>
  <c r="D1902" i="111"/>
  <c r="D1901" i="111"/>
  <c r="D1900" i="111"/>
  <c r="D1899" i="111"/>
  <c r="D1898" i="111"/>
  <c r="D1897" i="111"/>
  <c r="D1896" i="111"/>
  <c r="D1895" i="111"/>
  <c r="D1894" i="111"/>
  <c r="D1893" i="111"/>
  <c r="D1892" i="111"/>
  <c r="C1904" i="111"/>
  <c r="C1905" i="111"/>
  <c r="C1906" i="111"/>
  <c r="C1893" i="111"/>
  <c r="C1894" i="111"/>
  <c r="C1895" i="111"/>
  <c r="C1896" i="111"/>
  <c r="C1897" i="111"/>
  <c r="C1898" i="111"/>
  <c r="C1899" i="111"/>
  <c r="C1900" i="111"/>
  <c r="C1901" i="111"/>
  <c r="C1902" i="111"/>
  <c r="C1903" i="111"/>
  <c r="C1892" i="111"/>
  <c r="D1891" i="111"/>
  <c r="D1890" i="111"/>
  <c r="D1889" i="111"/>
  <c r="D1888" i="111"/>
  <c r="D1887" i="111"/>
  <c r="D1886" i="111"/>
  <c r="D1885" i="111"/>
  <c r="D1884" i="111"/>
  <c r="D1883" i="111"/>
  <c r="D1882" i="111"/>
  <c r="D1881" i="111"/>
  <c r="D1880" i="111"/>
  <c r="D1879" i="111"/>
  <c r="D1878" i="111"/>
  <c r="D1877" i="111"/>
  <c r="C1891" i="111"/>
  <c r="C1878" i="111"/>
  <c r="C1879" i="111"/>
  <c r="C1880" i="111"/>
  <c r="C1881" i="111"/>
  <c r="C1882" i="111"/>
  <c r="C1883" i="111"/>
  <c r="C1884" i="111"/>
  <c r="C1885" i="111"/>
  <c r="C1886" i="111"/>
  <c r="C1887" i="111"/>
  <c r="C1888" i="111"/>
  <c r="C1889" i="111"/>
  <c r="C1890" i="111"/>
  <c r="C1877" i="111"/>
  <c r="D1876" i="111"/>
  <c r="D1875" i="111"/>
  <c r="D1874" i="111"/>
  <c r="D1873" i="111"/>
  <c r="D1872" i="111"/>
  <c r="D1871" i="111"/>
  <c r="D1870" i="111"/>
  <c r="D1869" i="111"/>
  <c r="D1868" i="111"/>
  <c r="D1867" i="111"/>
  <c r="D1866" i="111"/>
  <c r="D1865" i="111"/>
  <c r="D1864" i="111"/>
  <c r="D1863" i="111"/>
  <c r="D1862" i="111"/>
  <c r="C1876" i="111"/>
  <c r="C1863" i="111"/>
  <c r="C1864" i="111"/>
  <c r="C1865" i="111"/>
  <c r="C1866" i="111"/>
  <c r="C1867" i="111"/>
  <c r="C1868" i="111"/>
  <c r="C1869" i="111"/>
  <c r="C1870" i="111"/>
  <c r="C1871" i="111"/>
  <c r="C1872" i="111"/>
  <c r="C1873" i="111"/>
  <c r="C1874" i="111"/>
  <c r="C1875" i="111"/>
  <c r="C1862" i="111"/>
  <c r="D1861" i="111"/>
  <c r="D1860" i="111"/>
  <c r="D1859" i="111"/>
  <c r="D1858" i="111"/>
  <c r="D1857" i="111"/>
  <c r="D1856" i="111"/>
  <c r="D1855" i="111"/>
  <c r="D1854" i="111"/>
  <c r="D1853" i="111"/>
  <c r="D1852" i="111"/>
  <c r="D1851" i="111"/>
  <c r="D1850" i="111"/>
  <c r="D1849" i="111"/>
  <c r="D1848" i="111"/>
  <c r="D1847" i="111"/>
  <c r="C1848" i="111"/>
  <c r="C1849" i="111"/>
  <c r="C1850" i="111"/>
  <c r="C1851" i="111"/>
  <c r="C1852" i="111"/>
  <c r="C1853" i="111"/>
  <c r="C1854" i="111"/>
  <c r="C1855" i="111"/>
  <c r="C1856" i="111"/>
  <c r="C1857" i="111"/>
  <c r="C1858" i="111"/>
  <c r="C1859" i="111"/>
  <c r="C1860" i="111"/>
  <c r="C1861" i="111"/>
  <c r="C1847" i="111"/>
  <c r="D1846" i="111"/>
  <c r="D1845" i="111"/>
  <c r="D1844" i="111"/>
  <c r="D1843" i="111"/>
  <c r="D1842" i="111"/>
  <c r="D1841" i="111"/>
  <c r="D1840" i="111"/>
  <c r="D1839" i="111"/>
  <c r="D1838" i="111"/>
  <c r="D1837" i="111"/>
  <c r="D1836" i="111"/>
  <c r="D1835" i="111"/>
  <c r="D1834" i="111"/>
  <c r="D1833" i="111"/>
  <c r="C1845" i="111"/>
  <c r="C1846" i="111"/>
  <c r="C1834" i="111"/>
  <c r="C1835" i="111"/>
  <c r="C1836" i="111"/>
  <c r="C1837" i="111"/>
  <c r="C1838" i="111"/>
  <c r="C1839" i="111"/>
  <c r="C1840" i="111"/>
  <c r="C1841" i="111"/>
  <c r="C1842" i="111"/>
  <c r="C1843" i="111"/>
  <c r="C1844" i="111"/>
  <c r="C1833" i="111"/>
  <c r="D1832" i="111"/>
  <c r="C1832" i="111"/>
  <c r="D1831" i="111"/>
  <c r="D1830" i="111"/>
  <c r="D1829" i="111"/>
  <c r="D1828" i="111"/>
  <c r="D1827" i="111"/>
  <c r="D1826" i="111"/>
  <c r="D1825" i="111"/>
  <c r="D1824" i="111"/>
  <c r="D1823" i="111"/>
  <c r="C1824" i="111"/>
  <c r="C1825" i="111"/>
  <c r="C1826" i="111"/>
  <c r="C1827" i="111"/>
  <c r="C1828" i="111"/>
  <c r="C1829" i="111"/>
  <c r="C1830" i="111"/>
  <c r="C1831" i="111"/>
  <c r="C1823" i="111"/>
  <c r="D1822" i="111"/>
  <c r="D1821" i="111"/>
  <c r="D1820" i="111"/>
  <c r="D1819" i="111"/>
  <c r="D1818" i="111"/>
  <c r="D1817" i="111"/>
  <c r="D1816" i="111"/>
  <c r="D1815" i="111"/>
  <c r="D1814" i="111"/>
  <c r="C1815" i="111"/>
  <c r="C1816" i="111"/>
  <c r="C1817" i="111"/>
  <c r="C1818" i="111"/>
  <c r="C1819" i="111"/>
  <c r="C1820" i="111"/>
  <c r="C1821" i="111"/>
  <c r="C1822" i="111"/>
  <c r="C1814" i="111"/>
  <c r="E1810" i="111"/>
  <c r="E1812" i="111"/>
  <c r="E1813" i="111"/>
  <c r="E1809" i="111"/>
  <c r="D1813" i="111"/>
  <c r="D1812" i="111"/>
  <c r="D1811" i="111"/>
  <c r="D1810" i="111"/>
  <c r="D1809" i="111"/>
  <c r="D1808" i="111"/>
  <c r="C1813" i="111"/>
  <c r="C1812" i="111"/>
  <c r="C1811" i="111"/>
  <c r="C1810" i="111"/>
  <c r="C1809" i="111"/>
  <c r="C1808" i="111"/>
  <c r="D1807" i="111"/>
  <c r="D1806" i="111"/>
  <c r="D1805" i="111"/>
  <c r="D1804" i="111"/>
  <c r="D1803" i="111"/>
  <c r="D1802" i="111"/>
  <c r="D1801" i="111"/>
  <c r="D1800" i="111"/>
  <c r="D1799" i="111"/>
  <c r="D1798" i="111"/>
  <c r="D1797" i="111"/>
  <c r="D1796" i="111"/>
  <c r="D1795" i="111"/>
  <c r="D1794" i="111"/>
  <c r="D1793" i="111"/>
  <c r="D1792" i="111"/>
  <c r="D1791" i="111"/>
  <c r="D1790" i="111"/>
  <c r="D1789" i="111"/>
  <c r="D1788" i="111"/>
  <c r="D1787" i="111"/>
  <c r="D1786" i="111"/>
  <c r="D1785" i="111"/>
  <c r="D1784" i="111"/>
  <c r="D1783" i="111"/>
  <c r="D1782" i="111"/>
  <c r="D1781" i="111"/>
  <c r="D1780" i="111"/>
  <c r="D1779" i="111"/>
  <c r="D1778" i="111"/>
  <c r="D1777" i="111"/>
  <c r="D1776" i="111"/>
  <c r="D1775" i="111"/>
  <c r="D1774" i="111"/>
  <c r="D1773" i="111"/>
  <c r="D1772" i="111"/>
  <c r="D1771" i="111"/>
  <c r="D1770" i="111"/>
  <c r="D1769" i="111"/>
  <c r="D1768" i="111"/>
  <c r="D1767" i="111"/>
  <c r="D1766" i="111"/>
  <c r="D1765" i="111"/>
  <c r="D1764" i="111"/>
  <c r="D1763" i="111"/>
  <c r="D1762" i="111"/>
  <c r="D1761" i="111"/>
  <c r="D1760" i="111"/>
  <c r="D1759" i="111"/>
  <c r="D1758" i="111"/>
  <c r="D1757" i="111"/>
  <c r="D1756" i="111"/>
  <c r="D1755" i="111"/>
  <c r="D1754" i="111"/>
  <c r="D1753" i="111"/>
  <c r="D1752" i="111"/>
  <c r="D1751" i="111"/>
  <c r="D1750" i="111"/>
  <c r="D1749" i="111"/>
  <c r="D1748" i="111"/>
  <c r="D1747" i="111"/>
  <c r="D1746" i="111"/>
  <c r="D1745" i="111"/>
  <c r="D1744" i="111"/>
  <c r="D1743" i="111"/>
  <c r="D1742" i="111"/>
  <c r="D1741" i="111"/>
  <c r="D1740" i="111"/>
  <c r="D1739" i="111"/>
  <c r="D1738" i="111"/>
  <c r="D1737" i="111"/>
  <c r="D1736" i="111"/>
  <c r="D1735" i="111"/>
  <c r="D1734" i="111"/>
  <c r="D1733" i="111"/>
  <c r="D1732" i="111"/>
  <c r="D1731" i="111"/>
  <c r="D1730" i="111"/>
  <c r="D1729" i="111"/>
  <c r="C1807" i="111"/>
  <c r="C1800" i="111"/>
  <c r="C1801" i="111"/>
  <c r="C1802" i="111"/>
  <c r="C1803" i="111"/>
  <c r="C1804" i="111"/>
  <c r="C1805" i="111"/>
  <c r="C1806" i="111"/>
  <c r="C1784" i="111"/>
  <c r="C1785" i="111"/>
  <c r="C1786" i="111"/>
  <c r="C1787" i="111"/>
  <c r="C1788" i="111"/>
  <c r="C1789" i="111"/>
  <c r="C1790" i="111"/>
  <c r="C1791" i="111"/>
  <c r="C1792" i="111"/>
  <c r="C1793" i="111"/>
  <c r="C1794" i="111"/>
  <c r="C1797" i="111"/>
  <c r="C1798" i="111"/>
  <c r="C1799" i="111"/>
  <c r="C1772" i="111"/>
  <c r="C1773" i="111"/>
  <c r="C1774" i="111"/>
  <c r="C1775" i="111"/>
  <c r="C1776" i="111"/>
  <c r="C1777" i="111"/>
  <c r="C1778" i="111"/>
  <c r="C1779" i="111"/>
  <c r="C1780" i="111"/>
  <c r="C1781" i="111"/>
  <c r="C1782" i="111"/>
  <c r="C1783" i="111"/>
  <c r="C1730" i="111"/>
  <c r="C1731" i="111"/>
  <c r="C1732" i="111"/>
  <c r="C1733" i="111"/>
  <c r="C1734" i="111"/>
  <c r="C1735" i="111"/>
  <c r="C1736" i="111"/>
  <c r="C1737" i="111"/>
  <c r="C1738" i="111"/>
  <c r="C1739" i="111"/>
  <c r="C1740" i="111"/>
  <c r="C1741" i="111"/>
  <c r="C1742" i="111"/>
  <c r="C1743" i="111"/>
  <c r="C1744" i="111"/>
  <c r="C1745" i="111"/>
  <c r="C1746" i="111"/>
  <c r="C1747" i="111"/>
  <c r="C1748" i="111"/>
  <c r="C1749" i="111"/>
  <c r="C1750" i="111"/>
  <c r="C1751" i="111"/>
  <c r="C1752" i="111"/>
  <c r="C1753" i="111"/>
  <c r="C1754" i="111"/>
  <c r="C1755" i="111"/>
  <c r="C1756" i="111"/>
  <c r="C1757" i="111"/>
  <c r="C1758" i="111"/>
  <c r="C1759" i="111"/>
  <c r="C1760" i="111"/>
  <c r="C1761" i="111"/>
  <c r="C1762" i="111"/>
  <c r="C1763" i="111"/>
  <c r="C1764" i="111"/>
  <c r="C1765" i="111"/>
  <c r="C1766" i="111"/>
  <c r="C1767" i="111"/>
  <c r="C1768" i="111"/>
  <c r="C1769" i="111"/>
  <c r="C1770" i="111"/>
  <c r="C1771" i="111"/>
  <c r="D1728" i="111"/>
  <c r="D1727" i="111"/>
  <c r="D1726" i="111"/>
  <c r="D1725" i="111"/>
  <c r="D1724" i="111"/>
  <c r="D1723" i="111"/>
  <c r="D1722" i="111"/>
  <c r="D1721" i="111"/>
  <c r="D1720" i="111"/>
  <c r="D1719" i="111"/>
  <c r="D1718" i="111"/>
  <c r="D1717" i="111"/>
  <c r="D1716" i="111"/>
  <c r="D1715" i="111"/>
  <c r="D1714" i="111"/>
  <c r="D1713" i="111"/>
  <c r="D1712" i="111"/>
  <c r="D1711" i="111"/>
  <c r="D1710" i="111"/>
  <c r="D1709" i="111"/>
  <c r="D1708" i="111"/>
  <c r="D1707" i="111"/>
  <c r="D1706" i="111"/>
  <c r="D1705" i="111"/>
  <c r="D1704" i="111"/>
  <c r="D1703" i="111"/>
  <c r="D1702" i="111"/>
  <c r="D1701" i="111"/>
  <c r="D1700" i="111"/>
  <c r="D1699" i="111"/>
  <c r="D1698" i="111"/>
  <c r="D1697" i="111"/>
  <c r="D1696" i="111"/>
  <c r="D1695" i="111"/>
  <c r="D1694" i="111"/>
  <c r="D1693" i="111"/>
  <c r="D1692" i="111"/>
  <c r="D1691" i="111"/>
  <c r="D1690" i="111"/>
  <c r="D1689" i="111"/>
  <c r="D1688" i="111"/>
  <c r="D1687" i="111"/>
  <c r="D1686" i="111"/>
  <c r="D1685" i="111"/>
  <c r="D1684" i="111"/>
  <c r="D1683" i="111"/>
  <c r="D1682" i="111"/>
  <c r="D1681" i="111"/>
  <c r="D1680" i="111"/>
  <c r="D1679" i="111"/>
  <c r="D1678" i="111"/>
  <c r="D1677" i="111"/>
  <c r="D1676" i="111"/>
  <c r="D1675" i="111"/>
  <c r="D1674" i="111"/>
  <c r="D1673" i="111"/>
  <c r="D1672" i="111"/>
  <c r="D1671" i="111"/>
  <c r="D1670" i="111"/>
  <c r="D1669" i="111"/>
  <c r="D1668" i="111"/>
  <c r="D1667" i="111"/>
  <c r="D1666" i="111"/>
  <c r="D1665" i="111"/>
  <c r="D1664" i="111"/>
  <c r="D1663" i="111"/>
  <c r="D1662" i="111"/>
  <c r="D1661" i="111"/>
  <c r="D1660" i="111"/>
  <c r="D1659" i="111"/>
  <c r="D1658" i="111"/>
  <c r="D1657" i="111"/>
  <c r="D1656" i="111"/>
  <c r="D1655" i="111"/>
  <c r="D1654" i="111"/>
  <c r="D1653" i="111"/>
  <c r="D1652" i="111"/>
  <c r="D1651" i="111"/>
  <c r="D1650" i="111"/>
  <c r="C1651" i="111"/>
  <c r="C1652" i="111"/>
  <c r="C1653" i="111"/>
  <c r="C1654" i="111"/>
  <c r="C1655" i="111"/>
  <c r="C1656" i="111"/>
  <c r="C1657" i="111"/>
  <c r="C1658" i="111"/>
  <c r="C1659" i="111"/>
  <c r="C1660" i="111"/>
  <c r="C1661" i="111"/>
  <c r="C1662" i="111"/>
  <c r="C1663" i="111"/>
  <c r="C1664" i="111"/>
  <c r="C1665" i="111"/>
  <c r="C1666" i="111"/>
  <c r="C1667" i="111"/>
  <c r="C1668" i="111"/>
  <c r="C1669" i="111"/>
  <c r="C1670" i="111"/>
  <c r="C1671" i="111"/>
  <c r="C1672" i="111"/>
  <c r="C1673" i="111"/>
  <c r="C1674" i="111"/>
  <c r="C1675" i="111"/>
  <c r="C1676" i="111"/>
  <c r="C1677" i="111"/>
  <c r="C1678" i="111"/>
  <c r="C1679" i="111"/>
  <c r="C1680" i="111"/>
  <c r="C1681" i="111"/>
  <c r="C1682" i="111"/>
  <c r="C1683" i="111"/>
  <c r="C1684" i="111"/>
  <c r="C1685" i="111"/>
  <c r="C1686" i="111"/>
  <c r="C1687" i="111"/>
  <c r="C1688" i="111"/>
  <c r="C1689" i="111"/>
  <c r="C1690" i="111"/>
  <c r="C1691" i="111"/>
  <c r="C1692" i="111"/>
  <c r="C1693" i="111"/>
  <c r="C1694" i="111"/>
  <c r="C1695" i="111"/>
  <c r="C1696" i="111"/>
  <c r="C1697" i="111"/>
  <c r="C1698" i="111"/>
  <c r="C1699" i="111"/>
  <c r="C1700" i="111"/>
  <c r="C1701" i="111"/>
  <c r="C1702" i="111"/>
  <c r="C1703" i="111"/>
  <c r="C1704" i="111"/>
  <c r="C1705" i="111"/>
  <c r="C1706" i="111"/>
  <c r="C1707" i="111"/>
  <c r="C1708" i="111"/>
  <c r="C1709" i="111"/>
  <c r="C1710" i="111"/>
  <c r="C1711" i="111"/>
  <c r="C1712" i="111"/>
  <c r="C1713" i="111"/>
  <c r="C1714" i="111"/>
  <c r="C1715" i="111"/>
  <c r="C1718" i="111"/>
  <c r="C1719" i="111"/>
  <c r="C1720" i="111"/>
  <c r="C1721" i="111"/>
  <c r="C1722" i="111"/>
  <c r="C1723" i="111"/>
  <c r="C1724" i="111"/>
  <c r="C1725" i="111"/>
  <c r="C1726" i="111"/>
  <c r="C1727" i="111"/>
  <c r="C1728" i="111"/>
  <c r="D1649" i="111"/>
  <c r="D1648" i="111"/>
  <c r="D1647" i="111"/>
  <c r="D1646" i="111"/>
  <c r="D1645" i="111"/>
  <c r="D1644" i="111"/>
  <c r="D1643" i="111"/>
  <c r="D1642" i="111"/>
  <c r="D1641" i="111"/>
  <c r="D1640" i="111"/>
  <c r="D1639" i="111"/>
  <c r="D1638" i="111"/>
  <c r="D1637" i="111"/>
  <c r="D1636" i="111"/>
  <c r="D1635" i="111"/>
  <c r="D1634" i="111"/>
  <c r="D1633" i="111"/>
  <c r="D1632" i="111"/>
  <c r="D1631" i="111"/>
  <c r="D1630" i="111"/>
  <c r="D1629" i="111"/>
  <c r="D1628" i="111"/>
  <c r="D1627" i="111"/>
  <c r="D1626" i="111"/>
  <c r="D1625" i="111"/>
  <c r="D1624" i="111"/>
  <c r="D1623" i="111"/>
  <c r="D1622" i="111"/>
  <c r="D1621" i="111"/>
  <c r="D1620" i="111"/>
  <c r="D1619" i="111"/>
  <c r="D1618" i="111"/>
  <c r="D1617" i="111"/>
  <c r="D1616" i="111"/>
  <c r="D1615" i="111"/>
  <c r="D1614" i="111"/>
  <c r="D1613" i="111"/>
  <c r="D1612" i="111"/>
  <c r="D1611" i="111"/>
  <c r="D1610" i="111"/>
  <c r="D1609" i="111"/>
  <c r="D1608" i="111"/>
  <c r="D1607" i="111"/>
  <c r="D1606" i="111"/>
  <c r="D1605" i="111"/>
  <c r="D1604" i="111"/>
  <c r="D1603" i="111"/>
  <c r="D1602" i="111"/>
  <c r="D1601" i="111"/>
  <c r="D1600" i="111"/>
  <c r="D1599" i="111"/>
  <c r="D1598" i="111"/>
  <c r="D1597" i="111"/>
  <c r="D1596" i="111"/>
  <c r="D1595" i="111"/>
  <c r="D1594" i="111"/>
  <c r="D1593" i="111"/>
  <c r="D1592" i="111"/>
  <c r="D1591" i="111"/>
  <c r="D1590" i="111"/>
  <c r="D1589" i="111"/>
  <c r="D1588" i="111"/>
  <c r="D1587" i="111"/>
  <c r="D1586" i="111"/>
  <c r="D1585" i="111"/>
  <c r="D1584" i="111"/>
  <c r="D1583" i="111"/>
  <c r="D1582" i="111"/>
  <c r="D1581" i="111"/>
  <c r="D1580" i="111"/>
  <c r="D1579" i="111"/>
  <c r="D1578" i="111"/>
  <c r="D1577" i="111"/>
  <c r="D1576" i="111"/>
  <c r="D1575" i="111"/>
  <c r="D1574" i="111"/>
  <c r="D1573" i="111"/>
  <c r="D1572" i="111"/>
  <c r="D1571" i="111"/>
  <c r="C1572" i="111"/>
  <c r="C1573" i="111"/>
  <c r="C1574" i="111"/>
  <c r="C1575" i="111"/>
  <c r="C1576" i="111"/>
  <c r="C1577" i="111"/>
  <c r="C1578" i="111"/>
  <c r="C1579" i="111"/>
  <c r="C1580" i="111"/>
  <c r="C1581" i="111"/>
  <c r="C1582" i="111"/>
  <c r="C1583" i="111"/>
  <c r="C1584" i="111"/>
  <c r="C1585" i="111"/>
  <c r="C1586" i="111"/>
  <c r="C1587" i="111"/>
  <c r="C1588" i="111"/>
  <c r="C1589" i="111"/>
  <c r="C1590" i="111"/>
  <c r="C1591" i="111"/>
  <c r="C1592" i="111"/>
  <c r="C1593" i="111"/>
  <c r="C1594" i="111"/>
  <c r="C1595" i="111"/>
  <c r="C1596" i="111"/>
  <c r="C1597" i="111"/>
  <c r="C1598" i="111"/>
  <c r="C1599" i="111"/>
  <c r="C1600" i="111"/>
  <c r="C1601" i="111"/>
  <c r="C1602" i="111"/>
  <c r="C1603" i="111"/>
  <c r="C1604" i="111"/>
  <c r="C1605" i="111"/>
  <c r="C1606" i="111"/>
  <c r="C1607" i="111"/>
  <c r="C1608" i="111"/>
  <c r="C1609" i="111"/>
  <c r="C1610" i="111"/>
  <c r="C1611" i="111"/>
  <c r="C1612" i="111"/>
  <c r="C1613" i="111"/>
  <c r="C1614" i="111"/>
  <c r="C1615" i="111"/>
  <c r="C1616" i="111"/>
  <c r="C1617" i="111"/>
  <c r="C1618" i="111"/>
  <c r="C1619" i="111"/>
  <c r="C1620" i="111"/>
  <c r="C1621" i="111"/>
  <c r="C1622" i="111"/>
  <c r="C1623" i="111"/>
  <c r="C1624" i="111"/>
  <c r="C1625" i="111"/>
  <c r="C1626" i="111"/>
  <c r="C1627" i="111"/>
  <c r="C1628" i="111"/>
  <c r="C1629" i="111"/>
  <c r="C1630" i="111"/>
  <c r="C1631" i="111"/>
  <c r="C1632" i="111"/>
  <c r="C1633" i="111"/>
  <c r="C1634" i="111"/>
  <c r="C1635" i="111"/>
  <c r="C1636" i="111"/>
  <c r="C1639" i="111"/>
  <c r="C1640" i="111"/>
  <c r="C1641" i="111"/>
  <c r="C1642" i="111"/>
  <c r="C1643" i="111"/>
  <c r="C1644" i="111"/>
  <c r="C1645" i="111"/>
  <c r="C1646" i="111"/>
  <c r="C1647" i="111"/>
  <c r="C1648" i="111"/>
  <c r="C1649" i="111"/>
  <c r="E1570" i="111"/>
  <c r="D1570" i="111"/>
  <c r="D1569" i="111"/>
  <c r="D1568" i="111"/>
  <c r="D1567" i="111"/>
  <c r="C1570" i="111"/>
  <c r="C1568" i="111"/>
  <c r="C1569" i="111"/>
  <c r="C1567" i="111"/>
  <c r="D1566" i="111"/>
  <c r="C1566" i="111"/>
  <c r="D1565" i="111"/>
  <c r="D1564" i="111"/>
  <c r="D1563" i="111"/>
  <c r="D1562" i="111"/>
  <c r="C1564" i="111"/>
  <c r="C1565" i="111"/>
  <c r="C1563" i="111"/>
  <c r="C1562" i="111"/>
  <c r="D1561" i="111"/>
  <c r="D1560" i="111"/>
  <c r="D1559" i="111"/>
  <c r="D1558" i="111"/>
  <c r="D1557" i="111"/>
  <c r="D1556" i="111"/>
  <c r="D1555" i="111"/>
  <c r="D1554" i="111"/>
  <c r="D1553" i="111"/>
  <c r="D1552" i="111"/>
  <c r="D1551" i="111"/>
  <c r="D1550" i="111"/>
  <c r="D1549" i="111"/>
  <c r="D1548" i="111"/>
  <c r="D1547" i="111"/>
  <c r="D1546" i="111"/>
  <c r="D1545" i="111"/>
  <c r="D1544" i="111"/>
  <c r="D1543" i="111"/>
  <c r="D1542" i="111"/>
  <c r="C1561" i="111"/>
  <c r="C1543" i="111"/>
  <c r="C1544" i="111"/>
  <c r="C1545" i="111"/>
  <c r="C1546" i="111"/>
  <c r="C1547" i="111"/>
  <c r="C1548" i="111"/>
  <c r="C1549" i="111"/>
  <c r="C1550" i="111"/>
  <c r="C1551" i="111"/>
  <c r="C1552" i="111"/>
  <c r="C1553" i="111"/>
  <c r="C1554" i="111"/>
  <c r="C1555" i="111"/>
  <c r="C1556" i="111"/>
  <c r="C1557" i="111"/>
  <c r="C1558" i="111"/>
  <c r="C1559" i="111"/>
  <c r="C1560" i="111"/>
  <c r="C1542" i="111"/>
  <c r="E1522" i="111"/>
  <c r="D1541" i="111"/>
  <c r="D1540" i="111"/>
  <c r="D1539" i="111"/>
  <c r="D1538" i="111"/>
  <c r="D1537" i="111"/>
  <c r="D1536" i="111"/>
  <c r="D1535" i="111"/>
  <c r="D1534" i="111"/>
  <c r="D1533" i="111"/>
  <c r="D1532" i="111"/>
  <c r="D1531" i="111"/>
  <c r="D1530" i="111"/>
  <c r="D1529" i="111"/>
  <c r="D1528" i="111"/>
  <c r="D1527" i="111"/>
  <c r="D1526" i="111"/>
  <c r="D1525" i="111"/>
  <c r="D1524" i="111"/>
  <c r="D1523" i="111"/>
  <c r="D1522" i="111"/>
  <c r="C1538" i="111"/>
  <c r="C1539" i="111"/>
  <c r="C1540" i="111"/>
  <c r="C1541" i="111"/>
  <c r="C1523" i="111"/>
  <c r="C1524" i="111"/>
  <c r="C1525" i="111"/>
  <c r="C1526" i="111"/>
  <c r="C1527" i="111"/>
  <c r="C1528" i="111"/>
  <c r="C1529" i="111"/>
  <c r="C1530" i="111"/>
  <c r="C1531" i="111"/>
  <c r="C1532" i="111"/>
  <c r="C1533" i="111"/>
  <c r="C1534" i="111"/>
  <c r="C1535" i="111"/>
  <c r="C1536" i="111"/>
  <c r="C1537" i="111"/>
  <c r="C1522" i="111"/>
  <c r="D1521" i="111"/>
  <c r="D1520" i="111"/>
  <c r="D1519" i="111"/>
  <c r="D1518" i="111"/>
  <c r="D1517" i="111"/>
  <c r="D1516" i="111"/>
  <c r="D1515" i="111"/>
  <c r="D1514" i="111"/>
  <c r="D1513" i="111"/>
  <c r="D1512" i="111"/>
  <c r="D1511" i="111"/>
  <c r="D1510" i="111"/>
  <c r="D1509" i="111"/>
  <c r="D1508" i="111"/>
  <c r="D1507" i="111"/>
  <c r="D1506" i="111"/>
  <c r="D1505" i="111"/>
  <c r="D1504" i="111"/>
  <c r="D1503" i="111"/>
  <c r="D1502" i="111"/>
  <c r="C1503" i="111"/>
  <c r="C1504" i="111"/>
  <c r="C1505" i="111"/>
  <c r="C1506" i="111"/>
  <c r="C1507" i="111"/>
  <c r="C1508" i="111"/>
  <c r="C1509" i="111"/>
  <c r="C1510" i="111"/>
  <c r="C1511" i="111"/>
  <c r="C1512" i="111"/>
  <c r="C1513" i="111"/>
  <c r="C1514" i="111"/>
  <c r="C1515" i="111"/>
  <c r="C1516" i="111"/>
  <c r="C1517" i="111"/>
  <c r="C1518" i="111"/>
  <c r="C1519" i="111"/>
  <c r="C1520" i="111"/>
  <c r="C1521" i="111"/>
  <c r="C1502" i="111"/>
  <c r="E1403" i="111"/>
  <c r="D1501" i="111"/>
  <c r="D1500" i="111"/>
  <c r="D1499" i="111"/>
  <c r="D1498" i="111"/>
  <c r="D1497" i="111"/>
  <c r="D1496" i="111"/>
  <c r="D1495" i="111"/>
  <c r="D1494" i="111"/>
  <c r="D1493" i="111"/>
  <c r="D1492" i="111"/>
  <c r="D1491" i="111"/>
  <c r="D1490" i="111"/>
  <c r="D1489" i="111"/>
  <c r="D1488" i="111"/>
  <c r="D1487" i="111"/>
  <c r="D1486" i="111"/>
  <c r="D1485" i="111"/>
  <c r="D1484" i="111"/>
  <c r="D1483" i="111"/>
  <c r="D1482" i="111"/>
  <c r="D1481" i="111"/>
  <c r="D1480" i="111"/>
  <c r="D1479" i="111"/>
  <c r="D1478" i="111"/>
  <c r="D1477" i="111"/>
  <c r="D1476" i="111"/>
  <c r="D1475" i="111"/>
  <c r="D1474" i="111"/>
  <c r="D1473" i="111"/>
  <c r="D1472" i="111"/>
  <c r="D1471" i="111"/>
  <c r="D1470" i="111"/>
  <c r="D1469" i="111"/>
  <c r="D1468" i="111"/>
  <c r="D1467" i="111"/>
  <c r="D1466" i="111"/>
  <c r="D1465" i="111"/>
  <c r="D1464" i="111"/>
  <c r="D1463" i="111"/>
  <c r="D1462" i="111"/>
  <c r="D1461" i="111"/>
  <c r="D1460" i="111"/>
  <c r="D1459" i="111"/>
  <c r="D1458" i="111"/>
  <c r="D1457" i="111"/>
  <c r="D1456" i="111"/>
  <c r="D1455" i="111"/>
  <c r="D1454" i="111"/>
  <c r="D1453" i="111"/>
  <c r="D1452" i="111"/>
  <c r="D1451" i="111"/>
  <c r="D1450" i="111"/>
  <c r="D1449" i="111"/>
  <c r="D1448" i="111"/>
  <c r="D1447" i="111"/>
  <c r="D1446" i="111"/>
  <c r="D1445" i="111"/>
  <c r="D1444" i="111"/>
  <c r="D1443" i="111"/>
  <c r="D1442" i="111"/>
  <c r="D1441" i="111"/>
  <c r="D1440" i="111"/>
  <c r="D1439" i="111"/>
  <c r="D1438" i="111"/>
  <c r="D1437" i="111"/>
  <c r="D1436" i="111"/>
  <c r="D1435" i="111"/>
  <c r="D1434" i="111"/>
  <c r="D1433" i="111"/>
  <c r="D1432" i="111"/>
  <c r="D1431" i="111"/>
  <c r="D1430" i="111"/>
  <c r="D1429" i="111"/>
  <c r="D1428" i="111"/>
  <c r="D1427" i="111"/>
  <c r="D1426" i="111"/>
  <c r="D1425" i="111"/>
  <c r="D1424" i="111"/>
  <c r="D1423" i="111"/>
  <c r="D1422" i="111"/>
  <c r="D1421" i="111"/>
  <c r="D1420" i="111"/>
  <c r="D1419" i="111"/>
  <c r="D1418" i="111"/>
  <c r="D1417" i="111"/>
  <c r="D1416" i="111"/>
  <c r="D1415" i="111"/>
  <c r="D1414" i="111"/>
  <c r="D1413" i="111"/>
  <c r="D1412" i="111"/>
  <c r="D1411" i="111"/>
  <c r="D1410" i="111"/>
  <c r="D1409" i="111"/>
  <c r="D1408" i="111"/>
  <c r="D1407" i="111"/>
  <c r="D1406" i="111"/>
  <c r="D1405" i="111"/>
  <c r="D1404" i="111"/>
  <c r="D1403" i="111"/>
  <c r="D1402" i="111"/>
  <c r="C1403" i="111"/>
  <c r="C1404" i="111"/>
  <c r="C1405" i="111"/>
  <c r="C1406" i="111"/>
  <c r="C1407" i="111"/>
  <c r="C1408" i="111"/>
  <c r="C1409" i="111"/>
  <c r="C1410" i="111"/>
  <c r="C1411" i="111"/>
  <c r="C1412" i="111"/>
  <c r="C1413" i="111"/>
  <c r="C1414" i="111"/>
  <c r="C1415" i="111"/>
  <c r="C1416" i="111"/>
  <c r="C1417" i="111"/>
  <c r="C1418" i="111"/>
  <c r="C1419" i="111"/>
  <c r="C1420" i="111"/>
  <c r="C1421" i="111"/>
  <c r="C1422" i="111"/>
  <c r="C1423" i="111"/>
  <c r="C1424" i="111"/>
  <c r="C1425" i="111"/>
  <c r="C1426" i="111"/>
  <c r="C1427" i="111"/>
  <c r="C1428" i="111"/>
  <c r="C1429" i="111"/>
  <c r="C1430" i="111"/>
  <c r="C1431" i="111"/>
  <c r="C1432" i="111"/>
  <c r="C1433" i="111"/>
  <c r="C1434" i="111"/>
  <c r="C1435" i="111"/>
  <c r="C1436" i="111"/>
  <c r="C1437" i="111"/>
  <c r="C1438" i="111"/>
  <c r="C1439" i="111"/>
  <c r="C1440" i="111"/>
  <c r="C1441" i="111"/>
  <c r="C1442" i="111"/>
  <c r="C1443" i="111"/>
  <c r="C1444" i="111"/>
  <c r="C1445" i="111"/>
  <c r="C1446" i="111"/>
  <c r="C1447" i="111"/>
  <c r="C1448" i="111"/>
  <c r="C1449" i="111"/>
  <c r="C1450" i="111"/>
  <c r="C1451" i="111"/>
  <c r="C1452" i="111"/>
  <c r="C1453" i="111"/>
  <c r="C1454" i="111"/>
  <c r="C1455" i="111"/>
  <c r="C1456" i="111"/>
  <c r="C1457" i="111"/>
  <c r="C1458" i="111"/>
  <c r="C1459" i="111"/>
  <c r="C1460" i="111"/>
  <c r="C1461" i="111"/>
  <c r="C1462" i="111"/>
  <c r="C1463" i="111"/>
  <c r="C1464" i="111"/>
  <c r="C1465" i="111"/>
  <c r="C1466" i="111"/>
  <c r="C1467" i="111"/>
  <c r="C1468" i="111"/>
  <c r="C1469" i="111"/>
  <c r="C1470" i="111"/>
  <c r="C1471" i="111"/>
  <c r="C1472" i="111"/>
  <c r="C1473" i="111"/>
  <c r="C1474" i="111"/>
  <c r="C1475" i="111"/>
  <c r="C1476" i="111"/>
  <c r="C1477" i="111"/>
  <c r="C1478" i="111"/>
  <c r="C1479" i="111"/>
  <c r="C1480" i="111"/>
  <c r="C1481" i="111"/>
  <c r="C1482" i="111"/>
  <c r="C1483" i="111"/>
  <c r="C1484" i="111"/>
  <c r="C1485" i="111"/>
  <c r="C1486" i="111"/>
  <c r="C1487" i="111"/>
  <c r="C1488" i="111"/>
  <c r="C1489" i="111"/>
  <c r="C1490" i="111"/>
  <c r="C1491" i="111"/>
  <c r="C1492" i="111"/>
  <c r="C1493" i="111"/>
  <c r="C1494" i="111"/>
  <c r="C1495" i="111"/>
  <c r="C1496" i="111"/>
  <c r="C1497" i="111"/>
  <c r="C1498" i="111"/>
  <c r="C1499" i="111"/>
  <c r="C1500" i="111"/>
  <c r="C1501" i="111"/>
  <c r="C1402" i="111"/>
  <c r="E1401" i="111"/>
  <c r="E1400" i="111"/>
  <c r="E1397" i="111"/>
  <c r="E1394" i="111"/>
  <c r="E1393" i="111"/>
  <c r="E1392" i="111"/>
  <c r="E1390" i="111"/>
  <c r="E1389" i="111"/>
  <c r="E1388" i="111"/>
  <c r="E1386" i="111"/>
  <c r="E1385" i="111"/>
  <c r="E1384" i="111"/>
  <c r="E1382" i="111"/>
  <c r="E1381" i="111"/>
  <c r="E1380" i="111"/>
  <c r="E1378" i="111"/>
  <c r="E1377" i="111"/>
  <c r="E1376" i="111"/>
  <c r="E1374" i="111"/>
  <c r="E1373" i="111"/>
  <c r="E1372" i="111"/>
  <c r="E1371" i="111"/>
  <c r="E1370" i="111"/>
  <c r="E1369" i="111"/>
  <c r="E1368" i="111"/>
  <c r="E1367" i="111"/>
  <c r="E1366" i="111"/>
  <c r="E1365" i="111"/>
  <c r="E1364" i="111"/>
  <c r="E1363" i="111"/>
  <c r="E1362" i="111"/>
  <c r="E1361" i="111"/>
  <c r="E1360" i="111"/>
  <c r="E1359" i="111"/>
  <c r="E1358" i="111"/>
  <c r="E1357" i="111"/>
  <c r="E1356" i="111"/>
  <c r="E1355" i="111"/>
  <c r="E1354" i="111"/>
  <c r="E1353" i="111"/>
  <c r="E1352" i="111"/>
  <c r="E1351" i="111"/>
  <c r="E1350" i="111"/>
  <c r="E1349" i="111"/>
  <c r="E1348" i="111"/>
  <c r="E1347" i="111"/>
  <c r="E1346" i="111"/>
  <c r="E1345" i="111"/>
  <c r="E1344" i="111"/>
  <c r="E1343" i="111"/>
  <c r="E1342" i="111"/>
  <c r="E1341" i="111"/>
  <c r="E1340" i="111"/>
  <c r="E1339" i="111"/>
  <c r="E1338" i="111"/>
  <c r="E1337" i="111"/>
  <c r="E1336" i="111"/>
  <c r="E1335" i="111"/>
  <c r="E1334" i="111"/>
  <c r="E1333" i="111"/>
  <c r="E1332" i="111"/>
  <c r="E1331" i="111"/>
  <c r="E1330" i="111"/>
  <c r="E1329" i="111"/>
  <c r="E1328" i="111"/>
  <c r="E1327" i="111"/>
  <c r="E1326" i="111"/>
  <c r="E1325" i="111"/>
  <c r="E1324" i="111"/>
  <c r="E1323" i="111"/>
  <c r="E1322" i="111"/>
  <c r="E1321" i="111"/>
  <c r="E1320" i="111"/>
  <c r="E1319" i="111"/>
  <c r="E1318" i="111"/>
  <c r="E1317" i="111"/>
  <c r="E1316" i="111"/>
  <c r="E1315" i="111"/>
  <c r="E1314" i="111"/>
  <c r="E1313" i="111"/>
  <c r="E1312" i="111"/>
  <c r="E1311" i="111"/>
  <c r="E1310" i="111"/>
  <c r="E1309" i="111"/>
  <c r="E1308" i="111"/>
  <c r="E1307" i="111"/>
  <c r="E1306" i="111"/>
  <c r="E1305" i="111"/>
  <c r="E1304" i="111"/>
  <c r="E1303" i="111"/>
  <c r="E1302" i="111"/>
  <c r="D1401" i="111"/>
  <c r="D1400" i="111"/>
  <c r="D1399" i="111"/>
  <c r="D1398" i="111"/>
  <c r="D1397" i="111"/>
  <c r="D1396" i="111"/>
  <c r="D1395" i="111"/>
  <c r="D1394" i="111"/>
  <c r="D1393" i="111"/>
  <c r="D1392" i="111"/>
  <c r="D1391" i="111"/>
  <c r="D1390" i="111"/>
  <c r="D1389" i="111"/>
  <c r="D1388" i="111"/>
  <c r="D1387" i="111"/>
  <c r="D1386" i="111"/>
  <c r="D1385" i="111"/>
  <c r="D1384" i="111"/>
  <c r="D1383" i="111"/>
  <c r="D1382" i="111"/>
  <c r="D1381" i="111"/>
  <c r="D1380" i="111"/>
  <c r="D1379" i="111"/>
  <c r="D1378" i="111"/>
  <c r="D1377" i="111"/>
  <c r="D1376" i="111"/>
  <c r="D1375" i="111"/>
  <c r="D1374" i="111"/>
  <c r="D1373" i="111"/>
  <c r="D1372" i="111"/>
  <c r="D1371" i="111"/>
  <c r="D1370" i="111"/>
  <c r="D1369" i="111"/>
  <c r="D1368" i="111"/>
  <c r="D1367" i="111"/>
  <c r="D1366" i="111"/>
  <c r="D1365" i="111"/>
  <c r="D1364" i="111"/>
  <c r="D1363" i="111"/>
  <c r="D1362" i="111"/>
  <c r="D1361" i="111"/>
  <c r="D1360" i="111"/>
  <c r="D1359" i="111"/>
  <c r="D1358" i="111"/>
  <c r="D1357" i="111"/>
  <c r="D1356" i="111"/>
  <c r="D1355" i="111"/>
  <c r="D1354" i="111"/>
  <c r="D1353" i="111"/>
  <c r="D1352" i="111"/>
  <c r="D1351" i="111"/>
  <c r="D1350" i="111"/>
  <c r="D1349" i="111"/>
  <c r="D1348" i="111"/>
  <c r="D1347" i="111"/>
  <c r="D1346" i="111"/>
  <c r="D1345" i="111"/>
  <c r="D1344" i="111"/>
  <c r="D1343" i="111"/>
  <c r="D1342" i="111"/>
  <c r="D1341" i="111"/>
  <c r="D1340" i="111"/>
  <c r="D1339" i="111"/>
  <c r="D1338" i="111"/>
  <c r="D1337" i="111"/>
  <c r="D1336" i="111"/>
  <c r="D1335" i="111"/>
  <c r="D1334" i="111"/>
  <c r="D1333" i="111"/>
  <c r="D1332" i="111"/>
  <c r="D1331" i="111"/>
  <c r="D1330" i="111"/>
  <c r="D1329" i="111"/>
  <c r="D1328" i="111"/>
  <c r="D1327" i="111"/>
  <c r="D1326" i="111"/>
  <c r="D1325" i="111"/>
  <c r="D1324" i="111"/>
  <c r="D1323" i="111"/>
  <c r="D1322" i="111"/>
  <c r="D1321" i="111"/>
  <c r="D1320" i="111"/>
  <c r="D1319" i="111"/>
  <c r="D1318" i="111"/>
  <c r="D1317" i="111"/>
  <c r="D1316" i="111"/>
  <c r="D1315" i="111"/>
  <c r="D1314" i="111"/>
  <c r="D1313" i="111"/>
  <c r="D1312" i="111"/>
  <c r="D1311" i="111"/>
  <c r="D1310" i="111"/>
  <c r="D1309" i="111"/>
  <c r="D1308" i="111"/>
  <c r="D1307" i="111"/>
  <c r="D1306" i="111"/>
  <c r="D1305" i="111"/>
  <c r="D1304" i="111"/>
  <c r="D1303" i="111"/>
  <c r="D1302" i="111"/>
  <c r="C1303" i="111"/>
  <c r="C1304" i="111"/>
  <c r="C1305" i="111"/>
  <c r="C1306" i="111"/>
  <c r="C1307" i="111"/>
  <c r="C1308" i="111"/>
  <c r="C1309" i="111"/>
  <c r="C1310" i="111"/>
  <c r="C1311" i="111"/>
  <c r="C1312" i="111"/>
  <c r="C1313" i="111"/>
  <c r="C1314" i="111"/>
  <c r="C1315" i="111"/>
  <c r="C1316" i="111"/>
  <c r="C1317" i="111"/>
  <c r="C1318" i="111"/>
  <c r="C1319" i="111"/>
  <c r="C1320" i="111"/>
  <c r="C1321" i="111"/>
  <c r="C1322" i="111"/>
  <c r="C1323" i="111"/>
  <c r="C1324" i="111"/>
  <c r="C1325" i="111"/>
  <c r="C1326" i="111"/>
  <c r="C1327" i="111"/>
  <c r="C1328" i="111"/>
  <c r="C1329" i="111"/>
  <c r="C1330" i="111"/>
  <c r="C1331" i="111"/>
  <c r="C1332" i="111"/>
  <c r="C1333" i="111"/>
  <c r="C1334" i="111"/>
  <c r="C1335" i="111"/>
  <c r="C1336" i="111"/>
  <c r="C1337" i="111"/>
  <c r="C1338" i="111"/>
  <c r="C1339" i="111"/>
  <c r="C1340" i="111"/>
  <c r="C1341" i="111"/>
  <c r="C1342" i="111"/>
  <c r="C1343" i="111"/>
  <c r="C1344" i="111"/>
  <c r="C1345" i="111"/>
  <c r="C1346" i="111"/>
  <c r="C1347" i="111"/>
  <c r="C1348" i="111"/>
  <c r="C1349" i="111"/>
  <c r="C1350" i="111"/>
  <c r="C1351" i="111"/>
  <c r="C1352" i="111"/>
  <c r="C1353" i="111"/>
  <c r="C1354" i="111"/>
  <c r="C1355" i="111"/>
  <c r="C1356" i="111"/>
  <c r="C1357" i="111"/>
  <c r="C1358" i="111"/>
  <c r="C1359" i="111"/>
  <c r="C1360" i="111"/>
  <c r="C1361" i="111"/>
  <c r="C1362" i="111"/>
  <c r="C1363" i="111"/>
  <c r="C1364" i="111"/>
  <c r="C1365" i="111"/>
  <c r="C1366" i="111"/>
  <c r="C1367" i="111"/>
  <c r="C1368" i="111"/>
  <c r="C1369" i="111"/>
  <c r="C1370" i="111"/>
  <c r="C1371" i="111"/>
  <c r="C1372" i="111"/>
  <c r="C1373" i="111"/>
  <c r="C1374" i="111"/>
  <c r="C1375" i="111"/>
  <c r="C1376" i="111"/>
  <c r="C1377" i="111"/>
  <c r="C1378" i="111"/>
  <c r="C1379" i="111"/>
  <c r="C1380" i="111"/>
  <c r="C1381" i="111"/>
  <c r="C1382" i="111"/>
  <c r="C1383" i="111"/>
  <c r="C1384" i="111"/>
  <c r="C1385" i="111"/>
  <c r="C1386" i="111"/>
  <c r="C1387" i="111"/>
  <c r="C1388" i="111"/>
  <c r="C1389" i="111"/>
  <c r="C1390" i="111"/>
  <c r="C1391" i="111"/>
  <c r="C1392" i="111"/>
  <c r="C1393" i="111"/>
  <c r="C1394" i="111"/>
  <c r="C1395" i="111"/>
  <c r="C1396" i="111"/>
  <c r="C1397" i="111"/>
  <c r="C1398" i="111"/>
  <c r="C1399" i="111"/>
  <c r="C1400" i="111"/>
  <c r="C1401" i="111"/>
  <c r="C1302" i="111"/>
  <c r="E1300" i="111"/>
  <c r="E1297" i="111"/>
  <c r="E1296" i="111"/>
  <c r="E1295" i="111"/>
  <c r="E1293" i="111"/>
  <c r="E1292" i="111"/>
  <c r="E1289" i="111"/>
  <c r="E1288" i="111"/>
  <c r="E1287" i="111"/>
  <c r="E1285" i="111"/>
  <c r="E1284" i="111"/>
  <c r="E1283" i="111"/>
  <c r="E1281" i="111"/>
  <c r="E1280" i="111"/>
  <c r="E1279" i="111"/>
  <c r="E1277" i="111"/>
  <c r="E1276" i="111"/>
  <c r="E1275" i="111"/>
  <c r="E1273" i="111"/>
  <c r="E1272" i="111"/>
  <c r="E1271" i="111"/>
  <c r="E1269" i="111"/>
  <c r="E1268" i="111"/>
  <c r="E1267" i="111"/>
  <c r="E1265" i="111"/>
  <c r="E1264" i="111"/>
  <c r="E1263" i="111"/>
  <c r="E1261" i="111"/>
  <c r="E1260" i="111"/>
  <c r="E1259" i="111"/>
  <c r="E1257" i="111"/>
  <c r="E1256" i="111"/>
  <c r="E1255" i="111"/>
  <c r="E1253" i="111"/>
  <c r="E1252" i="111"/>
  <c r="E1251" i="111"/>
  <c r="E1249" i="111"/>
  <c r="E1248" i="111"/>
  <c r="E1247" i="111"/>
  <c r="E1245" i="111"/>
  <c r="E1244" i="111"/>
  <c r="E1243" i="111"/>
  <c r="E1241" i="111"/>
  <c r="E1240" i="111"/>
  <c r="E1239" i="111"/>
  <c r="E1237" i="111"/>
  <c r="E1236" i="111"/>
  <c r="E1235" i="111"/>
  <c r="E1233" i="111"/>
  <c r="E1232" i="111"/>
  <c r="E1231" i="111"/>
  <c r="E1229" i="111"/>
  <c r="E1228" i="111"/>
  <c r="E1227" i="111"/>
  <c r="E1225" i="111"/>
  <c r="E1224" i="111"/>
  <c r="E1223" i="111"/>
  <c r="E1221" i="111"/>
  <c r="E1220" i="111"/>
  <c r="E1219" i="111"/>
  <c r="E1217" i="111"/>
  <c r="E1216" i="111"/>
  <c r="E1215" i="111"/>
  <c r="E1213" i="111"/>
  <c r="E1212" i="111"/>
  <c r="E1211" i="111"/>
  <c r="E1209" i="111"/>
  <c r="E1208" i="111"/>
  <c r="E1207" i="111"/>
  <c r="E1205" i="111"/>
  <c r="E1204" i="111"/>
  <c r="E1203" i="111"/>
  <c r="D1301" i="111"/>
  <c r="D1300" i="111"/>
  <c r="D1299" i="111"/>
  <c r="D1298" i="111"/>
  <c r="D1297" i="111"/>
  <c r="D1296" i="111"/>
  <c r="D1295" i="111"/>
  <c r="D1294" i="111"/>
  <c r="D1293" i="111"/>
  <c r="D1292" i="111"/>
  <c r="D1291" i="111"/>
  <c r="D1290" i="111"/>
  <c r="D1289" i="111"/>
  <c r="D1288" i="111"/>
  <c r="D1287" i="111"/>
  <c r="D1286" i="111"/>
  <c r="D1285" i="111"/>
  <c r="D1284" i="111"/>
  <c r="D1283" i="111"/>
  <c r="D1282" i="111"/>
  <c r="D1281" i="111"/>
  <c r="D1280" i="111"/>
  <c r="D1279" i="111"/>
  <c r="D1278" i="111"/>
  <c r="D1277" i="111"/>
  <c r="D1276" i="111"/>
  <c r="D1275" i="111"/>
  <c r="D1274" i="111"/>
  <c r="D1273" i="111"/>
  <c r="D1272" i="111"/>
  <c r="D1271" i="111"/>
  <c r="D1270" i="111"/>
  <c r="D1269" i="111"/>
  <c r="D1268" i="111"/>
  <c r="D1267" i="111"/>
  <c r="D1266" i="111"/>
  <c r="D1265" i="111"/>
  <c r="D1264" i="111"/>
  <c r="D1263" i="111"/>
  <c r="D1262" i="111"/>
  <c r="D1261" i="111"/>
  <c r="D1260" i="111"/>
  <c r="D1259" i="111"/>
  <c r="D1258" i="111"/>
  <c r="D1257" i="111"/>
  <c r="D1256" i="111"/>
  <c r="D1255" i="111"/>
  <c r="D1254" i="111"/>
  <c r="D1253" i="111"/>
  <c r="D1252" i="111"/>
  <c r="D1251" i="111"/>
  <c r="D1250" i="111"/>
  <c r="D1249" i="111"/>
  <c r="D1248" i="111"/>
  <c r="D1247" i="111"/>
  <c r="D1246" i="111"/>
  <c r="D1245" i="111"/>
  <c r="D1244" i="111"/>
  <c r="D1243" i="111"/>
  <c r="D1242" i="111"/>
  <c r="D1241" i="111"/>
  <c r="D1240" i="111"/>
  <c r="D1239" i="111"/>
  <c r="D1238" i="111"/>
  <c r="D1237" i="111"/>
  <c r="D1236" i="111"/>
  <c r="D1235" i="111"/>
  <c r="D1234" i="111"/>
  <c r="D1233" i="111"/>
  <c r="D1232" i="111"/>
  <c r="D1231" i="111"/>
  <c r="D1230" i="111"/>
  <c r="D1229" i="111"/>
  <c r="D1228" i="111"/>
  <c r="D1227" i="111"/>
  <c r="D1226" i="111"/>
  <c r="D1225" i="111"/>
  <c r="D1224" i="111"/>
  <c r="D1223" i="111"/>
  <c r="D1222" i="111"/>
  <c r="D1221" i="111"/>
  <c r="D1220" i="111"/>
  <c r="D1219" i="111"/>
  <c r="D1218" i="111"/>
  <c r="D1217" i="111"/>
  <c r="D1216" i="111"/>
  <c r="D1215" i="111"/>
  <c r="D1214" i="111"/>
  <c r="D1213" i="111"/>
  <c r="D1212" i="111"/>
  <c r="D1211" i="111"/>
  <c r="D1210" i="111"/>
  <c r="D1209" i="111"/>
  <c r="D1208" i="111"/>
  <c r="D1207" i="111"/>
  <c r="D1206" i="111"/>
  <c r="D1205" i="111"/>
  <c r="D1204" i="111"/>
  <c r="D1203" i="111"/>
  <c r="D1202" i="111"/>
  <c r="C1203" i="111"/>
  <c r="C1204" i="111"/>
  <c r="C1205" i="111"/>
  <c r="C1206" i="111"/>
  <c r="C1207" i="111"/>
  <c r="C1208" i="111"/>
  <c r="C1209" i="111"/>
  <c r="C1210" i="111"/>
  <c r="C1211" i="111"/>
  <c r="C1212" i="111"/>
  <c r="C1213" i="111"/>
  <c r="C1214" i="111"/>
  <c r="C1215" i="111"/>
  <c r="C1216" i="111"/>
  <c r="C1217" i="111"/>
  <c r="C1218" i="111"/>
  <c r="C1219" i="111"/>
  <c r="C1220" i="111"/>
  <c r="C1221" i="111"/>
  <c r="C1222" i="111"/>
  <c r="C1223" i="111"/>
  <c r="C1224" i="111"/>
  <c r="C1225" i="111"/>
  <c r="C1226" i="111"/>
  <c r="C1227" i="111"/>
  <c r="C1228" i="111"/>
  <c r="C1229" i="111"/>
  <c r="C1230" i="111"/>
  <c r="C1231" i="111"/>
  <c r="C1232" i="111"/>
  <c r="C1233" i="111"/>
  <c r="C1234" i="111"/>
  <c r="C1235" i="111"/>
  <c r="C1236" i="111"/>
  <c r="C1237" i="111"/>
  <c r="C1238" i="111"/>
  <c r="C1239" i="111"/>
  <c r="C1240" i="111"/>
  <c r="C1241" i="111"/>
  <c r="C1242" i="111"/>
  <c r="C1243" i="111"/>
  <c r="C1244" i="111"/>
  <c r="C1245" i="111"/>
  <c r="C1246" i="111"/>
  <c r="C1247" i="111"/>
  <c r="C1248" i="111"/>
  <c r="C1249" i="111"/>
  <c r="C1250" i="111"/>
  <c r="C1251" i="111"/>
  <c r="C1252" i="111"/>
  <c r="C1253" i="111"/>
  <c r="C1254" i="111"/>
  <c r="C1255" i="111"/>
  <c r="C1256" i="111"/>
  <c r="C1257" i="111"/>
  <c r="C1258" i="111"/>
  <c r="C1259" i="111"/>
  <c r="C1260" i="111"/>
  <c r="C1261" i="111"/>
  <c r="C1262" i="111"/>
  <c r="C1263" i="111"/>
  <c r="C1264" i="111"/>
  <c r="C1265" i="111"/>
  <c r="C1266" i="111"/>
  <c r="C1267" i="111"/>
  <c r="C1268" i="111"/>
  <c r="C1269" i="111"/>
  <c r="C1270" i="111"/>
  <c r="C1271" i="111"/>
  <c r="C1272" i="111"/>
  <c r="C1273" i="111"/>
  <c r="C1274" i="111"/>
  <c r="C1275" i="111"/>
  <c r="C1276" i="111"/>
  <c r="C1277" i="111"/>
  <c r="C1278" i="111"/>
  <c r="C1279" i="111"/>
  <c r="C1280" i="111"/>
  <c r="C1281" i="111"/>
  <c r="C1282" i="111"/>
  <c r="C1283" i="111"/>
  <c r="C1284" i="111"/>
  <c r="C1285" i="111"/>
  <c r="C1286" i="111"/>
  <c r="C1287" i="111"/>
  <c r="C1288" i="111"/>
  <c r="C1289" i="111"/>
  <c r="C1290" i="111"/>
  <c r="C1291" i="111"/>
  <c r="C1292" i="111"/>
  <c r="C1293" i="111"/>
  <c r="C1294" i="111"/>
  <c r="C1295" i="111"/>
  <c r="C1296" i="111"/>
  <c r="C1297" i="111"/>
  <c r="C1298" i="111"/>
  <c r="C1299" i="111"/>
  <c r="C1300" i="111"/>
  <c r="C1301" i="111"/>
  <c r="C1202" i="111"/>
  <c r="E1200" i="111"/>
  <c r="E1199" i="111"/>
  <c r="E1196" i="111"/>
  <c r="E1195" i="111"/>
  <c r="E1192" i="111"/>
  <c r="E1191" i="111"/>
  <c r="E1188" i="111"/>
  <c r="E1187" i="111"/>
  <c r="E1186" i="111"/>
  <c r="E1184" i="111"/>
  <c r="E1183" i="111"/>
  <c r="E1182" i="111"/>
  <c r="E1180" i="111"/>
  <c r="E1179" i="111"/>
  <c r="E1178" i="111"/>
  <c r="E1176" i="111"/>
  <c r="E1175" i="111"/>
  <c r="E1174" i="111"/>
  <c r="E1172" i="111"/>
  <c r="E1171" i="111"/>
  <c r="E1170" i="111"/>
  <c r="E1168" i="111"/>
  <c r="E1167" i="111"/>
  <c r="E1166" i="111"/>
  <c r="E1164" i="111"/>
  <c r="E1163" i="111"/>
  <c r="E1162" i="111"/>
  <c r="E1160" i="111"/>
  <c r="E1159" i="111"/>
  <c r="E1158" i="111"/>
  <c r="E1156" i="111"/>
  <c r="E1155" i="111"/>
  <c r="E1154" i="111"/>
  <c r="E1152" i="111"/>
  <c r="E1151" i="111"/>
  <c r="E1150" i="111"/>
  <c r="E1148" i="111"/>
  <c r="E1147" i="111"/>
  <c r="E1146" i="111"/>
  <c r="E1144" i="111"/>
  <c r="E1143" i="111"/>
  <c r="E1142" i="111"/>
  <c r="E1140" i="111"/>
  <c r="E1139" i="111"/>
  <c r="E1138" i="111"/>
  <c r="E1136" i="111"/>
  <c r="E1135" i="111"/>
  <c r="E1134" i="111"/>
  <c r="E1132" i="111"/>
  <c r="E1131" i="111"/>
  <c r="E1130" i="111"/>
  <c r="E1128" i="111"/>
  <c r="E1127" i="111"/>
  <c r="E1126" i="111"/>
  <c r="E1124" i="111"/>
  <c r="E1123" i="111"/>
  <c r="E1122" i="111"/>
  <c r="E1120" i="111"/>
  <c r="E1119" i="111"/>
  <c r="E1118" i="111"/>
  <c r="E1116" i="111"/>
  <c r="E1115" i="111"/>
  <c r="E1114" i="111"/>
  <c r="E1112" i="111"/>
  <c r="E1111" i="111"/>
  <c r="E1110" i="111"/>
  <c r="E1108" i="111"/>
  <c r="E1107" i="111"/>
  <c r="E1106" i="111"/>
  <c r="E1104" i="111"/>
  <c r="E1103" i="111"/>
  <c r="E1102" i="111"/>
  <c r="D1201" i="111"/>
  <c r="D1200" i="111"/>
  <c r="D1199" i="111"/>
  <c r="D1198" i="111"/>
  <c r="D1197" i="111"/>
  <c r="D1196" i="111"/>
  <c r="D1195" i="111"/>
  <c r="D1194" i="111"/>
  <c r="D1193" i="111"/>
  <c r="D1192" i="111"/>
  <c r="D1191" i="111"/>
  <c r="D1190" i="111"/>
  <c r="D1189" i="111"/>
  <c r="D1188" i="111"/>
  <c r="D1187" i="111"/>
  <c r="D1186" i="111"/>
  <c r="D1185" i="111"/>
  <c r="D1184" i="111"/>
  <c r="D1183" i="111"/>
  <c r="D1182" i="111"/>
  <c r="D1181" i="111"/>
  <c r="D1180" i="111"/>
  <c r="D1179" i="111"/>
  <c r="D1178" i="111"/>
  <c r="D1177" i="111"/>
  <c r="D1176" i="111"/>
  <c r="D1175" i="111"/>
  <c r="D1174" i="111"/>
  <c r="D1173" i="111"/>
  <c r="D1172" i="111"/>
  <c r="D1171" i="111"/>
  <c r="D1170" i="111"/>
  <c r="D1169" i="111"/>
  <c r="D1168" i="111"/>
  <c r="D1167" i="111"/>
  <c r="D1166" i="111"/>
  <c r="D1165" i="111"/>
  <c r="D1164" i="111"/>
  <c r="D1163" i="111"/>
  <c r="D1162" i="111"/>
  <c r="D1161" i="111"/>
  <c r="D1160" i="111"/>
  <c r="D1159" i="111"/>
  <c r="D1158" i="111"/>
  <c r="D1157" i="111"/>
  <c r="D1156" i="111"/>
  <c r="D1155" i="111"/>
  <c r="D1154" i="111"/>
  <c r="D1153" i="111"/>
  <c r="D1152" i="111"/>
  <c r="D1151" i="111"/>
  <c r="D1150" i="111"/>
  <c r="D1149" i="111"/>
  <c r="D1148" i="111"/>
  <c r="D1147" i="111"/>
  <c r="D1146" i="111"/>
  <c r="D1145" i="111"/>
  <c r="D1144" i="111"/>
  <c r="D1143" i="111"/>
  <c r="D1142" i="111"/>
  <c r="D1141" i="111"/>
  <c r="D1140" i="111"/>
  <c r="D1139" i="111"/>
  <c r="D1138" i="111"/>
  <c r="D1137" i="111"/>
  <c r="D1136" i="111"/>
  <c r="D1135" i="111"/>
  <c r="D1134" i="111"/>
  <c r="D1133" i="111"/>
  <c r="D1132" i="111"/>
  <c r="D1131" i="111"/>
  <c r="D1130" i="111"/>
  <c r="D1129" i="111"/>
  <c r="D1128" i="111"/>
  <c r="D1127" i="111"/>
  <c r="D1126" i="111"/>
  <c r="D1125" i="111"/>
  <c r="D1124" i="111"/>
  <c r="D1123" i="111"/>
  <c r="D1122" i="111"/>
  <c r="D1121" i="111"/>
  <c r="D1120" i="111"/>
  <c r="D1119" i="111"/>
  <c r="D1118" i="111"/>
  <c r="D1117" i="111"/>
  <c r="D1116" i="111"/>
  <c r="D1115" i="111"/>
  <c r="D1114" i="111"/>
  <c r="D1113" i="111"/>
  <c r="D1112" i="111"/>
  <c r="D1111" i="111"/>
  <c r="D1110" i="111"/>
  <c r="D1109" i="111"/>
  <c r="D1108" i="111"/>
  <c r="D1107" i="111"/>
  <c r="D1106" i="111"/>
  <c r="D1105" i="111"/>
  <c r="D1104" i="111"/>
  <c r="D1103" i="111"/>
  <c r="D1102" i="111"/>
  <c r="C1103" i="111"/>
  <c r="C1104" i="111"/>
  <c r="C1105" i="111"/>
  <c r="C1106" i="111"/>
  <c r="C1107" i="111"/>
  <c r="C1108" i="111"/>
  <c r="C1109" i="111"/>
  <c r="C1110" i="111"/>
  <c r="C1111" i="111"/>
  <c r="C1112" i="111"/>
  <c r="C1113" i="111"/>
  <c r="C1114" i="111"/>
  <c r="C1115" i="111"/>
  <c r="C1116" i="111"/>
  <c r="C1117" i="111"/>
  <c r="C1118" i="111"/>
  <c r="C1119" i="111"/>
  <c r="C1120" i="111"/>
  <c r="C1121" i="111"/>
  <c r="C1122" i="111"/>
  <c r="C1123" i="111"/>
  <c r="C1124" i="111"/>
  <c r="C1125" i="111"/>
  <c r="C1126" i="111"/>
  <c r="C1127" i="111"/>
  <c r="C1128" i="111"/>
  <c r="C1129" i="111"/>
  <c r="C1130" i="111"/>
  <c r="C1131" i="111"/>
  <c r="C1132" i="111"/>
  <c r="C1133" i="111"/>
  <c r="C1134" i="111"/>
  <c r="C1135" i="111"/>
  <c r="C1136" i="111"/>
  <c r="C1137" i="111"/>
  <c r="C1138" i="111"/>
  <c r="C1139" i="111"/>
  <c r="C1140" i="111"/>
  <c r="C1141" i="111"/>
  <c r="C1142" i="111"/>
  <c r="C1143" i="111"/>
  <c r="C1144" i="111"/>
  <c r="C1145" i="111"/>
  <c r="C1146" i="111"/>
  <c r="C1147" i="111"/>
  <c r="C1148" i="111"/>
  <c r="C1149" i="111"/>
  <c r="C1150" i="111"/>
  <c r="C1151" i="111"/>
  <c r="C1152" i="111"/>
  <c r="C1153" i="111"/>
  <c r="C1154" i="111"/>
  <c r="C1155" i="111"/>
  <c r="C1156" i="111"/>
  <c r="C1157" i="111"/>
  <c r="C1158" i="111"/>
  <c r="C1159" i="111"/>
  <c r="C1160" i="111"/>
  <c r="C1161" i="111"/>
  <c r="C1162" i="111"/>
  <c r="C1163" i="111"/>
  <c r="C1164" i="111"/>
  <c r="C1165" i="111"/>
  <c r="C1166" i="111"/>
  <c r="C1167" i="111"/>
  <c r="C1168" i="111"/>
  <c r="C1169" i="111"/>
  <c r="C1170" i="111"/>
  <c r="C1171" i="111"/>
  <c r="C1172" i="111"/>
  <c r="C1173" i="111"/>
  <c r="C1174" i="111"/>
  <c r="C1175" i="111"/>
  <c r="C1176" i="111"/>
  <c r="C1177" i="111"/>
  <c r="C1178" i="111"/>
  <c r="C1179" i="111"/>
  <c r="C1180" i="111"/>
  <c r="C1181" i="111"/>
  <c r="C1182" i="111"/>
  <c r="C1183" i="111"/>
  <c r="C1184" i="111"/>
  <c r="C1185" i="111"/>
  <c r="C1186" i="111"/>
  <c r="C1187" i="111"/>
  <c r="C1188" i="111"/>
  <c r="C1189" i="111"/>
  <c r="C1190" i="111"/>
  <c r="C1191" i="111"/>
  <c r="C1192" i="111"/>
  <c r="C1193" i="111"/>
  <c r="C1194" i="111"/>
  <c r="C1195" i="111"/>
  <c r="C1196" i="111"/>
  <c r="C1197" i="111"/>
  <c r="C1198" i="111"/>
  <c r="C1199" i="111"/>
  <c r="C1200" i="111"/>
  <c r="C1201" i="111"/>
  <c r="C1102" i="111"/>
  <c r="E1101" i="111"/>
  <c r="E1100" i="111"/>
  <c r="E1099" i="111"/>
  <c r="E1098" i="111"/>
  <c r="E1097" i="111"/>
  <c r="E1096" i="111"/>
  <c r="E1095" i="111"/>
  <c r="E1094" i="111"/>
  <c r="E1093" i="111"/>
  <c r="E1092" i="111"/>
  <c r="E1091" i="111"/>
  <c r="E1090" i="111"/>
  <c r="E1089" i="111"/>
  <c r="E1088" i="111"/>
  <c r="E1087" i="111"/>
  <c r="E1086" i="111"/>
  <c r="E1085" i="111"/>
  <c r="E1084" i="111"/>
  <c r="E1083" i="111"/>
  <c r="E1082" i="111"/>
  <c r="E1081" i="111"/>
  <c r="E1080" i="111"/>
  <c r="E1079" i="111"/>
  <c r="E1078" i="111"/>
  <c r="E1077" i="111"/>
  <c r="E1076" i="111"/>
  <c r="E1075" i="111"/>
  <c r="E1074" i="111"/>
  <c r="E1073" i="111"/>
  <c r="E1072" i="111"/>
  <c r="E1071" i="111"/>
  <c r="E1070" i="111"/>
  <c r="E1069" i="111"/>
  <c r="E1068" i="111"/>
  <c r="E1067" i="111"/>
  <c r="E1066" i="111"/>
  <c r="E1065" i="111"/>
  <c r="E1064" i="111"/>
  <c r="E1063" i="111"/>
  <c r="E1062" i="111"/>
  <c r="E1061" i="111"/>
  <c r="E1060" i="111"/>
  <c r="E1059" i="111"/>
  <c r="E1058" i="111"/>
  <c r="E1057" i="111"/>
  <c r="E1056" i="111"/>
  <c r="E1055" i="111"/>
  <c r="E1054" i="111"/>
  <c r="E1053" i="111"/>
  <c r="E1052" i="111"/>
  <c r="E1051" i="111"/>
  <c r="E1050" i="111"/>
  <c r="E1049" i="111"/>
  <c r="E1048" i="111"/>
  <c r="E1047" i="111"/>
  <c r="E1046" i="111"/>
  <c r="E1045" i="111"/>
  <c r="E1044" i="111"/>
  <c r="E1043" i="111"/>
  <c r="E1042" i="111"/>
  <c r="E1041" i="111"/>
  <c r="E1040" i="111"/>
  <c r="E1039" i="111"/>
  <c r="E1038" i="111"/>
  <c r="E1037" i="111"/>
  <c r="E1036" i="111"/>
  <c r="E1035" i="111"/>
  <c r="E1034" i="111"/>
  <c r="E1033" i="111"/>
  <c r="E1032" i="111"/>
  <c r="E1031" i="111"/>
  <c r="E1030" i="111"/>
  <c r="E1029" i="111"/>
  <c r="E1028" i="111"/>
  <c r="E1027" i="111"/>
  <c r="E1026" i="111"/>
  <c r="E1025" i="111"/>
  <c r="E1024" i="111"/>
  <c r="E1023" i="111"/>
  <c r="E1022" i="111"/>
  <c r="E1021" i="111"/>
  <c r="E1020" i="111"/>
  <c r="E1019" i="111"/>
  <c r="E1018" i="111"/>
  <c r="E1017" i="111"/>
  <c r="E1016" i="111"/>
  <c r="E1015" i="111"/>
  <c r="E1014" i="111"/>
  <c r="E1013" i="111"/>
  <c r="E1012" i="111"/>
  <c r="E1011" i="111"/>
  <c r="E1010" i="111"/>
  <c r="E1009" i="111"/>
  <c r="E1008" i="111"/>
  <c r="E1007" i="111"/>
  <c r="E1006" i="111"/>
  <c r="E1005" i="111"/>
  <c r="E1004" i="111"/>
  <c r="E1003" i="111"/>
  <c r="E1002" i="111"/>
  <c r="D1101" i="111"/>
  <c r="D1100" i="111"/>
  <c r="D1099" i="111"/>
  <c r="D1098" i="111"/>
  <c r="D1097" i="111"/>
  <c r="D1096" i="111"/>
  <c r="D1095" i="111"/>
  <c r="D1094" i="111"/>
  <c r="D1093" i="111"/>
  <c r="D1092" i="111"/>
  <c r="D1091" i="111"/>
  <c r="D1090" i="111"/>
  <c r="D1089" i="111"/>
  <c r="D1088" i="111"/>
  <c r="D1087" i="111"/>
  <c r="D1086" i="111"/>
  <c r="D1085" i="111"/>
  <c r="D1084" i="111"/>
  <c r="D1083" i="111"/>
  <c r="D1082" i="111"/>
  <c r="D1081" i="111"/>
  <c r="D1080" i="111"/>
  <c r="D1079" i="111"/>
  <c r="D1078" i="111"/>
  <c r="D1077" i="111"/>
  <c r="D1076" i="111"/>
  <c r="D1075" i="111"/>
  <c r="D1074" i="111"/>
  <c r="D1073" i="111"/>
  <c r="D1072" i="111"/>
  <c r="D1071" i="111"/>
  <c r="D1070" i="111"/>
  <c r="D1069" i="111"/>
  <c r="D1068" i="111"/>
  <c r="D1067" i="111"/>
  <c r="D1066" i="111"/>
  <c r="D1065" i="111"/>
  <c r="D1064" i="111"/>
  <c r="D1063" i="111"/>
  <c r="D1062" i="111"/>
  <c r="D1061" i="111"/>
  <c r="D1060" i="111"/>
  <c r="D1059" i="111"/>
  <c r="D1058" i="111"/>
  <c r="D1057" i="111"/>
  <c r="D1056" i="111"/>
  <c r="D1055" i="111"/>
  <c r="D1054" i="111"/>
  <c r="D1053" i="111"/>
  <c r="D1052" i="111"/>
  <c r="D1051" i="111"/>
  <c r="D1050" i="111"/>
  <c r="D1049" i="111"/>
  <c r="D1048" i="111"/>
  <c r="D1047" i="111"/>
  <c r="D1046" i="111"/>
  <c r="D1045" i="111"/>
  <c r="D1044" i="111"/>
  <c r="D1043" i="111"/>
  <c r="D1042" i="111"/>
  <c r="D1041" i="111"/>
  <c r="D1040" i="111"/>
  <c r="D1039" i="111"/>
  <c r="D1038" i="111"/>
  <c r="D1037" i="111"/>
  <c r="D1036" i="111"/>
  <c r="D1035" i="111"/>
  <c r="D1034" i="111"/>
  <c r="D1033" i="111"/>
  <c r="D1032" i="111"/>
  <c r="D1031" i="111"/>
  <c r="D1030" i="111"/>
  <c r="D1029" i="111"/>
  <c r="D1028" i="111"/>
  <c r="D1027" i="111"/>
  <c r="D1026" i="111"/>
  <c r="D1025" i="111"/>
  <c r="D1024" i="111"/>
  <c r="D1023" i="111"/>
  <c r="D1022" i="111"/>
  <c r="D1021" i="111"/>
  <c r="D1020" i="111"/>
  <c r="D1019" i="111"/>
  <c r="D1018" i="111"/>
  <c r="D1017" i="111"/>
  <c r="D1016" i="111"/>
  <c r="D1015" i="111"/>
  <c r="D1014" i="111"/>
  <c r="D1013" i="111"/>
  <c r="D1012" i="111"/>
  <c r="D1011" i="111"/>
  <c r="D1010" i="111"/>
  <c r="D1009" i="111"/>
  <c r="D1008" i="111"/>
  <c r="D1007" i="111"/>
  <c r="D1006" i="111"/>
  <c r="D1005" i="111"/>
  <c r="D1004" i="111"/>
  <c r="D1003" i="111"/>
  <c r="D1002" i="111"/>
  <c r="C1003" i="111"/>
  <c r="C1004" i="111"/>
  <c r="C1005" i="111"/>
  <c r="C1006" i="111"/>
  <c r="C1007" i="111"/>
  <c r="C1008" i="111"/>
  <c r="C1009" i="111"/>
  <c r="C1010" i="111"/>
  <c r="C1011" i="111"/>
  <c r="C1012" i="111"/>
  <c r="C1013" i="111"/>
  <c r="C1014" i="111"/>
  <c r="C1015" i="111"/>
  <c r="C1016" i="111"/>
  <c r="C1017" i="111"/>
  <c r="C1018" i="111"/>
  <c r="C1019" i="111"/>
  <c r="C1020" i="111"/>
  <c r="C1021" i="111"/>
  <c r="C1022" i="111"/>
  <c r="C1023" i="111"/>
  <c r="C1024" i="111"/>
  <c r="C1025" i="111"/>
  <c r="C1026" i="111"/>
  <c r="C1027" i="111"/>
  <c r="C1028" i="111"/>
  <c r="C1029" i="111"/>
  <c r="C1030" i="111"/>
  <c r="C1031" i="111"/>
  <c r="C1032" i="111"/>
  <c r="C1033" i="111"/>
  <c r="C1034" i="111"/>
  <c r="C1035" i="111"/>
  <c r="C1036" i="111"/>
  <c r="C1037" i="111"/>
  <c r="C1038" i="111"/>
  <c r="C1039" i="111"/>
  <c r="C1040" i="111"/>
  <c r="C1041" i="111"/>
  <c r="C1042" i="111"/>
  <c r="C1043" i="111"/>
  <c r="C1044" i="111"/>
  <c r="C1045" i="111"/>
  <c r="C1046" i="111"/>
  <c r="C1047" i="111"/>
  <c r="C1048" i="111"/>
  <c r="C1049" i="111"/>
  <c r="C1050" i="111"/>
  <c r="C1051" i="111"/>
  <c r="C1052" i="111"/>
  <c r="C1053" i="111"/>
  <c r="C1054" i="111"/>
  <c r="C1055" i="111"/>
  <c r="C1056" i="111"/>
  <c r="C1057" i="111"/>
  <c r="C1058" i="111"/>
  <c r="C1059" i="111"/>
  <c r="C1060" i="111"/>
  <c r="C1061" i="111"/>
  <c r="C1062" i="111"/>
  <c r="C1063" i="111"/>
  <c r="C1064" i="111"/>
  <c r="C1065" i="111"/>
  <c r="C1066" i="111"/>
  <c r="C1067" i="111"/>
  <c r="C1068" i="111"/>
  <c r="C1069" i="111"/>
  <c r="C1070" i="111"/>
  <c r="C1071" i="111"/>
  <c r="C1072" i="111"/>
  <c r="C1073" i="111"/>
  <c r="C1074" i="111"/>
  <c r="C1075" i="111"/>
  <c r="C1076" i="111"/>
  <c r="C1077" i="111"/>
  <c r="C1078" i="111"/>
  <c r="C1079" i="111"/>
  <c r="C1080" i="111"/>
  <c r="C1081" i="111"/>
  <c r="C1082" i="111"/>
  <c r="C1083" i="111"/>
  <c r="C1084" i="111"/>
  <c r="C1085" i="111"/>
  <c r="C1086" i="111"/>
  <c r="C1087" i="111"/>
  <c r="C1088" i="111"/>
  <c r="C1089" i="111"/>
  <c r="C1090" i="111"/>
  <c r="C1091" i="111"/>
  <c r="C1092" i="111"/>
  <c r="C1093" i="111"/>
  <c r="C1094" i="111"/>
  <c r="C1095" i="111"/>
  <c r="C1096" i="111"/>
  <c r="C1097" i="111"/>
  <c r="C1098" i="111"/>
  <c r="C1099" i="111"/>
  <c r="C1100" i="111"/>
  <c r="C1101" i="111"/>
  <c r="C1002" i="111"/>
  <c r="D1001" i="111"/>
  <c r="D1000" i="111"/>
  <c r="D999" i="111"/>
  <c r="D998" i="111"/>
  <c r="D997" i="111"/>
  <c r="D996" i="111"/>
  <c r="D995" i="111"/>
  <c r="D994" i="111"/>
  <c r="D993" i="111"/>
  <c r="D992" i="111"/>
  <c r="D991" i="111"/>
  <c r="D990" i="111"/>
  <c r="D989" i="111"/>
  <c r="D988" i="111"/>
  <c r="D987" i="111"/>
  <c r="D986" i="111"/>
  <c r="D985" i="111"/>
  <c r="D984" i="111"/>
  <c r="D983" i="111"/>
  <c r="D982" i="111"/>
  <c r="D981" i="111"/>
  <c r="D980" i="111"/>
  <c r="D979" i="111"/>
  <c r="D978" i="111"/>
  <c r="D977" i="111"/>
  <c r="D976" i="111"/>
  <c r="D975" i="111"/>
  <c r="D974" i="111"/>
  <c r="D973" i="111"/>
  <c r="D972" i="111"/>
  <c r="D971" i="111"/>
  <c r="D970" i="111"/>
  <c r="D969" i="111"/>
  <c r="D968" i="111"/>
  <c r="D967" i="111"/>
  <c r="D966" i="111"/>
  <c r="D965" i="111"/>
  <c r="D964" i="111"/>
  <c r="D963" i="111"/>
  <c r="D962" i="111"/>
  <c r="D961" i="111"/>
  <c r="D960" i="111"/>
  <c r="D959" i="111"/>
  <c r="D958" i="111"/>
  <c r="D957" i="111"/>
  <c r="D956" i="111"/>
  <c r="D955" i="111"/>
  <c r="D954" i="111"/>
  <c r="D953" i="111"/>
  <c r="D952" i="111"/>
  <c r="D951" i="111"/>
  <c r="D950" i="111"/>
  <c r="D949" i="111"/>
  <c r="D948" i="111"/>
  <c r="D947" i="111"/>
  <c r="D946" i="111"/>
  <c r="D945" i="111"/>
  <c r="D944" i="111"/>
  <c r="D943" i="111"/>
  <c r="D942" i="111"/>
  <c r="D941" i="111"/>
  <c r="D940" i="111"/>
  <c r="D939" i="111"/>
  <c r="D938" i="111"/>
  <c r="D937" i="111"/>
  <c r="D936" i="111"/>
  <c r="D935" i="111"/>
  <c r="D934" i="111"/>
  <c r="D933" i="111"/>
  <c r="D932" i="111"/>
  <c r="D931" i="111"/>
  <c r="D930" i="111"/>
  <c r="D929" i="111"/>
  <c r="D928" i="111"/>
  <c r="D927" i="111"/>
  <c r="D926" i="111"/>
  <c r="D925" i="111"/>
  <c r="D924" i="111"/>
  <c r="D923" i="111"/>
  <c r="D922" i="111"/>
  <c r="D921" i="111"/>
  <c r="D920" i="111"/>
  <c r="D919" i="111"/>
  <c r="D918" i="111"/>
  <c r="D917" i="111"/>
  <c r="D916" i="111"/>
  <c r="D915" i="111"/>
  <c r="D914" i="111"/>
  <c r="D913" i="111"/>
  <c r="D912" i="111"/>
  <c r="D911" i="111"/>
  <c r="D910" i="111"/>
  <c r="D909" i="111"/>
  <c r="D908" i="111"/>
  <c r="D907" i="111"/>
  <c r="D906" i="111"/>
  <c r="D905" i="111"/>
  <c r="D904" i="111"/>
  <c r="D903" i="111"/>
  <c r="D902" i="111"/>
  <c r="C903" i="111"/>
  <c r="C904" i="111"/>
  <c r="C905" i="111"/>
  <c r="C906" i="111"/>
  <c r="C907" i="111"/>
  <c r="C908" i="111"/>
  <c r="C909" i="111"/>
  <c r="C910" i="111"/>
  <c r="C911" i="111"/>
  <c r="C912" i="111"/>
  <c r="C913" i="111"/>
  <c r="C914" i="111"/>
  <c r="C915" i="111"/>
  <c r="C916" i="111"/>
  <c r="C917" i="111"/>
  <c r="C918" i="111"/>
  <c r="C919" i="111"/>
  <c r="C920" i="111"/>
  <c r="C921" i="111"/>
  <c r="C922" i="111"/>
  <c r="C923" i="111"/>
  <c r="C924" i="111"/>
  <c r="C925" i="111"/>
  <c r="C926" i="111"/>
  <c r="C927" i="111"/>
  <c r="C928" i="111"/>
  <c r="C929" i="111"/>
  <c r="C930" i="111"/>
  <c r="C931" i="111"/>
  <c r="C932" i="111"/>
  <c r="C933" i="111"/>
  <c r="C934" i="111"/>
  <c r="C935" i="111"/>
  <c r="C936" i="111"/>
  <c r="C937" i="111"/>
  <c r="C938" i="111"/>
  <c r="C939" i="111"/>
  <c r="C940" i="111"/>
  <c r="C941" i="111"/>
  <c r="C942" i="111"/>
  <c r="C943" i="111"/>
  <c r="C944" i="111"/>
  <c r="C945" i="111"/>
  <c r="C946" i="111"/>
  <c r="C947" i="111"/>
  <c r="C948" i="111"/>
  <c r="C949" i="111"/>
  <c r="C950" i="111"/>
  <c r="C951" i="111"/>
  <c r="C952" i="111"/>
  <c r="C953" i="111"/>
  <c r="C954" i="111"/>
  <c r="C955" i="111"/>
  <c r="C956" i="111"/>
  <c r="C957" i="111"/>
  <c r="C958" i="111"/>
  <c r="C959" i="111"/>
  <c r="C960" i="111"/>
  <c r="C961" i="111"/>
  <c r="C962" i="111"/>
  <c r="C963" i="111"/>
  <c r="C964" i="111"/>
  <c r="C965" i="111"/>
  <c r="C966" i="111"/>
  <c r="C967" i="111"/>
  <c r="C968" i="111"/>
  <c r="C969" i="111"/>
  <c r="C970" i="111"/>
  <c r="C971" i="111"/>
  <c r="C972" i="111"/>
  <c r="C973" i="111"/>
  <c r="C974" i="111"/>
  <c r="C975" i="111"/>
  <c r="C976" i="111"/>
  <c r="C977" i="111"/>
  <c r="C978" i="111"/>
  <c r="C979" i="111"/>
  <c r="C980" i="111"/>
  <c r="C981" i="111"/>
  <c r="C982" i="111"/>
  <c r="C983" i="111"/>
  <c r="C984" i="111"/>
  <c r="C985" i="111"/>
  <c r="C986" i="111"/>
  <c r="C987" i="111"/>
  <c r="C988" i="111"/>
  <c r="C989" i="111"/>
  <c r="C990" i="111"/>
  <c r="C991" i="111"/>
  <c r="C992" i="111"/>
  <c r="C993" i="111"/>
  <c r="C994" i="111"/>
  <c r="C995" i="111"/>
  <c r="C996" i="111"/>
  <c r="C997" i="111"/>
  <c r="C998" i="111"/>
  <c r="C999" i="111"/>
  <c r="C1000" i="111"/>
  <c r="C1001" i="111"/>
  <c r="C902" i="111"/>
  <c r="E901" i="111"/>
  <c r="E900" i="111"/>
  <c r="E899" i="111"/>
  <c r="E898" i="111"/>
  <c r="E897" i="111"/>
  <c r="E896" i="111"/>
  <c r="E895" i="111"/>
  <c r="E894" i="111"/>
  <c r="E893" i="111"/>
  <c r="E892" i="111"/>
  <c r="E891" i="111"/>
  <c r="E890" i="111"/>
  <c r="E889" i="111"/>
  <c r="E888" i="111"/>
  <c r="E887" i="111"/>
  <c r="E886" i="111"/>
  <c r="E885" i="111"/>
  <c r="E884" i="111"/>
  <c r="E883" i="111"/>
  <c r="E882" i="111"/>
  <c r="E881" i="111"/>
  <c r="E880" i="111"/>
  <c r="E879" i="111"/>
  <c r="E878" i="111"/>
  <c r="E877" i="111"/>
  <c r="E876" i="111"/>
  <c r="E875" i="111"/>
  <c r="E874" i="111"/>
  <c r="E873" i="111"/>
  <c r="E872" i="111"/>
  <c r="E871" i="111"/>
  <c r="E870" i="111"/>
  <c r="E869" i="111"/>
  <c r="E868" i="111"/>
  <c r="E867" i="111"/>
  <c r="E866" i="111"/>
  <c r="E865" i="111"/>
  <c r="E864" i="111"/>
  <c r="E863" i="111"/>
  <c r="E862" i="111"/>
  <c r="E861" i="111"/>
  <c r="E860" i="111"/>
  <c r="E859" i="111"/>
  <c r="E858" i="111"/>
  <c r="E857" i="111"/>
  <c r="E856" i="111"/>
  <c r="E855" i="111"/>
  <c r="E854" i="111"/>
  <c r="E853" i="111"/>
  <c r="E852" i="111"/>
  <c r="E851" i="111"/>
  <c r="E850" i="111"/>
  <c r="E849" i="111"/>
  <c r="E848" i="111"/>
  <c r="E847" i="111"/>
  <c r="E846" i="111"/>
  <c r="E845" i="111"/>
  <c r="E844" i="111"/>
  <c r="E843" i="111"/>
  <c r="E842" i="111"/>
  <c r="E841" i="111"/>
  <c r="E840" i="111"/>
  <c r="E839" i="111"/>
  <c r="E838" i="111"/>
  <c r="E837" i="111"/>
  <c r="E836" i="111"/>
  <c r="E835" i="111"/>
  <c r="E834" i="111"/>
  <c r="E833" i="111"/>
  <c r="E832" i="111"/>
  <c r="E831" i="111"/>
  <c r="E830" i="111"/>
  <c r="E829" i="111"/>
  <c r="E828" i="111"/>
  <c r="E827" i="111"/>
  <c r="E826" i="111"/>
  <c r="E825" i="111"/>
  <c r="E824" i="111"/>
  <c r="E823" i="111"/>
  <c r="E822" i="111"/>
  <c r="E821" i="111"/>
  <c r="E820" i="111"/>
  <c r="E819" i="111"/>
  <c r="E818" i="111"/>
  <c r="E817" i="111"/>
  <c r="E816" i="111"/>
  <c r="E815" i="111"/>
  <c r="E814" i="111"/>
  <c r="E813" i="111"/>
  <c r="E812" i="111"/>
  <c r="E811" i="111"/>
  <c r="E810" i="111"/>
  <c r="E809" i="111"/>
  <c r="E808" i="111"/>
  <c r="E807" i="111"/>
  <c r="E806" i="111"/>
  <c r="E805" i="111"/>
  <c r="E804" i="111"/>
  <c r="E803" i="111"/>
  <c r="E802" i="111"/>
  <c r="D901" i="111"/>
  <c r="D900" i="111"/>
  <c r="D899" i="111"/>
  <c r="D898" i="111"/>
  <c r="D897" i="111"/>
  <c r="D896" i="111"/>
  <c r="D895" i="111"/>
  <c r="D894" i="111"/>
  <c r="D893" i="111"/>
  <c r="D892" i="111"/>
  <c r="D891" i="111"/>
  <c r="D890" i="111"/>
  <c r="D889" i="111"/>
  <c r="D888" i="111"/>
  <c r="D887" i="111"/>
  <c r="D886" i="111"/>
  <c r="D885" i="111"/>
  <c r="D884" i="111"/>
  <c r="D883" i="111"/>
  <c r="D882" i="111"/>
  <c r="D881" i="111"/>
  <c r="D880" i="111"/>
  <c r="D879" i="111"/>
  <c r="D878" i="111"/>
  <c r="D877" i="111"/>
  <c r="D876" i="111"/>
  <c r="D875" i="111"/>
  <c r="D874" i="111"/>
  <c r="D873" i="111"/>
  <c r="D872" i="111"/>
  <c r="D871" i="111"/>
  <c r="D870" i="111"/>
  <c r="D869" i="111"/>
  <c r="D868" i="111"/>
  <c r="D867" i="111"/>
  <c r="D866" i="111"/>
  <c r="D865" i="111"/>
  <c r="D864" i="111"/>
  <c r="D863" i="111"/>
  <c r="D862" i="111"/>
  <c r="D861" i="111"/>
  <c r="D860" i="111"/>
  <c r="D859" i="111"/>
  <c r="D858" i="111"/>
  <c r="D857" i="111"/>
  <c r="D856" i="111"/>
  <c r="D855" i="111"/>
  <c r="D854" i="111"/>
  <c r="D853" i="111"/>
  <c r="D852" i="111"/>
  <c r="D851" i="111"/>
  <c r="D850" i="111"/>
  <c r="D849" i="111"/>
  <c r="D848" i="111"/>
  <c r="D847" i="111"/>
  <c r="D846" i="111"/>
  <c r="D845" i="111"/>
  <c r="D844" i="111"/>
  <c r="D843" i="111"/>
  <c r="D842" i="111"/>
  <c r="D841" i="111"/>
  <c r="D840" i="111"/>
  <c r="D839" i="111"/>
  <c r="D838" i="111"/>
  <c r="D837" i="111"/>
  <c r="D836" i="111"/>
  <c r="D835" i="111"/>
  <c r="D834" i="111"/>
  <c r="D833" i="111"/>
  <c r="D832" i="111"/>
  <c r="D831" i="111"/>
  <c r="D830" i="111"/>
  <c r="D829" i="111"/>
  <c r="D828" i="111"/>
  <c r="D827" i="111"/>
  <c r="D826" i="111"/>
  <c r="D825" i="111"/>
  <c r="D824" i="111"/>
  <c r="D823" i="111"/>
  <c r="D822" i="111"/>
  <c r="D821" i="111"/>
  <c r="D820" i="111"/>
  <c r="D819" i="111"/>
  <c r="D818" i="111"/>
  <c r="D817" i="111"/>
  <c r="D816" i="111"/>
  <c r="D815" i="111"/>
  <c r="D814" i="111"/>
  <c r="D813" i="111"/>
  <c r="D812" i="111"/>
  <c r="D811" i="111"/>
  <c r="D810" i="111"/>
  <c r="D809" i="111"/>
  <c r="D808" i="111"/>
  <c r="D807" i="111"/>
  <c r="D806" i="111"/>
  <c r="D805" i="111"/>
  <c r="D804" i="111"/>
  <c r="D803" i="111"/>
  <c r="D802" i="111"/>
  <c r="C803" i="111"/>
  <c r="C804" i="111"/>
  <c r="C805" i="111"/>
  <c r="C806" i="111"/>
  <c r="C807" i="111"/>
  <c r="C808" i="111"/>
  <c r="C809" i="111"/>
  <c r="C810" i="111"/>
  <c r="C811" i="111"/>
  <c r="C812" i="111"/>
  <c r="C813" i="111"/>
  <c r="C814" i="111"/>
  <c r="C815" i="111"/>
  <c r="C816" i="111"/>
  <c r="C817" i="111"/>
  <c r="C818" i="111"/>
  <c r="C819" i="111"/>
  <c r="C820" i="111"/>
  <c r="C821" i="111"/>
  <c r="C822" i="111"/>
  <c r="C823" i="111"/>
  <c r="C824" i="111"/>
  <c r="C825" i="111"/>
  <c r="C826" i="111"/>
  <c r="C827" i="111"/>
  <c r="C828" i="111"/>
  <c r="C829" i="111"/>
  <c r="C830" i="111"/>
  <c r="C831" i="111"/>
  <c r="C832" i="111"/>
  <c r="C833" i="111"/>
  <c r="C834" i="111"/>
  <c r="C835" i="111"/>
  <c r="C836" i="111"/>
  <c r="C837" i="111"/>
  <c r="C838" i="111"/>
  <c r="C839" i="111"/>
  <c r="C840" i="111"/>
  <c r="C841" i="111"/>
  <c r="C842" i="111"/>
  <c r="C843" i="111"/>
  <c r="C844" i="111"/>
  <c r="C845" i="111"/>
  <c r="C846" i="111"/>
  <c r="C847" i="111"/>
  <c r="C848" i="111"/>
  <c r="C849" i="111"/>
  <c r="C850" i="111"/>
  <c r="C851" i="111"/>
  <c r="C852" i="111"/>
  <c r="C853" i="111"/>
  <c r="C854" i="111"/>
  <c r="C855" i="111"/>
  <c r="C856" i="111"/>
  <c r="C857" i="111"/>
  <c r="C858" i="111"/>
  <c r="C859" i="111"/>
  <c r="C860" i="111"/>
  <c r="C861" i="111"/>
  <c r="C862" i="111"/>
  <c r="C863" i="111"/>
  <c r="C864" i="111"/>
  <c r="C865" i="111"/>
  <c r="C866" i="111"/>
  <c r="C867" i="111"/>
  <c r="C868" i="111"/>
  <c r="C869" i="111"/>
  <c r="C870" i="111"/>
  <c r="C871" i="111"/>
  <c r="C872" i="111"/>
  <c r="C873" i="111"/>
  <c r="C874" i="111"/>
  <c r="C875" i="111"/>
  <c r="C876" i="111"/>
  <c r="C877" i="111"/>
  <c r="C878" i="111"/>
  <c r="C879" i="111"/>
  <c r="C880" i="111"/>
  <c r="C881" i="111"/>
  <c r="C882" i="111"/>
  <c r="C883" i="111"/>
  <c r="C884" i="111"/>
  <c r="C885" i="111"/>
  <c r="C886" i="111"/>
  <c r="C887" i="111"/>
  <c r="C888" i="111"/>
  <c r="C889" i="111"/>
  <c r="C890" i="111"/>
  <c r="C891" i="111"/>
  <c r="C892" i="111"/>
  <c r="C893" i="111"/>
  <c r="C894" i="111"/>
  <c r="C895" i="111"/>
  <c r="C896" i="111"/>
  <c r="C897" i="111"/>
  <c r="C898" i="111"/>
  <c r="C899" i="111"/>
  <c r="C900" i="111"/>
  <c r="C901" i="111"/>
  <c r="C802" i="111"/>
  <c r="D801" i="111"/>
  <c r="D800" i="111"/>
  <c r="D799" i="111"/>
  <c r="D798" i="111"/>
  <c r="D797" i="111"/>
  <c r="D796" i="111"/>
  <c r="D795" i="111"/>
  <c r="D794" i="111"/>
  <c r="D793" i="111"/>
  <c r="D792" i="111"/>
  <c r="D791" i="111"/>
  <c r="D790" i="111"/>
  <c r="D789" i="111"/>
  <c r="D788" i="111"/>
  <c r="D787" i="111"/>
  <c r="D786" i="111"/>
  <c r="D785" i="111"/>
  <c r="D784" i="111"/>
  <c r="D783" i="111"/>
  <c r="D782" i="111"/>
  <c r="D781" i="111"/>
  <c r="D780" i="111"/>
  <c r="D779" i="111"/>
  <c r="D778" i="111"/>
  <c r="D777" i="111"/>
  <c r="D776" i="111"/>
  <c r="D775" i="111"/>
  <c r="D774" i="111"/>
  <c r="D773" i="111"/>
  <c r="D772" i="111"/>
  <c r="D771" i="111"/>
  <c r="D770" i="111"/>
  <c r="D769" i="111"/>
  <c r="D768" i="111"/>
  <c r="D767" i="111"/>
  <c r="D766" i="111"/>
  <c r="D765" i="111"/>
  <c r="D764" i="111"/>
  <c r="D763" i="111"/>
  <c r="D762" i="111"/>
  <c r="D761" i="111"/>
  <c r="D760" i="111"/>
  <c r="D759" i="111"/>
  <c r="D758" i="111"/>
  <c r="D757" i="111"/>
  <c r="D756" i="111"/>
  <c r="D755" i="111"/>
  <c r="D754" i="111"/>
  <c r="D753" i="111"/>
  <c r="D752" i="111"/>
  <c r="D751" i="111"/>
  <c r="D750" i="111"/>
  <c r="D749" i="111"/>
  <c r="D748" i="111"/>
  <c r="D747" i="111"/>
  <c r="D746" i="111"/>
  <c r="D745" i="111"/>
  <c r="D744" i="111"/>
  <c r="D743" i="111"/>
  <c r="D742" i="111"/>
  <c r="D741" i="111"/>
  <c r="D740" i="111"/>
  <c r="D739" i="111"/>
  <c r="D738" i="111"/>
  <c r="D737" i="111"/>
  <c r="D736" i="111"/>
  <c r="D735" i="111"/>
  <c r="D734" i="111"/>
  <c r="D733" i="111"/>
  <c r="D732" i="111"/>
  <c r="D731" i="111"/>
  <c r="D730" i="111"/>
  <c r="D729" i="111"/>
  <c r="D728" i="111"/>
  <c r="D727" i="111"/>
  <c r="D726" i="111"/>
  <c r="D725" i="111"/>
  <c r="D724" i="111"/>
  <c r="D723" i="111"/>
  <c r="D722" i="111"/>
  <c r="D721" i="111"/>
  <c r="D720" i="111"/>
  <c r="D719" i="111"/>
  <c r="D718" i="111"/>
  <c r="D717" i="111"/>
  <c r="D716" i="111"/>
  <c r="D715" i="111"/>
  <c r="D714" i="111"/>
  <c r="D713" i="111"/>
  <c r="D712" i="111"/>
  <c r="D711" i="111"/>
  <c r="D710" i="111"/>
  <c r="D709" i="111"/>
  <c r="D708" i="111"/>
  <c r="D707" i="111"/>
  <c r="D706" i="111"/>
  <c r="D705" i="111"/>
  <c r="D704" i="111"/>
  <c r="D703" i="111"/>
  <c r="D702" i="111"/>
  <c r="C703" i="111"/>
  <c r="C704" i="111"/>
  <c r="C705" i="111"/>
  <c r="C706" i="111"/>
  <c r="C707" i="111"/>
  <c r="C708" i="111"/>
  <c r="C709" i="111"/>
  <c r="C710" i="111"/>
  <c r="C711" i="111"/>
  <c r="C712" i="111"/>
  <c r="C713" i="111"/>
  <c r="C714" i="111"/>
  <c r="C715" i="111"/>
  <c r="C716" i="111"/>
  <c r="C717" i="111"/>
  <c r="C718" i="111"/>
  <c r="C719" i="111"/>
  <c r="C720" i="111"/>
  <c r="C721" i="111"/>
  <c r="C722" i="111"/>
  <c r="C723" i="111"/>
  <c r="C724" i="111"/>
  <c r="C725" i="111"/>
  <c r="C726" i="111"/>
  <c r="C727" i="111"/>
  <c r="C728" i="111"/>
  <c r="C729" i="111"/>
  <c r="C730" i="111"/>
  <c r="C731" i="111"/>
  <c r="C732" i="111"/>
  <c r="C733" i="111"/>
  <c r="C734" i="111"/>
  <c r="C735" i="111"/>
  <c r="C736" i="111"/>
  <c r="C737" i="111"/>
  <c r="C738" i="111"/>
  <c r="C739" i="111"/>
  <c r="C740" i="111"/>
  <c r="C741" i="111"/>
  <c r="C742" i="111"/>
  <c r="C743" i="111"/>
  <c r="C744" i="111"/>
  <c r="C745" i="111"/>
  <c r="C746" i="111"/>
  <c r="C747" i="111"/>
  <c r="C748" i="111"/>
  <c r="C749" i="111"/>
  <c r="C750" i="111"/>
  <c r="C751" i="111"/>
  <c r="C752" i="111"/>
  <c r="C753" i="111"/>
  <c r="C754" i="111"/>
  <c r="C755" i="111"/>
  <c r="C756" i="111"/>
  <c r="C757" i="111"/>
  <c r="C758" i="111"/>
  <c r="C759" i="111"/>
  <c r="C760" i="111"/>
  <c r="C761" i="111"/>
  <c r="C762" i="111"/>
  <c r="C763" i="111"/>
  <c r="C764" i="111"/>
  <c r="C765" i="111"/>
  <c r="C766" i="111"/>
  <c r="C767" i="111"/>
  <c r="C768" i="111"/>
  <c r="C769" i="111"/>
  <c r="C770" i="111"/>
  <c r="C771" i="111"/>
  <c r="C772" i="111"/>
  <c r="C773" i="111"/>
  <c r="C774" i="111"/>
  <c r="C775" i="111"/>
  <c r="C776" i="111"/>
  <c r="C777" i="111"/>
  <c r="C778" i="111"/>
  <c r="C779" i="111"/>
  <c r="C780" i="111"/>
  <c r="C781" i="111"/>
  <c r="C782" i="111"/>
  <c r="C783" i="111"/>
  <c r="C784" i="111"/>
  <c r="C785" i="111"/>
  <c r="C786" i="111"/>
  <c r="C787" i="111"/>
  <c r="C788" i="111"/>
  <c r="C789" i="111"/>
  <c r="C790" i="111"/>
  <c r="C791" i="111"/>
  <c r="C792" i="111"/>
  <c r="C793" i="111"/>
  <c r="C794" i="111"/>
  <c r="C795" i="111"/>
  <c r="C796" i="111"/>
  <c r="C797" i="111"/>
  <c r="C798" i="111"/>
  <c r="C799" i="111"/>
  <c r="C800" i="111"/>
  <c r="C801" i="111"/>
  <c r="C702" i="111"/>
  <c r="E701" i="111"/>
  <c r="E700" i="111"/>
  <c r="E699" i="111"/>
  <c r="E698" i="111"/>
  <c r="E697" i="111"/>
  <c r="E696" i="111"/>
  <c r="E695" i="111"/>
  <c r="E694" i="111"/>
  <c r="E693" i="111"/>
  <c r="E692" i="111"/>
  <c r="E691" i="111"/>
  <c r="E690" i="111"/>
  <c r="E689" i="111"/>
  <c r="E688" i="111"/>
  <c r="E687" i="111"/>
  <c r="E686" i="111"/>
  <c r="E685" i="111"/>
  <c r="E684" i="111"/>
  <c r="E683" i="111"/>
  <c r="E682" i="111"/>
  <c r="E681" i="111"/>
  <c r="E680" i="111"/>
  <c r="E679" i="111"/>
  <c r="E678" i="111"/>
  <c r="E677" i="111"/>
  <c r="E676" i="111"/>
  <c r="E675" i="111"/>
  <c r="E674" i="111"/>
  <c r="E673" i="111"/>
  <c r="E672" i="111"/>
  <c r="E671" i="111"/>
  <c r="E670" i="111"/>
  <c r="E669" i="111"/>
  <c r="E668" i="111"/>
  <c r="E667" i="111"/>
  <c r="E666" i="111"/>
  <c r="E665" i="111"/>
  <c r="E664" i="111"/>
  <c r="E663" i="111"/>
  <c r="E662" i="111"/>
  <c r="E661" i="111"/>
  <c r="E660" i="111"/>
  <c r="E659" i="111"/>
  <c r="E658" i="111"/>
  <c r="E657" i="111"/>
  <c r="E656" i="111"/>
  <c r="E655" i="111"/>
  <c r="E654" i="111"/>
  <c r="E653" i="111"/>
  <c r="E652" i="111"/>
  <c r="E651" i="111"/>
  <c r="E650" i="111"/>
  <c r="E649" i="111"/>
  <c r="E648" i="111"/>
  <c r="E647" i="111"/>
  <c r="E646" i="111"/>
  <c r="E645" i="111"/>
  <c r="E644" i="111"/>
  <c r="E643" i="111"/>
  <c r="E642" i="111"/>
  <c r="E641" i="111"/>
  <c r="E640" i="111"/>
  <c r="E639" i="111"/>
  <c r="E638" i="111"/>
  <c r="E637" i="111"/>
  <c r="E636" i="111"/>
  <c r="E635" i="111"/>
  <c r="E634" i="111"/>
  <c r="E633" i="111"/>
  <c r="E632" i="111"/>
  <c r="E631" i="111"/>
  <c r="E630" i="111"/>
  <c r="E629" i="111"/>
  <c r="E628" i="111"/>
  <c r="E627" i="111"/>
  <c r="E626" i="111"/>
  <c r="E625" i="111"/>
  <c r="E624" i="111"/>
  <c r="E623" i="111"/>
  <c r="E622" i="111"/>
  <c r="E621" i="111"/>
  <c r="E620" i="111"/>
  <c r="E619" i="111"/>
  <c r="E618" i="111"/>
  <c r="E617" i="111"/>
  <c r="E616" i="111"/>
  <c r="E615" i="111"/>
  <c r="E614" i="111"/>
  <c r="E613" i="111"/>
  <c r="E612" i="111"/>
  <c r="E611" i="111"/>
  <c r="E610" i="111"/>
  <c r="E609" i="111"/>
  <c r="E608" i="111"/>
  <c r="E607" i="111"/>
  <c r="E606" i="111"/>
  <c r="E605" i="111"/>
  <c r="E604" i="111"/>
  <c r="E603" i="111"/>
  <c r="E602" i="111"/>
  <c r="D701" i="111"/>
  <c r="D700" i="111"/>
  <c r="D699" i="111"/>
  <c r="D698" i="111"/>
  <c r="D697" i="111"/>
  <c r="D696" i="111"/>
  <c r="D695" i="111"/>
  <c r="D694" i="111"/>
  <c r="D693" i="111"/>
  <c r="D692" i="111"/>
  <c r="D691" i="111"/>
  <c r="D690" i="111"/>
  <c r="D689" i="111"/>
  <c r="D688" i="111"/>
  <c r="D687" i="111"/>
  <c r="D686" i="111"/>
  <c r="D685" i="111"/>
  <c r="D684" i="111"/>
  <c r="D683" i="111"/>
  <c r="D682" i="111"/>
  <c r="D681" i="111"/>
  <c r="D680" i="111"/>
  <c r="D679" i="111"/>
  <c r="D678" i="111"/>
  <c r="D677" i="111"/>
  <c r="D676" i="111"/>
  <c r="D675" i="111"/>
  <c r="D674" i="111"/>
  <c r="D673" i="111"/>
  <c r="D672" i="111"/>
  <c r="D671" i="111"/>
  <c r="D670" i="111"/>
  <c r="D669" i="111"/>
  <c r="D668" i="111"/>
  <c r="D667" i="111"/>
  <c r="D666" i="111"/>
  <c r="D665" i="111"/>
  <c r="D664" i="111"/>
  <c r="D663" i="111"/>
  <c r="D662" i="111"/>
  <c r="D661" i="111"/>
  <c r="D660" i="111"/>
  <c r="D659" i="111"/>
  <c r="D658" i="111"/>
  <c r="D657" i="111"/>
  <c r="D656" i="111"/>
  <c r="D655" i="111"/>
  <c r="D654" i="111"/>
  <c r="D653" i="111"/>
  <c r="D652" i="111"/>
  <c r="D651" i="111"/>
  <c r="D650" i="111"/>
  <c r="D649" i="111"/>
  <c r="D648" i="111"/>
  <c r="D647" i="111"/>
  <c r="D646" i="111"/>
  <c r="D645" i="111"/>
  <c r="D644" i="111"/>
  <c r="D643" i="111"/>
  <c r="D642" i="111"/>
  <c r="D641" i="111"/>
  <c r="D640" i="111"/>
  <c r="D639" i="111"/>
  <c r="D638" i="111"/>
  <c r="D637" i="111"/>
  <c r="D636" i="111"/>
  <c r="D635" i="111"/>
  <c r="D634" i="111"/>
  <c r="D633" i="111"/>
  <c r="D632" i="111"/>
  <c r="D631" i="111"/>
  <c r="D630" i="111"/>
  <c r="D629" i="111"/>
  <c r="D628" i="111"/>
  <c r="D627" i="111"/>
  <c r="D626" i="111"/>
  <c r="D625" i="111"/>
  <c r="D624" i="111"/>
  <c r="D623" i="111"/>
  <c r="D622" i="111"/>
  <c r="D621" i="111"/>
  <c r="D620" i="111"/>
  <c r="D619" i="111"/>
  <c r="D618" i="111"/>
  <c r="D617" i="111"/>
  <c r="D616" i="111"/>
  <c r="D615" i="111"/>
  <c r="D614" i="111"/>
  <c r="D613" i="111"/>
  <c r="D612" i="111"/>
  <c r="D611" i="111"/>
  <c r="D610" i="111"/>
  <c r="D609" i="111"/>
  <c r="D608" i="111"/>
  <c r="D607" i="111"/>
  <c r="D606" i="111"/>
  <c r="D605" i="111"/>
  <c r="D604" i="111"/>
  <c r="D603" i="111"/>
  <c r="D602" i="111"/>
  <c r="C603" i="111"/>
  <c r="C604" i="111"/>
  <c r="C605" i="111"/>
  <c r="C606" i="111"/>
  <c r="C607" i="111"/>
  <c r="C608" i="111"/>
  <c r="C609" i="111"/>
  <c r="C610" i="111"/>
  <c r="C611" i="111"/>
  <c r="C612" i="111"/>
  <c r="C613" i="111"/>
  <c r="C614" i="111"/>
  <c r="C615" i="111"/>
  <c r="C616" i="111"/>
  <c r="C617" i="111"/>
  <c r="C618" i="111"/>
  <c r="C619" i="111"/>
  <c r="C620" i="111"/>
  <c r="C621" i="111"/>
  <c r="C622" i="111"/>
  <c r="C623" i="111"/>
  <c r="C624" i="111"/>
  <c r="C625" i="111"/>
  <c r="C626" i="111"/>
  <c r="C627" i="111"/>
  <c r="C628" i="111"/>
  <c r="C629" i="111"/>
  <c r="C630" i="111"/>
  <c r="C631" i="111"/>
  <c r="C632" i="111"/>
  <c r="C633" i="111"/>
  <c r="C634" i="111"/>
  <c r="C635" i="111"/>
  <c r="C636" i="111"/>
  <c r="C637" i="111"/>
  <c r="C638" i="111"/>
  <c r="C639" i="111"/>
  <c r="C640" i="111"/>
  <c r="C641" i="111"/>
  <c r="C642" i="111"/>
  <c r="C643" i="111"/>
  <c r="C644" i="111"/>
  <c r="C645" i="111"/>
  <c r="C646" i="111"/>
  <c r="C647" i="111"/>
  <c r="C648" i="111"/>
  <c r="C649" i="111"/>
  <c r="C650" i="111"/>
  <c r="C651" i="111"/>
  <c r="C652" i="111"/>
  <c r="C653" i="111"/>
  <c r="C654" i="111"/>
  <c r="C655" i="111"/>
  <c r="C656" i="111"/>
  <c r="C657" i="111"/>
  <c r="C658" i="111"/>
  <c r="C659" i="111"/>
  <c r="C660" i="111"/>
  <c r="C661" i="111"/>
  <c r="C662" i="111"/>
  <c r="C663" i="111"/>
  <c r="C664" i="111"/>
  <c r="C665" i="111"/>
  <c r="C666" i="111"/>
  <c r="C667" i="111"/>
  <c r="C668" i="111"/>
  <c r="C669" i="111"/>
  <c r="C670" i="111"/>
  <c r="C671" i="111"/>
  <c r="C672" i="111"/>
  <c r="C673" i="111"/>
  <c r="C674" i="111"/>
  <c r="C675" i="111"/>
  <c r="C676" i="111"/>
  <c r="C677" i="111"/>
  <c r="C678" i="111"/>
  <c r="C679" i="111"/>
  <c r="C680" i="111"/>
  <c r="C681" i="111"/>
  <c r="C682" i="111"/>
  <c r="C683" i="111"/>
  <c r="C684" i="111"/>
  <c r="C685" i="111"/>
  <c r="C686" i="111"/>
  <c r="C687" i="111"/>
  <c r="C688" i="111"/>
  <c r="C689" i="111"/>
  <c r="C690" i="111"/>
  <c r="C691" i="111"/>
  <c r="C692" i="111"/>
  <c r="C693" i="111"/>
  <c r="C694" i="111"/>
  <c r="C695" i="111"/>
  <c r="C696" i="111"/>
  <c r="C697" i="111"/>
  <c r="C698" i="111"/>
  <c r="C699" i="111"/>
  <c r="C700" i="111"/>
  <c r="C701" i="111"/>
  <c r="C602" i="111"/>
  <c r="E601" i="111"/>
  <c r="E600" i="111"/>
  <c r="E599" i="111"/>
  <c r="E597" i="111"/>
  <c r="E596" i="111"/>
  <c r="E595" i="111"/>
  <c r="E593" i="111"/>
  <c r="E592" i="111"/>
  <c r="E591" i="111"/>
  <c r="E589" i="111"/>
  <c r="E588" i="111"/>
  <c r="E587" i="111"/>
  <c r="E585" i="111"/>
  <c r="E584" i="111"/>
  <c r="E583" i="111"/>
  <c r="E581" i="111"/>
  <c r="E580" i="111"/>
  <c r="E579" i="111"/>
  <c r="E577" i="111"/>
  <c r="E576" i="111"/>
  <c r="E575" i="111"/>
  <c r="E573" i="111"/>
  <c r="E572" i="111"/>
  <c r="E571" i="111"/>
  <c r="E569" i="111"/>
  <c r="E568" i="111"/>
  <c r="E567" i="111"/>
  <c r="E565" i="111"/>
  <c r="E564" i="111"/>
  <c r="E563" i="111"/>
  <c r="E561" i="111"/>
  <c r="E560" i="111"/>
  <c r="E559" i="111"/>
  <c r="E557" i="111"/>
  <c r="E556" i="111"/>
  <c r="E555" i="111"/>
  <c r="E553" i="111"/>
  <c r="E552" i="111"/>
  <c r="E551" i="111"/>
  <c r="E549" i="111"/>
  <c r="E548" i="111"/>
  <c r="E547" i="111"/>
  <c r="E545" i="111"/>
  <c r="E544" i="111"/>
  <c r="E543" i="111"/>
  <c r="E541" i="111"/>
  <c r="E540" i="111"/>
  <c r="E539" i="111"/>
  <c r="E537" i="111"/>
  <c r="E536" i="111"/>
  <c r="E535" i="111"/>
  <c r="E533" i="111"/>
  <c r="E532" i="111"/>
  <c r="E531" i="111"/>
  <c r="E529" i="111"/>
  <c r="E528" i="111"/>
  <c r="E527" i="111"/>
  <c r="E525" i="111"/>
  <c r="E524" i="111"/>
  <c r="E523" i="111"/>
  <c r="E521" i="111"/>
  <c r="E520" i="111"/>
  <c r="E519" i="111"/>
  <c r="E517" i="111"/>
  <c r="E516" i="111"/>
  <c r="E515" i="111"/>
  <c r="E513" i="111"/>
  <c r="E512" i="111"/>
  <c r="E511" i="111"/>
  <c r="E509" i="111"/>
  <c r="E508" i="111"/>
  <c r="E507" i="111"/>
  <c r="E505" i="111"/>
  <c r="E504" i="111"/>
  <c r="E503" i="111"/>
  <c r="D601" i="111"/>
  <c r="D600" i="111"/>
  <c r="D599" i="111"/>
  <c r="D598" i="111"/>
  <c r="D597" i="111"/>
  <c r="D596" i="111"/>
  <c r="D595" i="111"/>
  <c r="D594" i="111"/>
  <c r="D593" i="111"/>
  <c r="D592" i="111"/>
  <c r="D591" i="111"/>
  <c r="D590" i="111"/>
  <c r="D589" i="111"/>
  <c r="D588" i="111"/>
  <c r="D587" i="111"/>
  <c r="D586" i="111"/>
  <c r="D585" i="111"/>
  <c r="D584" i="111"/>
  <c r="D583" i="111"/>
  <c r="D582" i="111"/>
  <c r="D581" i="111"/>
  <c r="D580" i="111"/>
  <c r="D579" i="111"/>
  <c r="D578" i="111"/>
  <c r="D577" i="111"/>
  <c r="D576" i="111"/>
  <c r="D575" i="111"/>
  <c r="D574" i="111"/>
  <c r="D573" i="111"/>
  <c r="D572" i="111"/>
  <c r="D571" i="111"/>
  <c r="D570" i="111"/>
  <c r="D569" i="111"/>
  <c r="D568" i="111"/>
  <c r="D567" i="111"/>
  <c r="D566" i="111"/>
  <c r="D565" i="111"/>
  <c r="D564" i="111"/>
  <c r="D563" i="111"/>
  <c r="D562" i="111"/>
  <c r="D561" i="111"/>
  <c r="D560" i="111"/>
  <c r="D559" i="111"/>
  <c r="D558" i="111"/>
  <c r="D557" i="111"/>
  <c r="D556" i="111"/>
  <c r="D555" i="111"/>
  <c r="D554" i="111"/>
  <c r="D553" i="111"/>
  <c r="D552" i="111"/>
  <c r="D551" i="111"/>
  <c r="D550" i="111"/>
  <c r="D549" i="111"/>
  <c r="D548" i="111"/>
  <c r="D547" i="111"/>
  <c r="D546" i="111"/>
  <c r="D545" i="111"/>
  <c r="D544" i="111"/>
  <c r="D543" i="111"/>
  <c r="D542" i="111"/>
  <c r="D541" i="111"/>
  <c r="D540" i="111"/>
  <c r="D539" i="111"/>
  <c r="D538" i="111"/>
  <c r="D537" i="111"/>
  <c r="D536" i="111"/>
  <c r="D535" i="111"/>
  <c r="D534" i="111"/>
  <c r="D533" i="111"/>
  <c r="D532" i="111"/>
  <c r="D531" i="111"/>
  <c r="D530" i="111"/>
  <c r="D529" i="111"/>
  <c r="D528" i="111"/>
  <c r="D527" i="111"/>
  <c r="D526" i="111"/>
  <c r="D525" i="111"/>
  <c r="D524" i="111"/>
  <c r="D523" i="111"/>
  <c r="D522" i="111"/>
  <c r="D521" i="111"/>
  <c r="D520" i="111"/>
  <c r="D519" i="111"/>
  <c r="D518" i="111"/>
  <c r="D517" i="111"/>
  <c r="D516" i="111"/>
  <c r="D515" i="111"/>
  <c r="D514" i="111"/>
  <c r="D513" i="111"/>
  <c r="D512" i="111"/>
  <c r="D511" i="111"/>
  <c r="D510" i="111"/>
  <c r="D509" i="111"/>
  <c r="D508" i="111"/>
  <c r="D507" i="111"/>
  <c r="D506" i="111"/>
  <c r="D505" i="111"/>
  <c r="D504" i="111"/>
  <c r="D503" i="111"/>
  <c r="D502" i="111"/>
  <c r="C503" i="111"/>
  <c r="C504" i="111"/>
  <c r="C505" i="111"/>
  <c r="C506" i="111"/>
  <c r="C507" i="111"/>
  <c r="C508" i="111"/>
  <c r="C509" i="111"/>
  <c r="C510" i="111"/>
  <c r="C511" i="111"/>
  <c r="C512" i="111"/>
  <c r="C513" i="111"/>
  <c r="C514" i="111"/>
  <c r="C515" i="111"/>
  <c r="C516" i="111"/>
  <c r="C517" i="111"/>
  <c r="C518" i="111"/>
  <c r="C519" i="111"/>
  <c r="C520" i="111"/>
  <c r="C521" i="111"/>
  <c r="C522" i="111"/>
  <c r="C523" i="111"/>
  <c r="C524" i="111"/>
  <c r="C525" i="111"/>
  <c r="C526" i="111"/>
  <c r="C527" i="111"/>
  <c r="C528" i="111"/>
  <c r="C529" i="111"/>
  <c r="C530" i="111"/>
  <c r="C531" i="111"/>
  <c r="C532" i="111"/>
  <c r="C533" i="111"/>
  <c r="C534" i="111"/>
  <c r="C535" i="111"/>
  <c r="C536" i="111"/>
  <c r="C537" i="111"/>
  <c r="C538" i="111"/>
  <c r="C539" i="111"/>
  <c r="C540" i="111"/>
  <c r="C541" i="111"/>
  <c r="C542" i="111"/>
  <c r="C543" i="111"/>
  <c r="C544" i="111"/>
  <c r="C545" i="111"/>
  <c r="C546" i="111"/>
  <c r="C547" i="111"/>
  <c r="C548" i="111"/>
  <c r="C549" i="111"/>
  <c r="C550" i="111"/>
  <c r="C551" i="111"/>
  <c r="C552" i="111"/>
  <c r="C553" i="111"/>
  <c r="C554" i="111"/>
  <c r="C555" i="111"/>
  <c r="C556" i="111"/>
  <c r="C557" i="111"/>
  <c r="C558" i="111"/>
  <c r="C559" i="111"/>
  <c r="C560" i="111"/>
  <c r="C561" i="111"/>
  <c r="C562" i="111"/>
  <c r="C563" i="111"/>
  <c r="C564" i="111"/>
  <c r="C565" i="111"/>
  <c r="C566" i="111"/>
  <c r="C567" i="111"/>
  <c r="C568" i="111"/>
  <c r="C569" i="111"/>
  <c r="C570" i="111"/>
  <c r="C571" i="111"/>
  <c r="C572" i="111"/>
  <c r="C573" i="111"/>
  <c r="C574" i="111"/>
  <c r="C575" i="111"/>
  <c r="C576" i="111"/>
  <c r="C577" i="111"/>
  <c r="C578" i="111"/>
  <c r="C579" i="111"/>
  <c r="C580" i="111"/>
  <c r="C581" i="111"/>
  <c r="C582" i="111"/>
  <c r="C583" i="111"/>
  <c r="C584" i="111"/>
  <c r="C585" i="111"/>
  <c r="C586" i="111"/>
  <c r="C587" i="111"/>
  <c r="C588" i="111"/>
  <c r="C589" i="111"/>
  <c r="C590" i="111"/>
  <c r="C591" i="111"/>
  <c r="C592" i="111"/>
  <c r="C593" i="111"/>
  <c r="C594" i="111"/>
  <c r="C595" i="111"/>
  <c r="C596" i="111"/>
  <c r="C597" i="111"/>
  <c r="C598" i="111"/>
  <c r="C599" i="111"/>
  <c r="C600" i="111"/>
  <c r="C601" i="111"/>
  <c r="C502" i="111"/>
  <c r="D501" i="111"/>
  <c r="D500" i="111"/>
  <c r="D499" i="111"/>
  <c r="D498" i="111"/>
  <c r="D497" i="111"/>
  <c r="D496" i="111"/>
  <c r="D495" i="111"/>
  <c r="D494" i="111"/>
  <c r="D493" i="111"/>
  <c r="D492" i="111"/>
  <c r="D491" i="111"/>
  <c r="D490" i="111"/>
  <c r="D489" i="111"/>
  <c r="D488" i="111"/>
  <c r="D487" i="111"/>
  <c r="D486" i="111"/>
  <c r="D485" i="111"/>
  <c r="D484" i="111"/>
  <c r="D483" i="111"/>
  <c r="D482" i="111"/>
  <c r="D481" i="111"/>
  <c r="D480" i="111"/>
  <c r="D479" i="111"/>
  <c r="D478" i="111"/>
  <c r="D477" i="111"/>
  <c r="D476" i="111"/>
  <c r="D475" i="111"/>
  <c r="D474" i="111"/>
  <c r="D473" i="111"/>
  <c r="D472" i="111"/>
  <c r="D471" i="111"/>
  <c r="D470" i="111"/>
  <c r="D469" i="111"/>
  <c r="D468" i="111"/>
  <c r="D467" i="111"/>
  <c r="D466" i="111"/>
  <c r="D465" i="111"/>
  <c r="D464" i="111"/>
  <c r="D463" i="111"/>
  <c r="D462" i="111"/>
  <c r="D461" i="111"/>
  <c r="D460" i="111"/>
  <c r="D459" i="111"/>
  <c r="D458" i="111"/>
  <c r="D457" i="111"/>
  <c r="D456" i="111"/>
  <c r="D455" i="111"/>
  <c r="D454" i="111"/>
  <c r="D453" i="111"/>
  <c r="D452" i="111"/>
  <c r="D451" i="111"/>
  <c r="D450" i="111"/>
  <c r="D449" i="111"/>
  <c r="D448" i="111"/>
  <c r="D447" i="111"/>
  <c r="D446" i="111"/>
  <c r="D445" i="111"/>
  <c r="D444" i="111"/>
  <c r="D443" i="111"/>
  <c r="D442" i="111"/>
  <c r="D441" i="111"/>
  <c r="D440" i="111"/>
  <c r="D439" i="111"/>
  <c r="D438" i="111"/>
  <c r="D437" i="111"/>
  <c r="D436" i="111"/>
  <c r="D435" i="111"/>
  <c r="D434" i="111"/>
  <c r="D433" i="111"/>
  <c r="D432" i="111"/>
  <c r="D431" i="111"/>
  <c r="D430" i="111"/>
  <c r="D429" i="111"/>
  <c r="D428" i="111"/>
  <c r="D427" i="111"/>
  <c r="D426" i="111"/>
  <c r="D425" i="111"/>
  <c r="D424" i="111"/>
  <c r="D423" i="111"/>
  <c r="D422" i="111"/>
  <c r="D421" i="111"/>
  <c r="D420" i="111"/>
  <c r="D419" i="111"/>
  <c r="D418" i="111"/>
  <c r="D417" i="111"/>
  <c r="D416" i="111"/>
  <c r="D415" i="111"/>
  <c r="D414" i="111"/>
  <c r="D413" i="111"/>
  <c r="D412" i="111"/>
  <c r="D411" i="111"/>
  <c r="D410" i="111"/>
  <c r="D409" i="111"/>
  <c r="D408" i="111"/>
  <c r="D407" i="111"/>
  <c r="D406" i="111"/>
  <c r="D405" i="111"/>
  <c r="D404" i="111"/>
  <c r="D403" i="111"/>
  <c r="D402" i="111"/>
  <c r="C403" i="111"/>
  <c r="C404" i="111"/>
  <c r="C405" i="111"/>
  <c r="C406" i="111"/>
  <c r="C407" i="111"/>
  <c r="C408" i="111"/>
  <c r="C409" i="111"/>
  <c r="C410" i="111"/>
  <c r="C411" i="111"/>
  <c r="C412" i="111"/>
  <c r="C413" i="111"/>
  <c r="C414" i="111"/>
  <c r="C415" i="111"/>
  <c r="C416" i="111"/>
  <c r="C417" i="111"/>
  <c r="C418" i="111"/>
  <c r="C419" i="111"/>
  <c r="C420" i="111"/>
  <c r="C421" i="111"/>
  <c r="C422" i="111"/>
  <c r="C423" i="111"/>
  <c r="C424" i="111"/>
  <c r="C425" i="111"/>
  <c r="C426" i="111"/>
  <c r="C427" i="111"/>
  <c r="C428" i="111"/>
  <c r="C429" i="111"/>
  <c r="C430" i="111"/>
  <c r="C431" i="111"/>
  <c r="C432" i="111"/>
  <c r="C433" i="111"/>
  <c r="C434" i="111"/>
  <c r="C435" i="111"/>
  <c r="C436" i="111"/>
  <c r="C437" i="111"/>
  <c r="C438" i="111"/>
  <c r="C439" i="111"/>
  <c r="C440" i="111"/>
  <c r="C441" i="111"/>
  <c r="C442" i="111"/>
  <c r="C443" i="111"/>
  <c r="C444" i="111"/>
  <c r="C445" i="111"/>
  <c r="C446" i="111"/>
  <c r="C447" i="111"/>
  <c r="C448" i="111"/>
  <c r="C449" i="111"/>
  <c r="C450" i="111"/>
  <c r="C451" i="111"/>
  <c r="C452" i="111"/>
  <c r="C453" i="111"/>
  <c r="C454" i="111"/>
  <c r="C455" i="111"/>
  <c r="C456" i="111"/>
  <c r="C457" i="111"/>
  <c r="C458" i="111"/>
  <c r="C459" i="111"/>
  <c r="C460" i="111"/>
  <c r="C461" i="111"/>
  <c r="C462" i="111"/>
  <c r="C463" i="111"/>
  <c r="C464" i="111"/>
  <c r="C465" i="111"/>
  <c r="C466" i="111"/>
  <c r="C467" i="111"/>
  <c r="C468" i="111"/>
  <c r="C469" i="111"/>
  <c r="C470" i="111"/>
  <c r="C471" i="111"/>
  <c r="C472" i="111"/>
  <c r="C473" i="111"/>
  <c r="C474" i="111"/>
  <c r="C475" i="111"/>
  <c r="C476" i="111"/>
  <c r="C477" i="111"/>
  <c r="C478" i="111"/>
  <c r="C479" i="111"/>
  <c r="C480" i="111"/>
  <c r="C481" i="111"/>
  <c r="C482" i="111"/>
  <c r="C483" i="111"/>
  <c r="C484" i="111"/>
  <c r="C485" i="111"/>
  <c r="C486" i="111"/>
  <c r="C487" i="111"/>
  <c r="C488" i="111"/>
  <c r="C489" i="111"/>
  <c r="C490" i="111"/>
  <c r="C491" i="111"/>
  <c r="C492" i="111"/>
  <c r="C493" i="111"/>
  <c r="C494" i="111"/>
  <c r="C495" i="111"/>
  <c r="C496" i="111"/>
  <c r="C497" i="111"/>
  <c r="C498" i="111"/>
  <c r="C499" i="111"/>
  <c r="C500" i="111"/>
  <c r="C501" i="111"/>
  <c r="C402" i="111"/>
  <c r="E401" i="111"/>
  <c r="E400" i="111"/>
  <c r="E399" i="111"/>
  <c r="E397" i="111"/>
  <c r="E396" i="111"/>
  <c r="E395" i="111"/>
  <c r="E393" i="111"/>
  <c r="E392" i="111"/>
  <c r="E391" i="111"/>
  <c r="E389" i="111"/>
  <c r="E388" i="111"/>
  <c r="E387" i="111"/>
  <c r="E385" i="111"/>
  <c r="E384" i="111"/>
  <c r="E383" i="111"/>
  <c r="E381" i="111"/>
  <c r="E380" i="111"/>
  <c r="E379" i="111"/>
  <c r="E377" i="111"/>
  <c r="E376" i="111"/>
  <c r="E375" i="111"/>
  <c r="E373" i="111"/>
  <c r="E372" i="111"/>
  <c r="E371" i="111"/>
  <c r="E369" i="111"/>
  <c r="E368" i="111"/>
  <c r="E367" i="111"/>
  <c r="E365" i="111"/>
  <c r="E364" i="111"/>
  <c r="E363" i="111"/>
  <c r="E361" i="111"/>
  <c r="E360" i="111"/>
  <c r="E359" i="111"/>
  <c r="E357" i="111"/>
  <c r="E356" i="111"/>
  <c r="E355" i="111"/>
  <c r="E353" i="111"/>
  <c r="E352" i="111"/>
  <c r="E351" i="111"/>
  <c r="E349" i="111"/>
  <c r="E348" i="111"/>
  <c r="E347" i="111"/>
  <c r="E345" i="111"/>
  <c r="E344" i="111"/>
  <c r="E343" i="111"/>
  <c r="E341" i="111"/>
  <c r="E340" i="111"/>
  <c r="E339" i="111"/>
  <c r="E337" i="111"/>
  <c r="E336" i="111"/>
  <c r="E335" i="111"/>
  <c r="E333" i="111"/>
  <c r="E332" i="111"/>
  <c r="E331" i="111"/>
  <c r="E329" i="111"/>
  <c r="E328" i="111"/>
  <c r="E327" i="111"/>
  <c r="E325" i="111"/>
  <c r="E324" i="111"/>
  <c r="E323" i="111"/>
  <c r="E321" i="111"/>
  <c r="E320" i="111"/>
  <c r="E319" i="111"/>
  <c r="E317" i="111"/>
  <c r="E316" i="111"/>
  <c r="E315" i="111"/>
  <c r="E313" i="111"/>
  <c r="E312" i="111"/>
  <c r="E311" i="111"/>
  <c r="E309" i="111"/>
  <c r="E308" i="111"/>
  <c r="E307" i="111"/>
  <c r="E305" i="111"/>
  <c r="E304" i="111"/>
  <c r="E303" i="111"/>
  <c r="D401" i="111"/>
  <c r="D400" i="111"/>
  <c r="D399" i="111"/>
  <c r="D398" i="111"/>
  <c r="D397" i="111"/>
  <c r="D396" i="111"/>
  <c r="D395" i="111"/>
  <c r="D394" i="111"/>
  <c r="D393" i="111"/>
  <c r="D392" i="111"/>
  <c r="D391" i="111"/>
  <c r="D390" i="111"/>
  <c r="D389" i="111"/>
  <c r="D388" i="111"/>
  <c r="D387" i="111"/>
  <c r="D386" i="111"/>
  <c r="D385" i="111"/>
  <c r="D384" i="111"/>
  <c r="D383" i="111"/>
  <c r="D382" i="111"/>
  <c r="D381" i="111"/>
  <c r="D380" i="111"/>
  <c r="D379" i="111"/>
  <c r="D378" i="111"/>
  <c r="D377" i="111"/>
  <c r="D376" i="111"/>
  <c r="D375" i="111"/>
  <c r="D374" i="111"/>
  <c r="D373" i="111"/>
  <c r="D372" i="111"/>
  <c r="D371" i="111"/>
  <c r="D370" i="111"/>
  <c r="D369" i="111"/>
  <c r="D368" i="111"/>
  <c r="D367" i="111"/>
  <c r="D366" i="111"/>
  <c r="D365" i="111"/>
  <c r="D364" i="111"/>
  <c r="D363" i="111"/>
  <c r="D362" i="111"/>
  <c r="D361" i="111"/>
  <c r="D360" i="111"/>
  <c r="D359" i="111"/>
  <c r="D358" i="111"/>
  <c r="D357" i="111"/>
  <c r="D356" i="111"/>
  <c r="D355" i="111"/>
  <c r="D354" i="111"/>
  <c r="D353" i="111"/>
  <c r="D352" i="111"/>
  <c r="D351" i="111"/>
  <c r="D350" i="111"/>
  <c r="D349" i="111"/>
  <c r="D348" i="111"/>
  <c r="D347" i="111"/>
  <c r="D346" i="111"/>
  <c r="D345" i="111"/>
  <c r="D344" i="111"/>
  <c r="D343" i="111"/>
  <c r="D342" i="111"/>
  <c r="D341" i="111"/>
  <c r="D340" i="111"/>
  <c r="D339" i="111"/>
  <c r="D338" i="111"/>
  <c r="D337" i="111"/>
  <c r="D336" i="111"/>
  <c r="D335" i="111"/>
  <c r="D334" i="111"/>
  <c r="D333" i="111"/>
  <c r="D332" i="111"/>
  <c r="D331" i="111"/>
  <c r="D330" i="111"/>
  <c r="D329" i="111"/>
  <c r="D328" i="111"/>
  <c r="D327" i="111"/>
  <c r="D326" i="111"/>
  <c r="D325" i="111"/>
  <c r="D324" i="111"/>
  <c r="D323" i="111"/>
  <c r="D322" i="111"/>
  <c r="D321" i="111"/>
  <c r="D320" i="111"/>
  <c r="D319" i="111"/>
  <c r="D318" i="111"/>
  <c r="D317" i="111"/>
  <c r="D316" i="111"/>
  <c r="D315" i="111"/>
  <c r="D314" i="111"/>
  <c r="D313" i="111"/>
  <c r="D312" i="111"/>
  <c r="D311" i="111"/>
  <c r="D310" i="111"/>
  <c r="D309" i="111"/>
  <c r="D308" i="111"/>
  <c r="D307" i="111"/>
  <c r="D306" i="111"/>
  <c r="D305" i="111"/>
  <c r="D304" i="111"/>
  <c r="D303" i="111"/>
  <c r="D302" i="111"/>
  <c r="C303" i="111"/>
  <c r="C304" i="111"/>
  <c r="C305" i="111"/>
  <c r="C306" i="111"/>
  <c r="C307" i="111"/>
  <c r="C308" i="111"/>
  <c r="C309" i="111"/>
  <c r="C310" i="111"/>
  <c r="C311" i="111"/>
  <c r="C312" i="111"/>
  <c r="C313" i="111"/>
  <c r="C314" i="111"/>
  <c r="C315" i="111"/>
  <c r="C316" i="111"/>
  <c r="C317" i="111"/>
  <c r="C318" i="111"/>
  <c r="C319" i="111"/>
  <c r="C320" i="111"/>
  <c r="C321" i="111"/>
  <c r="C322" i="111"/>
  <c r="C323" i="111"/>
  <c r="C324" i="111"/>
  <c r="C325" i="111"/>
  <c r="C326" i="111"/>
  <c r="C327" i="111"/>
  <c r="C328" i="111"/>
  <c r="C329" i="111"/>
  <c r="C330" i="111"/>
  <c r="C331" i="111"/>
  <c r="C332" i="111"/>
  <c r="C333" i="111"/>
  <c r="C334" i="111"/>
  <c r="C335" i="111"/>
  <c r="C336" i="111"/>
  <c r="C337" i="111"/>
  <c r="C338" i="111"/>
  <c r="C339" i="111"/>
  <c r="C340" i="111"/>
  <c r="C341" i="111"/>
  <c r="C342" i="111"/>
  <c r="C343" i="111"/>
  <c r="C344" i="111"/>
  <c r="C345" i="111"/>
  <c r="C346" i="111"/>
  <c r="C347" i="111"/>
  <c r="C348" i="111"/>
  <c r="C349" i="111"/>
  <c r="C350" i="111"/>
  <c r="C351" i="111"/>
  <c r="C352" i="111"/>
  <c r="C353" i="111"/>
  <c r="C354" i="111"/>
  <c r="C355" i="111"/>
  <c r="C356" i="111"/>
  <c r="C357" i="111"/>
  <c r="C358" i="111"/>
  <c r="C359" i="111"/>
  <c r="C360" i="111"/>
  <c r="C361" i="111"/>
  <c r="C362" i="111"/>
  <c r="C363" i="111"/>
  <c r="C364" i="111"/>
  <c r="C365" i="111"/>
  <c r="C366" i="111"/>
  <c r="C367" i="111"/>
  <c r="C368" i="111"/>
  <c r="C369" i="111"/>
  <c r="C370" i="111"/>
  <c r="C371" i="111"/>
  <c r="C372" i="111"/>
  <c r="C373" i="111"/>
  <c r="C374" i="111"/>
  <c r="C375" i="111"/>
  <c r="C376" i="111"/>
  <c r="C377" i="111"/>
  <c r="C378" i="111"/>
  <c r="C379" i="111"/>
  <c r="C380" i="111"/>
  <c r="C381" i="111"/>
  <c r="C382" i="111"/>
  <c r="C383" i="111"/>
  <c r="C384" i="111"/>
  <c r="C385" i="111"/>
  <c r="C386" i="111"/>
  <c r="C387" i="111"/>
  <c r="C388" i="111"/>
  <c r="C389" i="111"/>
  <c r="C390" i="111"/>
  <c r="C391" i="111"/>
  <c r="C392" i="111"/>
  <c r="C393" i="111"/>
  <c r="C394" i="111"/>
  <c r="C395" i="111"/>
  <c r="C396" i="111"/>
  <c r="C397" i="111"/>
  <c r="C398" i="111"/>
  <c r="C399" i="111"/>
  <c r="C400" i="111"/>
  <c r="C401" i="111"/>
  <c r="C302" i="111"/>
  <c r="D301" i="111"/>
  <c r="D300" i="111"/>
  <c r="D299" i="111"/>
  <c r="D298" i="111"/>
  <c r="D297" i="111"/>
  <c r="D296" i="111"/>
  <c r="D295" i="111"/>
  <c r="D294" i="111"/>
  <c r="D293" i="111"/>
  <c r="D292" i="111"/>
  <c r="D291" i="111"/>
  <c r="D290" i="111"/>
  <c r="D289" i="111"/>
  <c r="D288" i="111"/>
  <c r="D287" i="111"/>
  <c r="D286" i="111"/>
  <c r="D285" i="111"/>
  <c r="D284" i="111"/>
  <c r="D283" i="111"/>
  <c r="D282" i="111"/>
  <c r="D281" i="111"/>
  <c r="D280" i="111"/>
  <c r="D279" i="111"/>
  <c r="D278" i="111"/>
  <c r="D277" i="111"/>
  <c r="D276" i="111"/>
  <c r="D275" i="111"/>
  <c r="D274" i="111"/>
  <c r="D273" i="111"/>
  <c r="D272" i="111"/>
  <c r="D271" i="111"/>
  <c r="D270" i="111"/>
  <c r="D269" i="111"/>
  <c r="D268" i="111"/>
  <c r="D267" i="111"/>
  <c r="D266" i="111"/>
  <c r="D265" i="111"/>
  <c r="D264" i="111"/>
  <c r="D263" i="111"/>
  <c r="D262" i="111"/>
  <c r="D261" i="111"/>
  <c r="D260" i="111"/>
  <c r="D259" i="111"/>
  <c r="D258" i="111"/>
  <c r="D257" i="111"/>
  <c r="D256" i="111"/>
  <c r="D255" i="111"/>
  <c r="D254" i="111"/>
  <c r="D253" i="111"/>
  <c r="D252" i="111"/>
  <c r="D251" i="111"/>
  <c r="D250" i="111"/>
  <c r="D249" i="111"/>
  <c r="D248" i="111"/>
  <c r="D247" i="111"/>
  <c r="D246" i="111"/>
  <c r="D245" i="111"/>
  <c r="D244" i="111"/>
  <c r="D243" i="111"/>
  <c r="D242" i="111"/>
  <c r="D241" i="111"/>
  <c r="D240" i="111"/>
  <c r="D239" i="111"/>
  <c r="D238" i="111"/>
  <c r="D237" i="111"/>
  <c r="D236" i="111"/>
  <c r="D235" i="111"/>
  <c r="D234" i="111"/>
  <c r="D233" i="111"/>
  <c r="D232" i="111"/>
  <c r="D231" i="111"/>
  <c r="D230" i="111"/>
  <c r="D229" i="111"/>
  <c r="D228" i="111"/>
  <c r="D227" i="111"/>
  <c r="D226" i="111"/>
  <c r="D225" i="111"/>
  <c r="D224" i="111"/>
  <c r="D223" i="111"/>
  <c r="D222" i="111"/>
  <c r="D221" i="111"/>
  <c r="D220" i="111"/>
  <c r="D219" i="111"/>
  <c r="D218" i="111"/>
  <c r="D217" i="111"/>
  <c r="D216" i="111"/>
  <c r="D215" i="111"/>
  <c r="D214" i="111"/>
  <c r="D213" i="111"/>
  <c r="D212" i="111"/>
  <c r="D211" i="111"/>
  <c r="D210" i="111"/>
  <c r="D209" i="111"/>
  <c r="D208" i="111"/>
  <c r="D207" i="111"/>
  <c r="D206" i="111"/>
  <c r="D205" i="111"/>
  <c r="D204" i="111"/>
  <c r="D203" i="111"/>
  <c r="D202" i="111"/>
  <c r="C203" i="111"/>
  <c r="C204" i="111"/>
  <c r="C205" i="111"/>
  <c r="C206" i="111"/>
  <c r="C207" i="111"/>
  <c r="C208" i="111"/>
  <c r="C209" i="111"/>
  <c r="C210" i="111"/>
  <c r="C211" i="111"/>
  <c r="C212" i="111"/>
  <c r="C213" i="111"/>
  <c r="C214" i="111"/>
  <c r="C215" i="111"/>
  <c r="C216" i="111"/>
  <c r="C217" i="111"/>
  <c r="C218" i="111"/>
  <c r="C219" i="111"/>
  <c r="C220" i="111"/>
  <c r="C221" i="111"/>
  <c r="C222" i="111"/>
  <c r="C223" i="111"/>
  <c r="C224" i="111"/>
  <c r="C225" i="111"/>
  <c r="C226" i="111"/>
  <c r="C227" i="111"/>
  <c r="C228" i="111"/>
  <c r="C229" i="111"/>
  <c r="C230" i="111"/>
  <c r="C231" i="111"/>
  <c r="C232" i="111"/>
  <c r="C233" i="111"/>
  <c r="C234" i="111"/>
  <c r="C235" i="111"/>
  <c r="C236" i="111"/>
  <c r="C237" i="111"/>
  <c r="C238" i="111"/>
  <c r="C239" i="111"/>
  <c r="C240" i="111"/>
  <c r="C241" i="111"/>
  <c r="C242" i="111"/>
  <c r="C243" i="111"/>
  <c r="C244" i="111"/>
  <c r="C245" i="111"/>
  <c r="C246" i="111"/>
  <c r="C247" i="111"/>
  <c r="C248" i="111"/>
  <c r="C249" i="111"/>
  <c r="C250" i="111"/>
  <c r="C251" i="111"/>
  <c r="C252" i="111"/>
  <c r="C253" i="111"/>
  <c r="C254" i="111"/>
  <c r="C255" i="111"/>
  <c r="C256" i="111"/>
  <c r="C257" i="111"/>
  <c r="C258" i="111"/>
  <c r="C259" i="111"/>
  <c r="C260" i="111"/>
  <c r="C261" i="111"/>
  <c r="C262" i="111"/>
  <c r="C263" i="111"/>
  <c r="C264" i="111"/>
  <c r="C265" i="111"/>
  <c r="C266" i="111"/>
  <c r="C267" i="111"/>
  <c r="C268" i="111"/>
  <c r="C269" i="111"/>
  <c r="C270" i="111"/>
  <c r="C271" i="111"/>
  <c r="C272" i="111"/>
  <c r="C273" i="111"/>
  <c r="C274" i="111"/>
  <c r="C275" i="111"/>
  <c r="C276" i="111"/>
  <c r="C277" i="111"/>
  <c r="C278" i="111"/>
  <c r="C279" i="111"/>
  <c r="C280" i="111"/>
  <c r="C281" i="111"/>
  <c r="C282" i="111"/>
  <c r="C283" i="111"/>
  <c r="C284" i="111"/>
  <c r="C285" i="111"/>
  <c r="C286" i="111"/>
  <c r="C287" i="111"/>
  <c r="C288" i="111"/>
  <c r="C289" i="111"/>
  <c r="C290" i="111"/>
  <c r="C291" i="111"/>
  <c r="C292" i="111"/>
  <c r="C293" i="111"/>
  <c r="C294" i="111"/>
  <c r="C295" i="111"/>
  <c r="C296" i="111"/>
  <c r="C297" i="111"/>
  <c r="C298" i="111"/>
  <c r="C299" i="111"/>
  <c r="C300" i="111"/>
  <c r="C301" i="111"/>
  <c r="C202" i="111"/>
  <c r="E201" i="111"/>
  <c r="E199" i="111"/>
  <c r="E198" i="111"/>
  <c r="E197" i="111"/>
  <c r="E196" i="111"/>
  <c r="E195" i="111"/>
  <c r="E194" i="111"/>
  <c r="E193" i="111"/>
  <c r="E192" i="111"/>
  <c r="E191" i="111"/>
  <c r="E190" i="111"/>
  <c r="E189" i="111"/>
  <c r="E188" i="111"/>
  <c r="E187" i="111"/>
  <c r="E186" i="111"/>
  <c r="E185" i="111"/>
  <c r="E184" i="111"/>
  <c r="E183" i="111"/>
  <c r="E182" i="111"/>
  <c r="E181" i="111"/>
  <c r="E180" i="111"/>
  <c r="E179" i="111"/>
  <c r="E178" i="111"/>
  <c r="E177" i="111"/>
  <c r="E176" i="111"/>
  <c r="E175" i="111"/>
  <c r="E174" i="111"/>
  <c r="E173" i="111"/>
  <c r="E172" i="111"/>
  <c r="E171" i="111"/>
  <c r="E170" i="111"/>
  <c r="E169" i="111"/>
  <c r="E168" i="111"/>
  <c r="E167" i="111"/>
  <c r="E166" i="111"/>
  <c r="E165" i="111"/>
  <c r="E164" i="111"/>
  <c r="E163" i="111"/>
  <c r="E162" i="111"/>
  <c r="E161" i="111"/>
  <c r="E160" i="111"/>
  <c r="E159" i="111"/>
  <c r="E158" i="111"/>
  <c r="E157" i="111"/>
  <c r="E156" i="111"/>
  <c r="E155" i="111"/>
  <c r="E154" i="111"/>
  <c r="E153" i="111"/>
  <c r="E152" i="111"/>
  <c r="E151" i="111"/>
  <c r="E150" i="111"/>
  <c r="E149" i="111"/>
  <c r="E148" i="111"/>
  <c r="E147" i="111"/>
  <c r="E146" i="111"/>
  <c r="E145" i="111"/>
  <c r="E144" i="111"/>
  <c r="E143" i="111"/>
  <c r="E142" i="111"/>
  <c r="E141" i="111"/>
  <c r="E140" i="111"/>
  <c r="E139" i="111"/>
  <c r="E138" i="111"/>
  <c r="E137" i="111"/>
  <c r="E136" i="111"/>
  <c r="E135" i="111"/>
  <c r="E134" i="111"/>
  <c r="E133" i="111"/>
  <c r="E132" i="111"/>
  <c r="E131" i="111"/>
  <c r="E130" i="111"/>
  <c r="E129" i="111"/>
  <c r="E128" i="111"/>
  <c r="E127" i="111"/>
  <c r="E126" i="111"/>
  <c r="E125" i="111"/>
  <c r="E124" i="111"/>
  <c r="E123" i="111"/>
  <c r="E122" i="111"/>
  <c r="E121" i="111"/>
  <c r="E120" i="111"/>
  <c r="E119" i="111"/>
  <c r="E118" i="111"/>
  <c r="E117" i="111"/>
  <c r="E116" i="111"/>
  <c r="E115" i="111"/>
  <c r="E114" i="111"/>
  <c r="E113" i="111"/>
  <c r="E111" i="111"/>
  <c r="E110" i="111"/>
  <c r="E109" i="111"/>
  <c r="E108" i="111"/>
  <c r="E107" i="111"/>
  <c r="E106" i="111"/>
  <c r="E105" i="111"/>
  <c r="E104" i="111"/>
  <c r="E103" i="111"/>
  <c r="E102" i="111"/>
  <c r="D201" i="111"/>
  <c r="D200" i="111"/>
  <c r="D199" i="111"/>
  <c r="D198" i="111"/>
  <c r="D197" i="111"/>
  <c r="D196" i="111"/>
  <c r="D195" i="111"/>
  <c r="D194" i="111"/>
  <c r="D193" i="111"/>
  <c r="D192" i="111"/>
  <c r="D191" i="111"/>
  <c r="D190" i="111"/>
  <c r="D189" i="111"/>
  <c r="D188" i="111"/>
  <c r="D187" i="111"/>
  <c r="D186" i="111"/>
  <c r="D185" i="111"/>
  <c r="D184" i="111"/>
  <c r="D183" i="111"/>
  <c r="D182" i="111"/>
  <c r="D181" i="111"/>
  <c r="D180" i="111"/>
  <c r="D179" i="111"/>
  <c r="D178" i="111"/>
  <c r="D177" i="111"/>
  <c r="D176" i="111"/>
  <c r="D175" i="111"/>
  <c r="D174" i="111"/>
  <c r="D173" i="111"/>
  <c r="D172" i="111"/>
  <c r="D171" i="111"/>
  <c r="D170" i="111"/>
  <c r="D169" i="111"/>
  <c r="D168" i="111"/>
  <c r="D167" i="111"/>
  <c r="D166" i="111"/>
  <c r="D165" i="111"/>
  <c r="D164" i="111"/>
  <c r="D163" i="111"/>
  <c r="D162" i="111"/>
  <c r="D161" i="111"/>
  <c r="D160" i="111"/>
  <c r="D159" i="111"/>
  <c r="D158" i="111"/>
  <c r="D157" i="111"/>
  <c r="D156" i="111"/>
  <c r="D155" i="111"/>
  <c r="D154" i="111"/>
  <c r="D153" i="111"/>
  <c r="D152" i="111"/>
  <c r="D151" i="111"/>
  <c r="D150" i="111"/>
  <c r="D149" i="111"/>
  <c r="D148" i="111"/>
  <c r="D147" i="111"/>
  <c r="D146" i="111"/>
  <c r="D145" i="111"/>
  <c r="D144" i="111"/>
  <c r="D143" i="111"/>
  <c r="D142" i="111"/>
  <c r="D141" i="111"/>
  <c r="D140" i="111"/>
  <c r="D139" i="111"/>
  <c r="D138" i="111"/>
  <c r="D137" i="111"/>
  <c r="D136" i="111"/>
  <c r="D135" i="111"/>
  <c r="D134" i="111"/>
  <c r="D133" i="111"/>
  <c r="D132" i="111"/>
  <c r="D131" i="111"/>
  <c r="D130" i="111"/>
  <c r="D129" i="111"/>
  <c r="D128" i="111"/>
  <c r="D127" i="111"/>
  <c r="D126" i="111"/>
  <c r="D125" i="111"/>
  <c r="D124" i="111"/>
  <c r="D123" i="111"/>
  <c r="D122" i="111"/>
  <c r="D121" i="111"/>
  <c r="D120" i="111"/>
  <c r="D119" i="111"/>
  <c r="D118" i="111"/>
  <c r="D117" i="111"/>
  <c r="D116" i="111"/>
  <c r="D115" i="111"/>
  <c r="D114" i="111"/>
  <c r="D113" i="111"/>
  <c r="D112" i="111"/>
  <c r="D111" i="111"/>
  <c r="D110" i="111"/>
  <c r="D109" i="111"/>
  <c r="D108" i="111"/>
  <c r="D107" i="111"/>
  <c r="D106" i="111"/>
  <c r="D105" i="111"/>
  <c r="D104" i="111"/>
  <c r="D103" i="111"/>
  <c r="D102" i="111"/>
  <c r="C103" i="111"/>
  <c r="C104" i="111"/>
  <c r="C105" i="111"/>
  <c r="C106" i="111"/>
  <c r="C107" i="111"/>
  <c r="C108" i="111"/>
  <c r="C109" i="111"/>
  <c r="C110" i="111"/>
  <c r="C111" i="111"/>
  <c r="C112" i="111"/>
  <c r="C113" i="111"/>
  <c r="C114" i="111"/>
  <c r="C115" i="111"/>
  <c r="C116" i="111"/>
  <c r="C117" i="111"/>
  <c r="C118" i="111"/>
  <c r="C119" i="111"/>
  <c r="C120" i="111"/>
  <c r="C121" i="111"/>
  <c r="C122" i="111"/>
  <c r="C123" i="111"/>
  <c r="C124" i="111"/>
  <c r="C125" i="111"/>
  <c r="C126" i="111"/>
  <c r="C127" i="111"/>
  <c r="C128" i="111"/>
  <c r="C129" i="111"/>
  <c r="C130" i="111"/>
  <c r="C131" i="111"/>
  <c r="C132" i="111"/>
  <c r="C133" i="111"/>
  <c r="C134" i="111"/>
  <c r="C135" i="111"/>
  <c r="C136" i="111"/>
  <c r="C137" i="111"/>
  <c r="C138" i="111"/>
  <c r="C139" i="111"/>
  <c r="C140" i="111"/>
  <c r="C141" i="111"/>
  <c r="C142" i="111"/>
  <c r="C143" i="111"/>
  <c r="C144" i="111"/>
  <c r="C145" i="111"/>
  <c r="C146" i="111"/>
  <c r="C147" i="111"/>
  <c r="C148" i="111"/>
  <c r="C149" i="111"/>
  <c r="C150" i="111"/>
  <c r="C151" i="111"/>
  <c r="C152" i="111"/>
  <c r="C153" i="111"/>
  <c r="C154" i="111"/>
  <c r="C155" i="111"/>
  <c r="C156" i="111"/>
  <c r="C157" i="111"/>
  <c r="C158" i="111"/>
  <c r="C159" i="111"/>
  <c r="C160" i="111"/>
  <c r="C161" i="111"/>
  <c r="C162" i="111"/>
  <c r="C163" i="111"/>
  <c r="C164" i="111"/>
  <c r="C165" i="111"/>
  <c r="C166" i="111"/>
  <c r="C167" i="111"/>
  <c r="C168" i="111"/>
  <c r="C169" i="111"/>
  <c r="C170" i="111"/>
  <c r="C171" i="111"/>
  <c r="C172" i="111"/>
  <c r="C173" i="111"/>
  <c r="C174" i="111"/>
  <c r="C175" i="111"/>
  <c r="C176" i="111"/>
  <c r="C177" i="111"/>
  <c r="C178" i="111"/>
  <c r="C179" i="111"/>
  <c r="C180" i="111"/>
  <c r="C181" i="111"/>
  <c r="C182" i="111"/>
  <c r="C183" i="111"/>
  <c r="C184" i="111"/>
  <c r="C185" i="111"/>
  <c r="C186" i="111"/>
  <c r="C187" i="111"/>
  <c r="C188" i="111"/>
  <c r="C189" i="111"/>
  <c r="C190" i="111"/>
  <c r="C191" i="111"/>
  <c r="C192" i="111"/>
  <c r="C193" i="111"/>
  <c r="C194" i="111"/>
  <c r="C195" i="111"/>
  <c r="C196" i="111"/>
  <c r="C197" i="111"/>
  <c r="C198" i="111"/>
  <c r="C199" i="111"/>
  <c r="C200" i="111"/>
  <c r="C201" i="111"/>
  <c r="C102" i="111"/>
  <c r="E101" i="111"/>
  <c r="E100" i="111"/>
  <c r="E99" i="111"/>
  <c r="E97" i="111"/>
  <c r="E96" i="111"/>
  <c r="E95" i="111"/>
  <c r="E93" i="111"/>
  <c r="E92" i="111"/>
  <c r="E91" i="111"/>
  <c r="E89" i="111"/>
  <c r="E88" i="111"/>
  <c r="E87" i="111"/>
  <c r="E85" i="111"/>
  <c r="E84" i="111"/>
  <c r="E83" i="111"/>
  <c r="E81" i="111"/>
  <c r="E80" i="111"/>
  <c r="E79" i="111"/>
  <c r="E77" i="111"/>
  <c r="E76" i="111"/>
  <c r="E75" i="111"/>
  <c r="E73" i="111"/>
  <c r="E72" i="111"/>
  <c r="E71" i="111"/>
  <c r="E69" i="111"/>
  <c r="E68" i="111"/>
  <c r="E67" i="111"/>
  <c r="E65" i="111"/>
  <c r="E64" i="111"/>
  <c r="E63" i="111"/>
  <c r="E61" i="111"/>
  <c r="E60" i="111"/>
  <c r="E59" i="111"/>
  <c r="E57" i="111"/>
  <c r="E56" i="111"/>
  <c r="E55" i="111"/>
  <c r="E53" i="111"/>
  <c r="E52" i="111"/>
  <c r="E51" i="111"/>
  <c r="E50" i="111"/>
  <c r="E49" i="111"/>
  <c r="E48" i="111"/>
  <c r="E47" i="111"/>
  <c r="E46" i="111"/>
  <c r="E45" i="111"/>
  <c r="E44" i="111"/>
  <c r="E43" i="111"/>
  <c r="E42" i="111"/>
  <c r="E41" i="111"/>
  <c r="E40" i="111"/>
  <c r="E39" i="111"/>
  <c r="E38" i="111"/>
  <c r="E37" i="111"/>
  <c r="E36" i="111"/>
  <c r="E35" i="111"/>
  <c r="E34" i="111"/>
  <c r="E33" i="111"/>
  <c r="E32" i="111"/>
  <c r="E31" i="111"/>
  <c r="E30" i="111"/>
  <c r="E29" i="111"/>
  <c r="E28" i="111"/>
  <c r="E27" i="111"/>
  <c r="E26" i="111"/>
  <c r="E25" i="111"/>
  <c r="E24" i="111"/>
  <c r="E23" i="111"/>
  <c r="E22" i="111"/>
  <c r="E21" i="111"/>
  <c r="E20" i="111"/>
  <c r="E19" i="111"/>
  <c r="E18" i="111"/>
  <c r="E17" i="111"/>
  <c r="E16" i="111"/>
  <c r="E15" i="111"/>
  <c r="E14" i="111"/>
  <c r="E13" i="111"/>
  <c r="E12" i="111"/>
  <c r="E11" i="111"/>
  <c r="E10" i="111"/>
  <c r="E9" i="111"/>
  <c r="E8" i="111"/>
  <c r="E7" i="111"/>
  <c r="E6" i="111"/>
  <c r="E5" i="111"/>
  <c r="E4" i="111"/>
  <c r="E2" i="111"/>
  <c r="D101" i="111"/>
  <c r="D100" i="111"/>
  <c r="D99" i="111"/>
  <c r="D98" i="111"/>
  <c r="D97" i="111"/>
  <c r="D96" i="111"/>
  <c r="D95" i="111"/>
  <c r="D94" i="111"/>
  <c r="D93" i="111"/>
  <c r="D92" i="111"/>
  <c r="D91" i="111"/>
  <c r="D90" i="111"/>
  <c r="D89" i="111"/>
  <c r="D88" i="111"/>
  <c r="D87" i="111"/>
  <c r="D86" i="111"/>
  <c r="D85" i="111"/>
  <c r="D84" i="111"/>
  <c r="D83" i="111"/>
  <c r="D82" i="111"/>
  <c r="D81" i="111"/>
  <c r="D80" i="111"/>
  <c r="D79" i="111"/>
  <c r="D78" i="111"/>
  <c r="D77" i="111"/>
  <c r="D76" i="111"/>
  <c r="D75" i="111"/>
  <c r="D74" i="111"/>
  <c r="D73" i="111"/>
  <c r="D72" i="111"/>
  <c r="D71" i="111"/>
  <c r="D70" i="111"/>
  <c r="D69" i="111"/>
  <c r="D68" i="111"/>
  <c r="D67" i="111"/>
  <c r="D66" i="111"/>
  <c r="D65" i="111"/>
  <c r="D64" i="111"/>
  <c r="D63" i="111"/>
  <c r="D62" i="111"/>
  <c r="D61" i="111"/>
  <c r="D60" i="111"/>
  <c r="D59" i="111"/>
  <c r="D58" i="111"/>
  <c r="D57" i="111"/>
  <c r="D56" i="111"/>
  <c r="D55" i="111"/>
  <c r="D54" i="111"/>
  <c r="D53" i="111"/>
  <c r="D52" i="111"/>
  <c r="D51" i="111"/>
  <c r="D50" i="111"/>
  <c r="D49" i="111"/>
  <c r="D48" i="111"/>
  <c r="D47" i="111"/>
  <c r="D46" i="111"/>
  <c r="D45" i="111"/>
  <c r="D44" i="111"/>
  <c r="D43" i="111"/>
  <c r="D42" i="111"/>
  <c r="D41" i="111"/>
  <c r="D40" i="111"/>
  <c r="D39" i="111"/>
  <c r="D38" i="111"/>
  <c r="D37" i="111"/>
  <c r="D36" i="111"/>
  <c r="D35" i="111"/>
  <c r="D34" i="111"/>
  <c r="D33" i="111"/>
  <c r="D32" i="111"/>
  <c r="D31" i="111"/>
  <c r="D30" i="111"/>
  <c r="D29" i="111"/>
  <c r="D28" i="111"/>
  <c r="D27" i="111"/>
  <c r="D26" i="111"/>
  <c r="D25" i="111"/>
  <c r="D24" i="111"/>
  <c r="D23" i="111"/>
  <c r="D22" i="111"/>
  <c r="D21" i="111"/>
  <c r="D20" i="111"/>
  <c r="D19" i="111"/>
  <c r="D18" i="111"/>
  <c r="D17" i="111"/>
  <c r="D16" i="111"/>
  <c r="D15" i="111"/>
  <c r="D14" i="111"/>
  <c r="D13" i="111"/>
  <c r="D12" i="111"/>
  <c r="D11" i="111"/>
  <c r="D10" i="111"/>
  <c r="D9" i="111"/>
  <c r="D8" i="111"/>
  <c r="D7" i="111"/>
  <c r="D6" i="111"/>
  <c r="D5" i="111"/>
  <c r="D4" i="111"/>
  <c r="D3" i="111"/>
  <c r="D2" i="111"/>
  <c r="C100" i="111"/>
  <c r="C101" i="111"/>
  <c r="C3" i="111"/>
  <c r="C4" i="111"/>
  <c r="C5" i="111"/>
  <c r="C6" i="111"/>
  <c r="C7" i="111"/>
  <c r="C8" i="111"/>
  <c r="C9" i="111"/>
  <c r="C10" i="111"/>
  <c r="C11" i="111"/>
  <c r="C12" i="111"/>
  <c r="C13" i="111"/>
  <c r="C14" i="111"/>
  <c r="C15" i="111"/>
  <c r="C16" i="111"/>
  <c r="C17" i="111"/>
  <c r="C18" i="111"/>
  <c r="C19" i="111"/>
  <c r="C20" i="111"/>
  <c r="C21" i="111"/>
  <c r="C22" i="111"/>
  <c r="C23" i="111"/>
  <c r="C24" i="111"/>
  <c r="C25" i="111"/>
  <c r="C26" i="111"/>
  <c r="C27" i="111"/>
  <c r="C28" i="111"/>
  <c r="C29" i="111"/>
  <c r="C30" i="111"/>
  <c r="C31" i="111"/>
  <c r="C32" i="111"/>
  <c r="C33" i="111"/>
  <c r="C34" i="111"/>
  <c r="C35" i="111"/>
  <c r="C36" i="111"/>
  <c r="C37" i="111"/>
  <c r="C38" i="111"/>
  <c r="C39" i="111"/>
  <c r="C40" i="111"/>
  <c r="C41" i="111"/>
  <c r="C42" i="111"/>
  <c r="C43" i="111"/>
  <c r="C44" i="111"/>
  <c r="C45" i="111"/>
  <c r="C46" i="111"/>
  <c r="C47" i="111"/>
  <c r="C48" i="111"/>
  <c r="C49" i="111"/>
  <c r="C50" i="111"/>
  <c r="C51" i="111"/>
  <c r="C52" i="111"/>
  <c r="C53" i="111"/>
  <c r="C54" i="111"/>
  <c r="C55" i="111"/>
  <c r="C56" i="111"/>
  <c r="C57" i="111"/>
  <c r="C58" i="111"/>
  <c r="C59" i="111"/>
  <c r="C60" i="111"/>
  <c r="C61" i="111"/>
  <c r="C62" i="111"/>
  <c r="C63" i="111"/>
  <c r="C64" i="111"/>
  <c r="C65" i="111"/>
  <c r="C66" i="111"/>
  <c r="C67" i="111"/>
  <c r="C68" i="111"/>
  <c r="C69" i="111"/>
  <c r="C70" i="111"/>
  <c r="C71" i="111"/>
  <c r="C72" i="111"/>
  <c r="C73" i="111"/>
  <c r="C74" i="111"/>
  <c r="C75" i="111"/>
  <c r="C76" i="111"/>
  <c r="C77" i="111"/>
  <c r="C78" i="111"/>
  <c r="C79" i="111"/>
  <c r="C80" i="111"/>
  <c r="C81" i="111"/>
  <c r="C82" i="111"/>
  <c r="C83" i="111"/>
  <c r="C84" i="111"/>
  <c r="C85" i="111"/>
  <c r="C86" i="111"/>
  <c r="C87" i="111"/>
  <c r="C88" i="111"/>
  <c r="C89" i="111"/>
  <c r="C90" i="111"/>
  <c r="C91" i="111"/>
  <c r="C92" i="111"/>
  <c r="C93" i="111"/>
  <c r="C94" i="111"/>
  <c r="C95" i="111"/>
  <c r="C96" i="111"/>
  <c r="C97" i="111"/>
  <c r="C98" i="111"/>
  <c r="C99" i="111"/>
  <c r="C2" i="111"/>
  <c r="D1909" i="102"/>
  <c r="D1908" i="102"/>
  <c r="C1909" i="102"/>
  <c r="C1908" i="102"/>
  <c r="D1907" i="102"/>
  <c r="D1906" i="102"/>
  <c r="C1907" i="102"/>
  <c r="C1906" i="102"/>
  <c r="D1905" i="102"/>
  <c r="D1904" i="102"/>
  <c r="C1905" i="102"/>
  <c r="C1904" i="102"/>
  <c r="D1903" i="102"/>
  <c r="D1902" i="102"/>
  <c r="C1903" i="102"/>
  <c r="C1902" i="102"/>
  <c r="C1889" i="102"/>
  <c r="D1901" i="102"/>
  <c r="D1900" i="102"/>
  <c r="D1899" i="102"/>
  <c r="D1898" i="102"/>
  <c r="D1897" i="102"/>
  <c r="D1896" i="102"/>
  <c r="D1895" i="102"/>
  <c r="D1894" i="102"/>
  <c r="D1893" i="102"/>
  <c r="D1892" i="102"/>
  <c r="D1891" i="102"/>
  <c r="D1890" i="102"/>
  <c r="D1889" i="102"/>
  <c r="C1899" i="102"/>
  <c r="C1900" i="102"/>
  <c r="C1901" i="102"/>
  <c r="C1890" i="102"/>
  <c r="C1891" i="102"/>
  <c r="C1892" i="102"/>
  <c r="C1893" i="102"/>
  <c r="C1894" i="102"/>
  <c r="C1895" i="102"/>
  <c r="C1896" i="102"/>
  <c r="C1897" i="102"/>
  <c r="C1898" i="102"/>
  <c r="D1888" i="102"/>
  <c r="D1887" i="102"/>
  <c r="D1886" i="102"/>
  <c r="D1885" i="102"/>
  <c r="D1884" i="102"/>
  <c r="D1883" i="102"/>
  <c r="D1882" i="102"/>
  <c r="D1881" i="102"/>
  <c r="D1880" i="102"/>
  <c r="D1879" i="102"/>
  <c r="D1878" i="102"/>
  <c r="D1877" i="102"/>
  <c r="D1876" i="102"/>
  <c r="D1875" i="102"/>
  <c r="D1874" i="102"/>
  <c r="C1875" i="102"/>
  <c r="C1876" i="102"/>
  <c r="C1877" i="102"/>
  <c r="C1878" i="102"/>
  <c r="C1879" i="102"/>
  <c r="C1880" i="102"/>
  <c r="C1881" i="102"/>
  <c r="C1882" i="102"/>
  <c r="C1883" i="102"/>
  <c r="C1884" i="102"/>
  <c r="C1885" i="102"/>
  <c r="C1886" i="102"/>
  <c r="C1887" i="102"/>
  <c r="C1888" i="102"/>
  <c r="C1874" i="102"/>
  <c r="D1873" i="102"/>
  <c r="D1872" i="102"/>
  <c r="D1871" i="102"/>
  <c r="D1870" i="102"/>
  <c r="D1869" i="102"/>
  <c r="D1868" i="102"/>
  <c r="D1867" i="102"/>
  <c r="D1866" i="102"/>
  <c r="D1865" i="102"/>
  <c r="D1864" i="102"/>
  <c r="D1863" i="102"/>
  <c r="D1862" i="102"/>
  <c r="D1861" i="102"/>
  <c r="C1871" i="102"/>
  <c r="C1872" i="102"/>
  <c r="C1873" i="102"/>
  <c r="C1862" i="102"/>
  <c r="C1863" i="102"/>
  <c r="C1864" i="102"/>
  <c r="C1865" i="102"/>
  <c r="C1866" i="102"/>
  <c r="C1867" i="102"/>
  <c r="C1868" i="102"/>
  <c r="C1869" i="102"/>
  <c r="C1870" i="102"/>
  <c r="C1861" i="102"/>
  <c r="D1860" i="102"/>
  <c r="D1859" i="102"/>
  <c r="D1858" i="102"/>
  <c r="D1857" i="102"/>
  <c r="D1856" i="102"/>
  <c r="D1855" i="102"/>
  <c r="D1854" i="102"/>
  <c r="D1853" i="102"/>
  <c r="D1852" i="102"/>
  <c r="D1851" i="102"/>
  <c r="D1850" i="102"/>
  <c r="D1849" i="102"/>
  <c r="D1848" i="102"/>
  <c r="D1847" i="102"/>
  <c r="D1846" i="102"/>
  <c r="C1847" i="102"/>
  <c r="C1848" i="102"/>
  <c r="C1849" i="102"/>
  <c r="C1850" i="102"/>
  <c r="C1851" i="102"/>
  <c r="C1852" i="102"/>
  <c r="C1853" i="102"/>
  <c r="C1854" i="102"/>
  <c r="C1855" i="102"/>
  <c r="C1856" i="102"/>
  <c r="C1857" i="102"/>
  <c r="C1858" i="102"/>
  <c r="C1859" i="102"/>
  <c r="C1860" i="102"/>
  <c r="C1846" i="102"/>
  <c r="D1845" i="102"/>
  <c r="D1844" i="102"/>
  <c r="D1843" i="102"/>
  <c r="D1842" i="102"/>
  <c r="D1841" i="102"/>
  <c r="D1840" i="102"/>
  <c r="D1839" i="102"/>
  <c r="D1838" i="102"/>
  <c r="D1837" i="102"/>
  <c r="D1836" i="102"/>
  <c r="D1835" i="102"/>
  <c r="D1834" i="102"/>
  <c r="D1833" i="102"/>
  <c r="D1832" i="102"/>
  <c r="D1831" i="102"/>
  <c r="C1841" i="102"/>
  <c r="C1842" i="102"/>
  <c r="C1843" i="102"/>
  <c r="C1844" i="102"/>
  <c r="C1845" i="102"/>
  <c r="C1832" i="102"/>
  <c r="C1833" i="102"/>
  <c r="C1834" i="102"/>
  <c r="C1835" i="102"/>
  <c r="C1836" i="102"/>
  <c r="C1837" i="102"/>
  <c r="C1838" i="102"/>
  <c r="C1839" i="102"/>
  <c r="C1840" i="102"/>
  <c r="C1831" i="102"/>
  <c r="D1830" i="102"/>
  <c r="D1829" i="102"/>
  <c r="D1828" i="102"/>
  <c r="D1827" i="102"/>
  <c r="D1826" i="102"/>
  <c r="D1825" i="102"/>
  <c r="D1824" i="102"/>
  <c r="D1823" i="102"/>
  <c r="D1822" i="102"/>
  <c r="D1821" i="102"/>
  <c r="D1820" i="102"/>
  <c r="D1819" i="102"/>
  <c r="D1818" i="102"/>
  <c r="D1817" i="102"/>
  <c r="D1816" i="102"/>
  <c r="C1829" i="102"/>
  <c r="C1830" i="102"/>
  <c r="C1817" i="102"/>
  <c r="C1818" i="102"/>
  <c r="C1819" i="102"/>
  <c r="C1820" i="102"/>
  <c r="C1821" i="102"/>
  <c r="C1822" i="102"/>
  <c r="C1823" i="102"/>
  <c r="C1824" i="102"/>
  <c r="C1825" i="102"/>
  <c r="C1826" i="102"/>
  <c r="C1827" i="102"/>
  <c r="C1828" i="102"/>
  <c r="C1816" i="102"/>
  <c r="D1815" i="102"/>
  <c r="D1814" i="102"/>
  <c r="D1813" i="102"/>
  <c r="D1812" i="102"/>
  <c r="D1811" i="102"/>
  <c r="D1810" i="102"/>
  <c r="D1809" i="102"/>
  <c r="D1808" i="102"/>
  <c r="D1807" i="102"/>
  <c r="D1806" i="102"/>
  <c r="D1805" i="102"/>
  <c r="D1804" i="102"/>
  <c r="D1803" i="102"/>
  <c r="D1802" i="102"/>
  <c r="D1801" i="102"/>
  <c r="C1813" i="102"/>
  <c r="C1814" i="102"/>
  <c r="C1815" i="102"/>
  <c r="C1802" i="102"/>
  <c r="C1803" i="102"/>
  <c r="C1804" i="102"/>
  <c r="C1805" i="102"/>
  <c r="C1806" i="102"/>
  <c r="C1807" i="102"/>
  <c r="C1808" i="102"/>
  <c r="C1809" i="102"/>
  <c r="C1810" i="102"/>
  <c r="C1811" i="102"/>
  <c r="C1812" i="102"/>
  <c r="C1801" i="102"/>
  <c r="E1798" i="102"/>
  <c r="E1797" i="102"/>
  <c r="E1796" i="102"/>
  <c r="E1795" i="102"/>
  <c r="E1794" i="102"/>
  <c r="E1793" i="102"/>
  <c r="E1792" i="102"/>
  <c r="E1791" i="102"/>
  <c r="E1790" i="102"/>
  <c r="E1789" i="102"/>
  <c r="E1788" i="102"/>
  <c r="E1787" i="102"/>
  <c r="E1786" i="102"/>
  <c r="D1800" i="102"/>
  <c r="D1799" i="102"/>
  <c r="D1798" i="102"/>
  <c r="D1797" i="102"/>
  <c r="D1796" i="102"/>
  <c r="D1795" i="102"/>
  <c r="D1794" i="102"/>
  <c r="D1793" i="102"/>
  <c r="D1792" i="102"/>
  <c r="D1791" i="102"/>
  <c r="D1790" i="102"/>
  <c r="D1789" i="102"/>
  <c r="D1788" i="102"/>
  <c r="D1787" i="102"/>
  <c r="D1786" i="102"/>
  <c r="C1800" i="102"/>
  <c r="C1796" i="102"/>
  <c r="C1797" i="102"/>
  <c r="C1798" i="102"/>
  <c r="C1799" i="102"/>
  <c r="C1787" i="102"/>
  <c r="C1788" i="102"/>
  <c r="C1789" i="102"/>
  <c r="C1790" i="102"/>
  <c r="C1791" i="102"/>
  <c r="C1792" i="102"/>
  <c r="C1793" i="102"/>
  <c r="C1794" i="102"/>
  <c r="C1795" i="102"/>
  <c r="C1786" i="102"/>
  <c r="E1784" i="102"/>
  <c r="E1783" i="102"/>
  <c r="E1782" i="102"/>
  <c r="E1781" i="102"/>
  <c r="E1780" i="102"/>
  <c r="E1779" i="102"/>
  <c r="E1778" i="102"/>
  <c r="E1777" i="102"/>
  <c r="E1776" i="102"/>
  <c r="E1775" i="102"/>
  <c r="E1774" i="102"/>
  <c r="E1773" i="102"/>
  <c r="D1785" i="102"/>
  <c r="D1784" i="102"/>
  <c r="D1783" i="102"/>
  <c r="D1782" i="102"/>
  <c r="D1781" i="102"/>
  <c r="D1780" i="102"/>
  <c r="D1779" i="102"/>
  <c r="D1778" i="102"/>
  <c r="D1777" i="102"/>
  <c r="D1776" i="102"/>
  <c r="D1775" i="102"/>
  <c r="D1774" i="102"/>
  <c r="D1773" i="102"/>
  <c r="D1772" i="102"/>
  <c r="D1771" i="102"/>
  <c r="C1772" i="102"/>
  <c r="C1773" i="102"/>
  <c r="C1774" i="102"/>
  <c r="C1775" i="102"/>
  <c r="C1776" i="102"/>
  <c r="C1777" i="102"/>
  <c r="C1778" i="102"/>
  <c r="C1779" i="102"/>
  <c r="C1780" i="102"/>
  <c r="C1781" i="102"/>
  <c r="C1782" i="102"/>
  <c r="C1783" i="102"/>
  <c r="C1784" i="102"/>
  <c r="C1785" i="102"/>
  <c r="C1771" i="102"/>
  <c r="E1770" i="102"/>
  <c r="D1770" i="102"/>
  <c r="D1769" i="102"/>
  <c r="D1768" i="102"/>
  <c r="D1767" i="102"/>
  <c r="D1766" i="102"/>
  <c r="D1765" i="102"/>
  <c r="D1764" i="102"/>
  <c r="D1763" i="102"/>
  <c r="D1762" i="102"/>
  <c r="D1761" i="102"/>
  <c r="D1760" i="102"/>
  <c r="D1759" i="102"/>
  <c r="D1758" i="102"/>
  <c r="D1757" i="102"/>
  <c r="D1756" i="102"/>
  <c r="D1755" i="102"/>
  <c r="D1754" i="102"/>
  <c r="D1753" i="102"/>
  <c r="D1752" i="102"/>
  <c r="D1751" i="102"/>
  <c r="D1750" i="102"/>
  <c r="D1749" i="102"/>
  <c r="D1748" i="102"/>
  <c r="D1747" i="102"/>
  <c r="D1746" i="102"/>
  <c r="D1745" i="102"/>
  <c r="D1744" i="102"/>
  <c r="D1743" i="102"/>
  <c r="D1742" i="102"/>
  <c r="D1741" i="102"/>
  <c r="D1740" i="102"/>
  <c r="D1739" i="102"/>
  <c r="D1738" i="102"/>
  <c r="D1737" i="102"/>
  <c r="D1736" i="102"/>
  <c r="C1770" i="102"/>
  <c r="C1757" i="102"/>
  <c r="C1758" i="102"/>
  <c r="C1759" i="102"/>
  <c r="C1760" i="102"/>
  <c r="C1761" i="102"/>
  <c r="C1762" i="102"/>
  <c r="C1763" i="102"/>
  <c r="C1764" i="102"/>
  <c r="C1765" i="102"/>
  <c r="C1766" i="102"/>
  <c r="C1767" i="102"/>
  <c r="C1768" i="102"/>
  <c r="C1769" i="102"/>
  <c r="C1756" i="102"/>
  <c r="C1755" i="102"/>
  <c r="C1748" i="102"/>
  <c r="C1749" i="102"/>
  <c r="C1750" i="102"/>
  <c r="C1751" i="102"/>
  <c r="C1752" i="102"/>
  <c r="C1753" i="102"/>
  <c r="C1754" i="102"/>
  <c r="C1747" i="102"/>
  <c r="C1746" i="102"/>
  <c r="C1739" i="102"/>
  <c r="C1740" i="102"/>
  <c r="C1741" i="102"/>
  <c r="C1742" i="102"/>
  <c r="C1743" i="102"/>
  <c r="C1744" i="102"/>
  <c r="C1745" i="102"/>
  <c r="C1738" i="102"/>
  <c r="C1737" i="102"/>
  <c r="C1736" i="102"/>
  <c r="D1735" i="102"/>
  <c r="D1734" i="102"/>
  <c r="D1733" i="102"/>
  <c r="D1732" i="102"/>
  <c r="D1731" i="102"/>
  <c r="C1735" i="102"/>
  <c r="C1734" i="102"/>
  <c r="C1733" i="102"/>
  <c r="C1732" i="102"/>
  <c r="C1731" i="102"/>
  <c r="D1730" i="102"/>
  <c r="D1729" i="102"/>
  <c r="D1728" i="102"/>
  <c r="D1727" i="102"/>
  <c r="C1730" i="102"/>
  <c r="C1729" i="102"/>
  <c r="C1728" i="102"/>
  <c r="C1727" i="102"/>
  <c r="D1726" i="102"/>
  <c r="D1725" i="102"/>
  <c r="D1724" i="102"/>
  <c r="C1726" i="102"/>
  <c r="C1725" i="102"/>
  <c r="C1724" i="102"/>
  <c r="D1723" i="102"/>
  <c r="D1722" i="102"/>
  <c r="D1721" i="102"/>
  <c r="C1721" i="102"/>
  <c r="D1720" i="102"/>
  <c r="D1719" i="102"/>
  <c r="D1718" i="102"/>
  <c r="D1717" i="102"/>
  <c r="D1716" i="102"/>
  <c r="D1715" i="102"/>
  <c r="C1720" i="102"/>
  <c r="C1719" i="102"/>
  <c r="C1718" i="102"/>
  <c r="C1717" i="102"/>
  <c r="C1716" i="102"/>
  <c r="C1715" i="102"/>
  <c r="D1714" i="102"/>
  <c r="D1713" i="102"/>
  <c r="D1712" i="102"/>
  <c r="D1711" i="102"/>
  <c r="D1710" i="102"/>
  <c r="D1709" i="102"/>
  <c r="D1708" i="102"/>
  <c r="C1709" i="102"/>
  <c r="C1710" i="102"/>
  <c r="C1711" i="102"/>
  <c r="C1712" i="102"/>
  <c r="C1713" i="102"/>
  <c r="C1714" i="102"/>
  <c r="C1708" i="102"/>
  <c r="D1707" i="102"/>
  <c r="D1706" i="102"/>
  <c r="D1705" i="102"/>
  <c r="D1704" i="102"/>
  <c r="D1703" i="102"/>
  <c r="D1702" i="102"/>
  <c r="D1701" i="102"/>
  <c r="D1700" i="102"/>
  <c r="D1699" i="102"/>
  <c r="D1698" i="102"/>
  <c r="D1697" i="102"/>
  <c r="C1705" i="102"/>
  <c r="C1706" i="102"/>
  <c r="C1707" i="102"/>
  <c r="C1698" i="102"/>
  <c r="C1699" i="102"/>
  <c r="C1700" i="102"/>
  <c r="C1701" i="102"/>
  <c r="C1702" i="102"/>
  <c r="C1703" i="102"/>
  <c r="C1704" i="102"/>
  <c r="C1697" i="102"/>
  <c r="D1696" i="102"/>
  <c r="D1695" i="102"/>
  <c r="D1694" i="102"/>
  <c r="D1693" i="102"/>
  <c r="D1692" i="102"/>
  <c r="D1691" i="102"/>
  <c r="D1690" i="102"/>
  <c r="D1689" i="102"/>
  <c r="D1688" i="102"/>
  <c r="D1687" i="102"/>
  <c r="D1686" i="102"/>
  <c r="D1685" i="102"/>
  <c r="D1684" i="102"/>
  <c r="D1683" i="102"/>
  <c r="D1682" i="102"/>
  <c r="D1681" i="102"/>
  <c r="D1680" i="102"/>
  <c r="D1679" i="102"/>
  <c r="D1678" i="102"/>
  <c r="D1677" i="102"/>
  <c r="D1676" i="102"/>
  <c r="D1675" i="102"/>
  <c r="D1674" i="102"/>
  <c r="D1673" i="102"/>
  <c r="D1672" i="102"/>
  <c r="D1671" i="102"/>
  <c r="D1670" i="102"/>
  <c r="D1669" i="102"/>
  <c r="D1668" i="102"/>
  <c r="D1667" i="102"/>
  <c r="D1666" i="102"/>
  <c r="D1665" i="102"/>
  <c r="D1664" i="102"/>
  <c r="D1663" i="102"/>
  <c r="D1662" i="102"/>
  <c r="D1661" i="102"/>
  <c r="C1694" i="102"/>
  <c r="C1695" i="102"/>
  <c r="C1696" i="102"/>
  <c r="C1688" i="102"/>
  <c r="C1689" i="102"/>
  <c r="C1690" i="102"/>
  <c r="C1691" i="102"/>
  <c r="C1692" i="102"/>
  <c r="C1693" i="102"/>
  <c r="C1662" i="102"/>
  <c r="C1663" i="102"/>
  <c r="C1664" i="102"/>
  <c r="C1665" i="102"/>
  <c r="C1666" i="102"/>
  <c r="C1667" i="102"/>
  <c r="C1668" i="102"/>
  <c r="C1669" i="102"/>
  <c r="C1670" i="102"/>
  <c r="C1671" i="102"/>
  <c r="C1672" i="102"/>
  <c r="C1673" i="102"/>
  <c r="C1674" i="102"/>
  <c r="C1675" i="102"/>
  <c r="C1676" i="102"/>
  <c r="C1677" i="102"/>
  <c r="C1678" i="102"/>
  <c r="C1679" i="102"/>
  <c r="C1680" i="102"/>
  <c r="C1681" i="102"/>
  <c r="C1682" i="102"/>
  <c r="C1683" i="102"/>
  <c r="C1684" i="102"/>
  <c r="C1685" i="102"/>
  <c r="C1686" i="102"/>
  <c r="C1687" i="102"/>
  <c r="D1660" i="102"/>
  <c r="D1659" i="102"/>
  <c r="D1658" i="102"/>
  <c r="D1657" i="102"/>
  <c r="C1660" i="102"/>
  <c r="C1659" i="102"/>
  <c r="C1658" i="102"/>
  <c r="C1657" i="102"/>
  <c r="D1656" i="102"/>
  <c r="D1655" i="102"/>
  <c r="D1654" i="102"/>
  <c r="C1656" i="102"/>
  <c r="C1655" i="102"/>
  <c r="C1654" i="102"/>
  <c r="D1653" i="102"/>
  <c r="D1652" i="102"/>
  <c r="D1651" i="102"/>
  <c r="C1651" i="102"/>
  <c r="D1650" i="102"/>
  <c r="D1649" i="102"/>
  <c r="D1648" i="102"/>
  <c r="D1647" i="102"/>
  <c r="D1646" i="102"/>
  <c r="D1645" i="102"/>
  <c r="C1646" i="102"/>
  <c r="C1647" i="102"/>
  <c r="C1648" i="102"/>
  <c r="C1649" i="102"/>
  <c r="C1650" i="102"/>
  <c r="C1645" i="102"/>
  <c r="D1644" i="102"/>
  <c r="D1643" i="102"/>
  <c r="D1642" i="102"/>
  <c r="D1641" i="102"/>
  <c r="D1640" i="102"/>
  <c r="D1639" i="102"/>
  <c r="D1638" i="102"/>
  <c r="C1644" i="102"/>
  <c r="C1639" i="102"/>
  <c r="C1640" i="102"/>
  <c r="C1641" i="102"/>
  <c r="C1642" i="102"/>
  <c r="C1643" i="102"/>
  <c r="C1638" i="102"/>
  <c r="D1637" i="102"/>
  <c r="D1636" i="102"/>
  <c r="D1635" i="102"/>
  <c r="D1634" i="102"/>
  <c r="D1633" i="102"/>
  <c r="D1632" i="102"/>
  <c r="D1631" i="102"/>
  <c r="D1630" i="102"/>
  <c r="D1629" i="102"/>
  <c r="D1628" i="102"/>
  <c r="D1627" i="102"/>
  <c r="C1628" i="102"/>
  <c r="C1629" i="102"/>
  <c r="C1630" i="102"/>
  <c r="C1631" i="102"/>
  <c r="C1632" i="102"/>
  <c r="C1633" i="102"/>
  <c r="C1634" i="102"/>
  <c r="C1635" i="102"/>
  <c r="C1636" i="102"/>
  <c r="C1637" i="102"/>
  <c r="C1627" i="102"/>
  <c r="D1626" i="102"/>
  <c r="D1625" i="102"/>
  <c r="D1624" i="102"/>
  <c r="D1623" i="102"/>
  <c r="D1622" i="102"/>
  <c r="D1621" i="102"/>
  <c r="D1620" i="102"/>
  <c r="D1619" i="102"/>
  <c r="D1618" i="102"/>
  <c r="D1617" i="102"/>
  <c r="D1616" i="102"/>
  <c r="D1615" i="102"/>
  <c r="D1614" i="102"/>
  <c r="D1613" i="102"/>
  <c r="D1612" i="102"/>
  <c r="D1611" i="102"/>
  <c r="D1610" i="102"/>
  <c r="D1609" i="102"/>
  <c r="D1608" i="102"/>
  <c r="D1607" i="102"/>
  <c r="D1606" i="102"/>
  <c r="D1605" i="102"/>
  <c r="D1604" i="102"/>
  <c r="D1603" i="102"/>
  <c r="D1602" i="102"/>
  <c r="D1601" i="102"/>
  <c r="D1600" i="102"/>
  <c r="D1599" i="102"/>
  <c r="D1598" i="102"/>
  <c r="D1597" i="102"/>
  <c r="D1596" i="102"/>
  <c r="D1595" i="102"/>
  <c r="D1594" i="102"/>
  <c r="D1593" i="102"/>
  <c r="D1592" i="102"/>
  <c r="D1591" i="102"/>
  <c r="C1592" i="102"/>
  <c r="C1593" i="102"/>
  <c r="C1594" i="102"/>
  <c r="C1595" i="102"/>
  <c r="C1596" i="102"/>
  <c r="C1597" i="102"/>
  <c r="C1598" i="102"/>
  <c r="C1599" i="102"/>
  <c r="C1600" i="102"/>
  <c r="C1601" i="102"/>
  <c r="C1602" i="102"/>
  <c r="C1603" i="102"/>
  <c r="C1604" i="102"/>
  <c r="C1605" i="102"/>
  <c r="C1606" i="102"/>
  <c r="C1607" i="102"/>
  <c r="C1608" i="102"/>
  <c r="C1609" i="102"/>
  <c r="C1610" i="102"/>
  <c r="C1611" i="102"/>
  <c r="C1612" i="102"/>
  <c r="C1613" i="102"/>
  <c r="C1614" i="102"/>
  <c r="C1615" i="102"/>
  <c r="C1616" i="102"/>
  <c r="C1617" i="102"/>
  <c r="C1618" i="102"/>
  <c r="C1619" i="102"/>
  <c r="C1620" i="102"/>
  <c r="C1621" i="102"/>
  <c r="C1622" i="102"/>
  <c r="C1623" i="102"/>
  <c r="C1624" i="102"/>
  <c r="C1625" i="102"/>
  <c r="C1626" i="102"/>
  <c r="D1590" i="102"/>
  <c r="D1589" i="102"/>
  <c r="D1588" i="102"/>
  <c r="D1587" i="102"/>
  <c r="C1590" i="102"/>
  <c r="C1589" i="102"/>
  <c r="C1588" i="102"/>
  <c r="C1587" i="102"/>
  <c r="D1586" i="102"/>
  <c r="D1585" i="102"/>
  <c r="D1584" i="102"/>
  <c r="C1586" i="102"/>
  <c r="C1585" i="102"/>
  <c r="C1584" i="102"/>
  <c r="D1583" i="102"/>
  <c r="D1582" i="102"/>
  <c r="D1581" i="102"/>
  <c r="C1581" i="102"/>
  <c r="D1580" i="102"/>
  <c r="D1579" i="102"/>
  <c r="D1578" i="102"/>
  <c r="D1577" i="102"/>
  <c r="D1576" i="102"/>
  <c r="D1575" i="102"/>
  <c r="C1580" i="102"/>
  <c r="C1579" i="102"/>
  <c r="C1578" i="102"/>
  <c r="C1577" i="102"/>
  <c r="C1576" i="102"/>
  <c r="C1575" i="102"/>
  <c r="D1574" i="102"/>
  <c r="D1573" i="102"/>
  <c r="D1572" i="102"/>
  <c r="D1571" i="102"/>
  <c r="D1570" i="102"/>
  <c r="D1569" i="102"/>
  <c r="D1568" i="102"/>
  <c r="C1569" i="102"/>
  <c r="C1570" i="102"/>
  <c r="C1571" i="102"/>
  <c r="C1572" i="102"/>
  <c r="C1573" i="102"/>
  <c r="C1574" i="102"/>
  <c r="C1568" i="102"/>
  <c r="D1567" i="102"/>
  <c r="D1566" i="102"/>
  <c r="D1565" i="102"/>
  <c r="D1564" i="102"/>
  <c r="D1563" i="102"/>
  <c r="D1562" i="102"/>
  <c r="D1561" i="102"/>
  <c r="D1560" i="102"/>
  <c r="D1559" i="102"/>
  <c r="D1558" i="102"/>
  <c r="D1557" i="102"/>
  <c r="C1567" i="102"/>
  <c r="C1558" i="102"/>
  <c r="C1559" i="102"/>
  <c r="C1560" i="102"/>
  <c r="C1561" i="102"/>
  <c r="C1562" i="102"/>
  <c r="C1563" i="102"/>
  <c r="C1564" i="102"/>
  <c r="C1565" i="102"/>
  <c r="C1566" i="102"/>
  <c r="C1557" i="102"/>
  <c r="E1522" i="102"/>
  <c r="D1556" i="102"/>
  <c r="D1555" i="102"/>
  <c r="D1554" i="102"/>
  <c r="D1553" i="102"/>
  <c r="D1552" i="102"/>
  <c r="D1551" i="102"/>
  <c r="D1550" i="102"/>
  <c r="D1549" i="102"/>
  <c r="D1548" i="102"/>
  <c r="D1547" i="102"/>
  <c r="D1546" i="102"/>
  <c r="D1545" i="102"/>
  <c r="D1544" i="102"/>
  <c r="D1543" i="102"/>
  <c r="D1542" i="102"/>
  <c r="D1541" i="102"/>
  <c r="D1540" i="102"/>
  <c r="D1539" i="102"/>
  <c r="D1538" i="102"/>
  <c r="D1537" i="102"/>
  <c r="D1536" i="102"/>
  <c r="D1535" i="102"/>
  <c r="D1534" i="102"/>
  <c r="D1533" i="102"/>
  <c r="D1532" i="102"/>
  <c r="D1531" i="102"/>
  <c r="D1530" i="102"/>
  <c r="D1529" i="102"/>
  <c r="D1528" i="102"/>
  <c r="D1527" i="102"/>
  <c r="D1526" i="102"/>
  <c r="D1525" i="102"/>
  <c r="D1524" i="102"/>
  <c r="D1523" i="102"/>
  <c r="D1522" i="102"/>
  <c r="D1521" i="102"/>
  <c r="C1552" i="102"/>
  <c r="C1553" i="102"/>
  <c r="C1554" i="102"/>
  <c r="C1555" i="102"/>
  <c r="C1556" i="102"/>
  <c r="C1551" i="102"/>
  <c r="C1522" i="102"/>
  <c r="C1523" i="102"/>
  <c r="C1524" i="102"/>
  <c r="C1525" i="102"/>
  <c r="C1526" i="102"/>
  <c r="C1527" i="102"/>
  <c r="C1528" i="102"/>
  <c r="C1529" i="102"/>
  <c r="C1530" i="102"/>
  <c r="C1531" i="102"/>
  <c r="C1532" i="102"/>
  <c r="C1533" i="102"/>
  <c r="C1534" i="102"/>
  <c r="C1535" i="102"/>
  <c r="C1536" i="102"/>
  <c r="C1537" i="102"/>
  <c r="C1538" i="102"/>
  <c r="C1539" i="102"/>
  <c r="C1540" i="102"/>
  <c r="C1541" i="102"/>
  <c r="C1542" i="102"/>
  <c r="C1543" i="102"/>
  <c r="C1544" i="102"/>
  <c r="C1545" i="102"/>
  <c r="C1546" i="102"/>
  <c r="C1547" i="102"/>
  <c r="C1548" i="102"/>
  <c r="C1549" i="102"/>
  <c r="C1550" i="102"/>
  <c r="D1520" i="102"/>
  <c r="D1519" i="102"/>
  <c r="D1518" i="102"/>
  <c r="D1517" i="102"/>
  <c r="C1520" i="102"/>
  <c r="C1519" i="102"/>
  <c r="C1518" i="102"/>
  <c r="C1517" i="102"/>
  <c r="D1516" i="102"/>
  <c r="D1515" i="102"/>
  <c r="D1514" i="102"/>
  <c r="C1516" i="102"/>
  <c r="C1515" i="102"/>
  <c r="C1514" i="102"/>
  <c r="D1513" i="102"/>
  <c r="D1512" i="102"/>
  <c r="D1511" i="102"/>
  <c r="C1511" i="102"/>
  <c r="D1510" i="102"/>
  <c r="D1509" i="102"/>
  <c r="D1508" i="102"/>
  <c r="D1507" i="102"/>
  <c r="D1506" i="102"/>
  <c r="D1505" i="102"/>
  <c r="C1506" i="102"/>
  <c r="C1507" i="102"/>
  <c r="C1508" i="102"/>
  <c r="C1509" i="102"/>
  <c r="C1510" i="102"/>
  <c r="C1505" i="102"/>
  <c r="D1504" i="102"/>
  <c r="D1503" i="102"/>
  <c r="D1502" i="102"/>
  <c r="D1501" i="102"/>
  <c r="D1500" i="102"/>
  <c r="D1499" i="102"/>
  <c r="D1498" i="102"/>
  <c r="C1499" i="102"/>
  <c r="C1500" i="102"/>
  <c r="C1501" i="102"/>
  <c r="C1502" i="102"/>
  <c r="C1503" i="102"/>
  <c r="C1504" i="102"/>
  <c r="C1498" i="102"/>
  <c r="D1497" i="102"/>
  <c r="D1496" i="102"/>
  <c r="D1495" i="102"/>
  <c r="D1494" i="102"/>
  <c r="D1493" i="102"/>
  <c r="D1492" i="102"/>
  <c r="D1491" i="102"/>
  <c r="D1490" i="102"/>
  <c r="D1489" i="102"/>
  <c r="D1488" i="102"/>
  <c r="D1487" i="102"/>
  <c r="C1488" i="102"/>
  <c r="C1489" i="102"/>
  <c r="C1490" i="102"/>
  <c r="C1491" i="102"/>
  <c r="C1492" i="102"/>
  <c r="C1493" i="102"/>
  <c r="C1494" i="102"/>
  <c r="C1495" i="102"/>
  <c r="C1496" i="102"/>
  <c r="C1497" i="102"/>
  <c r="C1487" i="102"/>
  <c r="C1452" i="102"/>
  <c r="C1453" i="102"/>
  <c r="C1454" i="102"/>
  <c r="C1455" i="102"/>
  <c r="C1456" i="102"/>
  <c r="C1457" i="102"/>
  <c r="C1458" i="102"/>
  <c r="C1459" i="102"/>
  <c r="C1460" i="102"/>
  <c r="C1461" i="102"/>
  <c r="C1462" i="102"/>
  <c r="C1463" i="102"/>
  <c r="C1464" i="102"/>
  <c r="C1465" i="102"/>
  <c r="C1466" i="102"/>
  <c r="C1467" i="102"/>
  <c r="C1468" i="102"/>
  <c r="C1469" i="102"/>
  <c r="C1470" i="102"/>
  <c r="C1471" i="102"/>
  <c r="C1472" i="102"/>
  <c r="C1473" i="102"/>
  <c r="C1474" i="102"/>
  <c r="C1475" i="102"/>
  <c r="C1476" i="102"/>
  <c r="C1477" i="102"/>
  <c r="C1478" i="102"/>
  <c r="C1479" i="102"/>
  <c r="C1480" i="102"/>
  <c r="C1481" i="102"/>
  <c r="C1482" i="102"/>
  <c r="C1483" i="102"/>
  <c r="C1484" i="102"/>
  <c r="C1485" i="102"/>
  <c r="C1486" i="102"/>
  <c r="D1486" i="102"/>
  <c r="D1485" i="102"/>
  <c r="D1484" i="102"/>
  <c r="D1483" i="102"/>
  <c r="D1482" i="102"/>
  <c r="D1481" i="102"/>
  <c r="D1480" i="102"/>
  <c r="D1479" i="102"/>
  <c r="D1478" i="102"/>
  <c r="D1477" i="102"/>
  <c r="D1476" i="102"/>
  <c r="D1475" i="102"/>
  <c r="D1474" i="102"/>
  <c r="D1473" i="102"/>
  <c r="D1472" i="102"/>
  <c r="D1471" i="102"/>
  <c r="D1470" i="102"/>
  <c r="D1469" i="102"/>
  <c r="D1468" i="102"/>
  <c r="D1467" i="102"/>
  <c r="D1466" i="102"/>
  <c r="D1465" i="102"/>
  <c r="D1464" i="102"/>
  <c r="D1463" i="102"/>
  <c r="D1462" i="102"/>
  <c r="D1461" i="102"/>
  <c r="D1460" i="102"/>
  <c r="D1459" i="102"/>
  <c r="D1458" i="102"/>
  <c r="D1457" i="102"/>
  <c r="D1456" i="102"/>
  <c r="D1455" i="102"/>
  <c r="D1454" i="102"/>
  <c r="D1453" i="102"/>
  <c r="D1452" i="102"/>
  <c r="D1451" i="102"/>
  <c r="D1450" i="102"/>
  <c r="D1449" i="102"/>
  <c r="D1448" i="102"/>
  <c r="D1447" i="102"/>
  <c r="D1446" i="102"/>
  <c r="C1450" i="102"/>
  <c r="C1447" i="102"/>
  <c r="C1448" i="102"/>
  <c r="C1449" i="102"/>
  <c r="C1446" i="102"/>
  <c r="D1445" i="102"/>
  <c r="D1444" i="102"/>
  <c r="D1443" i="102"/>
  <c r="D1442" i="102"/>
  <c r="D1441" i="102"/>
  <c r="C1445" i="102"/>
  <c r="C1442" i="102"/>
  <c r="C1443" i="102"/>
  <c r="C1444" i="102"/>
  <c r="C1441" i="102"/>
  <c r="D1440" i="102"/>
  <c r="D1439" i="102"/>
  <c r="D1438" i="102"/>
  <c r="D1437" i="102"/>
  <c r="D1436" i="102"/>
  <c r="C1437" i="102"/>
  <c r="C1438" i="102"/>
  <c r="C1439" i="102"/>
  <c r="C1440" i="102"/>
  <c r="C1436" i="102"/>
  <c r="D1435" i="102"/>
  <c r="D1434" i="102"/>
  <c r="D1433" i="102"/>
  <c r="D1432" i="102"/>
  <c r="D1431" i="102"/>
  <c r="C1432" i="102"/>
  <c r="C1433" i="102"/>
  <c r="C1434" i="102"/>
  <c r="C1435" i="102"/>
  <c r="C1431" i="102"/>
  <c r="D1430" i="102"/>
  <c r="D1429" i="102"/>
  <c r="C1430" i="102"/>
  <c r="C1429" i="102"/>
  <c r="P19" i="62"/>
  <c r="P18" i="62"/>
  <c r="P17" i="62"/>
  <c r="E1569" i="111"/>
  <c r="D1428" i="102"/>
  <c r="D1427" i="102"/>
  <c r="D1426" i="102"/>
  <c r="D1425" i="102"/>
  <c r="D1424" i="102"/>
  <c r="D1423" i="102"/>
  <c r="D1422" i="102"/>
  <c r="D1421" i="102"/>
  <c r="D1420" i="102"/>
  <c r="D1419" i="102"/>
  <c r="D1418" i="102"/>
  <c r="D1417" i="102"/>
  <c r="D1416" i="102"/>
  <c r="C1427" i="102"/>
  <c r="C1428" i="102"/>
  <c r="C1426" i="102"/>
  <c r="C1421" i="102"/>
  <c r="C1422" i="102"/>
  <c r="C1423" i="102"/>
  <c r="C1424" i="102"/>
  <c r="C1425" i="102"/>
  <c r="C1420" i="102"/>
  <c r="C1417" i="102"/>
  <c r="C1418" i="102"/>
  <c r="C1419" i="102"/>
  <c r="C1416" i="102"/>
  <c r="D1415" i="102"/>
  <c r="D1414" i="102"/>
  <c r="D1413" i="102"/>
  <c r="D1412" i="102"/>
  <c r="D1411" i="102"/>
  <c r="D1410" i="102"/>
  <c r="D1409" i="102"/>
  <c r="D1408" i="102"/>
  <c r="D1407" i="102"/>
  <c r="D1406" i="102"/>
  <c r="D1405" i="102"/>
  <c r="D1404" i="102"/>
  <c r="D1403" i="102"/>
  <c r="C1414" i="102"/>
  <c r="C1415" i="102"/>
  <c r="C1413" i="102"/>
  <c r="C1408" i="102"/>
  <c r="C1409" i="102"/>
  <c r="C1410" i="102"/>
  <c r="C1411" i="102"/>
  <c r="C1412" i="102"/>
  <c r="C1407" i="102"/>
  <c r="C1404" i="102"/>
  <c r="C1405" i="102"/>
  <c r="C1406" i="102"/>
  <c r="C1403" i="102"/>
  <c r="D1402" i="102"/>
  <c r="D1401" i="102"/>
  <c r="D1400" i="102"/>
  <c r="D1399" i="102"/>
  <c r="D1398" i="102"/>
  <c r="D1397" i="102"/>
  <c r="D1396" i="102"/>
  <c r="D1395" i="102"/>
  <c r="D1394" i="102"/>
  <c r="D1393" i="102"/>
  <c r="D1392" i="102"/>
  <c r="D1391" i="102"/>
  <c r="D1390" i="102"/>
  <c r="C1401" i="102"/>
  <c r="C1402" i="102"/>
  <c r="C1400" i="102"/>
  <c r="C1395" i="102"/>
  <c r="C1396" i="102"/>
  <c r="C1397" i="102"/>
  <c r="C1398" i="102"/>
  <c r="C1399" i="102"/>
  <c r="C1394" i="102"/>
  <c r="C1391" i="102"/>
  <c r="C1392" i="102"/>
  <c r="C1393" i="102"/>
  <c r="C1390" i="102"/>
  <c r="D1389" i="102"/>
  <c r="D1388" i="102"/>
  <c r="D1387" i="102"/>
  <c r="D1386" i="102"/>
  <c r="D1385" i="102"/>
  <c r="D1384" i="102"/>
  <c r="D1383" i="102"/>
  <c r="D1382" i="102"/>
  <c r="D1381" i="102"/>
  <c r="D1380" i="102"/>
  <c r="D1379" i="102"/>
  <c r="D1378" i="102"/>
  <c r="D1377" i="102"/>
  <c r="C1389" i="102"/>
  <c r="C1388" i="102"/>
  <c r="C1387" i="102"/>
  <c r="C1382" i="102"/>
  <c r="C1383" i="102"/>
  <c r="C1384" i="102"/>
  <c r="C1385" i="102"/>
  <c r="C1386" i="102"/>
  <c r="C1381" i="102"/>
  <c r="C1378" i="102"/>
  <c r="C1379" i="102"/>
  <c r="C1380" i="102"/>
  <c r="C1377" i="102"/>
  <c r="D1376" i="102"/>
  <c r="D1375" i="102"/>
  <c r="D1374" i="102"/>
  <c r="D1373" i="102"/>
  <c r="D1372" i="102"/>
  <c r="D1371" i="102"/>
  <c r="D1370" i="102"/>
  <c r="D1369" i="102"/>
  <c r="D1368" i="102"/>
  <c r="D1367" i="102"/>
  <c r="D1366" i="102"/>
  <c r="D1365" i="102"/>
  <c r="D1364" i="102"/>
  <c r="C1375" i="102"/>
  <c r="C1376" i="102"/>
  <c r="C1374" i="102"/>
  <c r="C1369" i="102"/>
  <c r="C1370" i="102"/>
  <c r="C1371" i="102"/>
  <c r="C1372" i="102"/>
  <c r="C1373" i="102"/>
  <c r="C1368" i="102"/>
  <c r="C1365" i="102"/>
  <c r="C1366" i="102"/>
  <c r="C1367" i="102"/>
  <c r="C1364" i="102"/>
  <c r="D1363" i="102"/>
  <c r="D1362" i="102"/>
  <c r="D1361" i="102"/>
  <c r="D1360" i="102"/>
  <c r="D1359" i="102"/>
  <c r="D1358" i="102"/>
  <c r="D1357" i="102"/>
  <c r="D1356" i="102"/>
  <c r="D1355" i="102"/>
  <c r="D1354" i="102"/>
  <c r="D1353" i="102"/>
  <c r="D1352" i="102"/>
  <c r="D1351" i="102"/>
  <c r="C1362" i="102"/>
  <c r="C1363" i="102"/>
  <c r="C1361" i="102"/>
  <c r="C1356" i="102"/>
  <c r="C1357" i="102"/>
  <c r="C1358" i="102"/>
  <c r="C1359" i="102"/>
  <c r="C1360" i="102"/>
  <c r="C1355" i="102"/>
  <c r="C1352" i="102"/>
  <c r="C1353" i="102"/>
  <c r="C1354" i="102"/>
  <c r="C1351" i="102"/>
  <c r="D1350" i="102"/>
  <c r="D1349" i="102"/>
  <c r="D1348" i="102"/>
  <c r="D1347" i="102"/>
  <c r="D1346" i="102"/>
  <c r="D1345" i="102"/>
  <c r="D1344" i="102"/>
  <c r="D1343" i="102"/>
  <c r="D1342" i="102"/>
  <c r="D1341" i="102"/>
  <c r="D1340" i="102"/>
  <c r="D1339" i="102"/>
  <c r="D1338" i="102"/>
  <c r="C1349" i="102"/>
  <c r="C1350" i="102"/>
  <c r="C1348" i="102"/>
  <c r="C1343" i="102"/>
  <c r="C1344" i="102"/>
  <c r="C1345" i="102"/>
  <c r="C1346" i="102"/>
  <c r="C1347" i="102"/>
  <c r="C1342" i="102"/>
  <c r="C1339" i="102"/>
  <c r="C1340" i="102"/>
  <c r="C1341" i="102"/>
  <c r="C1338" i="102"/>
  <c r="E1325" i="102"/>
  <c r="D1337" i="102"/>
  <c r="D1336" i="102"/>
  <c r="D1335" i="102"/>
  <c r="D1334" i="102"/>
  <c r="D1333" i="102"/>
  <c r="D1332" i="102"/>
  <c r="D1331" i="102"/>
  <c r="D1330" i="102"/>
  <c r="D1329" i="102"/>
  <c r="D1328" i="102"/>
  <c r="D1327" i="102"/>
  <c r="D1326" i="102"/>
  <c r="D1325" i="102"/>
  <c r="C1325" i="102"/>
  <c r="C1326" i="102"/>
  <c r="C1336" i="102"/>
  <c r="C1337" i="102"/>
  <c r="C1335" i="102"/>
  <c r="C1330" i="102"/>
  <c r="C1331" i="102"/>
  <c r="C1332" i="102"/>
  <c r="C1333" i="102"/>
  <c r="C1334" i="102"/>
  <c r="C1329" i="102"/>
  <c r="C1328" i="102"/>
  <c r="C1327" i="102"/>
  <c r="D1324" i="102"/>
  <c r="D1323" i="102"/>
  <c r="C1324" i="102"/>
  <c r="C1323" i="102"/>
  <c r="E1317" i="102"/>
  <c r="D1322" i="102"/>
  <c r="D1321" i="102"/>
  <c r="D1320" i="102"/>
  <c r="D1319" i="102"/>
  <c r="D1318" i="102"/>
  <c r="D1317" i="102"/>
  <c r="D1316" i="102"/>
  <c r="C1322" i="102"/>
  <c r="C1321" i="102"/>
  <c r="C1320" i="102"/>
  <c r="C1319" i="102"/>
  <c r="C1318" i="102"/>
  <c r="C1317" i="102"/>
  <c r="C1316" i="102"/>
  <c r="D1315" i="102"/>
  <c r="D1314" i="102"/>
  <c r="D1313" i="102"/>
  <c r="D1312" i="102"/>
  <c r="D1311" i="102"/>
  <c r="D1310" i="102"/>
  <c r="D1309" i="102"/>
  <c r="C1315" i="102"/>
  <c r="C1314" i="102"/>
  <c r="C1313" i="102"/>
  <c r="C1312" i="102"/>
  <c r="C1311" i="102"/>
  <c r="C1310" i="102"/>
  <c r="C1309" i="102"/>
  <c r="D1308" i="102"/>
  <c r="D1307" i="102"/>
  <c r="D1306" i="102"/>
  <c r="D1305" i="102"/>
  <c r="D1304" i="102"/>
  <c r="D1303" i="102"/>
  <c r="D1302" i="102"/>
  <c r="C1308" i="102"/>
  <c r="C1307" i="102"/>
  <c r="C1306" i="102"/>
  <c r="C1305" i="102"/>
  <c r="C1304" i="102"/>
  <c r="C1303" i="102"/>
  <c r="C1302" i="102"/>
  <c r="E101" i="102"/>
  <c r="E100" i="102"/>
  <c r="E99" i="102"/>
  <c r="E98" i="102"/>
  <c r="E97" i="102"/>
  <c r="E96" i="102"/>
  <c r="E95" i="102"/>
  <c r="E94" i="102"/>
  <c r="E93" i="102"/>
  <c r="E92" i="102"/>
  <c r="E91" i="102"/>
  <c r="E90" i="102"/>
  <c r="E89" i="102"/>
  <c r="E88" i="102"/>
  <c r="E87" i="102"/>
  <c r="E86" i="102"/>
  <c r="E85" i="102"/>
  <c r="E84" i="102"/>
  <c r="E83" i="102"/>
  <c r="E82" i="102"/>
  <c r="E81" i="102"/>
  <c r="E80" i="102"/>
  <c r="E79" i="102"/>
  <c r="E78" i="102"/>
  <c r="E77" i="102"/>
  <c r="E76" i="102"/>
  <c r="E75" i="102"/>
  <c r="E74" i="102"/>
  <c r="E73" i="102"/>
  <c r="E72" i="102"/>
  <c r="E71" i="102"/>
  <c r="E70" i="102"/>
  <c r="E69" i="102"/>
  <c r="E68" i="102"/>
  <c r="E67" i="102"/>
  <c r="E66" i="102"/>
  <c r="E65" i="102"/>
  <c r="E64" i="102"/>
  <c r="E63" i="102"/>
  <c r="E62" i="102"/>
  <c r="E61" i="102"/>
  <c r="E60" i="102"/>
  <c r="E59" i="102"/>
  <c r="E58" i="102"/>
  <c r="E57" i="102"/>
  <c r="E56" i="102"/>
  <c r="E55" i="102"/>
  <c r="E54" i="102"/>
  <c r="E53" i="102"/>
  <c r="E52" i="102"/>
  <c r="E51" i="102"/>
  <c r="E50" i="102"/>
  <c r="E49" i="102"/>
  <c r="E48" i="102"/>
  <c r="E47" i="102"/>
  <c r="E46" i="102"/>
  <c r="E45" i="102"/>
  <c r="E44" i="102"/>
  <c r="E43" i="102"/>
  <c r="E42" i="102"/>
  <c r="E41" i="102"/>
  <c r="E40" i="102"/>
  <c r="E39" i="102"/>
  <c r="E38" i="102"/>
  <c r="E37" i="102"/>
  <c r="E36" i="102"/>
  <c r="E35" i="102"/>
  <c r="E34" i="102"/>
  <c r="E33" i="102"/>
  <c r="E32" i="102"/>
  <c r="E31" i="102"/>
  <c r="E30" i="102"/>
  <c r="E29" i="102"/>
  <c r="E28" i="102"/>
  <c r="E27" i="102"/>
  <c r="E26" i="102"/>
  <c r="E25" i="102"/>
  <c r="E24" i="102"/>
  <c r="E23" i="102"/>
  <c r="E22" i="102"/>
  <c r="E21" i="102"/>
  <c r="E20" i="102"/>
  <c r="E19" i="102"/>
  <c r="E18" i="102"/>
  <c r="E17" i="102"/>
  <c r="E16" i="102"/>
  <c r="E15" i="102"/>
  <c r="E14" i="102"/>
  <c r="E13" i="102"/>
  <c r="E12" i="102"/>
  <c r="E11" i="102"/>
  <c r="E10" i="102"/>
  <c r="E9" i="102"/>
  <c r="E8" i="102"/>
  <c r="E7" i="102"/>
  <c r="E6" i="102"/>
  <c r="E5" i="102"/>
  <c r="E4" i="102"/>
  <c r="D201" i="102"/>
  <c r="D200" i="102"/>
  <c r="D199" i="102"/>
  <c r="D198" i="102"/>
  <c r="D197" i="102"/>
  <c r="D196" i="102"/>
  <c r="D195" i="102"/>
  <c r="D194" i="102"/>
  <c r="D193" i="102"/>
  <c r="D192" i="102"/>
  <c r="D191" i="102"/>
  <c r="D190" i="102"/>
  <c r="D189" i="102"/>
  <c r="D188" i="102"/>
  <c r="D187" i="102"/>
  <c r="D186" i="102"/>
  <c r="D185" i="102"/>
  <c r="D184" i="102"/>
  <c r="D183" i="102"/>
  <c r="D182" i="102"/>
  <c r="D181" i="102"/>
  <c r="D180" i="102"/>
  <c r="D179" i="102"/>
  <c r="D178" i="102"/>
  <c r="D177" i="102"/>
  <c r="D176" i="102"/>
  <c r="D175" i="102"/>
  <c r="D174" i="102"/>
  <c r="D173" i="102"/>
  <c r="D172" i="102"/>
  <c r="D171" i="102"/>
  <c r="D170" i="102"/>
  <c r="D169" i="102"/>
  <c r="D168" i="102"/>
  <c r="D167" i="102"/>
  <c r="D166" i="102"/>
  <c r="D165" i="102"/>
  <c r="D164" i="102"/>
  <c r="D163" i="102"/>
  <c r="D162" i="102"/>
  <c r="D161" i="102"/>
  <c r="D160" i="102"/>
  <c r="D159" i="102"/>
  <c r="D158" i="102"/>
  <c r="D157" i="102"/>
  <c r="D156" i="102"/>
  <c r="D155" i="102"/>
  <c r="D154" i="102"/>
  <c r="D153" i="102"/>
  <c r="D152" i="102"/>
  <c r="D151" i="102"/>
  <c r="D150" i="102"/>
  <c r="D149" i="102"/>
  <c r="D148" i="102"/>
  <c r="D147" i="102"/>
  <c r="D146" i="102"/>
  <c r="D145" i="102"/>
  <c r="D144" i="102"/>
  <c r="D143" i="102"/>
  <c r="D142" i="102"/>
  <c r="D141" i="102"/>
  <c r="D140" i="102"/>
  <c r="D139" i="102"/>
  <c r="D138" i="102"/>
  <c r="D137" i="102"/>
  <c r="D136" i="102"/>
  <c r="D135" i="102"/>
  <c r="D134" i="102"/>
  <c r="D133" i="102"/>
  <c r="D132" i="102"/>
  <c r="D131" i="102"/>
  <c r="D130" i="102"/>
  <c r="D129" i="102"/>
  <c r="D128" i="102"/>
  <c r="D127" i="102"/>
  <c r="D126" i="102"/>
  <c r="D125" i="102"/>
  <c r="D124" i="102"/>
  <c r="D123" i="102"/>
  <c r="D122" i="102"/>
  <c r="D121" i="102"/>
  <c r="D120" i="102"/>
  <c r="D119" i="102"/>
  <c r="D118" i="102"/>
  <c r="D117" i="102"/>
  <c r="D116" i="102"/>
  <c r="D115" i="102"/>
  <c r="D114" i="102"/>
  <c r="D113" i="102"/>
  <c r="D112" i="102"/>
  <c r="D111" i="102"/>
  <c r="D110" i="102"/>
  <c r="D109" i="102"/>
  <c r="D108" i="102"/>
  <c r="D107" i="102"/>
  <c r="D106" i="102"/>
  <c r="D105" i="102"/>
  <c r="D104" i="102"/>
  <c r="D103" i="102"/>
  <c r="D102" i="102"/>
  <c r="D101" i="102"/>
  <c r="D100" i="102"/>
  <c r="D99" i="102"/>
  <c r="D98" i="102"/>
  <c r="D97" i="102"/>
  <c r="D96" i="102"/>
  <c r="D95" i="102"/>
  <c r="D94" i="102"/>
  <c r="D93" i="102"/>
  <c r="D92" i="102"/>
  <c r="D91" i="102"/>
  <c r="D90" i="102"/>
  <c r="D89" i="102"/>
  <c r="D88" i="102"/>
  <c r="D87" i="102"/>
  <c r="D86" i="102"/>
  <c r="D85" i="102"/>
  <c r="D84" i="102"/>
  <c r="D83" i="102"/>
  <c r="D82" i="102"/>
  <c r="D81" i="102"/>
  <c r="D80" i="102"/>
  <c r="D79" i="102"/>
  <c r="D78" i="102"/>
  <c r="D77" i="102"/>
  <c r="D76" i="102"/>
  <c r="D75" i="102"/>
  <c r="D74" i="102"/>
  <c r="D73" i="102"/>
  <c r="D72" i="102"/>
  <c r="D71" i="102"/>
  <c r="D70" i="102"/>
  <c r="D69" i="102"/>
  <c r="D68" i="102"/>
  <c r="D67" i="102"/>
  <c r="D66" i="102"/>
  <c r="D65" i="102"/>
  <c r="D64" i="102"/>
  <c r="D63" i="102"/>
  <c r="D62" i="102"/>
  <c r="D61" i="102"/>
  <c r="D60" i="102"/>
  <c r="D59" i="102"/>
  <c r="D58" i="102"/>
  <c r="D57" i="102"/>
  <c r="D56" i="102"/>
  <c r="D55" i="102"/>
  <c r="D54" i="102"/>
  <c r="D53" i="102"/>
  <c r="D52" i="102"/>
  <c r="D51" i="102"/>
  <c r="D50" i="102"/>
  <c r="D49" i="102"/>
  <c r="D48" i="102"/>
  <c r="D47" i="102"/>
  <c r="D46" i="102"/>
  <c r="D45" i="102"/>
  <c r="D44" i="102"/>
  <c r="D43" i="102"/>
  <c r="D42" i="102"/>
  <c r="D41" i="102"/>
  <c r="D40" i="102"/>
  <c r="D39" i="102"/>
  <c r="D38" i="102"/>
  <c r="D37" i="102"/>
  <c r="D36" i="102"/>
  <c r="D35" i="102"/>
  <c r="D34" i="102"/>
  <c r="D33" i="102"/>
  <c r="D32" i="102"/>
  <c r="D31" i="102"/>
  <c r="D30" i="102"/>
  <c r="D29" i="102"/>
  <c r="D28" i="102"/>
  <c r="D27" i="102"/>
  <c r="D26" i="102"/>
  <c r="D25" i="102"/>
  <c r="D24" i="102"/>
  <c r="D23" i="102"/>
  <c r="D22" i="102"/>
  <c r="D21" i="102"/>
  <c r="D20" i="102"/>
  <c r="D19" i="102"/>
  <c r="D18" i="102"/>
  <c r="D17" i="102"/>
  <c r="D16" i="102"/>
  <c r="D15" i="102"/>
  <c r="D14" i="102"/>
  <c r="D13" i="102"/>
  <c r="D12" i="102"/>
  <c r="D11" i="102"/>
  <c r="D10" i="102"/>
  <c r="D9" i="102"/>
  <c r="D8" i="102"/>
  <c r="D7" i="102"/>
  <c r="D6" i="102"/>
  <c r="D5" i="102"/>
  <c r="D4" i="102"/>
  <c r="D3" i="102"/>
  <c r="D2" i="102"/>
  <c r="C3" i="102"/>
  <c r="C4" i="102"/>
  <c r="C5" i="102"/>
  <c r="C6" i="102"/>
  <c r="C7" i="102"/>
  <c r="C8" i="102"/>
  <c r="C9" i="102"/>
  <c r="C10" i="102"/>
  <c r="C11" i="102"/>
  <c r="C12" i="102"/>
  <c r="C13" i="102"/>
  <c r="C14" i="102"/>
  <c r="C15" i="102"/>
  <c r="C16" i="102"/>
  <c r="C17" i="102"/>
  <c r="C18" i="102"/>
  <c r="C19" i="102"/>
  <c r="C20" i="102"/>
  <c r="C21" i="102"/>
  <c r="C22" i="102"/>
  <c r="C23" i="102"/>
  <c r="C24" i="102"/>
  <c r="C25" i="102"/>
  <c r="C26" i="102"/>
  <c r="C27" i="102"/>
  <c r="C28" i="102"/>
  <c r="C29" i="102"/>
  <c r="C30" i="102"/>
  <c r="C31" i="102"/>
  <c r="C32" i="102"/>
  <c r="C33" i="102"/>
  <c r="C34" i="102"/>
  <c r="C35" i="102"/>
  <c r="C36" i="102"/>
  <c r="C37" i="102"/>
  <c r="C38" i="102"/>
  <c r="C39" i="102"/>
  <c r="C40" i="102"/>
  <c r="C41" i="102"/>
  <c r="C42" i="102"/>
  <c r="C43" i="102"/>
  <c r="C44" i="102"/>
  <c r="C45" i="102"/>
  <c r="C46" i="102"/>
  <c r="C47" i="102"/>
  <c r="C48" i="102"/>
  <c r="C49" i="102"/>
  <c r="C50" i="102"/>
  <c r="C51" i="102"/>
  <c r="C52" i="102"/>
  <c r="C53" i="102"/>
  <c r="C54" i="102"/>
  <c r="C55" i="102"/>
  <c r="C56" i="102"/>
  <c r="C57" i="102"/>
  <c r="C58" i="102"/>
  <c r="C59" i="102"/>
  <c r="C60" i="102"/>
  <c r="C61" i="102"/>
  <c r="C62" i="102"/>
  <c r="C63" i="102"/>
  <c r="C64" i="102"/>
  <c r="C65" i="102"/>
  <c r="C66" i="102"/>
  <c r="C67" i="102"/>
  <c r="C68" i="102"/>
  <c r="C69" i="102"/>
  <c r="C70" i="102"/>
  <c r="C71" i="102"/>
  <c r="C72" i="102"/>
  <c r="C73" i="102"/>
  <c r="C74" i="102"/>
  <c r="C75" i="102"/>
  <c r="C76" i="102"/>
  <c r="C77" i="102"/>
  <c r="C78" i="102"/>
  <c r="C79" i="102"/>
  <c r="C80" i="102"/>
  <c r="C81" i="102"/>
  <c r="C82" i="102"/>
  <c r="C83" i="102"/>
  <c r="C84" i="102"/>
  <c r="C85" i="102"/>
  <c r="C86" i="102"/>
  <c r="C87" i="102"/>
  <c r="C88" i="102"/>
  <c r="C89" i="102"/>
  <c r="C90" i="102"/>
  <c r="C91" i="102"/>
  <c r="C92" i="102"/>
  <c r="C93" i="102"/>
  <c r="C94" i="102"/>
  <c r="C95" i="102"/>
  <c r="C96" i="102"/>
  <c r="C97" i="102"/>
  <c r="C98" i="102"/>
  <c r="C99" i="102"/>
  <c r="C100" i="102"/>
  <c r="C101" i="102"/>
  <c r="C2" i="102"/>
  <c r="Y96" i="68"/>
  <c r="Y95" i="68"/>
  <c r="Y94" i="68"/>
  <c r="Y86" i="68"/>
  <c r="Y85" i="68"/>
  <c r="Y84" i="68"/>
  <c r="Y83" i="68"/>
  <c r="Y82" i="68"/>
  <c r="Y81" i="68"/>
  <c r="Y80" i="68"/>
  <c r="Y79" i="68"/>
  <c r="Y78" i="68"/>
  <c r="Y77" i="68"/>
  <c r="Y76" i="68"/>
  <c r="Y75" i="68"/>
  <c r="Y74" i="68"/>
  <c r="Y73" i="68"/>
  <c r="Y72" i="68"/>
  <c r="Y71" i="68"/>
  <c r="E1940" i="111"/>
  <c r="E1938" i="111"/>
  <c r="E1937" i="111"/>
  <c r="E1936" i="111"/>
  <c r="E1935" i="111"/>
  <c r="E1934" i="111"/>
  <c r="E1933" i="111"/>
  <c r="E1932" i="111"/>
  <c r="E1931" i="111"/>
  <c r="E1930" i="111"/>
  <c r="E1929" i="111"/>
  <c r="E1928" i="111"/>
  <c r="E1927" i="111"/>
  <c r="E1926" i="111"/>
  <c r="E1925" i="111"/>
  <c r="E1924" i="111"/>
  <c r="E1921" i="111"/>
  <c r="E1920" i="111"/>
  <c r="E1919" i="111"/>
  <c r="E1918" i="111"/>
  <c r="E1917" i="111"/>
  <c r="E1916" i="111"/>
  <c r="E1915" i="111"/>
  <c r="E1914" i="111"/>
  <c r="E1913" i="111"/>
  <c r="E1912" i="111"/>
  <c r="E1911" i="111"/>
  <c r="E1910" i="111"/>
  <c r="E1909" i="111"/>
  <c r="E1908" i="111"/>
  <c r="E1907" i="111"/>
  <c r="Y57" i="68"/>
  <c r="Y56" i="68"/>
  <c r="Y55" i="68"/>
  <c r="Y54" i="68"/>
  <c r="Y53" i="68"/>
  <c r="Y52" i="68"/>
  <c r="Y51" i="68"/>
  <c r="Y50" i="68"/>
  <c r="Y49" i="68"/>
  <c r="Y48" i="68"/>
  <c r="Y47" i="68"/>
  <c r="Y46" i="68"/>
  <c r="Y45" i="68"/>
  <c r="Y44" i="68"/>
  <c r="Y43" i="68"/>
  <c r="Y42" i="68"/>
  <c r="U57" i="68"/>
  <c r="U56" i="68"/>
  <c r="U55" i="68"/>
  <c r="U54" i="68"/>
  <c r="U53" i="68"/>
  <c r="U52" i="68"/>
  <c r="U51" i="68"/>
  <c r="U50" i="68"/>
  <c r="U49" i="68"/>
  <c r="U48" i="68"/>
  <c r="U47" i="68"/>
  <c r="U46" i="68"/>
  <c r="U45" i="68"/>
  <c r="U44" i="68"/>
  <c r="U43" i="68"/>
  <c r="U42" i="68"/>
  <c r="T57" i="68"/>
  <c r="T56" i="68"/>
  <c r="T55" i="68"/>
  <c r="T54" i="68"/>
  <c r="T53" i="68"/>
  <c r="T52" i="68"/>
  <c r="T51" i="68"/>
  <c r="T50" i="68"/>
  <c r="T49" i="68"/>
  <c r="T48" i="68"/>
  <c r="T47" i="68"/>
  <c r="T46" i="68"/>
  <c r="T45" i="68"/>
  <c r="T44" i="68"/>
  <c r="T43" i="68"/>
  <c r="T42" i="68"/>
  <c r="E1845" i="102"/>
  <c r="E1844" i="102"/>
  <c r="E1843" i="102"/>
  <c r="E1842" i="102"/>
  <c r="E1841" i="102"/>
  <c r="E1840" i="102"/>
  <c r="E1839" i="102"/>
  <c r="E1838" i="102"/>
  <c r="E1837" i="102"/>
  <c r="E1836" i="102"/>
  <c r="E1835" i="102"/>
  <c r="E1834" i="102"/>
  <c r="E1833" i="102"/>
  <c r="E1832" i="102"/>
  <c r="E1831" i="102"/>
  <c r="E1906" i="111"/>
  <c r="E1905" i="111"/>
  <c r="E1904" i="111"/>
  <c r="E1903" i="111"/>
  <c r="E1902" i="111"/>
  <c r="E1901" i="111"/>
  <c r="E1900" i="111"/>
  <c r="E1899" i="111"/>
  <c r="E1898" i="111"/>
  <c r="E1897" i="111"/>
  <c r="E1896" i="111"/>
  <c r="E1895" i="111"/>
  <c r="E1894" i="111"/>
  <c r="E1891" i="111"/>
  <c r="E1876" i="111"/>
  <c r="E1890" i="111"/>
  <c r="E1875" i="111"/>
  <c r="E1889" i="111"/>
  <c r="E1874" i="111"/>
  <c r="E1888" i="111"/>
  <c r="E1873" i="111"/>
  <c r="E1887" i="111"/>
  <c r="E1872" i="111"/>
  <c r="E1886" i="111"/>
  <c r="E1871" i="111"/>
  <c r="E1885" i="111"/>
  <c r="E1870" i="111"/>
  <c r="E1884" i="111"/>
  <c r="E1869" i="111"/>
  <c r="E1883" i="111"/>
  <c r="E1868" i="111"/>
  <c r="E1882" i="111"/>
  <c r="E1867" i="111"/>
  <c r="E1881" i="111"/>
  <c r="E1866" i="111"/>
  <c r="E1880" i="111"/>
  <c r="E1865" i="111"/>
  <c r="E1879" i="111"/>
  <c r="E1864" i="111"/>
  <c r="E1878" i="111"/>
  <c r="E1863" i="111"/>
  <c r="E1877" i="111"/>
  <c r="Y34" i="68"/>
  <c r="Y33" i="68"/>
  <c r="Y32" i="68"/>
  <c r="Y31" i="68"/>
  <c r="Y30" i="68"/>
  <c r="Y29" i="68"/>
  <c r="Y28" i="68"/>
  <c r="Y27" i="68"/>
  <c r="Y26" i="68"/>
  <c r="Y25" i="68"/>
  <c r="Y24" i="68"/>
  <c r="Y23" i="68"/>
  <c r="Y22" i="68"/>
  <c r="Y21" i="68"/>
  <c r="Y20" i="68"/>
  <c r="Y19" i="68"/>
  <c r="E1862" i="111"/>
  <c r="H34" i="68"/>
  <c r="E1861" i="111"/>
  <c r="E1860" i="111"/>
  <c r="E1859" i="111"/>
  <c r="E1858" i="111"/>
  <c r="E1857" i="111"/>
  <c r="E1856" i="111"/>
  <c r="E1855" i="111"/>
  <c r="E1854" i="111"/>
  <c r="E1853" i="111"/>
  <c r="E1852" i="111"/>
  <c r="E1851" i="111"/>
  <c r="E1850" i="111"/>
  <c r="E1849" i="111"/>
  <c r="E1846" i="111"/>
  <c r="E1845" i="111"/>
  <c r="E1844" i="111"/>
  <c r="E1843" i="111"/>
  <c r="E1842" i="111"/>
  <c r="E1841" i="111"/>
  <c r="E1840" i="111"/>
  <c r="E1839" i="111"/>
  <c r="E1838" i="111"/>
  <c r="E1837" i="111"/>
  <c r="E1836" i="111"/>
  <c r="E1835" i="111"/>
  <c r="E1834" i="111"/>
  <c r="E1831" i="111"/>
  <c r="E1830" i="111"/>
  <c r="E1829" i="111"/>
  <c r="E1828" i="111"/>
  <c r="E1827" i="111"/>
  <c r="E1826" i="111"/>
  <c r="E1825" i="111"/>
  <c r="E1824" i="111"/>
  <c r="E1823" i="111"/>
  <c r="E1822" i="111"/>
  <c r="E1821" i="111"/>
  <c r="E1820" i="111"/>
  <c r="E1819" i="111"/>
  <c r="E1818" i="111"/>
  <c r="E1817" i="111"/>
  <c r="E1815" i="111"/>
  <c r="E1814" i="111"/>
  <c r="M26" i="67"/>
  <c r="K23" i="67"/>
  <c r="E1807" i="111"/>
  <c r="E1728" i="111"/>
  <c r="E1649" i="111"/>
  <c r="E1806" i="111"/>
  <c r="E1727" i="111"/>
  <c r="E1648" i="111"/>
  <c r="E1805" i="111"/>
  <c r="E1726" i="111"/>
  <c r="E1647" i="111"/>
  <c r="E1804" i="111"/>
  <c r="E1725" i="111"/>
  <c r="E1646" i="111"/>
  <c r="E1803" i="111"/>
  <c r="E1724" i="111"/>
  <c r="E1645" i="111"/>
  <c r="E1802" i="111"/>
  <c r="E1723" i="111"/>
  <c r="E1644" i="111"/>
  <c r="E1801" i="111"/>
  <c r="E1722" i="111"/>
  <c r="E1643" i="111"/>
  <c r="E1800" i="111"/>
  <c r="E1721" i="111"/>
  <c r="E1642" i="111"/>
  <c r="E1799" i="111"/>
  <c r="E1720" i="111"/>
  <c r="E1641" i="111"/>
  <c r="E1798" i="111"/>
  <c r="E1719" i="111"/>
  <c r="E1640" i="111"/>
  <c r="E1797" i="111"/>
  <c r="E1718" i="111"/>
  <c r="E1639" i="111"/>
  <c r="E1794" i="111"/>
  <c r="E1715" i="111"/>
  <c r="E1636" i="111"/>
  <c r="E1793" i="111"/>
  <c r="E1714" i="111"/>
  <c r="E1635" i="111"/>
  <c r="E1792" i="111"/>
  <c r="E1713" i="111"/>
  <c r="E1634" i="111"/>
  <c r="E1791" i="111"/>
  <c r="E1712" i="111"/>
  <c r="E1633" i="111"/>
  <c r="E1790" i="111"/>
  <c r="E1711" i="111"/>
  <c r="E1632" i="111"/>
  <c r="E1789" i="111"/>
  <c r="E1710" i="111"/>
  <c r="E1631" i="111"/>
  <c r="E1788" i="111"/>
  <c r="E1709" i="111"/>
  <c r="E1630" i="111"/>
  <c r="E1787" i="111"/>
  <c r="E1708" i="111"/>
  <c r="E1629" i="111"/>
  <c r="E1786" i="111"/>
  <c r="E1707" i="111"/>
  <c r="E1628" i="111"/>
  <c r="E1785" i="111"/>
  <c r="E1706" i="111"/>
  <c r="E1627" i="111"/>
  <c r="E1784" i="111"/>
  <c r="E1705" i="111"/>
  <c r="E1626" i="111"/>
  <c r="E1783" i="111"/>
  <c r="E1704" i="111"/>
  <c r="E1625" i="111"/>
  <c r="E1782" i="111"/>
  <c r="E1703" i="111"/>
  <c r="E1624" i="111"/>
  <c r="E1781" i="111"/>
  <c r="E1702" i="111"/>
  <c r="E1623" i="111"/>
  <c r="E1780" i="111"/>
  <c r="E1701" i="111"/>
  <c r="E1622" i="111"/>
  <c r="E1779" i="111"/>
  <c r="E1700" i="111"/>
  <c r="E1621" i="111"/>
  <c r="E1778" i="111"/>
  <c r="E1699" i="111"/>
  <c r="E1620" i="111"/>
  <c r="E1777" i="111"/>
  <c r="E1698" i="111"/>
  <c r="E1619" i="111"/>
  <c r="E1776" i="111"/>
  <c r="E1697" i="111"/>
  <c r="E1618" i="111"/>
  <c r="E1775" i="111"/>
  <c r="E1696" i="111"/>
  <c r="E1617" i="111"/>
  <c r="E1774" i="111"/>
  <c r="E1695" i="111"/>
  <c r="E1616" i="111"/>
  <c r="E1773" i="111"/>
  <c r="E1694" i="111"/>
  <c r="E1615" i="111"/>
  <c r="E1772" i="111"/>
  <c r="E1693" i="111"/>
  <c r="E1614" i="111"/>
  <c r="E1771" i="111"/>
  <c r="E1692" i="111"/>
  <c r="E1613" i="111"/>
  <c r="E1770" i="111"/>
  <c r="E1691" i="111"/>
  <c r="E1612" i="111"/>
  <c r="E1769" i="111"/>
  <c r="E1690" i="111"/>
  <c r="E1611" i="111"/>
  <c r="E1768" i="111"/>
  <c r="E1689" i="111"/>
  <c r="E1610" i="111"/>
  <c r="E1767" i="111"/>
  <c r="E1688" i="111"/>
  <c r="E1609" i="111"/>
  <c r="E1766" i="111"/>
  <c r="E1687" i="111"/>
  <c r="E1608" i="111"/>
  <c r="E1765" i="111"/>
  <c r="E1686" i="111"/>
  <c r="E1607" i="111"/>
  <c r="E1764" i="111"/>
  <c r="E1685" i="111"/>
  <c r="E1606" i="111"/>
  <c r="E1763" i="111"/>
  <c r="E1684" i="111"/>
  <c r="E1605" i="111"/>
  <c r="E1762" i="111"/>
  <c r="E1683" i="111"/>
  <c r="E1604" i="111"/>
  <c r="E1761" i="111"/>
  <c r="E1682" i="111"/>
  <c r="E1603" i="111"/>
  <c r="E1760" i="111"/>
  <c r="E1681" i="111"/>
  <c r="E1602" i="111"/>
  <c r="E1759" i="111"/>
  <c r="E1680" i="111"/>
  <c r="E1601" i="111"/>
  <c r="E1758" i="111"/>
  <c r="E1679" i="111"/>
  <c r="E1600" i="111"/>
  <c r="E1757" i="111"/>
  <c r="E1678" i="111"/>
  <c r="E1599" i="111"/>
  <c r="E1756" i="111"/>
  <c r="E1677" i="111"/>
  <c r="E1598" i="111"/>
  <c r="E1755" i="111"/>
  <c r="E1676" i="111"/>
  <c r="E1597" i="111"/>
  <c r="E1754" i="111"/>
  <c r="E1675" i="111"/>
  <c r="E1596" i="111"/>
  <c r="E1753" i="111"/>
  <c r="E1674" i="111"/>
  <c r="E1595" i="111"/>
  <c r="E1752" i="111"/>
  <c r="E1673" i="111"/>
  <c r="E1594" i="111"/>
  <c r="E1751" i="111"/>
  <c r="E1672" i="111"/>
  <c r="E1593" i="111"/>
  <c r="E1750" i="111"/>
  <c r="E1671" i="111"/>
  <c r="E1592" i="111"/>
  <c r="E1749" i="111"/>
  <c r="E1670" i="111"/>
  <c r="E1591" i="111"/>
  <c r="E1748" i="111"/>
  <c r="E1669" i="111"/>
  <c r="E1590" i="111"/>
  <c r="E1747" i="111"/>
  <c r="E1668" i="111"/>
  <c r="E1589" i="111"/>
  <c r="E1746" i="111"/>
  <c r="E1667" i="111"/>
  <c r="E1588" i="111"/>
  <c r="E1745" i="111"/>
  <c r="E1666" i="111"/>
  <c r="E1587" i="111"/>
  <c r="E1744" i="111"/>
  <c r="E1665" i="111"/>
  <c r="E1586" i="111"/>
  <c r="E1743" i="111"/>
  <c r="E1664" i="111"/>
  <c r="E1585" i="111"/>
  <c r="E1742" i="111"/>
  <c r="E1663" i="111"/>
  <c r="E1584" i="111"/>
  <c r="E1741" i="111"/>
  <c r="E1662" i="111"/>
  <c r="E1583" i="111"/>
  <c r="E1740" i="111"/>
  <c r="E1661" i="111"/>
  <c r="E1582" i="111"/>
  <c r="E1739" i="111"/>
  <c r="E1660" i="111"/>
  <c r="E1581" i="111"/>
  <c r="E1738" i="111"/>
  <c r="E1659" i="111"/>
  <c r="E1580" i="111"/>
  <c r="E1737" i="111"/>
  <c r="E1658" i="111"/>
  <c r="E1579" i="111"/>
  <c r="E1736" i="111"/>
  <c r="E1657" i="111"/>
  <c r="E1578" i="111"/>
  <c r="E1735" i="111"/>
  <c r="E1656" i="111"/>
  <c r="E1577" i="111"/>
  <c r="E1734" i="111"/>
  <c r="E1655" i="111"/>
  <c r="E1576" i="111"/>
  <c r="E1733" i="111"/>
  <c r="E1654" i="111"/>
  <c r="E1575" i="111"/>
  <c r="E1732" i="111"/>
  <c r="E1653" i="111"/>
  <c r="E1574" i="111"/>
  <c r="E1731" i="111"/>
  <c r="E1652" i="111"/>
  <c r="E1573" i="111"/>
  <c r="E1730" i="111"/>
  <c r="E1651" i="111"/>
  <c r="R17" i="65"/>
  <c r="P20" i="65"/>
  <c r="P19" i="65"/>
  <c r="P18" i="65"/>
  <c r="P15" i="65"/>
  <c r="E1565" i="111"/>
  <c r="E1564" i="111"/>
  <c r="E1521" i="111"/>
  <c r="E1520" i="111"/>
  <c r="E1519" i="111"/>
  <c r="E1518" i="111"/>
  <c r="E1517" i="111"/>
  <c r="E1516" i="111"/>
  <c r="E1515" i="111"/>
  <c r="E1514" i="111"/>
  <c r="E1513" i="111"/>
  <c r="E1512" i="111"/>
  <c r="E1511" i="111"/>
  <c r="E1510" i="111"/>
  <c r="E1509" i="111"/>
  <c r="E1508" i="111"/>
  <c r="E1507" i="111"/>
  <c r="E1506" i="111"/>
  <c r="E1504" i="111"/>
  <c r="E1505" i="111"/>
  <c r="E1561" i="111"/>
  <c r="E1541" i="111"/>
  <c r="E1560" i="111"/>
  <c r="E1540" i="111"/>
  <c r="E1559" i="111"/>
  <c r="E1539" i="111"/>
  <c r="E1558" i="111"/>
  <c r="E1538" i="111"/>
  <c r="E1557" i="111"/>
  <c r="E1537" i="111"/>
  <c r="E1556" i="111"/>
  <c r="E1536" i="111"/>
  <c r="E1555" i="111"/>
  <c r="E1535" i="111"/>
  <c r="E1554" i="111"/>
  <c r="E1534" i="111"/>
  <c r="E1553" i="111"/>
  <c r="E1533" i="111"/>
  <c r="E1552" i="111"/>
  <c r="E1532" i="111"/>
  <c r="E1551" i="111"/>
  <c r="E1531" i="111"/>
  <c r="E1550" i="111"/>
  <c r="E1530" i="111"/>
  <c r="E1549" i="111"/>
  <c r="E1529" i="111"/>
  <c r="E1548" i="111"/>
  <c r="E1528" i="111"/>
  <c r="E1547" i="111"/>
  <c r="E1527" i="111"/>
  <c r="E1546" i="111"/>
  <c r="E1526" i="111"/>
  <c r="E1545" i="111"/>
  <c r="E1525" i="111"/>
  <c r="E1544" i="111"/>
  <c r="E1524" i="111"/>
  <c r="E1543" i="111"/>
  <c r="E1542" i="111"/>
  <c r="E1501" i="111"/>
  <c r="E1500" i="111"/>
  <c r="E1499" i="111"/>
  <c r="E1498" i="111"/>
  <c r="E1497" i="111"/>
  <c r="E1496" i="111"/>
  <c r="E1495" i="111"/>
  <c r="E1494" i="111"/>
  <c r="E1493" i="111"/>
  <c r="E1492" i="111"/>
  <c r="E1491" i="111"/>
  <c r="E1490" i="111"/>
  <c r="E1489" i="111"/>
  <c r="E1488" i="111"/>
  <c r="E1487" i="111"/>
  <c r="E1486" i="111"/>
  <c r="E1485" i="111"/>
  <c r="E1484" i="111"/>
  <c r="E1483" i="111"/>
  <c r="E1482" i="111"/>
  <c r="E1481" i="111"/>
  <c r="E1480" i="111"/>
  <c r="E1479" i="111"/>
  <c r="E1478" i="111"/>
  <c r="E1477" i="111"/>
  <c r="E1476" i="111"/>
  <c r="E1475" i="111"/>
  <c r="E1474" i="111"/>
  <c r="E1473" i="111"/>
  <c r="E1472" i="111"/>
  <c r="E1471" i="111"/>
  <c r="E1470" i="111"/>
  <c r="E1469" i="111"/>
  <c r="E1468" i="111"/>
  <c r="E1467" i="111"/>
  <c r="E1466" i="111"/>
  <c r="E1465" i="111"/>
  <c r="E1464" i="111"/>
  <c r="E1463" i="111"/>
  <c r="E1462" i="111"/>
  <c r="E1461" i="111"/>
  <c r="E1460" i="111"/>
  <c r="E1459" i="111"/>
  <c r="E1458" i="111"/>
  <c r="E1457" i="111"/>
  <c r="E1456" i="111"/>
  <c r="E1455" i="111"/>
  <c r="E1454" i="111"/>
  <c r="E1453" i="111"/>
  <c r="E1452" i="111"/>
  <c r="E1451" i="111"/>
  <c r="E1450" i="111"/>
  <c r="E1449" i="111"/>
  <c r="E1448" i="111"/>
  <c r="E1447" i="111"/>
  <c r="E1446" i="111"/>
  <c r="E1445" i="111"/>
  <c r="E1444" i="111"/>
  <c r="E1443" i="111"/>
  <c r="E1442" i="111"/>
  <c r="E1441" i="111"/>
  <c r="E1440" i="111"/>
  <c r="E1439" i="111"/>
  <c r="E1438" i="111"/>
  <c r="E1437" i="111"/>
  <c r="E1436" i="111"/>
  <c r="E1435" i="111"/>
  <c r="E1434" i="111"/>
  <c r="E1433" i="111"/>
  <c r="E1432" i="111"/>
  <c r="E1431" i="111"/>
  <c r="E1430" i="111"/>
  <c r="E1429" i="111"/>
  <c r="E1428" i="111"/>
  <c r="E1427" i="111"/>
  <c r="E1426" i="111"/>
  <c r="E1425" i="111"/>
  <c r="E1424" i="111"/>
  <c r="E1423" i="111"/>
  <c r="E1422" i="111"/>
  <c r="E1421" i="111"/>
  <c r="E1420" i="111"/>
  <c r="E1419" i="111"/>
  <c r="E1418" i="111"/>
  <c r="E1417" i="111"/>
  <c r="E1416" i="111"/>
  <c r="E1415" i="111"/>
  <c r="E1414" i="111"/>
  <c r="E1413" i="111"/>
  <c r="E1412" i="111"/>
  <c r="E1411" i="111"/>
  <c r="E1410" i="111"/>
  <c r="E1409" i="111"/>
  <c r="E1408" i="111"/>
  <c r="E1407" i="111"/>
  <c r="E1406" i="111"/>
  <c r="E1405" i="111"/>
  <c r="E1404" i="111"/>
  <c r="H17" i="65" l="1"/>
  <c r="D1301" i="102" l="1"/>
  <c r="D1300" i="102"/>
  <c r="D1299" i="102"/>
  <c r="D1298" i="102"/>
  <c r="D1297" i="102"/>
  <c r="D1296" i="102"/>
  <c r="D1295" i="102"/>
  <c r="D1294" i="102"/>
  <c r="D1293" i="102"/>
  <c r="D1292" i="102"/>
  <c r="D1291" i="102"/>
  <c r="D1290" i="102"/>
  <c r="D1289" i="102"/>
  <c r="D1288" i="102"/>
  <c r="D1287" i="102"/>
  <c r="D1286" i="102"/>
  <c r="D1285" i="102"/>
  <c r="D1284" i="102"/>
  <c r="D1283" i="102"/>
  <c r="D1282" i="102"/>
  <c r="D1281" i="102"/>
  <c r="D1280" i="102"/>
  <c r="D1279" i="102"/>
  <c r="D1278" i="102"/>
  <c r="D1277" i="102"/>
  <c r="D1276" i="102"/>
  <c r="D1275" i="102"/>
  <c r="D1274" i="102"/>
  <c r="D1273" i="102"/>
  <c r="D1272" i="102"/>
  <c r="D1271" i="102"/>
  <c r="D1270" i="102"/>
  <c r="D1269" i="102"/>
  <c r="D1268" i="102"/>
  <c r="D1267" i="102"/>
  <c r="D1266" i="102"/>
  <c r="D1265" i="102"/>
  <c r="D1264" i="102"/>
  <c r="D1263" i="102"/>
  <c r="D1262" i="102"/>
  <c r="D1261" i="102"/>
  <c r="D1260" i="102"/>
  <c r="D1259" i="102"/>
  <c r="D1258" i="102"/>
  <c r="D1257" i="102"/>
  <c r="D1256" i="102"/>
  <c r="D1255" i="102"/>
  <c r="D1254" i="102"/>
  <c r="D1253" i="102"/>
  <c r="D1252" i="102"/>
  <c r="D1251" i="102"/>
  <c r="D1250" i="102"/>
  <c r="D1249" i="102"/>
  <c r="D1248" i="102"/>
  <c r="D1247" i="102"/>
  <c r="D1246" i="102"/>
  <c r="D1245" i="102"/>
  <c r="D1244" i="102"/>
  <c r="D1243" i="102"/>
  <c r="D1242" i="102"/>
  <c r="D1241" i="102"/>
  <c r="D1240" i="102"/>
  <c r="D1239" i="102"/>
  <c r="D1238" i="102"/>
  <c r="D1237" i="102"/>
  <c r="D1236" i="102"/>
  <c r="D1235" i="102"/>
  <c r="D1234" i="102"/>
  <c r="D1233" i="102"/>
  <c r="D1232" i="102"/>
  <c r="D1231" i="102"/>
  <c r="D1230" i="102"/>
  <c r="D1229" i="102"/>
  <c r="D1228" i="102"/>
  <c r="D1227" i="102"/>
  <c r="D1226" i="102"/>
  <c r="D1225" i="102"/>
  <c r="D1224" i="102"/>
  <c r="D1223" i="102"/>
  <c r="D1222" i="102"/>
  <c r="D1221" i="102"/>
  <c r="D1220" i="102"/>
  <c r="D1219" i="102"/>
  <c r="D1218" i="102"/>
  <c r="D1217" i="102"/>
  <c r="D1216" i="102"/>
  <c r="D1215" i="102"/>
  <c r="D1214" i="102"/>
  <c r="D1213" i="102"/>
  <c r="D1212" i="102"/>
  <c r="D1211" i="102"/>
  <c r="D1210" i="102"/>
  <c r="D1209" i="102"/>
  <c r="D1208" i="102"/>
  <c r="D1207" i="102"/>
  <c r="D1206" i="102"/>
  <c r="D1205" i="102"/>
  <c r="D1204" i="102"/>
  <c r="D1203" i="102"/>
  <c r="D1202" i="102"/>
  <c r="C1301" i="102"/>
  <c r="C1300" i="102"/>
  <c r="C1299" i="102"/>
  <c r="C1298" i="102"/>
  <c r="C1297" i="102"/>
  <c r="C1296" i="102"/>
  <c r="C1295" i="102"/>
  <c r="C1294" i="102"/>
  <c r="C1293" i="102"/>
  <c r="C1292" i="102"/>
  <c r="C1291" i="102"/>
  <c r="C1290" i="102"/>
  <c r="C1289" i="102"/>
  <c r="C1288" i="102"/>
  <c r="C1287" i="102"/>
  <c r="C1286" i="102"/>
  <c r="C1285" i="102"/>
  <c r="C1284" i="102"/>
  <c r="C1283" i="102"/>
  <c r="C1282" i="102"/>
  <c r="C1281" i="102"/>
  <c r="C1280" i="102"/>
  <c r="C1279" i="102"/>
  <c r="C1278" i="102"/>
  <c r="C1277" i="102"/>
  <c r="C1276" i="102"/>
  <c r="C1275" i="102"/>
  <c r="C1274" i="102"/>
  <c r="C1273" i="102"/>
  <c r="C1272" i="102"/>
  <c r="C1271" i="102"/>
  <c r="C1270" i="102"/>
  <c r="C1269" i="102"/>
  <c r="C1268" i="102"/>
  <c r="C1267" i="102"/>
  <c r="C1266" i="102"/>
  <c r="C1265" i="102"/>
  <c r="C1264" i="102"/>
  <c r="C1263" i="102"/>
  <c r="C1262" i="102"/>
  <c r="C1261" i="102"/>
  <c r="C1260" i="102"/>
  <c r="C1259" i="102"/>
  <c r="C1258" i="102"/>
  <c r="C1257" i="102"/>
  <c r="C1256" i="102"/>
  <c r="C1255" i="102"/>
  <c r="C1254" i="102"/>
  <c r="C1253" i="102"/>
  <c r="C1252" i="102"/>
  <c r="C1251" i="102"/>
  <c r="C1250" i="102"/>
  <c r="C1249" i="102"/>
  <c r="C1248" i="102"/>
  <c r="C1247" i="102"/>
  <c r="C1246" i="102"/>
  <c r="C1245" i="102"/>
  <c r="C1244" i="102"/>
  <c r="C1243" i="102"/>
  <c r="C1242" i="102"/>
  <c r="C1241" i="102"/>
  <c r="C1240" i="102"/>
  <c r="C1239" i="102"/>
  <c r="C1238" i="102"/>
  <c r="C1237" i="102"/>
  <c r="C1236" i="102"/>
  <c r="C1235" i="102"/>
  <c r="C1234" i="102"/>
  <c r="C1233" i="102"/>
  <c r="C1232" i="102"/>
  <c r="C1231" i="102"/>
  <c r="C1230" i="102"/>
  <c r="C1229" i="102"/>
  <c r="C1228" i="102"/>
  <c r="C1227" i="102"/>
  <c r="C1226" i="102"/>
  <c r="C1225" i="102"/>
  <c r="C1224" i="102"/>
  <c r="C1223" i="102"/>
  <c r="C1222" i="102"/>
  <c r="C1221" i="102"/>
  <c r="C1220" i="102"/>
  <c r="C1219" i="102"/>
  <c r="C1218" i="102"/>
  <c r="C1217" i="102"/>
  <c r="C1216" i="102"/>
  <c r="C1215" i="102"/>
  <c r="C1214" i="102"/>
  <c r="C1213" i="102"/>
  <c r="C1212" i="102"/>
  <c r="C1211" i="102"/>
  <c r="C1210" i="102"/>
  <c r="C1209" i="102"/>
  <c r="C1208" i="102"/>
  <c r="C1207" i="102"/>
  <c r="C1206" i="102"/>
  <c r="C1205" i="102"/>
  <c r="C1204" i="102"/>
  <c r="C1203" i="102"/>
  <c r="C1202" i="102"/>
  <c r="D1201" i="102"/>
  <c r="D1200" i="102"/>
  <c r="D1199" i="102"/>
  <c r="D1198" i="102"/>
  <c r="D1197" i="102"/>
  <c r="D1196" i="102"/>
  <c r="D1195" i="102"/>
  <c r="D1194" i="102"/>
  <c r="D1193" i="102"/>
  <c r="D1192" i="102"/>
  <c r="D1191" i="102"/>
  <c r="D1190" i="102"/>
  <c r="D1189" i="102"/>
  <c r="D1188" i="102"/>
  <c r="D1187" i="102"/>
  <c r="D1186" i="102"/>
  <c r="D1185" i="102"/>
  <c r="D1184" i="102"/>
  <c r="D1183" i="102"/>
  <c r="D1182" i="102"/>
  <c r="D1181" i="102"/>
  <c r="D1180" i="102"/>
  <c r="D1179" i="102"/>
  <c r="D1178" i="102"/>
  <c r="D1177" i="102"/>
  <c r="D1176" i="102"/>
  <c r="D1175" i="102"/>
  <c r="D1174" i="102"/>
  <c r="D1173" i="102"/>
  <c r="D1172" i="102"/>
  <c r="D1171" i="102"/>
  <c r="D1170" i="102"/>
  <c r="D1169" i="102"/>
  <c r="D1168" i="102"/>
  <c r="D1167" i="102"/>
  <c r="D1166" i="102"/>
  <c r="D1165" i="102"/>
  <c r="D1164" i="102"/>
  <c r="D1163" i="102"/>
  <c r="D1162" i="102"/>
  <c r="D1161" i="102"/>
  <c r="D1160" i="102"/>
  <c r="D1159" i="102"/>
  <c r="D1158" i="102"/>
  <c r="D1157" i="102"/>
  <c r="D1156" i="102"/>
  <c r="D1155" i="102"/>
  <c r="D1154" i="102"/>
  <c r="D1153" i="102"/>
  <c r="D1152" i="102"/>
  <c r="D1151" i="102"/>
  <c r="D1150" i="102"/>
  <c r="D1149" i="102"/>
  <c r="D1148" i="102"/>
  <c r="D1147" i="102"/>
  <c r="D1146" i="102"/>
  <c r="D1145" i="102"/>
  <c r="D1144" i="102"/>
  <c r="D1143" i="102"/>
  <c r="D1142" i="102"/>
  <c r="D1141" i="102"/>
  <c r="D1140" i="102"/>
  <c r="D1139" i="102"/>
  <c r="D1138" i="102"/>
  <c r="D1137" i="102"/>
  <c r="D1136" i="102"/>
  <c r="D1135" i="102"/>
  <c r="D1134" i="102"/>
  <c r="D1133" i="102"/>
  <c r="D1132" i="102"/>
  <c r="D1131" i="102"/>
  <c r="D1130" i="102"/>
  <c r="D1129" i="102"/>
  <c r="D1128" i="102"/>
  <c r="D1127" i="102"/>
  <c r="D1126" i="102"/>
  <c r="D1125" i="102"/>
  <c r="D1124" i="102"/>
  <c r="D1123" i="102"/>
  <c r="D1122" i="102"/>
  <c r="D1121" i="102"/>
  <c r="D1120" i="102"/>
  <c r="D1119" i="102"/>
  <c r="D1118" i="102"/>
  <c r="D1117" i="102"/>
  <c r="D1116" i="102"/>
  <c r="D1115" i="102"/>
  <c r="D1114" i="102"/>
  <c r="D1113" i="102"/>
  <c r="D1112" i="102"/>
  <c r="D1111" i="102"/>
  <c r="D1110" i="102"/>
  <c r="D1109" i="102"/>
  <c r="D1108" i="102"/>
  <c r="D1107" i="102"/>
  <c r="D1106" i="102"/>
  <c r="D1105" i="102"/>
  <c r="D1104" i="102"/>
  <c r="D1103" i="102"/>
  <c r="D1102" i="102"/>
  <c r="C1201" i="102"/>
  <c r="C1200" i="102"/>
  <c r="C1199" i="102"/>
  <c r="C1198" i="102"/>
  <c r="C1197" i="102"/>
  <c r="C1196" i="102"/>
  <c r="C1195" i="102"/>
  <c r="C1194" i="102"/>
  <c r="C1193" i="102"/>
  <c r="C1192" i="102"/>
  <c r="C1191" i="102"/>
  <c r="C1190" i="102"/>
  <c r="C1189" i="102"/>
  <c r="C1188" i="102"/>
  <c r="C1187" i="102"/>
  <c r="C1186" i="102"/>
  <c r="C1185" i="102"/>
  <c r="C1184" i="102"/>
  <c r="C1183" i="102"/>
  <c r="C1182" i="102"/>
  <c r="C1181" i="102"/>
  <c r="C1180" i="102"/>
  <c r="C1179" i="102"/>
  <c r="C1178" i="102"/>
  <c r="C1177" i="102"/>
  <c r="C1176" i="102"/>
  <c r="C1175" i="102"/>
  <c r="C1174" i="102"/>
  <c r="C1173" i="102"/>
  <c r="C1172" i="102"/>
  <c r="C1171" i="102"/>
  <c r="C1170" i="102"/>
  <c r="C1169" i="102"/>
  <c r="C1168" i="102"/>
  <c r="C1167" i="102"/>
  <c r="C1166" i="102"/>
  <c r="C1165" i="102"/>
  <c r="C1164" i="102"/>
  <c r="C1163" i="102"/>
  <c r="C1162" i="102"/>
  <c r="C1161" i="102"/>
  <c r="C1160" i="102"/>
  <c r="C1159" i="102"/>
  <c r="C1158" i="102"/>
  <c r="C1157" i="102"/>
  <c r="C1156" i="102"/>
  <c r="C1155" i="102"/>
  <c r="C1154" i="102"/>
  <c r="C1153" i="102"/>
  <c r="C1152" i="102"/>
  <c r="C1151" i="102"/>
  <c r="C1150" i="102"/>
  <c r="C1149" i="102"/>
  <c r="C1148" i="102"/>
  <c r="C1147" i="102"/>
  <c r="C1146" i="102"/>
  <c r="C1145" i="102"/>
  <c r="C1144" i="102"/>
  <c r="C1143" i="102"/>
  <c r="C1142" i="102"/>
  <c r="C1141" i="102"/>
  <c r="C1140" i="102"/>
  <c r="C1139" i="102"/>
  <c r="C1138" i="102"/>
  <c r="C1137" i="102"/>
  <c r="C1136" i="102"/>
  <c r="C1135" i="102"/>
  <c r="C1134" i="102"/>
  <c r="C1133" i="102"/>
  <c r="C1132" i="102"/>
  <c r="C1131" i="102"/>
  <c r="C1130" i="102"/>
  <c r="C1129" i="102"/>
  <c r="C1128" i="102"/>
  <c r="C1127" i="102"/>
  <c r="C1126" i="102"/>
  <c r="C1125" i="102"/>
  <c r="C1124" i="102"/>
  <c r="C1123" i="102"/>
  <c r="C1122" i="102"/>
  <c r="C1121" i="102"/>
  <c r="C1120" i="102"/>
  <c r="C1119" i="102"/>
  <c r="C1118" i="102"/>
  <c r="C1117" i="102"/>
  <c r="C1116" i="102"/>
  <c r="C1115" i="102"/>
  <c r="C1114" i="102"/>
  <c r="C1113" i="102"/>
  <c r="C1112" i="102"/>
  <c r="C1111" i="102"/>
  <c r="C1110" i="102"/>
  <c r="C1109" i="102"/>
  <c r="C1108" i="102"/>
  <c r="C1107" i="102"/>
  <c r="C1106" i="102"/>
  <c r="C1105" i="102"/>
  <c r="C1104" i="102"/>
  <c r="C1103" i="102"/>
  <c r="C1102" i="102"/>
  <c r="D1101" i="102"/>
  <c r="D1100" i="102"/>
  <c r="D1099" i="102"/>
  <c r="D1098" i="102"/>
  <c r="D1097" i="102"/>
  <c r="D1096" i="102"/>
  <c r="D1095" i="102"/>
  <c r="D1094" i="102"/>
  <c r="D1093" i="102"/>
  <c r="D1092" i="102"/>
  <c r="D1091" i="102"/>
  <c r="D1090" i="102"/>
  <c r="D1089" i="102"/>
  <c r="D1088" i="102"/>
  <c r="D1087" i="102"/>
  <c r="D1086" i="102"/>
  <c r="D1085" i="102"/>
  <c r="D1084" i="102"/>
  <c r="D1083" i="102"/>
  <c r="D1082" i="102"/>
  <c r="D1081" i="102"/>
  <c r="D1080" i="102"/>
  <c r="D1079" i="102"/>
  <c r="D1078" i="102"/>
  <c r="D1077" i="102"/>
  <c r="D1076" i="102"/>
  <c r="D1075" i="102"/>
  <c r="D1074" i="102"/>
  <c r="D1073" i="102"/>
  <c r="D1072" i="102"/>
  <c r="D1071" i="102"/>
  <c r="D1070" i="102"/>
  <c r="D1069" i="102"/>
  <c r="D1068" i="102"/>
  <c r="D1067" i="102"/>
  <c r="D1066" i="102"/>
  <c r="D1065" i="102"/>
  <c r="D1064" i="102"/>
  <c r="D1063" i="102"/>
  <c r="D1062" i="102"/>
  <c r="D1061" i="102"/>
  <c r="D1060" i="102"/>
  <c r="D1059" i="102"/>
  <c r="D1058" i="102"/>
  <c r="D1057" i="102"/>
  <c r="D1056" i="102"/>
  <c r="D1055" i="102"/>
  <c r="D1054" i="102"/>
  <c r="D1053" i="102"/>
  <c r="D1052" i="102"/>
  <c r="D1051" i="102"/>
  <c r="D1050" i="102"/>
  <c r="D1049" i="102"/>
  <c r="D1048" i="102"/>
  <c r="D1047" i="102"/>
  <c r="D1046" i="102"/>
  <c r="D1045" i="102"/>
  <c r="D1044" i="102"/>
  <c r="D1043" i="102"/>
  <c r="D1042" i="102"/>
  <c r="D1041" i="102"/>
  <c r="D1040" i="102"/>
  <c r="D1039" i="102"/>
  <c r="D1038" i="102"/>
  <c r="D1037" i="102"/>
  <c r="D1036" i="102"/>
  <c r="D1035" i="102"/>
  <c r="D1034" i="102"/>
  <c r="D1033" i="102"/>
  <c r="D1032" i="102"/>
  <c r="D1031" i="102"/>
  <c r="D1030" i="102"/>
  <c r="D1029" i="102"/>
  <c r="D1028" i="102"/>
  <c r="D1027" i="102"/>
  <c r="D1026" i="102"/>
  <c r="D1025" i="102"/>
  <c r="D1024" i="102"/>
  <c r="D1023" i="102"/>
  <c r="D1022" i="102"/>
  <c r="D1021" i="102"/>
  <c r="D1020" i="102"/>
  <c r="D1019" i="102"/>
  <c r="D1018" i="102"/>
  <c r="D1017" i="102"/>
  <c r="D1016" i="102"/>
  <c r="D1015" i="102"/>
  <c r="D1014" i="102"/>
  <c r="D1013" i="102"/>
  <c r="D1012" i="102"/>
  <c r="D1011" i="102"/>
  <c r="D1010" i="102"/>
  <c r="D1009" i="102"/>
  <c r="D1008" i="102"/>
  <c r="D1007" i="102"/>
  <c r="D1006" i="102"/>
  <c r="D1005" i="102"/>
  <c r="D1004" i="102"/>
  <c r="D1003" i="102"/>
  <c r="D1002" i="102"/>
  <c r="C1101" i="102"/>
  <c r="C1100" i="102"/>
  <c r="C1099" i="102"/>
  <c r="C1098" i="102"/>
  <c r="C1097" i="102"/>
  <c r="C1096" i="102"/>
  <c r="C1095" i="102"/>
  <c r="C1094" i="102"/>
  <c r="C1093" i="102"/>
  <c r="C1092" i="102"/>
  <c r="C1091" i="102"/>
  <c r="C1090" i="102"/>
  <c r="C1089" i="102"/>
  <c r="C1088" i="102"/>
  <c r="C1087" i="102"/>
  <c r="C1086" i="102"/>
  <c r="C1085" i="102"/>
  <c r="C1084" i="102"/>
  <c r="C1083" i="102"/>
  <c r="C1082" i="102"/>
  <c r="C1081" i="102"/>
  <c r="C1080" i="102"/>
  <c r="C1079" i="102"/>
  <c r="C1078" i="102"/>
  <c r="C1077" i="102"/>
  <c r="C1076" i="102"/>
  <c r="C1075" i="102"/>
  <c r="C1074" i="102"/>
  <c r="C1073" i="102"/>
  <c r="C1072" i="102"/>
  <c r="C1071" i="102"/>
  <c r="C1070" i="102"/>
  <c r="C1069" i="102"/>
  <c r="C1068" i="102"/>
  <c r="C1067" i="102"/>
  <c r="C1066" i="102"/>
  <c r="C1065" i="102"/>
  <c r="C1064" i="102"/>
  <c r="C1063" i="102"/>
  <c r="C1062" i="102"/>
  <c r="C1061" i="102"/>
  <c r="C1060" i="102"/>
  <c r="C1059" i="102"/>
  <c r="C1058" i="102"/>
  <c r="C1057" i="102"/>
  <c r="C1056" i="102"/>
  <c r="C1055" i="102"/>
  <c r="C1054" i="102"/>
  <c r="C1053" i="102"/>
  <c r="C1052" i="102"/>
  <c r="C1051" i="102"/>
  <c r="C1050" i="102"/>
  <c r="C1049" i="102"/>
  <c r="C1048" i="102"/>
  <c r="C1047" i="102"/>
  <c r="C1046" i="102"/>
  <c r="C1045" i="102"/>
  <c r="C1044" i="102"/>
  <c r="C1043" i="102"/>
  <c r="C1042" i="102"/>
  <c r="C1041" i="102"/>
  <c r="C1040" i="102"/>
  <c r="C1039" i="102"/>
  <c r="C1038" i="102"/>
  <c r="C1037" i="102"/>
  <c r="C1036" i="102"/>
  <c r="C1035" i="102"/>
  <c r="C1034" i="102"/>
  <c r="C1033" i="102"/>
  <c r="C1032" i="102"/>
  <c r="C1031" i="102"/>
  <c r="C1030" i="102"/>
  <c r="C1029" i="102"/>
  <c r="C1028" i="102"/>
  <c r="C1027" i="102"/>
  <c r="C1026" i="102"/>
  <c r="C1025" i="102"/>
  <c r="C1024" i="102"/>
  <c r="C1023" i="102"/>
  <c r="C1022" i="102"/>
  <c r="C1021" i="102"/>
  <c r="C1020" i="102"/>
  <c r="C1019" i="102"/>
  <c r="C1018" i="102"/>
  <c r="C1017" i="102"/>
  <c r="C1016" i="102"/>
  <c r="C1015" i="102"/>
  <c r="C1014" i="102"/>
  <c r="C1013" i="102"/>
  <c r="C1012" i="102"/>
  <c r="C1011" i="102"/>
  <c r="C1010" i="102"/>
  <c r="C1009" i="102"/>
  <c r="C1008" i="102"/>
  <c r="C1007" i="102"/>
  <c r="C1006" i="102"/>
  <c r="C1005" i="102"/>
  <c r="C1004" i="102"/>
  <c r="C1003" i="102"/>
  <c r="C1002" i="102"/>
  <c r="D1001" i="102"/>
  <c r="D1000" i="102"/>
  <c r="D999" i="102"/>
  <c r="D998" i="102"/>
  <c r="D997" i="102"/>
  <c r="D996" i="102"/>
  <c r="D995" i="102"/>
  <c r="D994" i="102"/>
  <c r="D993" i="102"/>
  <c r="D992" i="102"/>
  <c r="D991" i="102"/>
  <c r="D990" i="102"/>
  <c r="D989" i="102"/>
  <c r="D988" i="102"/>
  <c r="D987" i="102"/>
  <c r="D986" i="102"/>
  <c r="D985" i="102"/>
  <c r="D984" i="102"/>
  <c r="D983" i="102"/>
  <c r="D982" i="102"/>
  <c r="D981" i="102"/>
  <c r="D980" i="102"/>
  <c r="D979" i="102"/>
  <c r="D978" i="102"/>
  <c r="D977" i="102"/>
  <c r="D976" i="102"/>
  <c r="D975" i="102"/>
  <c r="D974" i="102"/>
  <c r="D973" i="102"/>
  <c r="D972" i="102"/>
  <c r="D971" i="102"/>
  <c r="D970" i="102"/>
  <c r="D969" i="102"/>
  <c r="D968" i="102"/>
  <c r="D967" i="102"/>
  <c r="D966" i="102"/>
  <c r="D965" i="102"/>
  <c r="D964" i="102"/>
  <c r="D963" i="102"/>
  <c r="D962" i="102"/>
  <c r="D961" i="102"/>
  <c r="D960" i="102"/>
  <c r="D959" i="102"/>
  <c r="D958" i="102"/>
  <c r="D957" i="102"/>
  <c r="D956" i="102"/>
  <c r="D955" i="102"/>
  <c r="D954" i="102"/>
  <c r="D953" i="102"/>
  <c r="D952" i="102"/>
  <c r="D951" i="102"/>
  <c r="D950" i="102"/>
  <c r="D949" i="102"/>
  <c r="D948" i="102"/>
  <c r="D947" i="102"/>
  <c r="D946" i="102"/>
  <c r="D945" i="102"/>
  <c r="D944" i="102"/>
  <c r="D943" i="102"/>
  <c r="D942" i="102"/>
  <c r="D941" i="102"/>
  <c r="D940" i="102"/>
  <c r="D939" i="102"/>
  <c r="D938" i="102"/>
  <c r="D937" i="102"/>
  <c r="D936" i="102"/>
  <c r="D935" i="102"/>
  <c r="D934" i="102"/>
  <c r="D933" i="102"/>
  <c r="D932" i="102"/>
  <c r="D931" i="102"/>
  <c r="D930" i="102"/>
  <c r="D929" i="102"/>
  <c r="D928" i="102"/>
  <c r="D927" i="102"/>
  <c r="D926" i="102"/>
  <c r="D925" i="102"/>
  <c r="D924" i="102"/>
  <c r="D923" i="102"/>
  <c r="D922" i="102"/>
  <c r="D921" i="102"/>
  <c r="D920" i="102"/>
  <c r="D919" i="102"/>
  <c r="D918" i="102"/>
  <c r="D917" i="102"/>
  <c r="D916" i="102"/>
  <c r="D915" i="102"/>
  <c r="D914" i="102"/>
  <c r="D913" i="102"/>
  <c r="D912" i="102"/>
  <c r="D911" i="102"/>
  <c r="D910" i="102"/>
  <c r="D909" i="102"/>
  <c r="D908" i="102"/>
  <c r="D907" i="102"/>
  <c r="D906" i="102"/>
  <c r="D905" i="102"/>
  <c r="D904" i="102"/>
  <c r="D903" i="102"/>
  <c r="D902" i="102"/>
  <c r="C1001" i="102"/>
  <c r="C1000" i="102"/>
  <c r="C999" i="102"/>
  <c r="C998" i="102"/>
  <c r="C997" i="102"/>
  <c r="C996" i="102"/>
  <c r="C995" i="102"/>
  <c r="C994" i="102"/>
  <c r="C993" i="102"/>
  <c r="C992" i="102"/>
  <c r="C991" i="102"/>
  <c r="C990" i="102"/>
  <c r="C989" i="102"/>
  <c r="C988" i="102"/>
  <c r="C987" i="102"/>
  <c r="C986" i="102"/>
  <c r="C985" i="102"/>
  <c r="C984" i="102"/>
  <c r="C983" i="102"/>
  <c r="C982" i="102"/>
  <c r="C981" i="102"/>
  <c r="C980" i="102"/>
  <c r="C979" i="102"/>
  <c r="C978" i="102"/>
  <c r="C977" i="102"/>
  <c r="C976" i="102"/>
  <c r="C975" i="102"/>
  <c r="C974" i="102"/>
  <c r="C973" i="102"/>
  <c r="C972" i="102"/>
  <c r="C971" i="102"/>
  <c r="C970" i="102"/>
  <c r="C969" i="102"/>
  <c r="C968" i="102"/>
  <c r="C967" i="102"/>
  <c r="C966" i="102"/>
  <c r="C965" i="102"/>
  <c r="C964" i="102"/>
  <c r="C963" i="102"/>
  <c r="C962" i="102"/>
  <c r="C961" i="102"/>
  <c r="C960" i="102"/>
  <c r="C959" i="102"/>
  <c r="C958" i="102"/>
  <c r="C957" i="102"/>
  <c r="C956" i="102"/>
  <c r="C955" i="102"/>
  <c r="C954" i="102"/>
  <c r="C953" i="102"/>
  <c r="C952" i="102"/>
  <c r="C951" i="102"/>
  <c r="C950" i="102"/>
  <c r="C949" i="102"/>
  <c r="C948" i="102"/>
  <c r="C947" i="102"/>
  <c r="C946" i="102"/>
  <c r="C945" i="102"/>
  <c r="C944" i="102"/>
  <c r="C943" i="102"/>
  <c r="C942" i="102"/>
  <c r="C941" i="102"/>
  <c r="C940" i="102"/>
  <c r="C939" i="102"/>
  <c r="C938" i="102"/>
  <c r="C937" i="102"/>
  <c r="C936" i="102"/>
  <c r="C935" i="102"/>
  <c r="C934" i="102"/>
  <c r="C933" i="102"/>
  <c r="C932" i="102"/>
  <c r="C931" i="102"/>
  <c r="C930" i="102"/>
  <c r="C929" i="102"/>
  <c r="C928" i="102"/>
  <c r="C927" i="102"/>
  <c r="C926" i="102"/>
  <c r="C925" i="102"/>
  <c r="C924" i="102"/>
  <c r="C923" i="102"/>
  <c r="C922" i="102"/>
  <c r="C921" i="102"/>
  <c r="C920" i="102"/>
  <c r="C919" i="102"/>
  <c r="C918" i="102"/>
  <c r="C917" i="102"/>
  <c r="C916" i="102"/>
  <c r="C915" i="102"/>
  <c r="C914" i="102"/>
  <c r="C913" i="102"/>
  <c r="C912" i="102"/>
  <c r="C911" i="102"/>
  <c r="C910" i="102"/>
  <c r="C909" i="102"/>
  <c r="C908" i="102"/>
  <c r="C907" i="102"/>
  <c r="C906" i="102"/>
  <c r="C905" i="102"/>
  <c r="C904" i="102"/>
  <c r="C903" i="102"/>
  <c r="C902" i="102"/>
  <c r="E803" i="102"/>
  <c r="D901" i="102"/>
  <c r="D900" i="102"/>
  <c r="D899" i="102"/>
  <c r="D898" i="102"/>
  <c r="D897" i="102"/>
  <c r="D896" i="102"/>
  <c r="D895" i="102"/>
  <c r="D894" i="102"/>
  <c r="D893" i="102"/>
  <c r="D892" i="102"/>
  <c r="D891" i="102"/>
  <c r="D890" i="102"/>
  <c r="D889" i="102"/>
  <c r="D888" i="102"/>
  <c r="D887" i="102"/>
  <c r="D886" i="102"/>
  <c r="D885" i="102"/>
  <c r="D884" i="102"/>
  <c r="D883" i="102"/>
  <c r="D882" i="102"/>
  <c r="D881" i="102"/>
  <c r="D880" i="102"/>
  <c r="D879" i="102"/>
  <c r="D878" i="102"/>
  <c r="D877" i="102"/>
  <c r="D876" i="102"/>
  <c r="D875" i="102"/>
  <c r="D874" i="102"/>
  <c r="D873" i="102"/>
  <c r="D872" i="102"/>
  <c r="D871" i="102"/>
  <c r="D870" i="102"/>
  <c r="D869" i="102"/>
  <c r="D868" i="102"/>
  <c r="D867" i="102"/>
  <c r="D866" i="102"/>
  <c r="D865" i="102"/>
  <c r="D864" i="102"/>
  <c r="D863" i="102"/>
  <c r="D862" i="102"/>
  <c r="D861" i="102"/>
  <c r="D860" i="102"/>
  <c r="D859" i="102"/>
  <c r="D858" i="102"/>
  <c r="D857" i="102"/>
  <c r="D856" i="102"/>
  <c r="D855" i="102"/>
  <c r="D854" i="102"/>
  <c r="D853" i="102"/>
  <c r="D852" i="102"/>
  <c r="D851" i="102"/>
  <c r="D850" i="102"/>
  <c r="D849" i="102"/>
  <c r="D848" i="102"/>
  <c r="D847" i="102"/>
  <c r="D846" i="102"/>
  <c r="D845" i="102"/>
  <c r="D844" i="102"/>
  <c r="D843" i="102"/>
  <c r="D842" i="102"/>
  <c r="D841" i="102"/>
  <c r="D840" i="102"/>
  <c r="D839" i="102"/>
  <c r="D838" i="102"/>
  <c r="D837" i="102"/>
  <c r="D836" i="102"/>
  <c r="D835" i="102"/>
  <c r="D834" i="102"/>
  <c r="D833" i="102"/>
  <c r="D832" i="102"/>
  <c r="D831" i="102"/>
  <c r="D830" i="102"/>
  <c r="D829" i="102"/>
  <c r="D828" i="102"/>
  <c r="D827" i="102"/>
  <c r="D826" i="102"/>
  <c r="D825" i="102"/>
  <c r="D824" i="102"/>
  <c r="D823" i="102"/>
  <c r="D822" i="102"/>
  <c r="D821" i="102"/>
  <c r="D820" i="102"/>
  <c r="D819" i="102"/>
  <c r="D818" i="102"/>
  <c r="D817" i="102"/>
  <c r="D816" i="102"/>
  <c r="D815" i="102"/>
  <c r="D814" i="102"/>
  <c r="D813" i="102"/>
  <c r="D812" i="102"/>
  <c r="D811" i="102"/>
  <c r="D810" i="102"/>
  <c r="D809" i="102"/>
  <c r="D808" i="102"/>
  <c r="D807" i="102"/>
  <c r="D806" i="102"/>
  <c r="D805" i="102"/>
  <c r="D804" i="102"/>
  <c r="D803" i="102"/>
  <c r="D802" i="102"/>
  <c r="C901" i="102"/>
  <c r="C900" i="102"/>
  <c r="C899" i="102"/>
  <c r="C898" i="102"/>
  <c r="C897" i="102"/>
  <c r="C896" i="102"/>
  <c r="C895" i="102"/>
  <c r="C894" i="102"/>
  <c r="C893" i="102"/>
  <c r="C892" i="102"/>
  <c r="C891" i="102"/>
  <c r="C890" i="102"/>
  <c r="C889" i="102"/>
  <c r="C888" i="102"/>
  <c r="C887" i="102"/>
  <c r="C886" i="102"/>
  <c r="C885" i="102"/>
  <c r="C884" i="102"/>
  <c r="C883" i="102"/>
  <c r="C882" i="102"/>
  <c r="C881" i="102"/>
  <c r="C880" i="102"/>
  <c r="C879" i="102"/>
  <c r="C878" i="102"/>
  <c r="C877" i="102"/>
  <c r="C876" i="102"/>
  <c r="C875" i="102"/>
  <c r="C874" i="102"/>
  <c r="C873" i="102"/>
  <c r="C872" i="102"/>
  <c r="C871" i="102"/>
  <c r="C870" i="102"/>
  <c r="C869" i="102"/>
  <c r="C868" i="102"/>
  <c r="C867" i="102"/>
  <c r="C866" i="102"/>
  <c r="C865" i="102"/>
  <c r="C864" i="102"/>
  <c r="C863" i="102"/>
  <c r="C862" i="102"/>
  <c r="C861" i="102"/>
  <c r="C860" i="102"/>
  <c r="C859" i="102"/>
  <c r="C858" i="102"/>
  <c r="C857" i="102"/>
  <c r="C856" i="102"/>
  <c r="C855" i="102"/>
  <c r="C854" i="102"/>
  <c r="C853" i="102"/>
  <c r="C852" i="102"/>
  <c r="C851" i="102"/>
  <c r="C850" i="102"/>
  <c r="C849" i="102"/>
  <c r="C848" i="102"/>
  <c r="C847" i="102"/>
  <c r="C846" i="102"/>
  <c r="C845" i="102"/>
  <c r="C844" i="102"/>
  <c r="C843" i="102"/>
  <c r="C842" i="102"/>
  <c r="C841" i="102"/>
  <c r="C840" i="102"/>
  <c r="C839" i="102"/>
  <c r="C838" i="102"/>
  <c r="C837" i="102"/>
  <c r="C836" i="102"/>
  <c r="C835" i="102"/>
  <c r="C834" i="102"/>
  <c r="C833" i="102"/>
  <c r="C832" i="102"/>
  <c r="C831" i="102"/>
  <c r="C830" i="102"/>
  <c r="C829" i="102"/>
  <c r="C828" i="102"/>
  <c r="C827" i="102"/>
  <c r="C826" i="102"/>
  <c r="C825" i="102"/>
  <c r="C824" i="102"/>
  <c r="C823" i="102"/>
  <c r="C822" i="102"/>
  <c r="C821" i="102"/>
  <c r="C820" i="102"/>
  <c r="C819" i="102"/>
  <c r="C818" i="102"/>
  <c r="C817" i="102"/>
  <c r="C816" i="102"/>
  <c r="C815" i="102"/>
  <c r="C814" i="102"/>
  <c r="C813" i="102"/>
  <c r="C812" i="102"/>
  <c r="C811" i="102"/>
  <c r="C810" i="102"/>
  <c r="C809" i="102"/>
  <c r="C808" i="102"/>
  <c r="C807" i="102"/>
  <c r="C806" i="102"/>
  <c r="C805" i="102"/>
  <c r="C804" i="102"/>
  <c r="C803" i="102"/>
  <c r="C802" i="102"/>
  <c r="E703" i="102"/>
  <c r="E702" i="102"/>
  <c r="D801" i="102"/>
  <c r="D800" i="102"/>
  <c r="D799" i="102"/>
  <c r="D798" i="102"/>
  <c r="D797" i="102"/>
  <c r="D796" i="102"/>
  <c r="D795" i="102"/>
  <c r="D794" i="102"/>
  <c r="D793" i="102"/>
  <c r="D792" i="102"/>
  <c r="D791" i="102"/>
  <c r="D790" i="102"/>
  <c r="D789" i="102"/>
  <c r="D788" i="102"/>
  <c r="D787" i="102"/>
  <c r="D786" i="102"/>
  <c r="D785" i="102"/>
  <c r="D784" i="102"/>
  <c r="D783" i="102"/>
  <c r="D782" i="102"/>
  <c r="D781" i="102"/>
  <c r="D780" i="102"/>
  <c r="D779" i="102"/>
  <c r="D778" i="102"/>
  <c r="D777" i="102"/>
  <c r="D776" i="102"/>
  <c r="D775" i="102"/>
  <c r="D774" i="102"/>
  <c r="D773" i="102"/>
  <c r="D772" i="102"/>
  <c r="D771" i="102"/>
  <c r="D770" i="102"/>
  <c r="D769" i="102"/>
  <c r="D768" i="102"/>
  <c r="D767" i="102"/>
  <c r="D766" i="102"/>
  <c r="D765" i="102"/>
  <c r="D764" i="102"/>
  <c r="D763" i="102"/>
  <c r="D762" i="102"/>
  <c r="D761" i="102"/>
  <c r="D760" i="102"/>
  <c r="D759" i="102"/>
  <c r="D758" i="102"/>
  <c r="D757" i="102"/>
  <c r="D756" i="102"/>
  <c r="D755" i="102"/>
  <c r="D754" i="102"/>
  <c r="D753" i="102"/>
  <c r="D752" i="102"/>
  <c r="D751" i="102"/>
  <c r="D750" i="102"/>
  <c r="D749" i="102"/>
  <c r="D748" i="102"/>
  <c r="D747" i="102"/>
  <c r="D746" i="102"/>
  <c r="D745" i="102"/>
  <c r="D744" i="102"/>
  <c r="D743" i="102"/>
  <c r="D742" i="102"/>
  <c r="D741" i="102"/>
  <c r="D740" i="102"/>
  <c r="D739" i="102"/>
  <c r="D738" i="102"/>
  <c r="D737" i="102"/>
  <c r="D736" i="102"/>
  <c r="D735" i="102"/>
  <c r="D734" i="102"/>
  <c r="D733" i="102"/>
  <c r="D732" i="102"/>
  <c r="D731" i="102"/>
  <c r="D730" i="102"/>
  <c r="D729" i="102"/>
  <c r="D728" i="102"/>
  <c r="D727" i="102"/>
  <c r="D726" i="102"/>
  <c r="D725" i="102"/>
  <c r="D724" i="102"/>
  <c r="D723" i="102"/>
  <c r="D722" i="102"/>
  <c r="D721" i="102"/>
  <c r="D720" i="102"/>
  <c r="D719" i="102"/>
  <c r="D718" i="102"/>
  <c r="D717" i="102"/>
  <c r="D716" i="102"/>
  <c r="D715" i="102"/>
  <c r="D714" i="102"/>
  <c r="D713" i="102"/>
  <c r="D712" i="102"/>
  <c r="D711" i="102"/>
  <c r="D710" i="102"/>
  <c r="D709" i="102"/>
  <c r="D708" i="102"/>
  <c r="D707" i="102"/>
  <c r="D706" i="102"/>
  <c r="D705" i="102"/>
  <c r="D704" i="102"/>
  <c r="D703" i="102"/>
  <c r="D702" i="102"/>
  <c r="C801" i="102"/>
  <c r="C800" i="102"/>
  <c r="C799" i="102"/>
  <c r="C798" i="102"/>
  <c r="C797" i="102"/>
  <c r="C796" i="102"/>
  <c r="C795" i="102"/>
  <c r="C794" i="102"/>
  <c r="C793" i="102"/>
  <c r="C792" i="102"/>
  <c r="C791" i="102"/>
  <c r="C790" i="102"/>
  <c r="C789" i="102"/>
  <c r="C788" i="102"/>
  <c r="C787" i="102"/>
  <c r="C786" i="102"/>
  <c r="C785" i="102"/>
  <c r="C784" i="102"/>
  <c r="C783" i="102"/>
  <c r="C782" i="102"/>
  <c r="C781" i="102"/>
  <c r="C780" i="102"/>
  <c r="C779" i="102"/>
  <c r="C778" i="102"/>
  <c r="C777" i="102"/>
  <c r="C776" i="102"/>
  <c r="C775" i="102"/>
  <c r="C774" i="102"/>
  <c r="C773" i="102"/>
  <c r="C772" i="102"/>
  <c r="C771" i="102"/>
  <c r="C770" i="102"/>
  <c r="C769" i="102"/>
  <c r="C768" i="102"/>
  <c r="C767" i="102"/>
  <c r="C766" i="102"/>
  <c r="C765" i="102"/>
  <c r="C764" i="102"/>
  <c r="C763" i="102"/>
  <c r="C762" i="102"/>
  <c r="C761" i="102"/>
  <c r="C760" i="102"/>
  <c r="C759" i="102"/>
  <c r="C758" i="102"/>
  <c r="C757" i="102"/>
  <c r="C756" i="102"/>
  <c r="C755" i="102"/>
  <c r="C754" i="102"/>
  <c r="C753" i="102"/>
  <c r="C752" i="102"/>
  <c r="C751" i="102"/>
  <c r="C750" i="102"/>
  <c r="C749" i="102"/>
  <c r="C748" i="102"/>
  <c r="C747" i="102"/>
  <c r="C746" i="102"/>
  <c r="C745" i="102"/>
  <c r="C744" i="102"/>
  <c r="C743" i="102"/>
  <c r="C742" i="102"/>
  <c r="C741" i="102"/>
  <c r="C740" i="102"/>
  <c r="C739" i="102"/>
  <c r="C738" i="102"/>
  <c r="C737" i="102"/>
  <c r="C736" i="102"/>
  <c r="C735" i="102"/>
  <c r="C734" i="102"/>
  <c r="C733" i="102"/>
  <c r="C732" i="102"/>
  <c r="C731" i="102"/>
  <c r="C730" i="102"/>
  <c r="C729" i="102"/>
  <c r="C728" i="102"/>
  <c r="C727" i="102"/>
  <c r="C726" i="102"/>
  <c r="C725" i="102"/>
  <c r="C724" i="102"/>
  <c r="C723" i="102"/>
  <c r="C722" i="102"/>
  <c r="C721" i="102"/>
  <c r="C720" i="102"/>
  <c r="C719" i="102"/>
  <c r="C718" i="102"/>
  <c r="C717" i="102"/>
  <c r="C716" i="102"/>
  <c r="C715" i="102"/>
  <c r="C714" i="102"/>
  <c r="C713" i="102"/>
  <c r="C712" i="102"/>
  <c r="C711" i="102"/>
  <c r="C710" i="102"/>
  <c r="C709" i="102"/>
  <c r="C708" i="102"/>
  <c r="C707" i="102"/>
  <c r="C706" i="102"/>
  <c r="C705" i="102"/>
  <c r="C704" i="102"/>
  <c r="C703" i="102"/>
  <c r="C702" i="102"/>
  <c r="D701" i="102"/>
  <c r="D700" i="102"/>
  <c r="D699" i="102"/>
  <c r="D698" i="102"/>
  <c r="D697" i="102"/>
  <c r="D696" i="102"/>
  <c r="D695" i="102"/>
  <c r="D694" i="102"/>
  <c r="D693" i="102"/>
  <c r="D692" i="102"/>
  <c r="D691" i="102"/>
  <c r="D690" i="102"/>
  <c r="D689" i="102"/>
  <c r="D688" i="102"/>
  <c r="D687" i="102"/>
  <c r="D686" i="102"/>
  <c r="D685" i="102"/>
  <c r="D684" i="102"/>
  <c r="D683" i="102"/>
  <c r="D682" i="102"/>
  <c r="D681" i="102"/>
  <c r="D680" i="102"/>
  <c r="D679" i="102"/>
  <c r="D678" i="102"/>
  <c r="D677" i="102"/>
  <c r="D676" i="102"/>
  <c r="D675" i="102"/>
  <c r="D674" i="102"/>
  <c r="D673" i="102"/>
  <c r="D672" i="102"/>
  <c r="D671" i="102"/>
  <c r="D670" i="102"/>
  <c r="D669" i="102"/>
  <c r="D668" i="102"/>
  <c r="D667" i="102"/>
  <c r="D666" i="102"/>
  <c r="D665" i="102"/>
  <c r="D664" i="102"/>
  <c r="D663" i="102"/>
  <c r="D662" i="102"/>
  <c r="D661" i="102"/>
  <c r="D660" i="102"/>
  <c r="D659" i="102"/>
  <c r="D658" i="102"/>
  <c r="D657" i="102"/>
  <c r="D656" i="102"/>
  <c r="D655" i="102"/>
  <c r="D654" i="102"/>
  <c r="D653" i="102"/>
  <c r="D652" i="102"/>
  <c r="D651" i="102"/>
  <c r="D650" i="102"/>
  <c r="D649" i="102"/>
  <c r="D648" i="102"/>
  <c r="D647" i="102"/>
  <c r="D646" i="102"/>
  <c r="D645" i="102"/>
  <c r="D644" i="102"/>
  <c r="D643" i="102"/>
  <c r="D642" i="102"/>
  <c r="D641" i="102"/>
  <c r="D640" i="102"/>
  <c r="D639" i="102"/>
  <c r="D638" i="102"/>
  <c r="D637" i="102"/>
  <c r="D636" i="102"/>
  <c r="D635" i="102"/>
  <c r="D634" i="102"/>
  <c r="D633" i="102"/>
  <c r="D632" i="102"/>
  <c r="D631" i="102"/>
  <c r="D630" i="102"/>
  <c r="D629" i="102"/>
  <c r="D628" i="102"/>
  <c r="D627" i="102"/>
  <c r="D626" i="102"/>
  <c r="D625" i="102"/>
  <c r="D624" i="102"/>
  <c r="D623" i="102"/>
  <c r="D622" i="102"/>
  <c r="D621" i="102"/>
  <c r="D620" i="102"/>
  <c r="D619" i="102"/>
  <c r="D618" i="102"/>
  <c r="D617" i="102"/>
  <c r="D616" i="102"/>
  <c r="D615" i="102"/>
  <c r="D614" i="102"/>
  <c r="D613" i="102"/>
  <c r="D612" i="102"/>
  <c r="D611" i="102"/>
  <c r="D610" i="102"/>
  <c r="D609" i="102"/>
  <c r="D608" i="102"/>
  <c r="D607" i="102"/>
  <c r="D606" i="102"/>
  <c r="D605" i="102"/>
  <c r="D604" i="102"/>
  <c r="D603" i="102"/>
  <c r="D602" i="102"/>
  <c r="C701" i="102"/>
  <c r="C700" i="102"/>
  <c r="C699" i="102"/>
  <c r="C698" i="102"/>
  <c r="C697" i="102"/>
  <c r="C696" i="102"/>
  <c r="C695" i="102"/>
  <c r="C694" i="102"/>
  <c r="C693" i="102"/>
  <c r="C692" i="102"/>
  <c r="C691" i="102"/>
  <c r="C690" i="102"/>
  <c r="C689" i="102"/>
  <c r="C688" i="102"/>
  <c r="C687" i="102"/>
  <c r="C686" i="102"/>
  <c r="C685" i="102"/>
  <c r="C684" i="102"/>
  <c r="C683" i="102"/>
  <c r="C682" i="102"/>
  <c r="C681" i="102"/>
  <c r="C680" i="102"/>
  <c r="C679" i="102"/>
  <c r="C678" i="102"/>
  <c r="C677" i="102"/>
  <c r="C676" i="102"/>
  <c r="C675" i="102"/>
  <c r="C674" i="102"/>
  <c r="C673" i="102"/>
  <c r="C672" i="102"/>
  <c r="C671" i="102"/>
  <c r="C670" i="102"/>
  <c r="C669" i="102"/>
  <c r="C668" i="102"/>
  <c r="C667" i="102"/>
  <c r="C666" i="102"/>
  <c r="C665" i="102"/>
  <c r="C664" i="102"/>
  <c r="C663" i="102"/>
  <c r="C662" i="102"/>
  <c r="C661" i="102"/>
  <c r="C660" i="102"/>
  <c r="C659" i="102"/>
  <c r="C658" i="102"/>
  <c r="C657" i="102"/>
  <c r="C656" i="102"/>
  <c r="C655" i="102"/>
  <c r="C654" i="102"/>
  <c r="C653" i="102"/>
  <c r="C652" i="102"/>
  <c r="C651" i="102"/>
  <c r="C650" i="102"/>
  <c r="C649" i="102"/>
  <c r="C648" i="102"/>
  <c r="C647" i="102"/>
  <c r="C646" i="102"/>
  <c r="C645" i="102"/>
  <c r="C644" i="102"/>
  <c r="C643" i="102"/>
  <c r="C642" i="102"/>
  <c r="C641" i="102"/>
  <c r="C640" i="102"/>
  <c r="C639" i="102"/>
  <c r="C638" i="102"/>
  <c r="C637" i="102"/>
  <c r="C636" i="102"/>
  <c r="C635" i="102"/>
  <c r="C634" i="102"/>
  <c r="C633" i="102"/>
  <c r="C632" i="102"/>
  <c r="C631" i="102"/>
  <c r="C630" i="102"/>
  <c r="C629" i="102"/>
  <c r="C628" i="102"/>
  <c r="C627" i="102"/>
  <c r="C626" i="102"/>
  <c r="C625" i="102"/>
  <c r="C624" i="102"/>
  <c r="C623" i="102"/>
  <c r="C622" i="102"/>
  <c r="C621" i="102"/>
  <c r="C620" i="102"/>
  <c r="C619" i="102"/>
  <c r="C618" i="102"/>
  <c r="C617" i="102"/>
  <c r="C616" i="102"/>
  <c r="C615" i="102"/>
  <c r="C614" i="102"/>
  <c r="C613" i="102"/>
  <c r="C612" i="102"/>
  <c r="C611" i="102"/>
  <c r="C610" i="102"/>
  <c r="C609" i="102"/>
  <c r="C608" i="102"/>
  <c r="C607" i="102"/>
  <c r="C606" i="102"/>
  <c r="C605" i="102"/>
  <c r="C604" i="102"/>
  <c r="C603" i="102"/>
  <c r="C602" i="102"/>
  <c r="D601" i="102"/>
  <c r="D600" i="102"/>
  <c r="D599" i="102"/>
  <c r="D598" i="102"/>
  <c r="D597" i="102"/>
  <c r="D596" i="102"/>
  <c r="D595" i="102"/>
  <c r="D594" i="102"/>
  <c r="D593" i="102"/>
  <c r="D592" i="102"/>
  <c r="D591" i="102"/>
  <c r="D590" i="102"/>
  <c r="D589" i="102"/>
  <c r="D588" i="102"/>
  <c r="D587" i="102"/>
  <c r="D586" i="102"/>
  <c r="D585" i="102"/>
  <c r="D584" i="102"/>
  <c r="D583" i="102"/>
  <c r="D582" i="102"/>
  <c r="D581" i="102"/>
  <c r="D580" i="102"/>
  <c r="D579" i="102"/>
  <c r="D578" i="102"/>
  <c r="D577" i="102"/>
  <c r="D576" i="102"/>
  <c r="D575" i="102"/>
  <c r="D574" i="102"/>
  <c r="D573" i="102"/>
  <c r="D572" i="102"/>
  <c r="D571" i="102"/>
  <c r="D570" i="102"/>
  <c r="D569" i="102"/>
  <c r="D568" i="102"/>
  <c r="D567" i="102"/>
  <c r="D566" i="102"/>
  <c r="D565" i="102"/>
  <c r="D564" i="102"/>
  <c r="D563" i="102"/>
  <c r="D562" i="102"/>
  <c r="D561" i="102"/>
  <c r="D560" i="102"/>
  <c r="D559" i="102"/>
  <c r="D558" i="102"/>
  <c r="D557" i="102"/>
  <c r="D556" i="102"/>
  <c r="D555" i="102"/>
  <c r="D554" i="102"/>
  <c r="D553" i="102"/>
  <c r="D552" i="102"/>
  <c r="D551" i="102"/>
  <c r="D550" i="102"/>
  <c r="D549" i="102"/>
  <c r="D548" i="102"/>
  <c r="D547" i="102"/>
  <c r="D546" i="102"/>
  <c r="D545" i="102"/>
  <c r="D544" i="102"/>
  <c r="D543" i="102"/>
  <c r="D542" i="102"/>
  <c r="D541" i="102"/>
  <c r="D540" i="102"/>
  <c r="D539" i="102"/>
  <c r="D538" i="102"/>
  <c r="D537" i="102"/>
  <c r="D536" i="102"/>
  <c r="D535" i="102"/>
  <c r="D534" i="102"/>
  <c r="D533" i="102"/>
  <c r="D532" i="102"/>
  <c r="D531" i="102"/>
  <c r="D530" i="102"/>
  <c r="D529" i="102"/>
  <c r="D528" i="102"/>
  <c r="D527" i="102"/>
  <c r="D526" i="102"/>
  <c r="D525" i="102"/>
  <c r="D524" i="102"/>
  <c r="D523" i="102"/>
  <c r="D522" i="102"/>
  <c r="D521" i="102"/>
  <c r="D520" i="102"/>
  <c r="D519" i="102"/>
  <c r="D518" i="102"/>
  <c r="D517" i="102"/>
  <c r="D516" i="102"/>
  <c r="D515" i="102"/>
  <c r="D514" i="102"/>
  <c r="D513" i="102"/>
  <c r="D512" i="102"/>
  <c r="D511" i="102"/>
  <c r="D510" i="102"/>
  <c r="D509" i="102"/>
  <c r="D508" i="102"/>
  <c r="D507" i="102"/>
  <c r="D506" i="102"/>
  <c r="D505" i="102"/>
  <c r="D504" i="102"/>
  <c r="D503" i="102"/>
  <c r="D502" i="102"/>
  <c r="C601" i="102"/>
  <c r="C600" i="102"/>
  <c r="C599" i="102"/>
  <c r="C598" i="102"/>
  <c r="C597" i="102"/>
  <c r="C596" i="102"/>
  <c r="C595" i="102"/>
  <c r="C594" i="102"/>
  <c r="C593" i="102"/>
  <c r="C592" i="102"/>
  <c r="C591" i="102"/>
  <c r="C590" i="102"/>
  <c r="C589" i="102"/>
  <c r="C588" i="102"/>
  <c r="C587" i="102"/>
  <c r="C586" i="102"/>
  <c r="C585" i="102"/>
  <c r="C584" i="102"/>
  <c r="C583" i="102"/>
  <c r="C582" i="102"/>
  <c r="C581" i="102"/>
  <c r="C580" i="102"/>
  <c r="C579" i="102"/>
  <c r="C578" i="102"/>
  <c r="C577" i="102"/>
  <c r="C576" i="102"/>
  <c r="C575" i="102"/>
  <c r="C574" i="102"/>
  <c r="C573" i="102"/>
  <c r="C572" i="102"/>
  <c r="C571" i="102"/>
  <c r="C570" i="102"/>
  <c r="C569" i="102"/>
  <c r="C568" i="102"/>
  <c r="C567" i="102"/>
  <c r="C566" i="102"/>
  <c r="C565" i="102"/>
  <c r="C564" i="102"/>
  <c r="C563" i="102"/>
  <c r="C562" i="102"/>
  <c r="C561" i="102"/>
  <c r="C560" i="102"/>
  <c r="C559" i="102"/>
  <c r="C558" i="102"/>
  <c r="C557" i="102"/>
  <c r="C556" i="102"/>
  <c r="C555" i="102"/>
  <c r="C554" i="102"/>
  <c r="C553" i="102"/>
  <c r="C552" i="102"/>
  <c r="C551" i="102"/>
  <c r="C550" i="102"/>
  <c r="C549" i="102"/>
  <c r="C548" i="102"/>
  <c r="C547" i="102"/>
  <c r="C546" i="102"/>
  <c r="C545" i="102"/>
  <c r="C544" i="102"/>
  <c r="C543" i="102"/>
  <c r="C542" i="102"/>
  <c r="C541" i="102"/>
  <c r="C540" i="102"/>
  <c r="C539" i="102"/>
  <c r="C538" i="102"/>
  <c r="C537" i="102"/>
  <c r="C536" i="102"/>
  <c r="C535" i="102"/>
  <c r="C534" i="102"/>
  <c r="C533" i="102"/>
  <c r="C532" i="102"/>
  <c r="C531" i="102"/>
  <c r="C530" i="102"/>
  <c r="C529" i="102"/>
  <c r="C528" i="102"/>
  <c r="C527" i="102"/>
  <c r="C526" i="102"/>
  <c r="C525" i="102"/>
  <c r="C524" i="102"/>
  <c r="C523" i="102"/>
  <c r="C522" i="102"/>
  <c r="C521" i="102"/>
  <c r="C520" i="102"/>
  <c r="C519" i="102"/>
  <c r="C518" i="102"/>
  <c r="C517" i="102"/>
  <c r="C516" i="102"/>
  <c r="C515" i="102"/>
  <c r="C514" i="102"/>
  <c r="C513" i="102"/>
  <c r="C512" i="102"/>
  <c r="C511" i="102"/>
  <c r="C510" i="102"/>
  <c r="C509" i="102"/>
  <c r="C508" i="102"/>
  <c r="C507" i="102"/>
  <c r="C506" i="102"/>
  <c r="C505" i="102"/>
  <c r="C504" i="102"/>
  <c r="C503" i="102"/>
  <c r="C502" i="102"/>
  <c r="E501" i="102"/>
  <c r="E500" i="102"/>
  <c r="E499" i="102"/>
  <c r="E498" i="102"/>
  <c r="E497" i="102"/>
  <c r="E496" i="102"/>
  <c r="E495" i="102"/>
  <c r="E494" i="102"/>
  <c r="E493" i="102"/>
  <c r="E492" i="102"/>
  <c r="E491" i="102"/>
  <c r="E490" i="102"/>
  <c r="E489" i="102"/>
  <c r="E488" i="102"/>
  <c r="E487" i="102"/>
  <c r="E486" i="102"/>
  <c r="E485" i="102"/>
  <c r="E484" i="102"/>
  <c r="E483" i="102"/>
  <c r="E482" i="102"/>
  <c r="E481" i="102"/>
  <c r="E480" i="102"/>
  <c r="E479" i="102"/>
  <c r="E478" i="102"/>
  <c r="E477" i="102"/>
  <c r="E476" i="102"/>
  <c r="E475" i="102"/>
  <c r="E474" i="102"/>
  <c r="E473" i="102"/>
  <c r="E472" i="102"/>
  <c r="E471" i="102"/>
  <c r="E470" i="102"/>
  <c r="E469" i="102"/>
  <c r="E468" i="102"/>
  <c r="E467" i="102"/>
  <c r="E466" i="102"/>
  <c r="E465" i="102"/>
  <c r="E464" i="102"/>
  <c r="E463" i="102"/>
  <c r="E462" i="102"/>
  <c r="E461" i="102"/>
  <c r="E460" i="102"/>
  <c r="E459" i="102"/>
  <c r="E458" i="102"/>
  <c r="E457" i="102"/>
  <c r="E456" i="102"/>
  <c r="E455" i="102"/>
  <c r="E454" i="102"/>
  <c r="E453" i="102"/>
  <c r="E452" i="102"/>
  <c r="E451" i="102"/>
  <c r="E450" i="102"/>
  <c r="E449" i="102"/>
  <c r="E448" i="102"/>
  <c r="E447" i="102"/>
  <c r="E446" i="102"/>
  <c r="E445" i="102"/>
  <c r="E444" i="102"/>
  <c r="E443" i="102"/>
  <c r="E442" i="102"/>
  <c r="E441" i="102"/>
  <c r="E440" i="102"/>
  <c r="E439" i="102"/>
  <c r="E438" i="102"/>
  <c r="E437" i="102"/>
  <c r="E436" i="102"/>
  <c r="E435" i="102"/>
  <c r="E434" i="102"/>
  <c r="E433" i="102"/>
  <c r="E432" i="102"/>
  <c r="E431" i="102"/>
  <c r="E430" i="102"/>
  <c r="E429" i="102"/>
  <c r="E428" i="102"/>
  <c r="E427" i="102"/>
  <c r="E426" i="102"/>
  <c r="E425" i="102"/>
  <c r="E424" i="102"/>
  <c r="E423" i="102"/>
  <c r="E422" i="102"/>
  <c r="E421" i="102"/>
  <c r="E420" i="102"/>
  <c r="E419" i="102"/>
  <c r="E418" i="102"/>
  <c r="E417" i="102"/>
  <c r="E416" i="102"/>
  <c r="E415" i="102"/>
  <c r="E414" i="102"/>
  <c r="E413" i="102"/>
  <c r="E412" i="102"/>
  <c r="E411" i="102"/>
  <c r="E410" i="102"/>
  <c r="E409" i="102"/>
  <c r="E408" i="102"/>
  <c r="E407" i="102"/>
  <c r="E406" i="102"/>
  <c r="E405" i="102"/>
  <c r="E404" i="102"/>
  <c r="E403" i="102"/>
  <c r="E402" i="102"/>
  <c r="D501" i="102"/>
  <c r="D500" i="102"/>
  <c r="D499" i="102"/>
  <c r="D498" i="102"/>
  <c r="D497" i="102"/>
  <c r="D496" i="102"/>
  <c r="D495" i="102"/>
  <c r="D494" i="102"/>
  <c r="D493" i="102"/>
  <c r="D492" i="102"/>
  <c r="D491" i="102"/>
  <c r="D490" i="102"/>
  <c r="D489" i="102"/>
  <c r="D488" i="102"/>
  <c r="D487" i="102"/>
  <c r="D486" i="102"/>
  <c r="D485" i="102"/>
  <c r="D484" i="102"/>
  <c r="D483" i="102"/>
  <c r="D482" i="102"/>
  <c r="D481" i="102"/>
  <c r="D480" i="102"/>
  <c r="D479" i="102"/>
  <c r="D478" i="102"/>
  <c r="D477" i="102"/>
  <c r="D476" i="102"/>
  <c r="D475" i="102"/>
  <c r="D474" i="102"/>
  <c r="D473" i="102"/>
  <c r="D472" i="102"/>
  <c r="D471" i="102"/>
  <c r="D470" i="102"/>
  <c r="D469" i="102"/>
  <c r="D468" i="102"/>
  <c r="D467" i="102"/>
  <c r="D466" i="102"/>
  <c r="D465" i="102"/>
  <c r="D464" i="102"/>
  <c r="D463" i="102"/>
  <c r="D462" i="102"/>
  <c r="D461" i="102"/>
  <c r="D460" i="102"/>
  <c r="D459" i="102"/>
  <c r="D458" i="102"/>
  <c r="D457" i="102"/>
  <c r="D456" i="102"/>
  <c r="D455" i="102"/>
  <c r="D454" i="102"/>
  <c r="D453" i="102"/>
  <c r="D452" i="102"/>
  <c r="D451" i="102"/>
  <c r="D450" i="102"/>
  <c r="D449" i="102"/>
  <c r="D448" i="102"/>
  <c r="D447" i="102"/>
  <c r="D446" i="102"/>
  <c r="D445" i="102"/>
  <c r="D444" i="102"/>
  <c r="D443" i="102"/>
  <c r="D442" i="102"/>
  <c r="D441" i="102"/>
  <c r="D440" i="102"/>
  <c r="D439" i="102"/>
  <c r="D438" i="102"/>
  <c r="D437" i="102"/>
  <c r="D436" i="102"/>
  <c r="D435" i="102"/>
  <c r="D434" i="102"/>
  <c r="D433" i="102"/>
  <c r="D432" i="102"/>
  <c r="D431" i="102"/>
  <c r="D430" i="102"/>
  <c r="D429" i="102"/>
  <c r="D428" i="102"/>
  <c r="D427" i="102"/>
  <c r="D426" i="102"/>
  <c r="D425" i="102"/>
  <c r="D424" i="102"/>
  <c r="D423" i="102"/>
  <c r="D422" i="102"/>
  <c r="D421" i="102"/>
  <c r="D420" i="102"/>
  <c r="D419" i="102"/>
  <c r="D418" i="102"/>
  <c r="D417" i="102"/>
  <c r="D416" i="102"/>
  <c r="D415" i="102"/>
  <c r="D414" i="102"/>
  <c r="D413" i="102"/>
  <c r="D412" i="102"/>
  <c r="D411" i="102"/>
  <c r="D410" i="102"/>
  <c r="D409" i="102"/>
  <c r="D408" i="102"/>
  <c r="D407" i="102"/>
  <c r="D406" i="102"/>
  <c r="D405" i="102"/>
  <c r="D404" i="102"/>
  <c r="D403" i="102"/>
  <c r="D402" i="102"/>
  <c r="C501" i="102"/>
  <c r="C500" i="102"/>
  <c r="C499" i="102"/>
  <c r="C498" i="102"/>
  <c r="C497" i="102"/>
  <c r="C496" i="102"/>
  <c r="C495" i="102"/>
  <c r="C494" i="102"/>
  <c r="C493" i="102"/>
  <c r="C492" i="102"/>
  <c r="C491" i="102"/>
  <c r="C490" i="102"/>
  <c r="C489" i="102"/>
  <c r="C488" i="102"/>
  <c r="C487" i="102"/>
  <c r="C486" i="102"/>
  <c r="C485" i="102"/>
  <c r="C484" i="102"/>
  <c r="C483" i="102"/>
  <c r="C482" i="102"/>
  <c r="C481" i="102"/>
  <c r="C480" i="102"/>
  <c r="C479" i="102"/>
  <c r="C478" i="102"/>
  <c r="C477" i="102"/>
  <c r="C476" i="102"/>
  <c r="C475" i="102"/>
  <c r="C474" i="102"/>
  <c r="C473" i="102"/>
  <c r="C472" i="102"/>
  <c r="C471" i="102"/>
  <c r="C470" i="102"/>
  <c r="C469" i="102"/>
  <c r="C468" i="102"/>
  <c r="C467" i="102"/>
  <c r="C466" i="102"/>
  <c r="C465" i="102"/>
  <c r="C464" i="102"/>
  <c r="C463" i="102"/>
  <c r="C462" i="102"/>
  <c r="C461" i="102"/>
  <c r="C460" i="102"/>
  <c r="C459" i="102"/>
  <c r="C458" i="102"/>
  <c r="C457" i="102"/>
  <c r="C456" i="102"/>
  <c r="C455" i="102"/>
  <c r="C454" i="102"/>
  <c r="C453" i="102"/>
  <c r="C452" i="102"/>
  <c r="C451" i="102"/>
  <c r="C450" i="102"/>
  <c r="C449" i="102"/>
  <c r="C448" i="102"/>
  <c r="C447" i="102"/>
  <c r="C446" i="102"/>
  <c r="C445" i="102"/>
  <c r="C444" i="102"/>
  <c r="C443" i="102"/>
  <c r="C442" i="102"/>
  <c r="C441" i="102"/>
  <c r="C440" i="102"/>
  <c r="C439" i="102"/>
  <c r="C438" i="102"/>
  <c r="C437" i="102"/>
  <c r="C436" i="102"/>
  <c r="C435" i="102"/>
  <c r="C434" i="102"/>
  <c r="C433" i="102"/>
  <c r="C432" i="102"/>
  <c r="C431" i="102"/>
  <c r="C430" i="102"/>
  <c r="C429" i="102"/>
  <c r="C428" i="102"/>
  <c r="C427" i="102"/>
  <c r="C426" i="102"/>
  <c r="C425" i="102"/>
  <c r="C424" i="102"/>
  <c r="C423" i="102"/>
  <c r="C422" i="102"/>
  <c r="C421" i="102"/>
  <c r="C420" i="102"/>
  <c r="C419" i="102"/>
  <c r="C418" i="102"/>
  <c r="C417" i="102"/>
  <c r="C416" i="102"/>
  <c r="C415" i="102"/>
  <c r="C414" i="102"/>
  <c r="C413" i="102"/>
  <c r="C412" i="102"/>
  <c r="C411" i="102"/>
  <c r="C410" i="102"/>
  <c r="C409" i="102"/>
  <c r="C408" i="102"/>
  <c r="C407" i="102"/>
  <c r="C406" i="102"/>
  <c r="C405" i="102"/>
  <c r="C404" i="102"/>
  <c r="C403" i="102"/>
  <c r="C402" i="102"/>
  <c r="E102" i="102"/>
  <c r="E103" i="102"/>
  <c r="E104" i="102"/>
  <c r="E105" i="102"/>
  <c r="E106" i="102"/>
  <c r="E107" i="102"/>
  <c r="E108" i="102"/>
  <c r="E109" i="102"/>
  <c r="E110" i="102"/>
  <c r="E111" i="102"/>
  <c r="E112" i="102"/>
  <c r="E113" i="102"/>
  <c r="E114" i="102"/>
  <c r="E115" i="102"/>
  <c r="E116" i="102"/>
  <c r="E117" i="102"/>
  <c r="E118" i="102"/>
  <c r="E119" i="102"/>
  <c r="E120" i="102"/>
  <c r="E121" i="102"/>
  <c r="E122" i="102"/>
  <c r="E123" i="102"/>
  <c r="E124" i="102"/>
  <c r="E125" i="102"/>
  <c r="E126" i="102"/>
  <c r="E127" i="102"/>
  <c r="E128" i="102"/>
  <c r="E129" i="102"/>
  <c r="E130" i="102"/>
  <c r="E131" i="102"/>
  <c r="E132" i="102"/>
  <c r="E133" i="102"/>
  <c r="E134" i="102"/>
  <c r="E135" i="102"/>
  <c r="E136" i="102"/>
  <c r="E137" i="102"/>
  <c r="E138" i="102"/>
  <c r="E139" i="102"/>
  <c r="E140" i="102"/>
  <c r="E141" i="102"/>
  <c r="E142" i="102"/>
  <c r="E143" i="102"/>
  <c r="E144" i="102"/>
  <c r="E145" i="102"/>
  <c r="E146" i="102"/>
  <c r="E147" i="102"/>
  <c r="E148" i="102"/>
  <c r="E149" i="102"/>
  <c r="E150" i="102"/>
  <c r="E151" i="102"/>
  <c r="E152" i="102"/>
  <c r="E153" i="102"/>
  <c r="E154" i="102"/>
  <c r="E155" i="102"/>
  <c r="E156" i="102"/>
  <c r="E157" i="102"/>
  <c r="E158" i="102"/>
  <c r="E159" i="102"/>
  <c r="E160" i="102"/>
  <c r="E161" i="102"/>
  <c r="E162" i="102"/>
  <c r="E163" i="102"/>
  <c r="E164" i="102"/>
  <c r="E165" i="102"/>
  <c r="E166" i="102"/>
  <c r="E167" i="102"/>
  <c r="E168" i="102"/>
  <c r="E169" i="102"/>
  <c r="E170" i="102"/>
  <c r="E171" i="102"/>
  <c r="E172" i="102"/>
  <c r="E173" i="102"/>
  <c r="E174" i="102"/>
  <c r="E175" i="102"/>
  <c r="E176" i="102"/>
  <c r="E177" i="102"/>
  <c r="E178" i="102"/>
  <c r="E179" i="102"/>
  <c r="E180" i="102"/>
  <c r="E181" i="102"/>
  <c r="E182" i="102"/>
  <c r="E183" i="102"/>
  <c r="E184" i="102"/>
  <c r="E185" i="102"/>
  <c r="E186" i="102"/>
  <c r="E187" i="102"/>
  <c r="E188" i="102"/>
  <c r="E189" i="102"/>
  <c r="E190" i="102"/>
  <c r="E191" i="102"/>
  <c r="E192" i="102"/>
  <c r="E193" i="102"/>
  <c r="E194" i="102"/>
  <c r="E195" i="102"/>
  <c r="E196" i="102"/>
  <c r="E197" i="102"/>
  <c r="E198" i="102"/>
  <c r="E199" i="102"/>
  <c r="E200" i="102"/>
  <c r="E201" i="102"/>
  <c r="E401" i="102"/>
  <c r="E400" i="102"/>
  <c r="E399" i="102"/>
  <c r="E398" i="102"/>
  <c r="E397" i="102"/>
  <c r="E396" i="102"/>
  <c r="E395" i="102"/>
  <c r="E394" i="102"/>
  <c r="E393" i="102"/>
  <c r="E392" i="102"/>
  <c r="E391" i="102"/>
  <c r="E390" i="102"/>
  <c r="E389" i="102"/>
  <c r="E388" i="102"/>
  <c r="E387" i="102"/>
  <c r="E386" i="102"/>
  <c r="E385" i="102"/>
  <c r="E384" i="102"/>
  <c r="E383" i="102"/>
  <c r="E382" i="102"/>
  <c r="E381" i="102"/>
  <c r="E380" i="102"/>
  <c r="E379" i="102"/>
  <c r="E378" i="102"/>
  <c r="E377" i="102"/>
  <c r="E376" i="102"/>
  <c r="E375" i="102"/>
  <c r="E374" i="102"/>
  <c r="E373" i="102"/>
  <c r="E372" i="102"/>
  <c r="E371" i="102"/>
  <c r="E370" i="102"/>
  <c r="E369" i="102"/>
  <c r="E368" i="102"/>
  <c r="E367" i="102"/>
  <c r="E366" i="102"/>
  <c r="E365" i="102"/>
  <c r="E364" i="102"/>
  <c r="E363" i="102"/>
  <c r="E362" i="102"/>
  <c r="E361" i="102"/>
  <c r="E360" i="102"/>
  <c r="E359" i="102"/>
  <c r="E358" i="102"/>
  <c r="E357" i="102"/>
  <c r="E356" i="102"/>
  <c r="E355" i="102"/>
  <c r="E354" i="102"/>
  <c r="E353" i="102"/>
  <c r="E352" i="102"/>
  <c r="E351" i="102"/>
  <c r="E350" i="102"/>
  <c r="E349" i="102"/>
  <c r="E348" i="102"/>
  <c r="E347" i="102"/>
  <c r="E346" i="102"/>
  <c r="E345" i="102"/>
  <c r="E344" i="102"/>
  <c r="E343" i="102"/>
  <c r="E342" i="102"/>
  <c r="E341" i="102"/>
  <c r="E340" i="102"/>
  <c r="E339" i="102"/>
  <c r="E338" i="102"/>
  <c r="E337" i="102"/>
  <c r="E336" i="102"/>
  <c r="E335" i="102"/>
  <c r="E334" i="102"/>
  <c r="E333" i="102"/>
  <c r="E332" i="102"/>
  <c r="E331" i="102"/>
  <c r="E330" i="102"/>
  <c r="E329" i="102"/>
  <c r="E328" i="102"/>
  <c r="E327" i="102"/>
  <c r="E326" i="102"/>
  <c r="E325" i="102"/>
  <c r="E324" i="102"/>
  <c r="E323" i="102"/>
  <c r="E322" i="102"/>
  <c r="E321" i="102"/>
  <c r="E320" i="102"/>
  <c r="E319" i="102"/>
  <c r="E318" i="102"/>
  <c r="E317" i="102"/>
  <c r="E316" i="102"/>
  <c r="E315" i="102"/>
  <c r="E314" i="102"/>
  <c r="E313" i="102"/>
  <c r="E312" i="102"/>
  <c r="E311" i="102"/>
  <c r="E310" i="102"/>
  <c r="E309" i="102"/>
  <c r="E308" i="102"/>
  <c r="E307" i="102"/>
  <c r="E306" i="102"/>
  <c r="E305" i="102"/>
  <c r="E304" i="102"/>
  <c r="E303" i="102"/>
  <c r="E302" i="102"/>
  <c r="D401" i="102"/>
  <c r="D400" i="102"/>
  <c r="D399" i="102"/>
  <c r="D398" i="102"/>
  <c r="D397" i="102"/>
  <c r="D396" i="102"/>
  <c r="D395" i="102"/>
  <c r="D394" i="102"/>
  <c r="D393" i="102"/>
  <c r="D392" i="102"/>
  <c r="D391" i="102"/>
  <c r="D390" i="102"/>
  <c r="D389" i="102"/>
  <c r="D388" i="102"/>
  <c r="D387" i="102"/>
  <c r="D386" i="102"/>
  <c r="D385" i="102"/>
  <c r="D384" i="102"/>
  <c r="D383" i="102"/>
  <c r="D382" i="102"/>
  <c r="D381" i="102"/>
  <c r="D380" i="102"/>
  <c r="D379" i="102"/>
  <c r="D378" i="102"/>
  <c r="D377" i="102"/>
  <c r="D376" i="102"/>
  <c r="D375" i="102"/>
  <c r="D374" i="102"/>
  <c r="D373" i="102"/>
  <c r="D372" i="102"/>
  <c r="D371" i="102"/>
  <c r="D370" i="102"/>
  <c r="D369" i="102"/>
  <c r="D368" i="102"/>
  <c r="D367" i="102"/>
  <c r="D366" i="102"/>
  <c r="D365" i="102"/>
  <c r="D364" i="102"/>
  <c r="D363" i="102"/>
  <c r="D362" i="102"/>
  <c r="D361" i="102"/>
  <c r="D360" i="102"/>
  <c r="D359" i="102"/>
  <c r="D358" i="102"/>
  <c r="D357" i="102"/>
  <c r="D356" i="102"/>
  <c r="D355" i="102"/>
  <c r="D354" i="102"/>
  <c r="D353" i="102"/>
  <c r="D352" i="102"/>
  <c r="D351" i="102"/>
  <c r="D350" i="102"/>
  <c r="D349" i="102"/>
  <c r="D348" i="102"/>
  <c r="D347" i="102"/>
  <c r="D346" i="102"/>
  <c r="D345" i="102"/>
  <c r="D344" i="102"/>
  <c r="D343" i="102"/>
  <c r="D342" i="102"/>
  <c r="D341" i="102"/>
  <c r="D340" i="102"/>
  <c r="D339" i="102"/>
  <c r="D338" i="102"/>
  <c r="D337" i="102"/>
  <c r="D336" i="102"/>
  <c r="D335" i="102"/>
  <c r="D334" i="102"/>
  <c r="D333" i="102"/>
  <c r="D332" i="102"/>
  <c r="D331" i="102"/>
  <c r="D330" i="102"/>
  <c r="D329" i="102"/>
  <c r="D328" i="102"/>
  <c r="D327" i="102"/>
  <c r="D326" i="102"/>
  <c r="D325" i="102"/>
  <c r="D324" i="102"/>
  <c r="D323" i="102"/>
  <c r="D322" i="102"/>
  <c r="D321" i="102"/>
  <c r="D320" i="102"/>
  <c r="D319" i="102"/>
  <c r="D318" i="102"/>
  <c r="D317" i="102"/>
  <c r="D316" i="102"/>
  <c r="D315" i="102"/>
  <c r="D314" i="102"/>
  <c r="D313" i="102"/>
  <c r="D312" i="102"/>
  <c r="D311" i="102"/>
  <c r="D310" i="102"/>
  <c r="D309" i="102"/>
  <c r="D308" i="102"/>
  <c r="D307" i="102"/>
  <c r="D306" i="102"/>
  <c r="D305" i="102"/>
  <c r="D304" i="102"/>
  <c r="D303" i="102"/>
  <c r="D302" i="102"/>
  <c r="C401" i="102"/>
  <c r="C400" i="102"/>
  <c r="C399" i="102"/>
  <c r="C398" i="102"/>
  <c r="C397" i="102"/>
  <c r="C396" i="102"/>
  <c r="C395" i="102"/>
  <c r="C394" i="102"/>
  <c r="C393" i="102"/>
  <c r="C392" i="102"/>
  <c r="C391" i="102"/>
  <c r="C390" i="102"/>
  <c r="C389" i="102"/>
  <c r="C388" i="102"/>
  <c r="C387" i="102"/>
  <c r="C386" i="102"/>
  <c r="C385" i="102"/>
  <c r="C384" i="102"/>
  <c r="C383" i="102"/>
  <c r="C382" i="102"/>
  <c r="C381" i="102"/>
  <c r="C380" i="102"/>
  <c r="C379" i="102"/>
  <c r="C378" i="102"/>
  <c r="C377" i="102"/>
  <c r="C376" i="102"/>
  <c r="C375" i="102"/>
  <c r="C374" i="102"/>
  <c r="C373" i="102"/>
  <c r="C372" i="102"/>
  <c r="C371" i="102"/>
  <c r="C370" i="102"/>
  <c r="C369" i="102"/>
  <c r="C368" i="102"/>
  <c r="C367" i="102"/>
  <c r="C366" i="102"/>
  <c r="C365" i="102"/>
  <c r="C364" i="102"/>
  <c r="C363" i="102"/>
  <c r="C362" i="102"/>
  <c r="C361" i="102"/>
  <c r="C360" i="102"/>
  <c r="C359" i="102"/>
  <c r="C358" i="102"/>
  <c r="C357" i="102"/>
  <c r="C356" i="102"/>
  <c r="C355" i="102"/>
  <c r="C354" i="102"/>
  <c r="C353" i="102"/>
  <c r="C352" i="102"/>
  <c r="C351" i="102"/>
  <c r="C350" i="102"/>
  <c r="C349" i="102"/>
  <c r="C348" i="102"/>
  <c r="C347" i="102"/>
  <c r="C346" i="102"/>
  <c r="C345" i="102"/>
  <c r="C344" i="102"/>
  <c r="C343" i="102"/>
  <c r="C342" i="102"/>
  <c r="C341" i="102"/>
  <c r="C340" i="102"/>
  <c r="C339" i="102"/>
  <c r="C338" i="102"/>
  <c r="C337" i="102"/>
  <c r="C336" i="102"/>
  <c r="C335" i="102"/>
  <c r="C334" i="102"/>
  <c r="C333" i="102"/>
  <c r="C332" i="102"/>
  <c r="C331" i="102"/>
  <c r="C330" i="102"/>
  <c r="C329" i="102"/>
  <c r="C328" i="102"/>
  <c r="C327" i="102"/>
  <c r="C326" i="102"/>
  <c r="C325" i="102"/>
  <c r="C324" i="102"/>
  <c r="C323" i="102"/>
  <c r="C322" i="102"/>
  <c r="C321" i="102"/>
  <c r="C320" i="102"/>
  <c r="C319" i="102"/>
  <c r="C318" i="102"/>
  <c r="C317" i="102"/>
  <c r="C316" i="102"/>
  <c r="C315" i="102"/>
  <c r="C314" i="102"/>
  <c r="C313" i="102"/>
  <c r="C312" i="102"/>
  <c r="C311" i="102"/>
  <c r="C310" i="102"/>
  <c r="C309" i="102"/>
  <c r="C308" i="102"/>
  <c r="C307" i="102"/>
  <c r="C306" i="102"/>
  <c r="C305" i="102"/>
  <c r="C304" i="102"/>
  <c r="C303" i="102"/>
  <c r="C302" i="102"/>
  <c r="E301" i="102"/>
  <c r="E300" i="102"/>
  <c r="E299" i="102"/>
  <c r="E298" i="102"/>
  <c r="E297" i="102"/>
  <c r="E296" i="102"/>
  <c r="E295" i="102"/>
  <c r="E294" i="102"/>
  <c r="E293" i="102"/>
  <c r="E292" i="102"/>
  <c r="E291" i="102"/>
  <c r="E290" i="102"/>
  <c r="E289" i="102"/>
  <c r="E288" i="102"/>
  <c r="E287" i="102"/>
  <c r="E286" i="102"/>
  <c r="E285" i="102"/>
  <c r="E284" i="102"/>
  <c r="E283" i="102"/>
  <c r="E282" i="102"/>
  <c r="E281" i="102"/>
  <c r="E280" i="102"/>
  <c r="E279" i="102"/>
  <c r="E278" i="102"/>
  <c r="E277" i="102"/>
  <c r="E276" i="102"/>
  <c r="E275" i="102"/>
  <c r="E274" i="102"/>
  <c r="E273" i="102"/>
  <c r="E272" i="102"/>
  <c r="E271" i="102"/>
  <c r="E270" i="102"/>
  <c r="E269" i="102"/>
  <c r="E268" i="102"/>
  <c r="E267" i="102"/>
  <c r="E266" i="102"/>
  <c r="E265" i="102"/>
  <c r="E264" i="102"/>
  <c r="E263" i="102"/>
  <c r="E262" i="102"/>
  <c r="E261" i="102"/>
  <c r="E260" i="102"/>
  <c r="E259" i="102"/>
  <c r="E258" i="102"/>
  <c r="E257" i="102"/>
  <c r="E256" i="102"/>
  <c r="E255" i="102"/>
  <c r="E254" i="102"/>
  <c r="E253" i="102"/>
  <c r="E252" i="102"/>
  <c r="E251" i="102"/>
  <c r="E250" i="102"/>
  <c r="E249" i="102"/>
  <c r="E248" i="102"/>
  <c r="E247" i="102"/>
  <c r="E246" i="102"/>
  <c r="E245" i="102"/>
  <c r="E244" i="102"/>
  <c r="E243" i="102"/>
  <c r="E242" i="102"/>
  <c r="E241" i="102"/>
  <c r="E240" i="102"/>
  <c r="E239" i="102"/>
  <c r="E238" i="102"/>
  <c r="E237" i="102"/>
  <c r="E236" i="102"/>
  <c r="E235" i="102"/>
  <c r="E234" i="102"/>
  <c r="E233" i="102"/>
  <c r="E232" i="102"/>
  <c r="E231" i="102"/>
  <c r="E230" i="102"/>
  <c r="E229" i="102"/>
  <c r="E228" i="102"/>
  <c r="E227" i="102"/>
  <c r="E226" i="102"/>
  <c r="E225" i="102"/>
  <c r="E224" i="102"/>
  <c r="E223" i="102"/>
  <c r="E222" i="102"/>
  <c r="E221" i="102"/>
  <c r="E220" i="102"/>
  <c r="E219" i="102"/>
  <c r="E218" i="102"/>
  <c r="E217" i="102"/>
  <c r="E216" i="102"/>
  <c r="E215" i="102"/>
  <c r="E214" i="102"/>
  <c r="E213" i="102"/>
  <c r="E212" i="102"/>
  <c r="E211" i="102"/>
  <c r="E210" i="102"/>
  <c r="E209" i="102"/>
  <c r="E208" i="102"/>
  <c r="E207" i="102"/>
  <c r="E206" i="102"/>
  <c r="E205" i="102"/>
  <c r="E204" i="102"/>
  <c r="E203" i="102"/>
  <c r="E202" i="102"/>
  <c r="D301" i="102" l="1"/>
  <c r="D300" i="102"/>
  <c r="D299" i="102"/>
  <c r="D298" i="102"/>
  <c r="D297" i="102"/>
  <c r="D296" i="102"/>
  <c r="D295" i="102"/>
  <c r="D294" i="102"/>
  <c r="D293" i="102"/>
  <c r="D292" i="102"/>
  <c r="D291" i="102"/>
  <c r="D290" i="102"/>
  <c r="D289" i="102"/>
  <c r="D288" i="102"/>
  <c r="D287" i="102"/>
  <c r="D286" i="102"/>
  <c r="D285" i="102"/>
  <c r="D284" i="102"/>
  <c r="D283" i="102"/>
  <c r="D282" i="102"/>
  <c r="D281" i="102"/>
  <c r="D280" i="102"/>
  <c r="D279" i="102"/>
  <c r="D278" i="102"/>
  <c r="D277" i="102"/>
  <c r="D276" i="102"/>
  <c r="D275" i="102"/>
  <c r="D274" i="102"/>
  <c r="D273" i="102"/>
  <c r="D272" i="102"/>
  <c r="D271" i="102"/>
  <c r="D270" i="102"/>
  <c r="D269" i="102"/>
  <c r="D268" i="102"/>
  <c r="D267" i="102"/>
  <c r="D266" i="102"/>
  <c r="D265" i="102"/>
  <c r="D264" i="102"/>
  <c r="D263" i="102"/>
  <c r="D262" i="102"/>
  <c r="D261" i="102"/>
  <c r="D260" i="102"/>
  <c r="D259" i="102"/>
  <c r="D258" i="102"/>
  <c r="D257" i="102"/>
  <c r="D256" i="102"/>
  <c r="D255" i="102"/>
  <c r="D254" i="102"/>
  <c r="D253" i="102"/>
  <c r="D252" i="102"/>
  <c r="D251" i="102"/>
  <c r="D250" i="102"/>
  <c r="D249" i="102"/>
  <c r="D248" i="102"/>
  <c r="D247" i="102"/>
  <c r="D246" i="102"/>
  <c r="D245" i="102"/>
  <c r="D244" i="102"/>
  <c r="D243" i="102"/>
  <c r="D242" i="102"/>
  <c r="D241" i="102"/>
  <c r="D240" i="102"/>
  <c r="D239" i="102"/>
  <c r="D238" i="102"/>
  <c r="D237" i="102"/>
  <c r="D236" i="102"/>
  <c r="D235" i="102"/>
  <c r="D234" i="102"/>
  <c r="D233" i="102"/>
  <c r="D232" i="102"/>
  <c r="D231" i="102"/>
  <c r="D230" i="102"/>
  <c r="D229" i="102"/>
  <c r="D228" i="102"/>
  <c r="D227" i="102"/>
  <c r="D226" i="102"/>
  <c r="D225" i="102"/>
  <c r="D224" i="102"/>
  <c r="D223" i="102"/>
  <c r="D222" i="102"/>
  <c r="D221" i="102"/>
  <c r="D220" i="102"/>
  <c r="D219" i="102"/>
  <c r="D218" i="102"/>
  <c r="D217" i="102"/>
  <c r="D216" i="102"/>
  <c r="D215" i="102"/>
  <c r="D214" i="102"/>
  <c r="D213" i="102"/>
  <c r="D212" i="102"/>
  <c r="D211" i="102"/>
  <c r="D210" i="102"/>
  <c r="D209" i="102"/>
  <c r="D208" i="102"/>
  <c r="D207" i="102"/>
  <c r="D206" i="102"/>
  <c r="D205" i="102"/>
  <c r="D204" i="102"/>
  <c r="D203" i="102"/>
  <c r="D202" i="102"/>
  <c r="C203" i="102"/>
  <c r="C204" i="102"/>
  <c r="C205" i="102"/>
  <c r="C206" i="102"/>
  <c r="C207" i="102"/>
  <c r="C208" i="102"/>
  <c r="C209" i="102"/>
  <c r="C210" i="102"/>
  <c r="C211" i="102"/>
  <c r="C212" i="102"/>
  <c r="C213" i="102"/>
  <c r="C214" i="102"/>
  <c r="C215" i="102"/>
  <c r="C216" i="102"/>
  <c r="C217" i="102"/>
  <c r="C218" i="102"/>
  <c r="C219" i="102"/>
  <c r="C220" i="102"/>
  <c r="C221" i="102"/>
  <c r="C222" i="102"/>
  <c r="C223" i="102"/>
  <c r="C224" i="102"/>
  <c r="C225" i="102"/>
  <c r="C226" i="102"/>
  <c r="C227" i="102"/>
  <c r="C228" i="102"/>
  <c r="C229" i="102"/>
  <c r="C230" i="102"/>
  <c r="C231" i="102"/>
  <c r="C232" i="102"/>
  <c r="C233" i="102"/>
  <c r="C234" i="102"/>
  <c r="C235" i="102"/>
  <c r="C236" i="102"/>
  <c r="C237" i="102"/>
  <c r="C238" i="102"/>
  <c r="C239" i="102"/>
  <c r="C240" i="102"/>
  <c r="C241" i="102"/>
  <c r="C242" i="102"/>
  <c r="C243" i="102"/>
  <c r="C244" i="102"/>
  <c r="C245" i="102"/>
  <c r="C246" i="102"/>
  <c r="C247" i="102"/>
  <c r="C248" i="102"/>
  <c r="C249" i="102"/>
  <c r="C250" i="102"/>
  <c r="C251" i="102"/>
  <c r="C252" i="102"/>
  <c r="C253" i="102"/>
  <c r="C254" i="102"/>
  <c r="C255" i="102"/>
  <c r="C256" i="102"/>
  <c r="C257" i="102"/>
  <c r="C258" i="102"/>
  <c r="C259" i="102"/>
  <c r="C260" i="102"/>
  <c r="C261" i="102"/>
  <c r="C262" i="102"/>
  <c r="C263" i="102"/>
  <c r="C264" i="102"/>
  <c r="C265" i="102"/>
  <c r="C266" i="102"/>
  <c r="C267" i="102"/>
  <c r="C268" i="102"/>
  <c r="C269" i="102"/>
  <c r="C270" i="102"/>
  <c r="C271" i="102"/>
  <c r="C272" i="102"/>
  <c r="C273" i="102"/>
  <c r="C274" i="102"/>
  <c r="C275" i="102"/>
  <c r="C276" i="102"/>
  <c r="C277" i="102"/>
  <c r="C278" i="102"/>
  <c r="C279" i="102"/>
  <c r="C280" i="102"/>
  <c r="C281" i="102"/>
  <c r="C282" i="102"/>
  <c r="C283" i="102"/>
  <c r="C284" i="102"/>
  <c r="C285" i="102"/>
  <c r="C286" i="102"/>
  <c r="C287" i="102"/>
  <c r="C288" i="102"/>
  <c r="C289" i="102"/>
  <c r="C290" i="102"/>
  <c r="C291" i="102"/>
  <c r="C292" i="102"/>
  <c r="C293" i="102"/>
  <c r="C294" i="102"/>
  <c r="C295" i="102"/>
  <c r="C296" i="102"/>
  <c r="C297" i="102"/>
  <c r="C298" i="102"/>
  <c r="C299" i="102"/>
  <c r="C300" i="102"/>
  <c r="C301" i="102"/>
  <c r="C202" i="102"/>
  <c r="C201" i="102"/>
  <c r="C134" i="102"/>
  <c r="C135" i="102"/>
  <c r="C136" i="102"/>
  <c r="C137" i="102"/>
  <c r="C138" i="102"/>
  <c r="C139" i="102"/>
  <c r="C140" i="102"/>
  <c r="C141" i="102"/>
  <c r="C142" i="102"/>
  <c r="C143" i="102"/>
  <c r="C144" i="102"/>
  <c r="C145" i="102"/>
  <c r="C146" i="102"/>
  <c r="C147" i="102"/>
  <c r="C148" i="102"/>
  <c r="C149" i="102"/>
  <c r="C150" i="102"/>
  <c r="C151" i="102"/>
  <c r="C152" i="102"/>
  <c r="C153" i="102"/>
  <c r="C154" i="102"/>
  <c r="C155" i="102"/>
  <c r="C156" i="102"/>
  <c r="C157" i="102"/>
  <c r="C158" i="102"/>
  <c r="C159" i="102"/>
  <c r="C160" i="102"/>
  <c r="C161" i="102"/>
  <c r="C162" i="102"/>
  <c r="C163" i="102"/>
  <c r="C164" i="102"/>
  <c r="C165" i="102"/>
  <c r="C166" i="102"/>
  <c r="C167" i="102"/>
  <c r="C168" i="102"/>
  <c r="C169" i="102"/>
  <c r="C170" i="102"/>
  <c r="C171" i="102"/>
  <c r="C172" i="102"/>
  <c r="C173" i="102"/>
  <c r="C174" i="102"/>
  <c r="C175" i="102"/>
  <c r="C176" i="102"/>
  <c r="C177" i="102"/>
  <c r="C178" i="102"/>
  <c r="C179" i="102"/>
  <c r="C180" i="102"/>
  <c r="C181" i="102"/>
  <c r="C182" i="102"/>
  <c r="C183" i="102"/>
  <c r="C184" i="102"/>
  <c r="C185" i="102"/>
  <c r="C186" i="102"/>
  <c r="C187" i="102"/>
  <c r="C188" i="102"/>
  <c r="C189" i="102"/>
  <c r="C190" i="102"/>
  <c r="C191" i="102"/>
  <c r="C192" i="102"/>
  <c r="C193" i="102"/>
  <c r="C194" i="102"/>
  <c r="C195" i="102"/>
  <c r="C196" i="102"/>
  <c r="C197" i="102"/>
  <c r="C198" i="102"/>
  <c r="C199" i="102"/>
  <c r="C200" i="102"/>
  <c r="C103" i="102"/>
  <c r="C104" i="102"/>
  <c r="C105" i="102"/>
  <c r="C106" i="102"/>
  <c r="C107" i="102"/>
  <c r="C108" i="102"/>
  <c r="C109" i="102"/>
  <c r="C110" i="102"/>
  <c r="C111" i="102"/>
  <c r="C112" i="102"/>
  <c r="C113" i="102"/>
  <c r="C114" i="102"/>
  <c r="C115" i="102"/>
  <c r="C116" i="102"/>
  <c r="C117" i="102"/>
  <c r="C118" i="102"/>
  <c r="C119" i="102"/>
  <c r="C120" i="102"/>
  <c r="C121" i="102"/>
  <c r="C122" i="102"/>
  <c r="C123" i="102"/>
  <c r="C124" i="102"/>
  <c r="C125" i="102"/>
  <c r="C126" i="102"/>
  <c r="C127" i="102"/>
  <c r="C128" i="102"/>
  <c r="C129" i="102"/>
  <c r="C130" i="102"/>
  <c r="C131" i="102"/>
  <c r="C132" i="102"/>
  <c r="C133" i="102"/>
  <c r="C102" i="102"/>
  <c r="AB93" i="68"/>
  <c r="AA93" i="68"/>
  <c r="Z93" i="68"/>
  <c r="X93" i="68"/>
  <c r="W93" i="68"/>
  <c r="V93" i="68"/>
  <c r="K93" i="68"/>
  <c r="J93" i="68"/>
  <c r="I93" i="68"/>
  <c r="G93" i="68"/>
  <c r="F93" i="68"/>
  <c r="E93" i="68"/>
  <c r="AB70" i="68"/>
  <c r="AA70" i="68"/>
  <c r="Z70" i="68"/>
  <c r="X70" i="68"/>
  <c r="W70" i="68"/>
  <c r="V70" i="68"/>
  <c r="K70" i="68"/>
  <c r="J70" i="68"/>
  <c r="I70" i="68"/>
  <c r="G70" i="68"/>
  <c r="F70" i="68"/>
  <c r="G41" i="68"/>
  <c r="F41" i="68"/>
  <c r="E70" i="68"/>
  <c r="Z41" i="68"/>
  <c r="X41" i="68"/>
  <c r="W41" i="68"/>
  <c r="V41" i="68"/>
  <c r="I41" i="68"/>
  <c r="E41" i="68"/>
  <c r="X18" i="68"/>
  <c r="W18" i="68"/>
  <c r="V18" i="68"/>
  <c r="G18" i="68"/>
  <c r="F18" i="68"/>
  <c r="E18" i="68"/>
  <c r="P16" i="81"/>
  <c r="P15" i="81"/>
  <c r="C16" i="81"/>
  <c r="C15" i="81"/>
  <c r="K29" i="67"/>
  <c r="C29" i="67"/>
  <c r="K28" i="67"/>
  <c r="K27" i="67"/>
  <c r="K26" i="67"/>
  <c r="K25" i="67"/>
  <c r="K24" i="67"/>
  <c r="C28" i="67"/>
  <c r="C27" i="67"/>
  <c r="C26" i="67"/>
  <c r="C25" i="67"/>
  <c r="C24" i="67"/>
  <c r="A4" i="69"/>
  <c r="L17" i="69" s="1"/>
  <c r="A5" i="69"/>
  <c r="O18" i="69"/>
  <c r="N18" i="69"/>
  <c r="M18" i="69"/>
  <c r="L18" i="69"/>
  <c r="H18" i="69"/>
  <c r="G18" i="69"/>
  <c r="F18" i="69"/>
  <c r="E18" i="69"/>
  <c r="N41" i="62"/>
  <c r="N40" i="62"/>
  <c r="N39" i="62"/>
  <c r="N38" i="62"/>
  <c r="N37" i="62"/>
  <c r="N36" i="62"/>
  <c r="N35" i="62"/>
  <c r="C41" i="62"/>
  <c r="C40" i="62"/>
  <c r="C39" i="62"/>
  <c r="C38" i="62"/>
  <c r="C37" i="62"/>
  <c r="C36" i="62"/>
  <c r="C35" i="62"/>
  <c r="Q51" i="62"/>
  <c r="P51" i="62"/>
  <c r="O51" i="62"/>
  <c r="Q33" i="62"/>
  <c r="P33" i="62"/>
  <c r="O33" i="62"/>
  <c r="F51" i="62"/>
  <c r="E51" i="62"/>
  <c r="D51" i="62"/>
  <c r="F33" i="62"/>
  <c r="E33" i="62"/>
  <c r="D33" i="62"/>
  <c r="F14" i="62"/>
  <c r="E14" i="62"/>
  <c r="D14" i="62"/>
  <c r="O18" i="65"/>
  <c r="O17" i="65"/>
  <c r="O16" i="65"/>
  <c r="O15" i="65"/>
  <c r="C18" i="65"/>
  <c r="C17" i="65"/>
  <c r="C16" i="65"/>
  <c r="C15" i="65"/>
  <c r="Q16" i="65"/>
  <c r="P16" i="65"/>
  <c r="E16" i="65"/>
  <c r="D16" i="65"/>
  <c r="X44" i="64"/>
  <c r="AF20" i="64"/>
  <c r="AD20" i="64"/>
  <c r="AC20" i="64"/>
  <c r="AB20" i="64"/>
  <c r="AA20" i="64"/>
  <c r="Z20" i="64"/>
  <c r="Y20" i="64"/>
  <c r="X20" i="64"/>
  <c r="D44" i="64"/>
  <c r="L20" i="64"/>
  <c r="J20" i="64"/>
  <c r="I20" i="64"/>
  <c r="H20" i="64"/>
  <c r="G20" i="64"/>
  <c r="F20" i="64"/>
  <c r="E20" i="64"/>
  <c r="D20" i="64"/>
  <c r="AJ21" i="66"/>
  <c r="AI21" i="66"/>
  <c r="AH21" i="66"/>
  <c r="AG21" i="66"/>
  <c r="AF21" i="66"/>
  <c r="AD21" i="66"/>
  <c r="AC21" i="66"/>
  <c r="AB21" i="66"/>
  <c r="Z21" i="66"/>
  <c r="Y21" i="66"/>
  <c r="Y20" i="66"/>
  <c r="W21" i="66"/>
  <c r="U21" i="66"/>
  <c r="S20" i="66"/>
  <c r="P20" i="66"/>
  <c r="O20" i="66"/>
  <c r="N20" i="66"/>
  <c r="M21" i="66"/>
  <c r="L21" i="66"/>
  <c r="K21" i="66"/>
  <c r="J21" i="66"/>
  <c r="I21" i="66"/>
  <c r="H21" i="66"/>
  <c r="G21" i="66"/>
  <c r="E21" i="66"/>
  <c r="D21" i="66"/>
  <c r="C20" i="66"/>
  <c r="K16" i="69"/>
  <c r="AJ20" i="66" l="1"/>
  <c r="AI20" i="66"/>
  <c r="AH20" i="66"/>
  <c r="AG20" i="66"/>
  <c r="AD20" i="66"/>
  <c r="AA95" i="68"/>
  <c r="AD95" i="68" s="1"/>
  <c r="Z95" i="68"/>
  <c r="AA94" i="68"/>
  <c r="AD94" i="68" s="1"/>
  <c r="Z94" i="68"/>
  <c r="W95" i="68"/>
  <c r="V95" i="68"/>
  <c r="W94" i="68"/>
  <c r="V94" i="68"/>
  <c r="AA85" i="68"/>
  <c r="AD85" i="68" s="1"/>
  <c r="Z85" i="68"/>
  <c r="AC85" i="68" s="1"/>
  <c r="AA84" i="68"/>
  <c r="AD84" i="68" s="1"/>
  <c r="Z84" i="68"/>
  <c r="AC84" i="68" s="1"/>
  <c r="AA83" i="68"/>
  <c r="AD83" i="68" s="1"/>
  <c r="Z83" i="68"/>
  <c r="AC83" i="68" s="1"/>
  <c r="AA82" i="68"/>
  <c r="AD82" i="68" s="1"/>
  <c r="Z82" i="68"/>
  <c r="AC82" i="68" s="1"/>
  <c r="AA81" i="68"/>
  <c r="AD81" i="68" s="1"/>
  <c r="Z81" i="68"/>
  <c r="AC81" i="68" s="1"/>
  <c r="AA80" i="68"/>
  <c r="Z80" i="68"/>
  <c r="AA79" i="68"/>
  <c r="AD79" i="68" s="1"/>
  <c r="Z79" i="68"/>
  <c r="AC79" i="68" s="1"/>
  <c r="AA78" i="68"/>
  <c r="AD78" i="68" s="1"/>
  <c r="Z78" i="68"/>
  <c r="AA77" i="68"/>
  <c r="AD77" i="68" s="1"/>
  <c r="Z77" i="68"/>
  <c r="AC77" i="68" s="1"/>
  <c r="AA76" i="68"/>
  <c r="AD76" i="68" s="1"/>
  <c r="Z76" i="68"/>
  <c r="AA75" i="68"/>
  <c r="AD75" i="68" s="1"/>
  <c r="Z75" i="68"/>
  <c r="AC75" i="68" s="1"/>
  <c r="AA74" i="68"/>
  <c r="Z74" i="68"/>
  <c r="AA73" i="68"/>
  <c r="AD73" i="68" s="1"/>
  <c r="Z73" i="68"/>
  <c r="AC73" i="68" s="1"/>
  <c r="AA72" i="68"/>
  <c r="AD72" i="68" s="1"/>
  <c r="Z72" i="68"/>
  <c r="AA71" i="68"/>
  <c r="AD71" i="68" s="1"/>
  <c r="Z71" i="68"/>
  <c r="W85" i="68"/>
  <c r="V85" i="68"/>
  <c r="W84" i="68"/>
  <c r="V84" i="68"/>
  <c r="W83" i="68"/>
  <c r="V83" i="68"/>
  <c r="W82" i="68"/>
  <c r="V82" i="68"/>
  <c r="W81" i="68"/>
  <c r="V81" i="68"/>
  <c r="W80" i="68"/>
  <c r="V80" i="68"/>
  <c r="W79" i="68"/>
  <c r="V79" i="68"/>
  <c r="W78" i="68"/>
  <c r="V78" i="68"/>
  <c r="W77" i="68"/>
  <c r="V77" i="68"/>
  <c r="W76" i="68"/>
  <c r="V76" i="68"/>
  <c r="W75" i="68"/>
  <c r="V75" i="68"/>
  <c r="W74" i="68"/>
  <c r="V74" i="68"/>
  <c r="W73" i="68"/>
  <c r="V73" i="68"/>
  <c r="W72" i="68"/>
  <c r="V72" i="68"/>
  <c r="W71" i="68"/>
  <c r="V71" i="68"/>
  <c r="W19" i="68"/>
  <c r="A5" i="68"/>
  <c r="A6" i="68"/>
  <c r="A5" i="81"/>
  <c r="A6" i="81"/>
  <c r="A5" i="67"/>
  <c r="A6" i="67"/>
  <c r="A5" i="65"/>
  <c r="A6" i="65"/>
  <c r="W50" i="64"/>
  <c r="W49" i="64"/>
  <c r="W48" i="64"/>
  <c r="W47" i="64"/>
  <c r="W46" i="64"/>
  <c r="W45" i="64"/>
  <c r="W36" i="64"/>
  <c r="W35" i="64"/>
  <c r="W34" i="64"/>
  <c r="W33" i="64"/>
  <c r="W32" i="64"/>
  <c r="W31" i="64"/>
  <c r="W30" i="64"/>
  <c r="W29" i="64"/>
  <c r="W28" i="64"/>
  <c r="W27" i="64"/>
  <c r="W26" i="64"/>
  <c r="W25" i="64"/>
  <c r="W24" i="64"/>
  <c r="W23" i="64"/>
  <c r="W22" i="64"/>
  <c r="W21" i="64"/>
  <c r="A5" i="64"/>
  <c r="A6" i="64"/>
  <c r="AC94" i="68" l="1"/>
  <c r="AC72" i="68"/>
  <c r="AD74" i="68"/>
  <c r="AD80" i="68"/>
  <c r="AC74" i="68"/>
  <c r="AC76" i="68"/>
  <c r="AC78" i="68"/>
  <c r="AC80" i="68"/>
  <c r="AC71" i="68"/>
  <c r="AC95" i="68"/>
  <c r="AG35" i="64"/>
  <c r="AG24" i="64"/>
  <c r="AG30" i="64"/>
  <c r="AG23" i="64"/>
  <c r="AG22" i="64"/>
  <c r="AG29" i="64"/>
  <c r="AG31" i="64"/>
  <c r="AG27" i="64"/>
  <c r="AG21" i="64"/>
  <c r="AG28" i="64"/>
  <c r="AG34" i="64"/>
  <c r="AG33" i="64"/>
  <c r="AG26" i="64"/>
  <c r="AH96" i="68" l="1"/>
  <c r="AH95" i="68"/>
  <c r="AH94" i="68"/>
  <c r="AH85" i="68"/>
  <c r="AH84" i="68"/>
  <c r="AH83" i="68"/>
  <c r="AH82" i="68"/>
  <c r="AH81" i="68"/>
  <c r="AH80" i="68"/>
  <c r="AH79" i="68"/>
  <c r="AH78" i="68"/>
  <c r="AH77" i="68"/>
  <c r="AH76" i="68"/>
  <c r="AH75" i="68"/>
  <c r="AH74" i="68"/>
  <c r="AH73" i="68"/>
  <c r="AH72" i="68"/>
  <c r="AH71" i="68"/>
  <c r="AE34" i="68"/>
  <c r="AE33" i="68"/>
  <c r="AE32" i="68"/>
  <c r="AE31" i="68"/>
  <c r="AE30" i="68"/>
  <c r="AE29" i="68"/>
  <c r="AE28" i="68"/>
  <c r="AE27" i="68"/>
  <c r="AE26" i="68"/>
  <c r="AE25" i="68"/>
  <c r="AE24" i="68"/>
  <c r="AE23" i="68"/>
  <c r="AE22" i="68"/>
  <c r="AE21" i="68"/>
  <c r="AE20" i="68"/>
  <c r="AE19" i="68"/>
  <c r="L6" i="62"/>
  <c r="M12" i="62" s="1"/>
  <c r="A6" i="62"/>
  <c r="B12" i="62" s="1"/>
  <c r="C50" i="64"/>
  <c r="C49" i="64"/>
  <c r="C48" i="64"/>
  <c r="C47" i="64"/>
  <c r="C46" i="64"/>
  <c r="C45" i="64"/>
  <c r="C36" i="64"/>
  <c r="C35" i="64"/>
  <c r="C34" i="64"/>
  <c r="C33" i="64"/>
  <c r="C32" i="64"/>
  <c r="C31" i="64"/>
  <c r="C30" i="64"/>
  <c r="C29" i="64"/>
  <c r="C28" i="64"/>
  <c r="C27" i="64"/>
  <c r="C26" i="64"/>
  <c r="C25" i="64"/>
  <c r="C24" i="64"/>
  <c r="C23" i="64"/>
  <c r="C22" i="64"/>
  <c r="C21" i="64"/>
  <c r="L95" i="68"/>
  <c r="L94" i="68"/>
  <c r="E1905" i="102"/>
  <c r="E1903" i="102"/>
  <c r="E1904" i="102"/>
  <c r="E1902" i="102"/>
  <c r="M72" i="68"/>
  <c r="M71" i="68"/>
  <c r="E1900" i="102"/>
  <c r="E1896" i="102"/>
  <c r="M74" i="68"/>
  <c r="M73" i="68"/>
  <c r="E1874" i="102"/>
  <c r="E1873" i="102"/>
  <c r="E1860" i="102"/>
  <c r="E1872" i="102"/>
  <c r="E1859" i="102"/>
  <c r="E1871" i="102"/>
  <c r="E1858" i="102"/>
  <c r="E1870" i="102"/>
  <c r="E1857" i="102"/>
  <c r="E1869" i="102"/>
  <c r="E1856" i="102"/>
  <c r="E1868" i="102"/>
  <c r="E1855" i="102"/>
  <c r="E1867" i="102"/>
  <c r="E1854" i="102"/>
  <c r="E1866" i="102"/>
  <c r="E1853" i="102"/>
  <c r="E1865" i="102"/>
  <c r="E1852" i="102"/>
  <c r="E1864" i="102"/>
  <c r="E1851" i="102"/>
  <c r="E1863" i="102"/>
  <c r="E1850" i="102"/>
  <c r="E1862" i="102"/>
  <c r="E1849" i="102"/>
  <c r="E1861" i="102"/>
  <c r="E1848" i="102"/>
  <c r="E1847" i="102"/>
  <c r="E1846" i="102"/>
  <c r="E1830" i="102"/>
  <c r="E1815" i="102"/>
  <c r="E1829" i="102"/>
  <c r="E1814" i="102"/>
  <c r="E1828" i="102"/>
  <c r="E1813" i="102"/>
  <c r="E1827" i="102"/>
  <c r="E1812" i="102"/>
  <c r="E1826" i="102"/>
  <c r="E1811" i="102"/>
  <c r="E1825" i="102"/>
  <c r="E1810" i="102"/>
  <c r="E1824" i="102"/>
  <c r="E1809" i="102"/>
  <c r="E1823" i="102"/>
  <c r="E1808" i="102"/>
  <c r="E1822" i="102"/>
  <c r="E1807" i="102"/>
  <c r="E1821" i="102"/>
  <c r="E1806" i="102"/>
  <c r="E1820" i="102"/>
  <c r="E1805" i="102"/>
  <c r="E1819" i="102"/>
  <c r="E1804" i="102"/>
  <c r="E1818" i="102"/>
  <c r="E1803" i="102"/>
  <c r="E1817" i="102"/>
  <c r="E1816" i="102"/>
  <c r="E1769" i="102"/>
  <c r="E1768" i="102"/>
  <c r="E1767" i="102"/>
  <c r="E1766" i="102"/>
  <c r="E1765" i="102"/>
  <c r="E1764" i="102"/>
  <c r="E1763" i="102"/>
  <c r="E1762" i="102"/>
  <c r="E1761" i="102"/>
  <c r="E1760" i="102"/>
  <c r="E1759" i="102"/>
  <c r="E1758" i="102"/>
  <c r="E1755" i="102"/>
  <c r="E1754" i="102"/>
  <c r="E1753" i="102"/>
  <c r="E1752" i="102"/>
  <c r="E1751" i="102"/>
  <c r="E1750" i="102"/>
  <c r="E1749" i="102"/>
  <c r="E1748" i="102"/>
  <c r="E1747" i="102"/>
  <c r="E1746" i="102"/>
  <c r="E1745" i="102"/>
  <c r="E1744" i="102"/>
  <c r="E1743" i="102"/>
  <c r="E1742" i="102"/>
  <c r="E1741" i="102"/>
  <c r="E1740" i="102"/>
  <c r="E1739" i="102"/>
  <c r="E1738" i="102"/>
  <c r="E1737" i="102"/>
  <c r="E1735" i="102"/>
  <c r="E1734" i="102"/>
  <c r="E1733" i="102"/>
  <c r="E1730" i="102"/>
  <c r="E1660" i="102"/>
  <c r="E1590" i="102"/>
  <c r="E1520" i="102"/>
  <c r="E1729" i="102"/>
  <c r="E1659" i="102"/>
  <c r="E1589" i="102"/>
  <c r="E1519" i="102"/>
  <c r="E1728" i="102"/>
  <c r="E1658" i="102"/>
  <c r="E1588" i="102"/>
  <c r="E1727" i="102"/>
  <c r="E1657" i="102"/>
  <c r="E1587" i="102"/>
  <c r="E1726" i="102"/>
  <c r="E1656" i="102"/>
  <c r="E1586" i="102"/>
  <c r="E1516" i="102"/>
  <c r="E1725" i="102"/>
  <c r="E1655" i="102"/>
  <c r="E1585" i="102"/>
  <c r="E1515" i="102"/>
  <c r="E1724" i="102"/>
  <c r="E1654" i="102"/>
  <c r="E1584" i="102"/>
  <c r="E1514" i="102"/>
  <c r="E1721" i="102"/>
  <c r="E1651" i="102"/>
  <c r="E1581" i="102"/>
  <c r="E1511" i="102"/>
  <c r="E1720" i="102"/>
  <c r="E1650" i="102"/>
  <c r="E1580" i="102"/>
  <c r="E1510" i="102"/>
  <c r="E1719" i="102"/>
  <c r="E1649" i="102"/>
  <c r="E1579" i="102"/>
  <c r="E1509" i="102"/>
  <c r="E1718" i="102"/>
  <c r="E1648" i="102"/>
  <c r="E1578" i="102"/>
  <c r="E1508" i="102"/>
  <c r="E1717" i="102"/>
  <c r="E1647" i="102"/>
  <c r="E1577" i="102"/>
  <c r="E1507" i="102"/>
  <c r="E1716" i="102"/>
  <c r="E1646" i="102"/>
  <c r="E1576" i="102"/>
  <c r="E1506" i="102"/>
  <c r="E1715" i="102"/>
  <c r="E1645" i="102"/>
  <c r="E1575" i="102"/>
  <c r="E1505" i="102"/>
  <c r="E1714" i="102"/>
  <c r="E1644" i="102"/>
  <c r="E1574" i="102"/>
  <c r="E1504" i="102"/>
  <c r="E1713" i="102"/>
  <c r="E1643" i="102"/>
  <c r="E1573" i="102"/>
  <c r="E1503" i="102"/>
  <c r="E1712" i="102"/>
  <c r="E1642" i="102"/>
  <c r="E1572" i="102"/>
  <c r="E1502" i="102"/>
  <c r="E1711" i="102"/>
  <c r="E1641" i="102"/>
  <c r="E1571" i="102"/>
  <c r="E1501" i="102"/>
  <c r="E1710" i="102"/>
  <c r="E1640" i="102"/>
  <c r="E1570" i="102"/>
  <c r="E1500" i="102"/>
  <c r="E1709" i="102"/>
  <c r="E1639" i="102"/>
  <c r="E1569" i="102"/>
  <c r="E1499" i="102"/>
  <c r="E1708" i="102"/>
  <c r="E1638" i="102"/>
  <c r="E1568" i="102"/>
  <c r="E1498" i="102"/>
  <c r="E1707" i="102"/>
  <c r="E1637" i="102"/>
  <c r="E1567" i="102"/>
  <c r="E1497" i="102"/>
  <c r="E1706" i="102"/>
  <c r="E1636" i="102"/>
  <c r="E1566" i="102"/>
  <c r="E1496" i="102"/>
  <c r="E1705" i="102"/>
  <c r="E1635" i="102"/>
  <c r="E1565" i="102"/>
  <c r="E1495" i="102"/>
  <c r="E1704" i="102"/>
  <c r="E1634" i="102"/>
  <c r="E1564" i="102"/>
  <c r="E1494" i="102"/>
  <c r="E1703" i="102"/>
  <c r="E1633" i="102"/>
  <c r="E1563" i="102"/>
  <c r="E1493" i="102"/>
  <c r="E1702" i="102"/>
  <c r="E1632" i="102"/>
  <c r="E1562" i="102"/>
  <c r="E1492" i="102"/>
  <c r="E1701" i="102"/>
  <c r="E1631" i="102"/>
  <c r="E1561" i="102"/>
  <c r="E1491" i="102"/>
  <c r="E1700" i="102"/>
  <c r="E1630" i="102"/>
  <c r="E1560" i="102"/>
  <c r="E1490" i="102"/>
  <c r="E1699" i="102"/>
  <c r="E1629" i="102"/>
  <c r="E1559" i="102"/>
  <c r="E1489" i="102"/>
  <c r="E1698" i="102"/>
  <c r="E1628" i="102"/>
  <c r="E1558" i="102"/>
  <c r="E1488" i="102"/>
  <c r="E1697" i="102"/>
  <c r="E1627" i="102"/>
  <c r="E1557" i="102"/>
  <c r="E1487" i="102"/>
  <c r="E1696" i="102"/>
  <c r="E1626" i="102"/>
  <c r="E1556" i="102"/>
  <c r="E1486" i="102"/>
  <c r="E1695" i="102"/>
  <c r="E1625" i="102"/>
  <c r="E1555" i="102"/>
  <c r="E1485" i="102"/>
  <c r="E1694" i="102"/>
  <c r="E1624" i="102"/>
  <c r="E1554" i="102"/>
  <c r="E1484" i="102"/>
  <c r="E1693" i="102"/>
  <c r="E1623" i="102"/>
  <c r="E1553" i="102"/>
  <c r="E1483" i="102"/>
  <c r="E1692" i="102"/>
  <c r="E1622" i="102"/>
  <c r="E1552" i="102"/>
  <c r="E1482" i="102"/>
  <c r="E1691" i="102"/>
  <c r="E1621" i="102"/>
  <c r="E1551" i="102"/>
  <c r="E1481" i="102"/>
  <c r="E1690" i="102"/>
  <c r="E1620" i="102"/>
  <c r="E1550" i="102"/>
  <c r="E1480" i="102"/>
  <c r="E1689" i="102"/>
  <c r="E1619" i="102"/>
  <c r="E1549" i="102"/>
  <c r="E1479" i="102"/>
  <c r="E1688" i="102"/>
  <c r="E1618" i="102"/>
  <c r="E1548" i="102"/>
  <c r="E1478" i="102"/>
  <c r="E1687" i="102"/>
  <c r="E1617" i="102"/>
  <c r="E1547" i="102"/>
  <c r="E1477" i="102"/>
  <c r="E1686" i="102"/>
  <c r="E1616" i="102"/>
  <c r="E1546" i="102"/>
  <c r="E1476" i="102"/>
  <c r="E1685" i="102"/>
  <c r="E1615" i="102"/>
  <c r="E1545" i="102"/>
  <c r="E1475" i="102"/>
  <c r="E1684" i="102"/>
  <c r="E1614" i="102"/>
  <c r="E1544" i="102"/>
  <c r="E1474" i="102"/>
  <c r="E1683" i="102"/>
  <c r="E1613" i="102"/>
  <c r="E1543" i="102"/>
  <c r="E1473" i="102"/>
  <c r="E1682" i="102"/>
  <c r="E1612" i="102"/>
  <c r="E1542" i="102"/>
  <c r="E1472" i="102"/>
  <c r="E1681" i="102"/>
  <c r="E1611" i="102"/>
  <c r="E1541" i="102"/>
  <c r="E1471" i="102"/>
  <c r="E1680" i="102"/>
  <c r="E1610" i="102"/>
  <c r="E1540" i="102"/>
  <c r="E1470" i="102"/>
  <c r="E1679" i="102"/>
  <c r="E1609" i="102"/>
  <c r="E1539" i="102"/>
  <c r="E1469" i="102"/>
  <c r="E1678" i="102"/>
  <c r="E1608" i="102"/>
  <c r="E1538" i="102"/>
  <c r="E1468" i="102"/>
  <c r="E1677" i="102"/>
  <c r="E1607" i="102"/>
  <c r="E1537" i="102"/>
  <c r="E1467" i="102"/>
  <c r="E1676" i="102"/>
  <c r="E1606" i="102"/>
  <c r="E1536" i="102"/>
  <c r="E1466" i="102"/>
  <c r="E1675" i="102"/>
  <c r="E1605" i="102"/>
  <c r="E1535" i="102"/>
  <c r="E1465" i="102"/>
  <c r="E1674" i="102"/>
  <c r="E1604" i="102"/>
  <c r="E1534" i="102"/>
  <c r="E1464" i="102"/>
  <c r="E1673" i="102"/>
  <c r="E1603" i="102"/>
  <c r="E1533" i="102"/>
  <c r="E1463" i="102"/>
  <c r="E1672" i="102"/>
  <c r="E1602" i="102"/>
  <c r="E1532" i="102"/>
  <c r="E1462" i="102"/>
  <c r="E1671" i="102"/>
  <c r="E1601" i="102"/>
  <c r="E1531" i="102"/>
  <c r="E1461" i="102"/>
  <c r="E1670" i="102"/>
  <c r="E1600" i="102"/>
  <c r="E1530" i="102"/>
  <c r="E1460" i="102"/>
  <c r="E1669" i="102"/>
  <c r="E1599" i="102"/>
  <c r="E1529" i="102"/>
  <c r="E1459" i="102"/>
  <c r="E1668" i="102"/>
  <c r="E1598" i="102"/>
  <c r="E1528" i="102"/>
  <c r="E1458" i="102"/>
  <c r="E1667" i="102"/>
  <c r="E1597" i="102"/>
  <c r="E1527" i="102"/>
  <c r="E1457" i="102"/>
  <c r="E1666" i="102"/>
  <c r="E1596" i="102"/>
  <c r="E1526" i="102"/>
  <c r="E1456" i="102"/>
  <c r="E1665" i="102"/>
  <c r="E1595" i="102"/>
  <c r="E1525" i="102"/>
  <c r="E1455" i="102"/>
  <c r="E1664" i="102"/>
  <c r="E1594" i="102"/>
  <c r="E1524" i="102"/>
  <c r="E1454" i="102"/>
  <c r="E1663" i="102"/>
  <c r="E1593" i="102"/>
  <c r="E1523" i="102"/>
  <c r="E1453" i="102"/>
  <c r="E1662" i="102"/>
  <c r="E1592" i="102"/>
  <c r="E1452" i="102"/>
  <c r="E1449" i="102"/>
  <c r="E1444" i="102"/>
  <c r="E1448" i="102"/>
  <c r="E1443" i="102"/>
  <c r="E1447" i="102"/>
  <c r="E1446" i="102"/>
  <c r="E1440" i="102"/>
  <c r="E1435" i="102"/>
  <c r="E1439" i="102"/>
  <c r="E1434" i="102"/>
  <c r="E1438" i="102"/>
  <c r="E1433" i="102"/>
  <c r="E1437" i="102"/>
  <c r="E1436" i="102"/>
  <c r="E1428" i="102"/>
  <c r="E1427" i="102"/>
  <c r="E1426" i="102"/>
  <c r="E1415" i="102"/>
  <c r="E1402" i="102"/>
  <c r="E1389" i="102"/>
  <c r="E1376" i="102"/>
  <c r="E1363" i="102"/>
  <c r="E1350" i="102"/>
  <c r="E1337" i="102"/>
  <c r="E1414" i="102"/>
  <c r="E1401" i="102"/>
  <c r="E1388" i="102"/>
  <c r="E1375" i="102"/>
  <c r="E1362" i="102"/>
  <c r="E1349" i="102"/>
  <c r="E1336" i="102"/>
  <c r="E1413" i="102"/>
  <c r="E1400" i="102"/>
  <c r="E1387" i="102"/>
  <c r="E1374" i="102"/>
  <c r="E1361" i="102"/>
  <c r="E1348" i="102"/>
  <c r="E1335" i="102"/>
  <c r="E1425" i="102"/>
  <c r="E1424" i="102"/>
  <c r="E1423" i="102"/>
  <c r="E1422" i="102"/>
  <c r="E1421" i="102"/>
  <c r="E1420" i="102"/>
  <c r="E1412" i="102"/>
  <c r="E1399" i="102"/>
  <c r="E1386" i="102"/>
  <c r="E1373" i="102"/>
  <c r="E1360" i="102"/>
  <c r="E1347" i="102"/>
  <c r="E1334" i="102"/>
  <c r="E1411" i="102"/>
  <c r="E1359" i="102"/>
  <c r="E1333" i="102"/>
  <c r="E1410" i="102"/>
  <c r="E1397" i="102"/>
  <c r="E1384" i="102"/>
  <c r="E1371" i="102"/>
  <c r="E1358" i="102"/>
  <c r="E1345" i="102"/>
  <c r="E1332" i="102"/>
  <c r="E1409" i="102"/>
  <c r="E1396" i="102"/>
  <c r="E1383" i="102"/>
  <c r="E1370" i="102"/>
  <c r="E1357" i="102"/>
  <c r="E1344" i="102"/>
  <c r="E1331" i="102"/>
  <c r="E1408" i="102"/>
  <c r="E1395" i="102"/>
  <c r="E1382" i="102"/>
  <c r="E1369" i="102"/>
  <c r="E1356" i="102"/>
  <c r="E1343" i="102"/>
  <c r="E1330" i="102"/>
  <c r="E1407" i="102"/>
  <c r="E1394" i="102"/>
  <c r="E1381" i="102"/>
  <c r="E1368" i="102"/>
  <c r="E1355" i="102"/>
  <c r="E1342" i="102"/>
  <c r="E1329" i="102"/>
  <c r="E1419" i="102"/>
  <c r="E1418" i="102"/>
  <c r="E1417" i="102"/>
  <c r="E1416" i="102"/>
  <c r="E1406" i="102"/>
  <c r="E1393" i="102"/>
  <c r="E1380" i="102"/>
  <c r="E1367" i="102"/>
  <c r="E1354" i="102"/>
  <c r="E1341" i="102"/>
  <c r="E1328" i="102"/>
  <c r="E1379" i="102"/>
  <c r="E1353" i="102"/>
  <c r="E1327" i="102"/>
  <c r="E1404" i="102"/>
  <c r="E1391" i="102"/>
  <c r="E1378" i="102"/>
  <c r="E1365" i="102"/>
  <c r="E1352" i="102"/>
  <c r="E1339" i="102"/>
  <c r="E1403" i="102"/>
  <c r="E1377" i="102"/>
  <c r="E1364" i="102"/>
  <c r="E1351" i="102"/>
  <c r="E1322" i="102"/>
  <c r="E1321" i="102"/>
  <c r="E1320" i="102"/>
  <c r="E1319" i="102"/>
  <c r="E1315" i="102"/>
  <c r="E1314" i="102"/>
  <c r="E1313" i="102"/>
  <c r="E1308" i="102"/>
  <c r="E1307" i="102"/>
  <c r="E1306" i="102"/>
  <c r="E1305" i="102"/>
  <c r="E1318" i="102"/>
  <c r="E1311" i="102"/>
  <c r="E1304" i="102"/>
  <c r="E511" i="102"/>
  <c r="W137" i="66"/>
  <c r="E1301" i="102"/>
  <c r="E1201" i="102"/>
  <c r="E1101" i="102"/>
  <c r="E1001" i="102"/>
  <c r="E1300" i="102"/>
  <c r="E1200" i="102"/>
  <c r="E1100" i="102"/>
  <c r="E1000" i="102"/>
  <c r="E1299" i="102"/>
  <c r="E1199" i="102"/>
  <c r="E1099" i="102"/>
  <c r="E999" i="102"/>
  <c r="E1298" i="102"/>
  <c r="E1198" i="102"/>
  <c r="E1098" i="102"/>
  <c r="E998" i="102"/>
  <c r="E1297" i="102"/>
  <c r="E1197" i="102"/>
  <c r="E1097" i="102"/>
  <c r="E997" i="102"/>
  <c r="E1296" i="102"/>
  <c r="E1196" i="102"/>
  <c r="E1096" i="102"/>
  <c r="E996" i="102"/>
  <c r="E1295" i="102"/>
  <c r="E1195" i="102"/>
  <c r="E1095" i="102"/>
  <c r="E995" i="102"/>
  <c r="E1294" i="102"/>
  <c r="E1194" i="102"/>
  <c r="E1094" i="102"/>
  <c r="E994" i="102"/>
  <c r="E1293" i="102"/>
  <c r="E1193" i="102"/>
  <c r="E1093" i="102"/>
  <c r="E993" i="102"/>
  <c r="E1292" i="102"/>
  <c r="E1192" i="102"/>
  <c r="E1092" i="102"/>
  <c r="E992" i="102"/>
  <c r="E1291" i="102"/>
  <c r="E1191" i="102"/>
  <c r="E1091" i="102"/>
  <c r="E991" i="102"/>
  <c r="E1290" i="102"/>
  <c r="E1190" i="102"/>
  <c r="E1090" i="102"/>
  <c r="E990" i="102"/>
  <c r="E1289" i="102"/>
  <c r="E1189" i="102"/>
  <c r="E1089" i="102"/>
  <c r="E989" i="102"/>
  <c r="E1288" i="102"/>
  <c r="E1188" i="102"/>
  <c r="E1088" i="102"/>
  <c r="E988" i="102"/>
  <c r="E1287" i="102"/>
  <c r="E1187" i="102"/>
  <c r="E1087" i="102"/>
  <c r="E987" i="102"/>
  <c r="E1286" i="102"/>
  <c r="E1186" i="102"/>
  <c r="E1086" i="102"/>
  <c r="E986" i="102"/>
  <c r="E1285" i="102"/>
  <c r="E1185" i="102"/>
  <c r="E1085" i="102"/>
  <c r="E985" i="102"/>
  <c r="E1284" i="102"/>
  <c r="E1184" i="102"/>
  <c r="E1084" i="102"/>
  <c r="E984" i="102"/>
  <c r="E1283" i="102"/>
  <c r="E1183" i="102"/>
  <c r="E1083" i="102"/>
  <c r="E983" i="102"/>
  <c r="E1282" i="102"/>
  <c r="E1182" i="102"/>
  <c r="E1082" i="102"/>
  <c r="E982" i="102"/>
  <c r="E1281" i="102"/>
  <c r="E1181" i="102"/>
  <c r="E1081" i="102"/>
  <c r="E981" i="102"/>
  <c r="E1280" i="102"/>
  <c r="E1180" i="102"/>
  <c r="E1080" i="102"/>
  <c r="E980" i="102"/>
  <c r="E1279" i="102"/>
  <c r="E1179" i="102"/>
  <c r="E1079" i="102"/>
  <c r="E979" i="102"/>
  <c r="E1278" i="102"/>
  <c r="E1178" i="102"/>
  <c r="E1078" i="102"/>
  <c r="E978" i="102"/>
  <c r="E1277" i="102"/>
  <c r="E1177" i="102"/>
  <c r="E1077" i="102"/>
  <c r="E977" i="102"/>
  <c r="E1276" i="102"/>
  <c r="E1176" i="102"/>
  <c r="E1076" i="102"/>
  <c r="E976" i="102"/>
  <c r="E1275" i="102"/>
  <c r="E1175" i="102"/>
  <c r="E1075" i="102"/>
  <c r="E975" i="102"/>
  <c r="E1274" i="102"/>
  <c r="E1174" i="102"/>
  <c r="E1074" i="102"/>
  <c r="E974" i="102"/>
  <c r="E1273" i="102"/>
  <c r="E1173" i="102"/>
  <c r="E1073" i="102"/>
  <c r="E973" i="102"/>
  <c r="E1272" i="102"/>
  <c r="E1172" i="102"/>
  <c r="E1072" i="102"/>
  <c r="E972" i="102"/>
  <c r="E1271" i="102"/>
  <c r="E1171" i="102"/>
  <c r="E1071" i="102"/>
  <c r="E971" i="102"/>
  <c r="E1270" i="102"/>
  <c r="E1170" i="102"/>
  <c r="E1070" i="102"/>
  <c r="E970" i="102"/>
  <c r="E1269" i="102"/>
  <c r="E1169" i="102"/>
  <c r="E1069" i="102"/>
  <c r="E969" i="102"/>
  <c r="E1268" i="102"/>
  <c r="E1168" i="102"/>
  <c r="E1068" i="102"/>
  <c r="E968" i="102"/>
  <c r="E1267" i="102"/>
  <c r="E1167" i="102"/>
  <c r="E1067" i="102"/>
  <c r="E967" i="102"/>
  <c r="E1266" i="102"/>
  <c r="E1166" i="102"/>
  <c r="E1066" i="102"/>
  <c r="E966" i="102"/>
  <c r="E1265" i="102"/>
  <c r="E1165" i="102"/>
  <c r="E1065" i="102"/>
  <c r="E965" i="102"/>
  <c r="E1264" i="102"/>
  <c r="E1164" i="102"/>
  <c r="E1064" i="102"/>
  <c r="E964" i="102"/>
  <c r="E1263" i="102"/>
  <c r="E1163" i="102"/>
  <c r="E1063" i="102"/>
  <c r="E963" i="102"/>
  <c r="E1262" i="102"/>
  <c r="E1162" i="102"/>
  <c r="E1062" i="102"/>
  <c r="E962" i="102"/>
  <c r="E1261" i="102"/>
  <c r="E1161" i="102"/>
  <c r="E1061" i="102"/>
  <c r="E961" i="102"/>
  <c r="E1260" i="102"/>
  <c r="E1160" i="102"/>
  <c r="E1060" i="102"/>
  <c r="E960" i="102"/>
  <c r="E1259" i="102"/>
  <c r="E1159" i="102"/>
  <c r="E1059" i="102"/>
  <c r="E959" i="102"/>
  <c r="E1258" i="102"/>
  <c r="E1158" i="102"/>
  <c r="E1058" i="102"/>
  <c r="E958" i="102"/>
  <c r="E1257" i="102"/>
  <c r="E1157" i="102"/>
  <c r="E1057" i="102"/>
  <c r="E957" i="102"/>
  <c r="E1256" i="102"/>
  <c r="E1156" i="102"/>
  <c r="E1056" i="102"/>
  <c r="E956" i="102"/>
  <c r="E1255" i="102"/>
  <c r="E1155" i="102"/>
  <c r="E1055" i="102"/>
  <c r="E955" i="102"/>
  <c r="E1254" i="102"/>
  <c r="E1154" i="102"/>
  <c r="E1054" i="102"/>
  <c r="E954" i="102"/>
  <c r="E1253" i="102"/>
  <c r="E1153" i="102"/>
  <c r="E1053" i="102"/>
  <c r="E953" i="102"/>
  <c r="E1252" i="102"/>
  <c r="E1152" i="102"/>
  <c r="E1052" i="102"/>
  <c r="E952" i="102"/>
  <c r="E1251" i="102"/>
  <c r="E1151" i="102"/>
  <c r="E1051" i="102"/>
  <c r="E951" i="102"/>
  <c r="E1250" i="102"/>
  <c r="E1150" i="102"/>
  <c r="E1050" i="102"/>
  <c r="E950" i="102"/>
  <c r="E1249" i="102"/>
  <c r="E1149" i="102"/>
  <c r="E1049" i="102"/>
  <c r="E949" i="102"/>
  <c r="E1248" i="102"/>
  <c r="E1148" i="102"/>
  <c r="E1048" i="102"/>
  <c r="E948" i="102"/>
  <c r="E1247" i="102"/>
  <c r="E1147" i="102"/>
  <c r="E1047" i="102"/>
  <c r="E947" i="102"/>
  <c r="E1246" i="102"/>
  <c r="E1146" i="102"/>
  <c r="E1046" i="102"/>
  <c r="E946" i="102"/>
  <c r="E1245" i="102"/>
  <c r="E1145" i="102"/>
  <c r="E1045" i="102"/>
  <c r="E945" i="102"/>
  <c r="E1244" i="102"/>
  <c r="E1144" i="102"/>
  <c r="E1044" i="102"/>
  <c r="E944" i="102"/>
  <c r="E1243" i="102"/>
  <c r="E1143" i="102"/>
  <c r="E1043" i="102"/>
  <c r="E943" i="102"/>
  <c r="E1242" i="102"/>
  <c r="E1142" i="102"/>
  <c r="E1042" i="102"/>
  <c r="E942" i="102"/>
  <c r="E1241" i="102"/>
  <c r="E1141" i="102"/>
  <c r="E1041" i="102"/>
  <c r="E941" i="102"/>
  <c r="E1240" i="102"/>
  <c r="E1140" i="102"/>
  <c r="E1040" i="102"/>
  <c r="E940" i="102"/>
  <c r="E1239" i="102"/>
  <c r="E1139" i="102"/>
  <c r="E1039" i="102"/>
  <c r="E939" i="102"/>
  <c r="E1238" i="102"/>
  <c r="E1138" i="102"/>
  <c r="E1038" i="102"/>
  <c r="E938" i="102"/>
  <c r="E1237" i="102"/>
  <c r="E1137" i="102"/>
  <c r="E1037" i="102"/>
  <c r="E937" i="102"/>
  <c r="E1236" i="102"/>
  <c r="E1136" i="102"/>
  <c r="E1036" i="102"/>
  <c r="E936" i="102"/>
  <c r="E1235" i="102"/>
  <c r="E1135" i="102"/>
  <c r="E1035" i="102"/>
  <c r="E935" i="102"/>
  <c r="E1234" i="102"/>
  <c r="E1134" i="102"/>
  <c r="E1034" i="102"/>
  <c r="E934" i="102"/>
  <c r="E1233" i="102"/>
  <c r="E1133" i="102"/>
  <c r="E1033" i="102"/>
  <c r="E933" i="102"/>
  <c r="E1232" i="102"/>
  <c r="E1132" i="102"/>
  <c r="E1032" i="102"/>
  <c r="E932" i="102"/>
  <c r="E1231" i="102"/>
  <c r="E1131" i="102"/>
  <c r="E1031" i="102"/>
  <c r="E931" i="102"/>
  <c r="E1230" i="102"/>
  <c r="E1130" i="102"/>
  <c r="E1030" i="102"/>
  <c r="E930" i="102"/>
  <c r="E1229" i="102"/>
  <c r="E1129" i="102"/>
  <c r="E1029" i="102"/>
  <c r="E929" i="102"/>
  <c r="E1228" i="102"/>
  <c r="E1128" i="102"/>
  <c r="E1028" i="102"/>
  <c r="E928" i="102"/>
  <c r="E1227" i="102"/>
  <c r="E1127" i="102"/>
  <c r="E1027" i="102"/>
  <c r="E927" i="102"/>
  <c r="E1226" i="102"/>
  <c r="E1126" i="102"/>
  <c r="E1026" i="102"/>
  <c r="E926" i="102"/>
  <c r="E1225" i="102"/>
  <c r="E1125" i="102"/>
  <c r="E1025" i="102"/>
  <c r="E925" i="102"/>
  <c r="E1224" i="102"/>
  <c r="E1124" i="102"/>
  <c r="E1024" i="102"/>
  <c r="E924" i="102"/>
  <c r="E1223" i="102"/>
  <c r="E1123" i="102"/>
  <c r="E1023" i="102"/>
  <c r="E923" i="102"/>
  <c r="E1222" i="102"/>
  <c r="E1122" i="102"/>
  <c r="E1022" i="102"/>
  <c r="E922" i="102"/>
  <c r="E1221" i="102"/>
  <c r="E1121" i="102"/>
  <c r="E1021" i="102"/>
  <c r="E921" i="102"/>
  <c r="E1220" i="102"/>
  <c r="E1120" i="102"/>
  <c r="E1020" i="102"/>
  <c r="E920" i="102"/>
  <c r="E1219" i="102"/>
  <c r="E1119" i="102"/>
  <c r="E1019" i="102"/>
  <c r="E919" i="102"/>
  <c r="E1218" i="102"/>
  <c r="E1118" i="102"/>
  <c r="E1018" i="102"/>
  <c r="E918" i="102"/>
  <c r="E1217" i="102"/>
  <c r="E1117" i="102"/>
  <c r="E1017" i="102"/>
  <c r="E917" i="102"/>
  <c r="E1216" i="102"/>
  <c r="E1116" i="102"/>
  <c r="E1016" i="102"/>
  <c r="E916" i="102"/>
  <c r="E1215" i="102"/>
  <c r="E1115" i="102"/>
  <c r="E1015" i="102"/>
  <c r="E915" i="102"/>
  <c r="E1214" i="102"/>
  <c r="E1114" i="102"/>
  <c r="E1014" i="102"/>
  <c r="E914" i="102"/>
  <c r="E1213" i="102"/>
  <c r="E1113" i="102"/>
  <c r="E1013" i="102"/>
  <c r="E913" i="102"/>
  <c r="E1212" i="102"/>
  <c r="E1112" i="102"/>
  <c r="E1012" i="102"/>
  <c r="E912" i="102"/>
  <c r="E1211" i="102"/>
  <c r="E1111" i="102"/>
  <c r="E1011" i="102"/>
  <c r="E911" i="102"/>
  <c r="E1210" i="102"/>
  <c r="E1110" i="102"/>
  <c r="E1010" i="102"/>
  <c r="E910" i="102"/>
  <c r="E1209" i="102"/>
  <c r="E1109" i="102"/>
  <c r="E1009" i="102"/>
  <c r="E909" i="102"/>
  <c r="E1208" i="102"/>
  <c r="E1108" i="102"/>
  <c r="E1008" i="102"/>
  <c r="E908" i="102"/>
  <c r="E1207" i="102"/>
  <c r="E1107" i="102"/>
  <c r="E1007" i="102"/>
  <c r="E907" i="102"/>
  <c r="E1206" i="102"/>
  <c r="E1106" i="102"/>
  <c r="E1006" i="102"/>
  <c r="E906" i="102"/>
  <c r="E1205" i="102"/>
  <c r="E1105" i="102"/>
  <c r="E1005" i="102"/>
  <c r="E905" i="102"/>
  <c r="E1204" i="102"/>
  <c r="E1104" i="102"/>
  <c r="E1004" i="102"/>
  <c r="E904" i="102"/>
  <c r="E1203" i="102"/>
  <c r="E1103" i="102"/>
  <c r="E1003" i="102"/>
  <c r="E903" i="102"/>
  <c r="E1202" i="102"/>
  <c r="E1102" i="102"/>
  <c r="E1002" i="102"/>
  <c r="E902" i="102"/>
  <c r="E901" i="102"/>
  <c r="E900" i="102"/>
  <c r="E899" i="102"/>
  <c r="E898" i="102"/>
  <c r="E897" i="102"/>
  <c r="E896" i="102"/>
  <c r="E895" i="102"/>
  <c r="E894" i="102"/>
  <c r="E893" i="102"/>
  <c r="E892" i="102"/>
  <c r="E891" i="102"/>
  <c r="E890" i="102"/>
  <c r="E889" i="102"/>
  <c r="E888" i="102"/>
  <c r="E887" i="102"/>
  <c r="E886" i="102"/>
  <c r="E885" i="102"/>
  <c r="E884" i="102"/>
  <c r="E883" i="102"/>
  <c r="E882" i="102"/>
  <c r="E881" i="102"/>
  <c r="E880" i="102"/>
  <c r="E879" i="102"/>
  <c r="E878" i="102"/>
  <c r="E877" i="102"/>
  <c r="E876" i="102"/>
  <c r="E875" i="102"/>
  <c r="E874" i="102"/>
  <c r="E873" i="102"/>
  <c r="E872" i="102"/>
  <c r="E871" i="102"/>
  <c r="E870" i="102"/>
  <c r="E869" i="102"/>
  <c r="E868" i="102"/>
  <c r="E867" i="102"/>
  <c r="E866" i="102"/>
  <c r="E865" i="102"/>
  <c r="E864" i="102"/>
  <c r="E863" i="102"/>
  <c r="E862" i="102"/>
  <c r="E861" i="102"/>
  <c r="E860" i="102"/>
  <c r="E859" i="102"/>
  <c r="E858" i="102"/>
  <c r="E857" i="102"/>
  <c r="E856" i="102"/>
  <c r="E855" i="102"/>
  <c r="E854" i="102"/>
  <c r="E853" i="102"/>
  <c r="E852" i="102"/>
  <c r="E851" i="102"/>
  <c r="E850" i="102"/>
  <c r="E849" i="102"/>
  <c r="E848" i="102"/>
  <c r="E847" i="102"/>
  <c r="E846" i="102"/>
  <c r="E845" i="102"/>
  <c r="E844" i="102"/>
  <c r="E843" i="102"/>
  <c r="E842" i="102"/>
  <c r="E841" i="102"/>
  <c r="E840" i="102"/>
  <c r="E839" i="102"/>
  <c r="E838" i="102"/>
  <c r="E837" i="102"/>
  <c r="E836" i="102"/>
  <c r="E835" i="102"/>
  <c r="E834" i="102"/>
  <c r="E833" i="102"/>
  <c r="E832" i="102"/>
  <c r="E831" i="102"/>
  <c r="E830" i="102"/>
  <c r="E829" i="102"/>
  <c r="E828" i="102"/>
  <c r="E827" i="102"/>
  <c r="E826" i="102"/>
  <c r="E825" i="102"/>
  <c r="E824" i="102"/>
  <c r="E823" i="102"/>
  <c r="E822" i="102"/>
  <c r="E821" i="102"/>
  <c r="E820" i="102"/>
  <c r="E819" i="102"/>
  <c r="E818" i="102"/>
  <c r="E817" i="102"/>
  <c r="E816" i="102"/>
  <c r="E815" i="102"/>
  <c r="E814" i="102"/>
  <c r="E813" i="102"/>
  <c r="E812" i="102"/>
  <c r="E811" i="102"/>
  <c r="E810" i="102"/>
  <c r="E809" i="102"/>
  <c r="E808" i="102"/>
  <c r="E807" i="102"/>
  <c r="E806" i="102"/>
  <c r="E805" i="102"/>
  <c r="E804" i="102"/>
  <c r="E802" i="102"/>
  <c r="E801" i="102"/>
  <c r="E800" i="102"/>
  <c r="E799" i="102"/>
  <c r="E798" i="102"/>
  <c r="E797" i="102"/>
  <c r="E796" i="102"/>
  <c r="E795" i="102"/>
  <c r="E794" i="102"/>
  <c r="E793" i="102"/>
  <c r="E792" i="102"/>
  <c r="E791" i="102"/>
  <c r="E790" i="102"/>
  <c r="E789" i="102"/>
  <c r="E788" i="102"/>
  <c r="E787" i="102"/>
  <c r="E786" i="102"/>
  <c r="E785" i="102"/>
  <c r="E784" i="102"/>
  <c r="E783" i="102"/>
  <c r="E782" i="102"/>
  <c r="E781" i="102"/>
  <c r="E780" i="102"/>
  <c r="E779" i="102"/>
  <c r="E778" i="102"/>
  <c r="E777" i="102"/>
  <c r="E776" i="102"/>
  <c r="E775" i="102"/>
  <c r="E774" i="102"/>
  <c r="E773" i="102"/>
  <c r="E772" i="102"/>
  <c r="E771" i="102"/>
  <c r="E770" i="102"/>
  <c r="E769" i="102"/>
  <c r="E768" i="102"/>
  <c r="E767" i="102"/>
  <c r="E766" i="102"/>
  <c r="E765" i="102"/>
  <c r="E764" i="102"/>
  <c r="E763" i="102"/>
  <c r="E762" i="102"/>
  <c r="E761" i="102"/>
  <c r="E760" i="102"/>
  <c r="E759" i="102"/>
  <c r="E758" i="102"/>
  <c r="E757" i="102"/>
  <c r="E756" i="102"/>
  <c r="E755" i="102"/>
  <c r="E754" i="102"/>
  <c r="E753" i="102"/>
  <c r="E752" i="102"/>
  <c r="E751" i="102"/>
  <c r="E750" i="102"/>
  <c r="E749" i="102"/>
  <c r="E748" i="102"/>
  <c r="E747" i="102"/>
  <c r="E746" i="102"/>
  <c r="E745" i="102"/>
  <c r="E744" i="102"/>
  <c r="E743" i="102"/>
  <c r="E742" i="102"/>
  <c r="E741" i="102"/>
  <c r="E740" i="102"/>
  <c r="E739" i="102"/>
  <c r="E738" i="102"/>
  <c r="E737" i="102"/>
  <c r="E736" i="102"/>
  <c r="E735" i="102"/>
  <c r="E734" i="102"/>
  <c r="E733" i="102"/>
  <c r="E732" i="102"/>
  <c r="E731" i="102"/>
  <c r="E730" i="102"/>
  <c r="E729" i="102"/>
  <c r="E728" i="102"/>
  <c r="E727" i="102"/>
  <c r="E726" i="102"/>
  <c r="E725" i="102"/>
  <c r="E724" i="102"/>
  <c r="E723" i="102"/>
  <c r="E722" i="102"/>
  <c r="E721" i="102"/>
  <c r="E720" i="102"/>
  <c r="E719" i="102"/>
  <c r="E718" i="102"/>
  <c r="E717" i="102"/>
  <c r="E716" i="102"/>
  <c r="E715" i="102"/>
  <c r="E714" i="102"/>
  <c r="E713" i="102"/>
  <c r="E712" i="102"/>
  <c r="E711" i="102"/>
  <c r="E710" i="102"/>
  <c r="E709" i="102"/>
  <c r="E708" i="102"/>
  <c r="E707" i="102"/>
  <c r="E706" i="102"/>
  <c r="E705" i="102"/>
  <c r="E704" i="102"/>
  <c r="E601" i="102"/>
  <c r="E600" i="102"/>
  <c r="E599" i="102"/>
  <c r="E598" i="102"/>
  <c r="E597" i="102"/>
  <c r="E596" i="102"/>
  <c r="E595" i="102"/>
  <c r="E594" i="102"/>
  <c r="E593" i="102"/>
  <c r="E592" i="102"/>
  <c r="E591" i="102"/>
  <c r="E590" i="102"/>
  <c r="E589" i="102"/>
  <c r="E588" i="102"/>
  <c r="E587" i="102"/>
  <c r="E586" i="102"/>
  <c r="E585" i="102"/>
  <c r="E584" i="102"/>
  <c r="E583" i="102"/>
  <c r="E582" i="102"/>
  <c r="E581" i="102"/>
  <c r="E580" i="102"/>
  <c r="E579" i="102"/>
  <c r="E578" i="102"/>
  <c r="E577" i="102"/>
  <c r="E576" i="102"/>
  <c r="E575" i="102"/>
  <c r="E574" i="102"/>
  <c r="E573" i="102"/>
  <c r="E572" i="102"/>
  <c r="E571" i="102"/>
  <c r="E570" i="102"/>
  <c r="E569" i="102"/>
  <c r="E568" i="102"/>
  <c r="E567" i="102"/>
  <c r="E566" i="102"/>
  <c r="E565" i="102"/>
  <c r="E564" i="102"/>
  <c r="E563" i="102"/>
  <c r="E562" i="102"/>
  <c r="E561" i="102"/>
  <c r="E560" i="102"/>
  <c r="E559" i="102"/>
  <c r="E558" i="102"/>
  <c r="E557" i="102"/>
  <c r="E556" i="102"/>
  <c r="E555" i="102"/>
  <c r="E554" i="102"/>
  <c r="E553" i="102"/>
  <c r="E552" i="102"/>
  <c r="E551" i="102"/>
  <c r="E550" i="102"/>
  <c r="E549" i="102"/>
  <c r="E548" i="102"/>
  <c r="E547" i="102"/>
  <c r="E546" i="102"/>
  <c r="E545" i="102"/>
  <c r="E544" i="102"/>
  <c r="E543" i="102"/>
  <c r="E542" i="102"/>
  <c r="E541" i="102"/>
  <c r="E540" i="102"/>
  <c r="E539" i="102"/>
  <c r="E538" i="102"/>
  <c r="E537" i="102"/>
  <c r="E536" i="102"/>
  <c r="E535" i="102"/>
  <c r="E534" i="102"/>
  <c r="E533" i="102"/>
  <c r="E532" i="102"/>
  <c r="E531" i="102"/>
  <c r="E530" i="102"/>
  <c r="E529" i="102"/>
  <c r="E528" i="102"/>
  <c r="E527" i="102"/>
  <c r="E526" i="102"/>
  <c r="E525" i="102"/>
  <c r="E524" i="102"/>
  <c r="E523" i="102"/>
  <c r="E522" i="102"/>
  <c r="E521" i="102"/>
  <c r="E520" i="102"/>
  <c r="E519" i="102"/>
  <c r="E518" i="102"/>
  <c r="E517" i="102"/>
  <c r="E516" i="102"/>
  <c r="E515" i="102"/>
  <c r="E514" i="102"/>
  <c r="E513" i="102"/>
  <c r="E512" i="102"/>
  <c r="E610" i="102"/>
  <c r="E510" i="102"/>
  <c r="E609" i="102"/>
  <c r="E509" i="102"/>
  <c r="E608" i="102"/>
  <c r="E508" i="102"/>
  <c r="E607" i="102"/>
  <c r="E507" i="102"/>
  <c r="E606" i="102"/>
  <c r="E506" i="102"/>
  <c r="E605" i="102"/>
  <c r="E505" i="102"/>
  <c r="E604" i="102"/>
  <c r="E504" i="102"/>
  <c r="E603" i="102"/>
  <c r="E503" i="102"/>
  <c r="E602" i="102"/>
  <c r="E502" i="102"/>
  <c r="AA32" i="66" l="1"/>
  <c r="E612" i="102"/>
  <c r="AA40" i="66"/>
  <c r="E620" i="102"/>
  <c r="AA48" i="66"/>
  <c r="E628" i="102"/>
  <c r="AA56" i="66"/>
  <c r="E636" i="102"/>
  <c r="AA64" i="66"/>
  <c r="E644" i="102"/>
  <c r="AA31" i="66"/>
  <c r="E611" i="102"/>
  <c r="E1338" i="102"/>
  <c r="E1390" i="102"/>
  <c r="L72" i="68"/>
  <c r="E1875" i="102"/>
  <c r="M76" i="68"/>
  <c r="E1892" i="102"/>
  <c r="M78" i="68"/>
  <c r="E1894" i="102"/>
  <c r="M82" i="68"/>
  <c r="E1898" i="102"/>
  <c r="M94" i="68"/>
  <c r="E1908" i="102"/>
  <c r="AA36" i="66"/>
  <c r="E616" i="102"/>
  <c r="AA44" i="66"/>
  <c r="E624" i="102"/>
  <c r="AA52" i="66"/>
  <c r="E632" i="102"/>
  <c r="AA60" i="66"/>
  <c r="E640" i="102"/>
  <c r="AA35" i="66"/>
  <c r="E615" i="102"/>
  <c r="AA41" i="66"/>
  <c r="E621" i="102"/>
  <c r="AA45" i="66"/>
  <c r="E625" i="102"/>
  <c r="AA49" i="66"/>
  <c r="E629" i="102"/>
  <c r="AA51" i="66"/>
  <c r="E631" i="102"/>
  <c r="AA53" i="66"/>
  <c r="E633" i="102"/>
  <c r="AA55" i="66"/>
  <c r="E635" i="102"/>
  <c r="AA57" i="66"/>
  <c r="E637" i="102"/>
  <c r="AA59" i="66"/>
  <c r="E639" i="102"/>
  <c r="AA61" i="66"/>
  <c r="E641" i="102"/>
  <c r="AA63" i="66"/>
  <c r="E643" i="102"/>
  <c r="AA65" i="66"/>
  <c r="E645" i="102"/>
  <c r="AA67" i="66"/>
  <c r="E647" i="102"/>
  <c r="AA69" i="66"/>
  <c r="E649" i="102"/>
  <c r="AA71" i="66"/>
  <c r="E651" i="102"/>
  <c r="AA73" i="66"/>
  <c r="E653" i="102"/>
  <c r="AA75" i="66"/>
  <c r="E655" i="102"/>
  <c r="AA77" i="66"/>
  <c r="E657" i="102"/>
  <c r="AA79" i="66"/>
  <c r="E659" i="102"/>
  <c r="AA81" i="66"/>
  <c r="E661" i="102"/>
  <c r="AA83" i="66"/>
  <c r="E663" i="102"/>
  <c r="AA85" i="66"/>
  <c r="E665" i="102"/>
  <c r="AA87" i="66"/>
  <c r="E667" i="102"/>
  <c r="AA89" i="66"/>
  <c r="E669" i="102"/>
  <c r="AA91" i="66"/>
  <c r="E671" i="102"/>
  <c r="AA93" i="66"/>
  <c r="E673" i="102"/>
  <c r="AA95" i="66"/>
  <c r="E675" i="102"/>
  <c r="AA97" i="66"/>
  <c r="E677" i="102"/>
  <c r="AA99" i="66"/>
  <c r="E679" i="102"/>
  <c r="AA101" i="66"/>
  <c r="E681" i="102"/>
  <c r="AA103" i="66"/>
  <c r="E683" i="102"/>
  <c r="AA105" i="66"/>
  <c r="E685" i="102"/>
  <c r="AA107" i="66"/>
  <c r="E687" i="102"/>
  <c r="AA109" i="66"/>
  <c r="E689" i="102"/>
  <c r="AA111" i="66"/>
  <c r="E691" i="102"/>
  <c r="AA113" i="66"/>
  <c r="E693" i="102"/>
  <c r="AA115" i="66"/>
  <c r="E695" i="102"/>
  <c r="AA117" i="66"/>
  <c r="E697" i="102"/>
  <c r="AA119" i="66"/>
  <c r="E699" i="102"/>
  <c r="AA121" i="66"/>
  <c r="E701" i="102"/>
  <c r="E25" i="64"/>
  <c r="E1340" i="102"/>
  <c r="I25" i="64"/>
  <c r="E1392" i="102"/>
  <c r="G32" i="64"/>
  <c r="E1372" i="102"/>
  <c r="L73" i="68"/>
  <c r="E1876" i="102"/>
  <c r="L75" i="68"/>
  <c r="E1878" i="102"/>
  <c r="L77" i="68"/>
  <c r="E1880" i="102"/>
  <c r="L79" i="68"/>
  <c r="E1882" i="102"/>
  <c r="L81" i="68"/>
  <c r="E1884" i="102"/>
  <c r="L83" i="68"/>
  <c r="E1886" i="102"/>
  <c r="L85" i="68"/>
  <c r="E1888" i="102"/>
  <c r="M80" i="68"/>
  <c r="AA38" i="66"/>
  <c r="E618" i="102"/>
  <c r="AA46" i="66"/>
  <c r="E626" i="102"/>
  <c r="AA54" i="66"/>
  <c r="E634" i="102"/>
  <c r="AA62" i="66"/>
  <c r="E642" i="102"/>
  <c r="AA33" i="66"/>
  <c r="E613" i="102"/>
  <c r="AA37" i="66"/>
  <c r="E617" i="102"/>
  <c r="AA39" i="66"/>
  <c r="E619" i="102"/>
  <c r="AA43" i="66"/>
  <c r="E623" i="102"/>
  <c r="AA47" i="66"/>
  <c r="E627" i="102"/>
  <c r="J25" i="64"/>
  <c r="E1405" i="102"/>
  <c r="H32" i="64"/>
  <c r="E1385" i="102"/>
  <c r="M75" i="68"/>
  <c r="E1891" i="102"/>
  <c r="M77" i="68"/>
  <c r="E1893" i="102"/>
  <c r="M79" i="68"/>
  <c r="E1895" i="102"/>
  <c r="M81" i="68"/>
  <c r="E1897" i="102"/>
  <c r="M83" i="68"/>
  <c r="E1899" i="102"/>
  <c r="M85" i="68"/>
  <c r="E1901" i="102"/>
  <c r="M84" i="68"/>
  <c r="M95" i="68"/>
  <c r="E1909" i="102"/>
  <c r="AA34" i="66"/>
  <c r="E614" i="102"/>
  <c r="AA42" i="66"/>
  <c r="E622" i="102"/>
  <c r="AA50" i="66"/>
  <c r="E630" i="102"/>
  <c r="AA58" i="66"/>
  <c r="E638" i="102"/>
  <c r="AA66" i="66"/>
  <c r="E646" i="102"/>
  <c r="AA68" i="66"/>
  <c r="E648" i="102"/>
  <c r="AA70" i="66"/>
  <c r="E650" i="102"/>
  <c r="AA72" i="66"/>
  <c r="E652" i="102"/>
  <c r="AA74" i="66"/>
  <c r="E654" i="102"/>
  <c r="AA76" i="66"/>
  <c r="E656" i="102"/>
  <c r="AA78" i="66"/>
  <c r="E658" i="102"/>
  <c r="AA80" i="66"/>
  <c r="E660" i="102"/>
  <c r="AA82" i="66"/>
  <c r="E662" i="102"/>
  <c r="AA84" i="66"/>
  <c r="E664" i="102"/>
  <c r="AA86" i="66"/>
  <c r="E666" i="102"/>
  <c r="AA88" i="66"/>
  <c r="E668" i="102"/>
  <c r="AA90" i="66"/>
  <c r="E670" i="102"/>
  <c r="AA92" i="66"/>
  <c r="E672" i="102"/>
  <c r="AA94" i="66"/>
  <c r="E674" i="102"/>
  <c r="AA96" i="66"/>
  <c r="E676" i="102"/>
  <c r="AA98" i="66"/>
  <c r="E678" i="102"/>
  <c r="AA100" i="66"/>
  <c r="E680" i="102"/>
  <c r="AA102" i="66"/>
  <c r="E682" i="102"/>
  <c r="AA104" i="66"/>
  <c r="E684" i="102"/>
  <c r="AA106" i="66"/>
  <c r="E686" i="102"/>
  <c r="AA108" i="66"/>
  <c r="E688" i="102"/>
  <c r="AA110" i="66"/>
  <c r="E690" i="102"/>
  <c r="AA112" i="66"/>
  <c r="E692" i="102"/>
  <c r="AA114" i="66"/>
  <c r="E694" i="102"/>
  <c r="AA116" i="66"/>
  <c r="E696" i="102"/>
  <c r="AA118" i="66"/>
  <c r="E698" i="102"/>
  <c r="AA120" i="66"/>
  <c r="E700" i="102"/>
  <c r="G25" i="64"/>
  <c r="E1366" i="102"/>
  <c r="E32" i="64"/>
  <c r="E1346" i="102"/>
  <c r="I32" i="64"/>
  <c r="E1398" i="102"/>
  <c r="L74" i="68"/>
  <c r="E1877" i="102"/>
  <c r="L76" i="68"/>
  <c r="E1879" i="102"/>
  <c r="L78" i="68"/>
  <c r="E1881" i="102"/>
  <c r="L80" i="68"/>
  <c r="E1883" i="102"/>
  <c r="L82" i="68"/>
  <c r="E1885" i="102"/>
  <c r="L84" i="68"/>
  <c r="E1887" i="102"/>
  <c r="F25" i="64"/>
  <c r="AA23" i="66"/>
  <c r="AA25" i="66"/>
  <c r="AA27" i="66"/>
  <c r="AA29" i="66"/>
  <c r="L71" i="68"/>
  <c r="AA24" i="66"/>
  <c r="AA26" i="66"/>
  <c r="AA28" i="66"/>
  <c r="AA30" i="66"/>
  <c r="D25" i="64"/>
  <c r="H25" i="64"/>
  <c r="L25" i="64"/>
  <c r="F32" i="64"/>
  <c r="J32" i="64"/>
  <c r="L32" i="64"/>
  <c r="N30" i="64"/>
  <c r="D32" i="64"/>
  <c r="N33" i="64"/>
  <c r="N35" i="64"/>
  <c r="N31" i="64"/>
  <c r="N23" i="64"/>
  <c r="N22" i="64"/>
  <c r="R22" i="64" s="1"/>
  <c r="N24" i="64"/>
  <c r="N28" i="64"/>
  <c r="N29" i="64"/>
  <c r="N34" i="64"/>
  <c r="N21" i="64"/>
  <c r="R21" i="64" s="1"/>
  <c r="N27" i="64"/>
  <c r="N26" i="64"/>
  <c r="J36" i="64" l="1"/>
  <c r="G36" i="64"/>
  <c r="H36" i="64"/>
  <c r="I36" i="64"/>
  <c r="E36" i="64"/>
  <c r="D36" i="64"/>
  <c r="F36" i="64"/>
  <c r="L36" i="64"/>
  <c r="N25" i="64"/>
  <c r="N32" i="64"/>
  <c r="AF121" i="66"/>
  <c r="AF120" i="66"/>
  <c r="AF118" i="66"/>
  <c r="AF116" i="66"/>
  <c r="AF113" i="66"/>
  <c r="AF112" i="66"/>
  <c r="AF110" i="66"/>
  <c r="AF108" i="66"/>
  <c r="AF105" i="66"/>
  <c r="AF104" i="66"/>
  <c r="AF102" i="66"/>
  <c r="AF100" i="66"/>
  <c r="AF97" i="66"/>
  <c r="AF96" i="66"/>
  <c r="AF94" i="66"/>
  <c r="AF92" i="66"/>
  <c r="AF89" i="66"/>
  <c r="AF88" i="66"/>
  <c r="AF86" i="66"/>
  <c r="AF84" i="66"/>
  <c r="AF81" i="66"/>
  <c r="AF80" i="66"/>
  <c r="AF78" i="66"/>
  <c r="AF76" i="66"/>
  <c r="AF73" i="66"/>
  <c r="AF72" i="66"/>
  <c r="AF70" i="66"/>
  <c r="AF68" i="66"/>
  <c r="AF67" i="66"/>
  <c r="AF65" i="66"/>
  <c r="AC121" i="66"/>
  <c r="AC120" i="66"/>
  <c r="AC119" i="66"/>
  <c r="AC118" i="66"/>
  <c r="AC117" i="66"/>
  <c r="AC116" i="66"/>
  <c r="AC115" i="66"/>
  <c r="AC114" i="66"/>
  <c r="AC113" i="66"/>
  <c r="AC112" i="66"/>
  <c r="AC111" i="66"/>
  <c r="AC110" i="66"/>
  <c r="AC109" i="66"/>
  <c r="AC108" i="66"/>
  <c r="AC107" i="66"/>
  <c r="AC106" i="66"/>
  <c r="AC105" i="66"/>
  <c r="AC104" i="66"/>
  <c r="AC103" i="66"/>
  <c r="AC102" i="66"/>
  <c r="AC101" i="66"/>
  <c r="AC100" i="66"/>
  <c r="AC99" i="66"/>
  <c r="AC98" i="66"/>
  <c r="AC97" i="66"/>
  <c r="AC96" i="66"/>
  <c r="AC95" i="66"/>
  <c r="AC94" i="66"/>
  <c r="AC93" i="66"/>
  <c r="AC92" i="66"/>
  <c r="AC91" i="66"/>
  <c r="AC90" i="66"/>
  <c r="AC89" i="66"/>
  <c r="AC88" i="66"/>
  <c r="AC87" i="66"/>
  <c r="AC86" i="66"/>
  <c r="AC85" i="66"/>
  <c r="AC84" i="66"/>
  <c r="AC83" i="66"/>
  <c r="AC82" i="66"/>
  <c r="AC81" i="66"/>
  <c r="AC80" i="66"/>
  <c r="AC79" i="66"/>
  <c r="AC78" i="66"/>
  <c r="AC77" i="66"/>
  <c r="AC76" i="66"/>
  <c r="AC75" i="66"/>
  <c r="AC74" i="66"/>
  <c r="AC73" i="66"/>
  <c r="AC72" i="66"/>
  <c r="AC71" i="66"/>
  <c r="AC70" i="66"/>
  <c r="AC69" i="66"/>
  <c r="AC68" i="66"/>
  <c r="AC67" i="66"/>
  <c r="AC66" i="66"/>
  <c r="AC65" i="66"/>
  <c r="AC64" i="66"/>
  <c r="AC63" i="66"/>
  <c r="AC62" i="66"/>
  <c r="AC61" i="66"/>
  <c r="AC60" i="66"/>
  <c r="AC59" i="66"/>
  <c r="AC58" i="66"/>
  <c r="AC57" i="66"/>
  <c r="AC56" i="66"/>
  <c r="AC55" i="66"/>
  <c r="AC54" i="66"/>
  <c r="AC53" i="66"/>
  <c r="AC52" i="66"/>
  <c r="AC51" i="66"/>
  <c r="AC50" i="66"/>
  <c r="AC49" i="66"/>
  <c r="AC48" i="66"/>
  <c r="AC47" i="66"/>
  <c r="AC46" i="66"/>
  <c r="AC45" i="66"/>
  <c r="AC44" i="66"/>
  <c r="AC43" i="66"/>
  <c r="AC42" i="66"/>
  <c r="AC41" i="66"/>
  <c r="AC40" i="66"/>
  <c r="AC39" i="66"/>
  <c r="AC38" i="66"/>
  <c r="AC37" i="66"/>
  <c r="AC36" i="66"/>
  <c r="AC35" i="66"/>
  <c r="AC34" i="66"/>
  <c r="AC33" i="66"/>
  <c r="AC32" i="66"/>
  <c r="AC31" i="66"/>
  <c r="N36" i="64" l="1"/>
  <c r="AF85" i="66"/>
  <c r="AF74" i="66"/>
  <c r="AF55" i="66"/>
  <c r="AF64" i="66"/>
  <c r="AF61" i="66"/>
  <c r="AF69" i="66"/>
  <c r="AF77" i="66"/>
  <c r="AF93" i="66"/>
  <c r="AF101" i="66"/>
  <c r="AF109" i="66"/>
  <c r="AF117" i="66"/>
  <c r="AF66" i="66"/>
  <c r="AF82" i="66"/>
  <c r="AF90" i="66"/>
  <c r="AF98" i="66"/>
  <c r="AF106" i="66"/>
  <c r="AF114" i="66"/>
  <c r="AF39" i="66"/>
  <c r="AF47" i="66"/>
  <c r="AF71" i="66"/>
  <c r="AF31" i="66"/>
  <c r="AF35" i="66"/>
  <c r="AF43" i="66"/>
  <c r="AF51" i="66"/>
  <c r="AF59" i="66"/>
  <c r="AF63" i="66"/>
  <c r="AF32" i="66"/>
  <c r="AF36" i="66"/>
  <c r="AF40" i="66"/>
  <c r="AF44" i="66"/>
  <c r="AF48" i="66"/>
  <c r="AF52" i="66"/>
  <c r="AF56" i="66"/>
  <c r="AF60" i="66"/>
  <c r="AF33" i="66"/>
  <c r="AF37" i="66"/>
  <c r="AF41" i="66"/>
  <c r="AF45" i="66"/>
  <c r="AF49" i="66"/>
  <c r="AF53" i="66"/>
  <c r="AF57" i="66"/>
  <c r="AF34" i="66"/>
  <c r="AF38" i="66"/>
  <c r="AF42" i="66"/>
  <c r="AF46" i="66"/>
  <c r="AF50" i="66"/>
  <c r="AF54" i="66"/>
  <c r="AF58" i="66"/>
  <c r="AF62" i="66"/>
  <c r="AF75" i="66"/>
  <c r="AF79" i="66"/>
  <c r="AF83" i="66"/>
  <c r="AF87" i="66"/>
  <c r="AF91" i="66"/>
  <c r="AF95" i="66"/>
  <c r="AF99" i="66"/>
  <c r="AF103" i="66"/>
  <c r="AF107" i="66"/>
  <c r="AF111" i="66"/>
  <c r="AF115" i="66"/>
  <c r="AF119" i="66"/>
  <c r="K67" i="66" l="1"/>
  <c r="E747" i="111" s="1"/>
  <c r="M67" i="66"/>
  <c r="E947" i="111" s="1"/>
  <c r="E67" i="66"/>
  <c r="E247" i="111" s="1"/>
  <c r="K118" i="66"/>
  <c r="E798" i="111" s="1"/>
  <c r="M118" i="66"/>
  <c r="E998" i="111" s="1"/>
  <c r="E118" i="66"/>
  <c r="E298" i="111" s="1"/>
  <c r="K101" i="66"/>
  <c r="E781" i="111" s="1"/>
  <c r="M101" i="66"/>
  <c r="E981" i="111" s="1"/>
  <c r="E101" i="66"/>
  <c r="E281" i="111" s="1"/>
  <c r="K51" i="66"/>
  <c r="E731" i="111" s="1"/>
  <c r="M51" i="66"/>
  <c r="E931" i="111" s="1"/>
  <c r="E51" i="66"/>
  <c r="E231" i="111" s="1"/>
  <c r="K25" i="66"/>
  <c r="E705" i="111" s="1"/>
  <c r="M25" i="66"/>
  <c r="E905" i="111" s="1"/>
  <c r="K79" i="66"/>
  <c r="E759" i="111" s="1"/>
  <c r="M79" i="66"/>
  <c r="E959" i="111" s="1"/>
  <c r="E79" i="66"/>
  <c r="E259" i="111" s="1"/>
  <c r="K87" i="66"/>
  <c r="E767" i="111" s="1"/>
  <c r="M87" i="66"/>
  <c r="E967" i="111" s="1"/>
  <c r="E87" i="66"/>
  <c r="E267" i="111" s="1"/>
  <c r="K95" i="66"/>
  <c r="E775" i="111" s="1"/>
  <c r="M95" i="66"/>
  <c r="E975" i="111" s="1"/>
  <c r="E95" i="66"/>
  <c r="E275" i="111" s="1"/>
  <c r="K45" i="66"/>
  <c r="E725" i="111" s="1"/>
  <c r="M45" i="66"/>
  <c r="E925" i="111" s="1"/>
  <c r="E45" i="66"/>
  <c r="E225" i="111" s="1"/>
  <c r="K99" i="66"/>
  <c r="E779" i="111" s="1"/>
  <c r="M99" i="66"/>
  <c r="E979" i="111" s="1"/>
  <c r="E99" i="66"/>
  <c r="E279" i="111" s="1"/>
  <c r="K22" i="66"/>
  <c r="E702" i="111" s="1"/>
  <c r="M22" i="66"/>
  <c r="E902" i="111" s="1"/>
  <c r="E22" i="66"/>
  <c r="E202" i="111" s="1"/>
  <c r="G22" i="66"/>
  <c r="E402" i="111" s="1"/>
  <c r="K111" i="66"/>
  <c r="E791" i="111" s="1"/>
  <c r="M111" i="66"/>
  <c r="E991" i="111" s="1"/>
  <c r="E111" i="66"/>
  <c r="E291" i="111" s="1"/>
  <c r="K32" i="66"/>
  <c r="E712" i="111" s="1"/>
  <c r="M32" i="66"/>
  <c r="E912" i="111" s="1"/>
  <c r="E32" i="66"/>
  <c r="E212" i="111" s="1"/>
  <c r="K53" i="66"/>
  <c r="E733" i="111" s="1"/>
  <c r="M53" i="66"/>
  <c r="E933" i="111" s="1"/>
  <c r="E53" i="66"/>
  <c r="E233" i="111" s="1"/>
  <c r="K107" i="66"/>
  <c r="E787" i="111" s="1"/>
  <c r="M107" i="66"/>
  <c r="E987" i="111" s="1"/>
  <c r="E107" i="66"/>
  <c r="E287" i="111" s="1"/>
  <c r="K30" i="66"/>
  <c r="E710" i="111" s="1"/>
  <c r="M30" i="66"/>
  <c r="E910" i="111" s="1"/>
  <c r="K75" i="66"/>
  <c r="E755" i="111" s="1"/>
  <c r="M75" i="66"/>
  <c r="E955" i="111" s="1"/>
  <c r="E75" i="66"/>
  <c r="E255" i="111" s="1"/>
  <c r="K85" i="66"/>
  <c r="E765" i="111" s="1"/>
  <c r="M85" i="66"/>
  <c r="E965" i="111" s="1"/>
  <c r="E85" i="66"/>
  <c r="E265" i="111" s="1"/>
  <c r="K27" i="66"/>
  <c r="E707" i="111" s="1"/>
  <c r="M27" i="66"/>
  <c r="E907" i="111" s="1"/>
  <c r="K68" i="66"/>
  <c r="E748" i="111" s="1"/>
  <c r="M68" i="66"/>
  <c r="E948" i="111" s="1"/>
  <c r="E68" i="66"/>
  <c r="E248" i="111" s="1"/>
  <c r="K94" i="66"/>
  <c r="E774" i="111" s="1"/>
  <c r="M94" i="66"/>
  <c r="E974" i="111" s="1"/>
  <c r="E94" i="66"/>
  <c r="E274" i="111" s="1"/>
  <c r="K105" i="66"/>
  <c r="E785" i="111" s="1"/>
  <c r="M105" i="66"/>
  <c r="E985" i="111" s="1"/>
  <c r="E105" i="66"/>
  <c r="E285" i="111" s="1"/>
  <c r="K43" i="66"/>
  <c r="E723" i="111" s="1"/>
  <c r="M43" i="66"/>
  <c r="E923" i="111" s="1"/>
  <c r="E43" i="66"/>
  <c r="E223" i="111" s="1"/>
  <c r="K64" i="66"/>
  <c r="E744" i="111" s="1"/>
  <c r="M64" i="66"/>
  <c r="E944" i="111" s="1"/>
  <c r="E64" i="66"/>
  <c r="E244" i="111" s="1"/>
  <c r="K92" i="66"/>
  <c r="E772" i="111" s="1"/>
  <c r="M92" i="66"/>
  <c r="E972" i="111" s="1"/>
  <c r="E92" i="66"/>
  <c r="E272" i="111" s="1"/>
  <c r="K37" i="66"/>
  <c r="E717" i="111" s="1"/>
  <c r="M37" i="66"/>
  <c r="E917" i="111" s="1"/>
  <c r="E37" i="66"/>
  <c r="E217" i="111" s="1"/>
  <c r="K48" i="66"/>
  <c r="E728" i="111" s="1"/>
  <c r="M48" i="66"/>
  <c r="E928" i="111" s="1"/>
  <c r="E48" i="66"/>
  <c r="E228" i="111" s="1"/>
  <c r="K81" i="66"/>
  <c r="E761" i="111" s="1"/>
  <c r="M81" i="66"/>
  <c r="E961" i="111" s="1"/>
  <c r="E81" i="66"/>
  <c r="E261" i="111" s="1"/>
  <c r="K36" i="66"/>
  <c r="E716" i="111" s="1"/>
  <c r="M36" i="66"/>
  <c r="E916" i="111" s="1"/>
  <c r="E36" i="66"/>
  <c r="E216" i="111" s="1"/>
  <c r="K74" i="66"/>
  <c r="E754" i="111" s="1"/>
  <c r="M74" i="66"/>
  <c r="E954" i="111" s="1"/>
  <c r="E74" i="66"/>
  <c r="E254" i="111" s="1"/>
  <c r="K100" i="66"/>
  <c r="E780" i="111" s="1"/>
  <c r="M100" i="66"/>
  <c r="E980" i="111" s="1"/>
  <c r="E100" i="66"/>
  <c r="E280" i="111" s="1"/>
  <c r="K60" i="66"/>
  <c r="E740" i="111" s="1"/>
  <c r="M60" i="66"/>
  <c r="E940" i="111" s="1"/>
  <c r="E60" i="66"/>
  <c r="E240" i="111" s="1"/>
  <c r="K62" i="66"/>
  <c r="E742" i="111" s="1"/>
  <c r="M62" i="66"/>
  <c r="E942" i="111" s="1"/>
  <c r="E62" i="66"/>
  <c r="E242" i="111" s="1"/>
  <c r="K80" i="66"/>
  <c r="E760" i="111" s="1"/>
  <c r="M80" i="66"/>
  <c r="E960" i="111" s="1"/>
  <c r="E80" i="66"/>
  <c r="E260" i="111" s="1"/>
  <c r="K59" i="66"/>
  <c r="E739" i="111" s="1"/>
  <c r="M59" i="66"/>
  <c r="E939" i="111" s="1"/>
  <c r="E59" i="66"/>
  <c r="E239" i="111" s="1"/>
  <c r="K90" i="66"/>
  <c r="E770" i="111" s="1"/>
  <c r="M90" i="66"/>
  <c r="E970" i="111" s="1"/>
  <c r="E90" i="66"/>
  <c r="E270" i="111" s="1"/>
  <c r="K38" i="66"/>
  <c r="E718" i="111" s="1"/>
  <c r="M38" i="66"/>
  <c r="E918" i="111" s="1"/>
  <c r="E38" i="66"/>
  <c r="E218" i="111" s="1"/>
  <c r="K82" i="66"/>
  <c r="E762" i="111" s="1"/>
  <c r="M82" i="66"/>
  <c r="E962" i="111" s="1"/>
  <c r="E82" i="66"/>
  <c r="E262" i="111" s="1"/>
  <c r="K83" i="66"/>
  <c r="E763" i="111" s="1"/>
  <c r="M83" i="66"/>
  <c r="E963" i="111" s="1"/>
  <c r="E83" i="66"/>
  <c r="E263" i="111" s="1"/>
  <c r="K121" i="66"/>
  <c r="E801" i="111" s="1"/>
  <c r="M121" i="66"/>
  <c r="E1001" i="111" s="1"/>
  <c r="E121" i="66"/>
  <c r="E301" i="111" s="1"/>
  <c r="K120" i="66"/>
  <c r="E800" i="111" s="1"/>
  <c r="M120" i="66"/>
  <c r="E1000" i="111" s="1"/>
  <c r="E120" i="66"/>
  <c r="E300" i="111" s="1"/>
  <c r="K57" i="66"/>
  <c r="E737" i="111" s="1"/>
  <c r="M57" i="66"/>
  <c r="E937" i="111" s="1"/>
  <c r="E57" i="66"/>
  <c r="E237" i="111" s="1"/>
  <c r="K63" i="66"/>
  <c r="E743" i="111" s="1"/>
  <c r="M63" i="66"/>
  <c r="E943" i="111" s="1"/>
  <c r="E63" i="66"/>
  <c r="E243" i="111" s="1"/>
  <c r="K106" i="66"/>
  <c r="E786" i="111" s="1"/>
  <c r="M106" i="66"/>
  <c r="E986" i="111" s="1"/>
  <c r="E106" i="66"/>
  <c r="E286" i="111" s="1"/>
  <c r="K50" i="66"/>
  <c r="E730" i="111" s="1"/>
  <c r="M50" i="66"/>
  <c r="E930" i="111" s="1"/>
  <c r="E50" i="66"/>
  <c r="E230" i="111" s="1"/>
  <c r="K44" i="66"/>
  <c r="E724" i="111" s="1"/>
  <c r="M44" i="66"/>
  <c r="E924" i="111" s="1"/>
  <c r="E44" i="66"/>
  <c r="E224" i="111" s="1"/>
  <c r="K34" i="66"/>
  <c r="E714" i="111" s="1"/>
  <c r="M34" i="66"/>
  <c r="E914" i="111" s="1"/>
  <c r="E34" i="66"/>
  <c r="E214" i="111" s="1"/>
  <c r="K35" i="66"/>
  <c r="E715" i="111" s="1"/>
  <c r="M35" i="66"/>
  <c r="E915" i="111" s="1"/>
  <c r="E35" i="66"/>
  <c r="E215" i="111" s="1"/>
  <c r="K46" i="66"/>
  <c r="E726" i="111" s="1"/>
  <c r="M46" i="66"/>
  <c r="E926" i="111" s="1"/>
  <c r="E46" i="66"/>
  <c r="E226" i="111" s="1"/>
  <c r="K24" i="66"/>
  <c r="E704" i="111" s="1"/>
  <c r="M24" i="66"/>
  <c r="E904" i="111" s="1"/>
  <c r="K109" i="66"/>
  <c r="E789" i="111" s="1"/>
  <c r="M109" i="66"/>
  <c r="E989" i="111" s="1"/>
  <c r="E109" i="66"/>
  <c r="E289" i="111" s="1"/>
  <c r="K84" i="66"/>
  <c r="E764" i="111" s="1"/>
  <c r="M84" i="66"/>
  <c r="E964" i="111" s="1"/>
  <c r="E84" i="66"/>
  <c r="E264" i="111" s="1"/>
  <c r="K77" i="66"/>
  <c r="E757" i="111" s="1"/>
  <c r="M77" i="66"/>
  <c r="E957" i="111" s="1"/>
  <c r="E77" i="66"/>
  <c r="E257" i="111" s="1"/>
  <c r="K76" i="66"/>
  <c r="E756" i="111" s="1"/>
  <c r="M76" i="66"/>
  <c r="E956" i="111" s="1"/>
  <c r="E76" i="66"/>
  <c r="E256" i="111" s="1"/>
  <c r="K115" i="66"/>
  <c r="E795" i="111" s="1"/>
  <c r="M115" i="66"/>
  <c r="E995" i="111" s="1"/>
  <c r="E115" i="66"/>
  <c r="E295" i="111" s="1"/>
  <c r="K117" i="66"/>
  <c r="E797" i="111" s="1"/>
  <c r="M117" i="66"/>
  <c r="E997" i="111" s="1"/>
  <c r="E117" i="66"/>
  <c r="E297" i="111" s="1"/>
  <c r="K39" i="66"/>
  <c r="E719" i="111" s="1"/>
  <c r="M39" i="66"/>
  <c r="E919" i="111" s="1"/>
  <c r="E39" i="66"/>
  <c r="E219" i="111" s="1"/>
  <c r="K28" i="66"/>
  <c r="E708" i="111" s="1"/>
  <c r="M28" i="66"/>
  <c r="E908" i="111" s="1"/>
  <c r="K78" i="66"/>
  <c r="E758" i="111" s="1"/>
  <c r="M78" i="66"/>
  <c r="E958" i="111" s="1"/>
  <c r="E78" i="66"/>
  <c r="E258" i="111" s="1"/>
  <c r="K93" i="66"/>
  <c r="E773" i="111" s="1"/>
  <c r="M93" i="66"/>
  <c r="E973" i="111" s="1"/>
  <c r="E93" i="66"/>
  <c r="E273" i="111" s="1"/>
  <c r="K41" i="66"/>
  <c r="E721" i="111" s="1"/>
  <c r="M41" i="66"/>
  <c r="E921" i="111" s="1"/>
  <c r="E41" i="66"/>
  <c r="E221" i="111" s="1"/>
  <c r="K58" i="66"/>
  <c r="E738" i="111" s="1"/>
  <c r="M58" i="66"/>
  <c r="E938" i="111" s="1"/>
  <c r="E58" i="66"/>
  <c r="E238" i="111" s="1"/>
  <c r="K113" i="66"/>
  <c r="E793" i="111" s="1"/>
  <c r="M113" i="66"/>
  <c r="E993" i="111" s="1"/>
  <c r="E113" i="66"/>
  <c r="E293" i="111" s="1"/>
  <c r="K54" i="66"/>
  <c r="E734" i="111" s="1"/>
  <c r="M54" i="66"/>
  <c r="E934" i="111" s="1"/>
  <c r="E54" i="66"/>
  <c r="E234" i="111" s="1"/>
  <c r="K33" i="66"/>
  <c r="E713" i="111" s="1"/>
  <c r="M33" i="66"/>
  <c r="E913" i="111" s="1"/>
  <c r="E33" i="66"/>
  <c r="E213" i="111" s="1"/>
  <c r="K29" i="66"/>
  <c r="E709" i="111" s="1"/>
  <c r="M29" i="66"/>
  <c r="E909" i="111" s="1"/>
  <c r="K55" i="66"/>
  <c r="E735" i="111" s="1"/>
  <c r="M55" i="66"/>
  <c r="E935" i="111" s="1"/>
  <c r="E55" i="66"/>
  <c r="E235" i="111" s="1"/>
  <c r="K65" i="66"/>
  <c r="E745" i="111" s="1"/>
  <c r="M65" i="66"/>
  <c r="E945" i="111" s="1"/>
  <c r="E65" i="66"/>
  <c r="E245" i="111" s="1"/>
  <c r="K31" i="66"/>
  <c r="E711" i="111" s="1"/>
  <c r="M31" i="66"/>
  <c r="E911" i="111" s="1"/>
  <c r="E31" i="66"/>
  <c r="E211" i="111" s="1"/>
  <c r="K89" i="66"/>
  <c r="E769" i="111" s="1"/>
  <c r="M89" i="66"/>
  <c r="E969" i="111" s="1"/>
  <c r="E89" i="66"/>
  <c r="E269" i="111" s="1"/>
  <c r="K102" i="66"/>
  <c r="E782" i="111" s="1"/>
  <c r="M102" i="66"/>
  <c r="E982" i="111" s="1"/>
  <c r="E102" i="66"/>
  <c r="E282" i="111" s="1"/>
  <c r="K23" i="66"/>
  <c r="E703" i="111" s="1"/>
  <c r="M23" i="66"/>
  <c r="E903" i="111" s="1"/>
  <c r="K119" i="66"/>
  <c r="E799" i="111" s="1"/>
  <c r="M119" i="66"/>
  <c r="E999" i="111" s="1"/>
  <c r="E119" i="66"/>
  <c r="E299" i="111" s="1"/>
  <c r="K66" i="66"/>
  <c r="E746" i="111" s="1"/>
  <c r="M66" i="66"/>
  <c r="E946" i="111" s="1"/>
  <c r="E66" i="66"/>
  <c r="E246" i="111" s="1"/>
  <c r="K112" i="66"/>
  <c r="E792" i="111" s="1"/>
  <c r="M112" i="66"/>
  <c r="E992" i="111" s="1"/>
  <c r="E112" i="66"/>
  <c r="E292" i="111" s="1"/>
  <c r="K108" i="66"/>
  <c r="E788" i="111" s="1"/>
  <c r="M108" i="66"/>
  <c r="E988" i="111" s="1"/>
  <c r="E108" i="66"/>
  <c r="E288" i="111" s="1"/>
  <c r="K42" i="66"/>
  <c r="E722" i="111" s="1"/>
  <c r="M42" i="66"/>
  <c r="E922" i="111" s="1"/>
  <c r="E42" i="66"/>
  <c r="E222" i="111" s="1"/>
  <c r="K56" i="66"/>
  <c r="E736" i="111" s="1"/>
  <c r="M56" i="66"/>
  <c r="E936" i="111" s="1"/>
  <c r="E56" i="66"/>
  <c r="E236" i="111" s="1"/>
  <c r="K103" i="66"/>
  <c r="E783" i="111" s="1"/>
  <c r="M103" i="66"/>
  <c r="E983" i="111" s="1"/>
  <c r="E103" i="66"/>
  <c r="E283" i="111" s="1"/>
  <c r="K98" i="66"/>
  <c r="E778" i="111" s="1"/>
  <c r="M98" i="66"/>
  <c r="E978" i="111" s="1"/>
  <c r="E98" i="66"/>
  <c r="E278" i="111" s="1"/>
  <c r="K40" i="66"/>
  <c r="E720" i="111" s="1"/>
  <c r="M40" i="66"/>
  <c r="E920" i="111" s="1"/>
  <c r="E40" i="66"/>
  <c r="E220" i="111" s="1"/>
  <c r="K104" i="66"/>
  <c r="E784" i="111" s="1"/>
  <c r="M104" i="66"/>
  <c r="E984" i="111" s="1"/>
  <c r="E104" i="66"/>
  <c r="E284" i="111" s="1"/>
  <c r="K97" i="66"/>
  <c r="E777" i="111" s="1"/>
  <c r="M97" i="66"/>
  <c r="E977" i="111" s="1"/>
  <c r="E97" i="66"/>
  <c r="E277" i="111" s="1"/>
  <c r="K114" i="66"/>
  <c r="E794" i="111" s="1"/>
  <c r="M114" i="66"/>
  <c r="E994" i="111" s="1"/>
  <c r="E114" i="66"/>
  <c r="E294" i="111" s="1"/>
  <c r="K71" i="66"/>
  <c r="E751" i="111" s="1"/>
  <c r="M71" i="66"/>
  <c r="E951" i="111" s="1"/>
  <c r="E71" i="66"/>
  <c r="E251" i="111" s="1"/>
  <c r="K88" i="66"/>
  <c r="E768" i="111" s="1"/>
  <c r="M88" i="66"/>
  <c r="E968" i="111" s="1"/>
  <c r="E88" i="66"/>
  <c r="E268" i="111" s="1"/>
  <c r="K73" i="66"/>
  <c r="E753" i="111" s="1"/>
  <c r="M73" i="66"/>
  <c r="E953" i="111" s="1"/>
  <c r="E73" i="66"/>
  <c r="E253" i="111" s="1"/>
  <c r="K26" i="66"/>
  <c r="E706" i="111" s="1"/>
  <c r="M26" i="66"/>
  <c r="E906" i="111" s="1"/>
  <c r="K91" i="66"/>
  <c r="E771" i="111" s="1"/>
  <c r="M91" i="66"/>
  <c r="E971" i="111" s="1"/>
  <c r="E91" i="66"/>
  <c r="E271" i="111" s="1"/>
  <c r="K72" i="66"/>
  <c r="E752" i="111" s="1"/>
  <c r="M72" i="66"/>
  <c r="E952" i="111" s="1"/>
  <c r="E72" i="66"/>
  <c r="E252" i="111" s="1"/>
  <c r="K61" i="66"/>
  <c r="E741" i="111" s="1"/>
  <c r="M61" i="66"/>
  <c r="E941" i="111" s="1"/>
  <c r="E61" i="66"/>
  <c r="E241" i="111" s="1"/>
  <c r="K116" i="66"/>
  <c r="E796" i="111" s="1"/>
  <c r="M116" i="66"/>
  <c r="E996" i="111" s="1"/>
  <c r="E116" i="66"/>
  <c r="E296" i="111" s="1"/>
  <c r="K69" i="66"/>
  <c r="E749" i="111" s="1"/>
  <c r="M69" i="66"/>
  <c r="E949" i="111" s="1"/>
  <c r="E69" i="66"/>
  <c r="E249" i="111" s="1"/>
  <c r="K110" i="66"/>
  <c r="E790" i="111" s="1"/>
  <c r="M110" i="66"/>
  <c r="E990" i="111" s="1"/>
  <c r="E110" i="66"/>
  <c r="E290" i="111" s="1"/>
  <c r="K49" i="66"/>
  <c r="E729" i="111" s="1"/>
  <c r="M49" i="66"/>
  <c r="E929" i="111" s="1"/>
  <c r="E49" i="66"/>
  <c r="E229" i="111" s="1"/>
  <c r="K70" i="66"/>
  <c r="E750" i="111" s="1"/>
  <c r="M70" i="66"/>
  <c r="E950" i="111" s="1"/>
  <c r="E70" i="66"/>
  <c r="E250" i="111" s="1"/>
  <c r="K96" i="66"/>
  <c r="E776" i="111" s="1"/>
  <c r="M96" i="66"/>
  <c r="E976" i="111" s="1"/>
  <c r="E96" i="66"/>
  <c r="E276" i="111" s="1"/>
  <c r="K52" i="66"/>
  <c r="E732" i="111" s="1"/>
  <c r="M52" i="66"/>
  <c r="E932" i="111" s="1"/>
  <c r="E52" i="66"/>
  <c r="E232" i="111" s="1"/>
  <c r="K86" i="66"/>
  <c r="E766" i="111" s="1"/>
  <c r="M86" i="66"/>
  <c r="E966" i="111" s="1"/>
  <c r="E86" i="66"/>
  <c r="E266" i="111" s="1"/>
  <c r="K47" i="66"/>
  <c r="E727" i="111" s="1"/>
  <c r="M47" i="66"/>
  <c r="E927" i="111" s="1"/>
  <c r="E47" i="66"/>
  <c r="E227" i="111" s="1"/>
  <c r="U96" i="68"/>
  <c r="AB95" i="68"/>
  <c r="AB94" i="68"/>
  <c r="X95" i="68"/>
  <c r="X94" i="68"/>
  <c r="AA96" i="68"/>
  <c r="Z96" i="68"/>
  <c r="W96" i="68"/>
  <c r="V96" i="68"/>
  <c r="U86" i="68"/>
  <c r="T86" i="68"/>
  <c r="AB72" i="68"/>
  <c r="AB73" i="68"/>
  <c r="AB74" i="68"/>
  <c r="AB75" i="68"/>
  <c r="AB76" i="68"/>
  <c r="AB77" i="68"/>
  <c r="AB78" i="68"/>
  <c r="AB79" i="68"/>
  <c r="AB80" i="68"/>
  <c r="AB81" i="68"/>
  <c r="AB82" i="68"/>
  <c r="AB83" i="68"/>
  <c r="AB84" i="68"/>
  <c r="AB85" i="68"/>
  <c r="AB71" i="68"/>
  <c r="X72" i="68"/>
  <c r="X73" i="68"/>
  <c r="X74" i="68"/>
  <c r="X75" i="68"/>
  <c r="X76" i="68"/>
  <c r="X77" i="68"/>
  <c r="X78" i="68"/>
  <c r="X79" i="68"/>
  <c r="X80" i="68"/>
  <c r="X81" i="68"/>
  <c r="X82" i="68"/>
  <c r="X83" i="68"/>
  <c r="X84" i="68"/>
  <c r="X85" i="68"/>
  <c r="X71" i="68"/>
  <c r="AA86" i="68"/>
  <c r="Z86" i="68"/>
  <c r="W86" i="68"/>
  <c r="V86" i="68"/>
  <c r="X43" i="68"/>
  <c r="X44" i="68"/>
  <c r="X45" i="68"/>
  <c r="X46" i="68"/>
  <c r="X47" i="68"/>
  <c r="X48" i="68"/>
  <c r="X49" i="68"/>
  <c r="X50" i="68"/>
  <c r="X51" i="68"/>
  <c r="X52" i="68"/>
  <c r="X53" i="68"/>
  <c r="X54" i="68"/>
  <c r="X55" i="68"/>
  <c r="X56" i="68"/>
  <c r="X42" i="68"/>
  <c r="Z57" i="68"/>
  <c r="W57" i="68"/>
  <c r="V57" i="68"/>
  <c r="U34" i="68"/>
  <c r="T34" i="68"/>
  <c r="X20" i="68"/>
  <c r="X21" i="68"/>
  <c r="X22" i="68"/>
  <c r="X23" i="68"/>
  <c r="X24" i="68"/>
  <c r="X25" i="68"/>
  <c r="X26" i="68"/>
  <c r="X27" i="68"/>
  <c r="X28" i="68"/>
  <c r="X29" i="68"/>
  <c r="X30" i="68"/>
  <c r="X31" i="68"/>
  <c r="X32" i="68"/>
  <c r="X33" i="68"/>
  <c r="X19" i="68"/>
  <c r="W34" i="68"/>
  <c r="V34" i="68"/>
  <c r="D96" i="68"/>
  <c r="K95" i="68"/>
  <c r="K94" i="68"/>
  <c r="G95" i="68"/>
  <c r="G94" i="68"/>
  <c r="J96" i="68"/>
  <c r="I96" i="68"/>
  <c r="F96" i="68"/>
  <c r="E96" i="68"/>
  <c r="D86" i="68"/>
  <c r="C86" i="68"/>
  <c r="K72" i="68"/>
  <c r="K73" i="68"/>
  <c r="K74" i="68"/>
  <c r="K75" i="68"/>
  <c r="K76" i="68"/>
  <c r="K77" i="68"/>
  <c r="K78" i="68"/>
  <c r="K79" i="68"/>
  <c r="K80" i="68"/>
  <c r="K81" i="68"/>
  <c r="K82" i="68"/>
  <c r="K83" i="68"/>
  <c r="K84" i="68"/>
  <c r="K85" i="68"/>
  <c r="K71" i="68"/>
  <c r="G72" i="68"/>
  <c r="G73" i="68"/>
  <c r="G74" i="68"/>
  <c r="G75" i="68"/>
  <c r="G76" i="68"/>
  <c r="G77" i="68"/>
  <c r="G78" i="68"/>
  <c r="G79" i="68"/>
  <c r="G80" i="68"/>
  <c r="G81" i="68"/>
  <c r="G82" i="68"/>
  <c r="G83" i="68"/>
  <c r="G84" i="68"/>
  <c r="G85" i="68"/>
  <c r="G71" i="68"/>
  <c r="J86" i="68"/>
  <c r="I86" i="68"/>
  <c r="F86" i="68"/>
  <c r="E86" i="68"/>
  <c r="G43" i="68"/>
  <c r="G44" i="68"/>
  <c r="G45" i="68"/>
  <c r="G46" i="68"/>
  <c r="G47" i="68"/>
  <c r="G48" i="68"/>
  <c r="G49" i="68"/>
  <c r="G50" i="68"/>
  <c r="G51" i="68"/>
  <c r="G52" i="68"/>
  <c r="G53" i="68"/>
  <c r="G54" i="68"/>
  <c r="G55" i="68"/>
  <c r="G56" i="68"/>
  <c r="G42" i="68"/>
  <c r="I57" i="68"/>
  <c r="F57" i="68"/>
  <c r="E57" i="68"/>
  <c r="D34" i="68"/>
  <c r="C34" i="68"/>
  <c r="G20" i="68"/>
  <c r="G21" i="68"/>
  <c r="G22" i="68"/>
  <c r="G23" i="68"/>
  <c r="G24" i="68"/>
  <c r="G25" i="68"/>
  <c r="G26" i="68"/>
  <c r="G27" i="68"/>
  <c r="G28" i="68"/>
  <c r="G29" i="68"/>
  <c r="G30" i="68"/>
  <c r="G31" i="68"/>
  <c r="G32" i="68"/>
  <c r="G33" i="68"/>
  <c r="G19" i="68"/>
  <c r="F34" i="68"/>
  <c r="E34" i="68"/>
  <c r="AA43" i="81"/>
  <c r="AA44" i="81"/>
  <c r="AA45" i="81"/>
  <c r="AA46" i="81"/>
  <c r="AA47" i="81"/>
  <c r="AA48" i="81"/>
  <c r="AA49" i="81"/>
  <c r="AA50" i="81"/>
  <c r="AA51" i="81"/>
  <c r="AA52" i="81"/>
  <c r="AA54" i="81"/>
  <c r="AA42" i="81"/>
  <c r="AA14" i="81"/>
  <c r="AA16" i="81"/>
  <c r="AA17" i="81"/>
  <c r="AA18" i="81"/>
  <c r="AA19" i="81"/>
  <c r="AA20" i="81"/>
  <c r="AA21" i="81"/>
  <c r="AA22" i="81"/>
  <c r="AA23" i="81"/>
  <c r="AA24" i="81"/>
  <c r="AA26" i="81"/>
  <c r="AA27" i="81"/>
  <c r="AA28" i="81"/>
  <c r="AA29" i="81"/>
  <c r="AA30" i="81"/>
  <c r="AA31" i="81"/>
  <c r="AA32" i="81"/>
  <c r="AA33" i="81"/>
  <c r="AA34" i="81"/>
  <c r="AA36" i="81"/>
  <c r="AA38" i="81"/>
  <c r="AA39" i="81"/>
  <c r="AA40" i="81"/>
  <c r="AA13" i="81"/>
  <c r="Z53" i="81"/>
  <c r="AA53" i="81" s="1"/>
  <c r="Z37" i="81"/>
  <c r="AA37" i="81" s="1"/>
  <c r="Z35" i="81"/>
  <c r="AA35" i="81" s="1"/>
  <c r="Z25" i="81"/>
  <c r="Z15" i="81"/>
  <c r="AA15" i="81" s="1"/>
  <c r="AD41" i="81"/>
  <c r="Z40" i="67"/>
  <c r="M99" i="69"/>
  <c r="N99" i="69"/>
  <c r="O99" i="69"/>
  <c r="L99" i="69"/>
  <c r="M94" i="69"/>
  <c r="N94" i="69"/>
  <c r="O94" i="69"/>
  <c r="L94" i="69"/>
  <c r="M82" i="69"/>
  <c r="N82" i="69"/>
  <c r="O82" i="69"/>
  <c r="L82" i="69"/>
  <c r="M75" i="69"/>
  <c r="N75" i="69"/>
  <c r="O75" i="69"/>
  <c r="L75" i="69"/>
  <c r="F99" i="69"/>
  <c r="G99" i="69"/>
  <c r="H99" i="69"/>
  <c r="E99" i="69"/>
  <c r="F94" i="69"/>
  <c r="G94" i="69"/>
  <c r="H94" i="69"/>
  <c r="E94" i="69"/>
  <c r="F82" i="69"/>
  <c r="G82" i="69"/>
  <c r="H82" i="69"/>
  <c r="E82" i="69"/>
  <c r="F75" i="69"/>
  <c r="G75" i="69"/>
  <c r="H75" i="69"/>
  <c r="E75" i="69"/>
  <c r="W55" i="62"/>
  <c r="AH22" i="64"/>
  <c r="AH23" i="64"/>
  <c r="AH24" i="64"/>
  <c r="AH26" i="64"/>
  <c r="AH27" i="64"/>
  <c r="AH28" i="64"/>
  <c r="AH29" i="64"/>
  <c r="AH30" i="64"/>
  <c r="AH31" i="64"/>
  <c r="AH33" i="64"/>
  <c r="AH34" i="64"/>
  <c r="AH35" i="64"/>
  <c r="AH21" i="64"/>
  <c r="AF32" i="64"/>
  <c r="Y32" i="64"/>
  <c r="Z32" i="64"/>
  <c r="AA32" i="64"/>
  <c r="AB32" i="64"/>
  <c r="AC32" i="64"/>
  <c r="AD32" i="64"/>
  <c r="X32" i="64"/>
  <c r="AF25" i="64"/>
  <c r="Y25" i="64"/>
  <c r="Z25" i="64"/>
  <c r="Z36" i="64" s="1"/>
  <c r="AA25" i="64"/>
  <c r="AA36" i="64" s="1"/>
  <c r="AB25" i="64"/>
  <c r="AC25" i="64"/>
  <c r="AD25" i="64"/>
  <c r="X25" i="64"/>
  <c r="AF23" i="66"/>
  <c r="AF24" i="66"/>
  <c r="AF25" i="66"/>
  <c r="AF26" i="66"/>
  <c r="AF27" i="66"/>
  <c r="AF28" i="66"/>
  <c r="AF29" i="66"/>
  <c r="AF30" i="66"/>
  <c r="AF22" i="66"/>
  <c r="AC23" i="66"/>
  <c r="AC24" i="66"/>
  <c r="AC25" i="66"/>
  <c r="AC26" i="66"/>
  <c r="AC27" i="66"/>
  <c r="AC28" i="66"/>
  <c r="AC29" i="66"/>
  <c r="AC30" i="66"/>
  <c r="AC22" i="66"/>
  <c r="W23" i="66"/>
  <c r="W24" i="66"/>
  <c r="W25" i="66"/>
  <c r="W26" i="66"/>
  <c r="W27" i="66"/>
  <c r="W28" i="66"/>
  <c r="W29" i="66"/>
  <c r="W30" i="66"/>
  <c r="W31" i="66"/>
  <c r="W32" i="66"/>
  <c r="W33" i="66"/>
  <c r="W34" i="66"/>
  <c r="W35" i="66"/>
  <c r="W36" i="66"/>
  <c r="W37" i="66"/>
  <c r="W38" i="66"/>
  <c r="W39" i="66"/>
  <c r="W40" i="66"/>
  <c r="W41" i="66"/>
  <c r="W42" i="66"/>
  <c r="W43" i="66"/>
  <c r="W44" i="66"/>
  <c r="W45" i="66"/>
  <c r="W46" i="66"/>
  <c r="W47" i="66"/>
  <c r="W48" i="66"/>
  <c r="W49" i="66"/>
  <c r="W50" i="66"/>
  <c r="W51" i="66"/>
  <c r="W52" i="66"/>
  <c r="W53" i="66"/>
  <c r="W54" i="66"/>
  <c r="W55" i="66"/>
  <c r="W56" i="66"/>
  <c r="W57" i="66"/>
  <c r="W58" i="66"/>
  <c r="W59" i="66"/>
  <c r="W60" i="66"/>
  <c r="W61" i="66"/>
  <c r="W62" i="66"/>
  <c r="W63" i="66"/>
  <c r="W64" i="66"/>
  <c r="W65" i="66"/>
  <c r="W66" i="66"/>
  <c r="W67" i="66"/>
  <c r="W68" i="66"/>
  <c r="W69" i="66"/>
  <c r="W70" i="66"/>
  <c r="W71" i="66"/>
  <c r="W72" i="66"/>
  <c r="W73" i="66"/>
  <c r="W74" i="66"/>
  <c r="W75" i="66"/>
  <c r="W76" i="66"/>
  <c r="W77" i="66"/>
  <c r="W78" i="66"/>
  <c r="W79" i="66"/>
  <c r="W80" i="66"/>
  <c r="W81" i="66"/>
  <c r="W82" i="66"/>
  <c r="W83" i="66"/>
  <c r="W84" i="66"/>
  <c r="W85" i="66"/>
  <c r="W86" i="66"/>
  <c r="W87" i="66"/>
  <c r="W88" i="66"/>
  <c r="W89" i="66"/>
  <c r="W90" i="66"/>
  <c r="W91" i="66"/>
  <c r="W92" i="66"/>
  <c r="W93" i="66"/>
  <c r="W94" i="66"/>
  <c r="W95" i="66"/>
  <c r="W96" i="66"/>
  <c r="W97" i="66"/>
  <c r="W98" i="66"/>
  <c r="W99" i="66"/>
  <c r="W100" i="66"/>
  <c r="W101" i="66"/>
  <c r="W102" i="66"/>
  <c r="W103" i="66"/>
  <c r="W104" i="66"/>
  <c r="W105" i="66"/>
  <c r="W106" i="66"/>
  <c r="W107" i="66"/>
  <c r="W108" i="66"/>
  <c r="W109" i="66"/>
  <c r="W110" i="66"/>
  <c r="W111" i="66"/>
  <c r="W112" i="66"/>
  <c r="W113" i="66"/>
  <c r="W114" i="66"/>
  <c r="W115" i="66"/>
  <c r="W116" i="66"/>
  <c r="W117" i="66"/>
  <c r="W118" i="66"/>
  <c r="W119" i="66"/>
  <c r="W120" i="66"/>
  <c r="W121" i="66"/>
  <c r="W22" i="66"/>
  <c r="E24" i="66"/>
  <c r="E204" i="111" s="1"/>
  <c r="E27" i="66"/>
  <c r="E207" i="111" s="1"/>
  <c r="E23" i="66"/>
  <c r="E203" i="111" s="1"/>
  <c r="E26" i="66"/>
  <c r="E206" i="111" s="1"/>
  <c r="E28" i="66"/>
  <c r="E208" i="111" s="1"/>
  <c r="E29" i="66"/>
  <c r="E209" i="111" s="1"/>
  <c r="E30" i="66"/>
  <c r="E210" i="111" s="1"/>
  <c r="E25" i="66"/>
  <c r="E205" i="111" s="1"/>
  <c r="X36" i="81"/>
  <c r="Y23" i="81"/>
  <c r="X19" i="81"/>
  <c r="X39" i="81"/>
  <c r="AC37" i="81"/>
  <c r="X50" i="81"/>
  <c r="AC39" i="81"/>
  <c r="X33" i="81"/>
  <c r="Y39" i="67"/>
  <c r="Y31" i="81"/>
  <c r="X21" i="81"/>
  <c r="U45" i="64"/>
  <c r="Y15" i="81"/>
  <c r="X25" i="81"/>
  <c r="X52" i="81"/>
  <c r="U21" i="64"/>
  <c r="X29" i="81"/>
  <c r="X24" i="81"/>
  <c r="Y52" i="81"/>
  <c r="Y33" i="81"/>
  <c r="X40" i="81"/>
  <c r="Y38" i="67"/>
  <c r="X34" i="81"/>
  <c r="X16" i="81"/>
  <c r="Y44" i="81"/>
  <c r="X27" i="81"/>
  <c r="Y48" i="81"/>
  <c r="X14" i="81"/>
  <c r="X42" i="81"/>
  <c r="X55" i="81"/>
  <c r="Y45" i="81"/>
  <c r="Y21" i="81"/>
  <c r="X31" i="81"/>
  <c r="X45" i="81"/>
  <c r="X37" i="81"/>
  <c r="X54" i="81"/>
  <c r="Y29" i="81"/>
  <c r="Y50" i="81"/>
  <c r="X18" i="81"/>
  <c r="X35" i="81"/>
  <c r="Y25" i="81"/>
  <c r="Y42" i="81"/>
  <c r="AC35" i="81"/>
  <c r="Y13" i="81"/>
  <c r="X15" i="81"/>
  <c r="AC36" i="81"/>
  <c r="X17" i="81"/>
  <c r="X49" i="81"/>
  <c r="X13" i="81"/>
  <c r="X53" i="81"/>
  <c r="X32" i="81"/>
  <c r="X38" i="81"/>
  <c r="X44" i="81"/>
  <c r="AC38" i="81"/>
  <c r="Y35" i="67"/>
  <c r="Y53" i="81"/>
  <c r="X47" i="81"/>
  <c r="Y37" i="81"/>
  <c r="X23" i="81"/>
  <c r="X43" i="81"/>
  <c r="Y34" i="67"/>
  <c r="Y40" i="67"/>
  <c r="X46" i="81"/>
  <c r="Y39" i="81"/>
  <c r="Y36" i="67"/>
  <c r="X22" i="81"/>
  <c r="Y37" i="67"/>
  <c r="X28" i="81"/>
  <c r="AC40" i="81"/>
  <c r="X20" i="81"/>
  <c r="AC41" i="81"/>
  <c r="Y17" i="81"/>
  <c r="Y28" i="81"/>
  <c r="X26" i="81"/>
  <c r="X48" i="81"/>
  <c r="X30" i="81"/>
  <c r="X51" i="81"/>
  <c r="Y36" i="81"/>
  <c r="AB36" i="64" l="1"/>
  <c r="AD86" i="68"/>
  <c r="AC96" i="68"/>
  <c r="AD96" i="68"/>
  <c r="AC86" i="68"/>
  <c r="X36" i="64"/>
  <c r="AG25" i="64"/>
  <c r="Y36" i="64"/>
  <c r="X96" i="68"/>
  <c r="X57" i="68"/>
  <c r="X34" i="68"/>
  <c r="AG32" i="64"/>
  <c r="AD36" i="64"/>
  <c r="K96" i="68"/>
  <c r="L96" i="68"/>
  <c r="AF36" i="64"/>
  <c r="AC36" i="64"/>
  <c r="M86" i="68"/>
  <c r="M96" i="68"/>
  <c r="L86" i="68"/>
  <c r="K86" i="68"/>
  <c r="G57" i="68"/>
  <c r="AB86" i="68"/>
  <c r="AB96" i="68"/>
  <c r="G34" i="68"/>
  <c r="X86" i="68"/>
  <c r="G86" i="68"/>
  <c r="G96" i="68"/>
  <c r="Z55" i="81"/>
  <c r="AA55" i="81" s="1"/>
  <c r="AA25" i="81"/>
  <c r="AH32" i="64"/>
  <c r="AH25" i="64"/>
  <c r="A106" i="69"/>
  <c r="A105" i="69"/>
  <c r="A104" i="69"/>
  <c r="A103" i="69"/>
  <c r="A102" i="69"/>
  <c r="A101" i="69"/>
  <c r="A100" i="69"/>
  <c r="K71" i="69"/>
  <c r="K98" i="69"/>
  <c r="K95" i="69"/>
  <c r="K53" i="69"/>
  <c r="K86" i="69"/>
  <c r="Y51" i="81"/>
  <c r="K54" i="69"/>
  <c r="Y30" i="81"/>
  <c r="K70" i="69"/>
  <c r="K83" i="69"/>
  <c r="K82" i="69"/>
  <c r="Y24" i="81"/>
  <c r="K56" i="69"/>
  <c r="K48" i="69"/>
  <c r="K76" i="69"/>
  <c r="K69" i="69"/>
  <c r="Y35" i="81"/>
  <c r="K64" i="69"/>
  <c r="K80" i="69"/>
  <c r="K62" i="69"/>
  <c r="Y20" i="81"/>
  <c r="K59" i="69"/>
  <c r="K58" i="69"/>
  <c r="Y18" i="81"/>
  <c r="K90" i="69"/>
  <c r="K78" i="69"/>
  <c r="K61" i="69"/>
  <c r="K72" i="69"/>
  <c r="K57" i="69"/>
  <c r="Y40" i="81"/>
  <c r="K63" i="69"/>
  <c r="K49" i="69"/>
  <c r="K75" i="69"/>
  <c r="K97" i="69"/>
  <c r="K55" i="69"/>
  <c r="K65" i="69"/>
  <c r="K51" i="69"/>
  <c r="Y43" i="81"/>
  <c r="K47" i="69"/>
  <c r="Y22" i="81"/>
  <c r="K88" i="69"/>
  <c r="K46" i="69"/>
  <c r="Y19" i="81"/>
  <c r="K96" i="69"/>
  <c r="Y47" i="81"/>
  <c r="Y16" i="81"/>
  <c r="K74" i="69"/>
  <c r="Y27" i="81"/>
  <c r="K94" i="69"/>
  <c r="K66" i="69"/>
  <c r="Y49" i="81"/>
  <c r="Y38" i="81"/>
  <c r="Y54" i="81"/>
  <c r="K79" i="69"/>
  <c r="Y26" i="81"/>
  <c r="K73" i="69"/>
  <c r="K91" i="69"/>
  <c r="K87" i="69"/>
  <c r="Y14" i="81"/>
  <c r="K77" i="69"/>
  <c r="K60" i="69"/>
  <c r="Y55" i="81"/>
  <c r="K93" i="69"/>
  <c r="Y32" i="81"/>
  <c r="K68" i="69"/>
  <c r="K52" i="69"/>
  <c r="K92" i="69"/>
  <c r="Y46" i="81"/>
  <c r="Y34" i="81"/>
  <c r="K81" i="69"/>
  <c r="K67" i="69"/>
  <c r="K50" i="69"/>
  <c r="AG36" i="64" l="1"/>
  <c r="AH36" i="64"/>
  <c r="A66" i="69"/>
  <c r="A74" i="69"/>
  <c r="A81" i="69"/>
  <c r="A83" i="69"/>
  <c r="A93" i="69"/>
  <c r="A99" i="69"/>
  <c r="A98" i="69"/>
  <c r="A97" i="69"/>
  <c r="A96" i="69"/>
  <c r="A95" i="69"/>
  <c r="A94" i="69"/>
  <c r="A92" i="69"/>
  <c r="A91" i="69"/>
  <c r="A90" i="69"/>
  <c r="A86" i="69"/>
  <c r="A82" i="69"/>
  <c r="A75" i="69"/>
  <c r="A80" i="69"/>
  <c r="A79" i="69"/>
  <c r="A78" i="69"/>
  <c r="A77" i="69"/>
  <c r="A76" i="69"/>
  <c r="A73" i="69"/>
  <c r="K24" i="69"/>
  <c r="K43" i="69"/>
  <c r="K44" i="69"/>
  <c r="K20" i="69"/>
  <c r="K35" i="69"/>
  <c r="K21" i="69"/>
  <c r="K32" i="69"/>
  <c r="J19" i="69"/>
  <c r="K31" i="69"/>
  <c r="K99" i="69"/>
  <c r="K40" i="69"/>
  <c r="K25" i="69"/>
  <c r="K36" i="69"/>
  <c r="K42" i="69"/>
  <c r="K27" i="69"/>
  <c r="K37" i="69"/>
  <c r="K30" i="69"/>
  <c r="K45" i="69"/>
  <c r="K19" i="69"/>
  <c r="K41" i="69"/>
  <c r="K100" i="69"/>
  <c r="K22" i="69"/>
  <c r="K39" i="69"/>
  <c r="K38" i="69"/>
  <c r="K23" i="69"/>
  <c r="K26" i="69"/>
  <c r="K28" i="69"/>
  <c r="K34" i="69"/>
  <c r="K33" i="69"/>
  <c r="K29" i="69"/>
  <c r="D100" i="69" l="1"/>
  <c r="T38" i="62"/>
  <c r="AH20" i="64"/>
  <c r="T40" i="62"/>
  <c r="T28" i="64"/>
  <c r="T33" i="64"/>
  <c r="T23" i="64"/>
  <c r="U17" i="62"/>
  <c r="T34" i="64"/>
  <c r="U18" i="62"/>
  <c r="T35" i="62"/>
  <c r="T30" i="64"/>
  <c r="S36" i="62"/>
  <c r="T29" i="64"/>
  <c r="V53" i="62"/>
  <c r="V52" i="62"/>
  <c r="T26" i="64"/>
  <c r="S38" i="62"/>
  <c r="T36" i="62"/>
  <c r="V50" i="62"/>
  <c r="U19" i="62"/>
  <c r="W49" i="62"/>
  <c r="S40" i="62"/>
  <c r="V55" i="62"/>
  <c r="S25" i="62"/>
  <c r="S35" i="62"/>
  <c r="V54" i="62"/>
  <c r="T37" i="62"/>
  <c r="M20" i="64"/>
  <c r="T27" i="64"/>
  <c r="V51" i="62"/>
  <c r="S37" i="62"/>
  <c r="T35" i="64"/>
  <c r="E21" i="62" l="1"/>
  <c r="F20" i="62"/>
  <c r="F19" i="62"/>
  <c r="I19" i="62" s="1"/>
  <c r="A19" i="62" s="1"/>
  <c r="F18" i="62"/>
  <c r="I18" i="62" s="1"/>
  <c r="A18" i="62" s="1"/>
  <c r="F17" i="62"/>
  <c r="I17" i="62" s="1"/>
  <c r="A17" i="62" s="1"/>
  <c r="F16" i="62"/>
  <c r="T24" i="64"/>
  <c r="S16" i="62"/>
  <c r="T19" i="62"/>
  <c r="T16" i="62"/>
  <c r="S19" i="62"/>
  <c r="S17" i="62"/>
  <c r="S20" i="62"/>
  <c r="T21" i="64"/>
  <c r="T18" i="62"/>
  <c r="S18" i="62"/>
  <c r="T17" i="62"/>
  <c r="T20" i="62"/>
  <c r="T31" i="64"/>
  <c r="T22" i="64"/>
  <c r="F21" i="62" l="1"/>
  <c r="N55" i="63"/>
  <c r="N54" i="63"/>
  <c r="N53" i="63"/>
  <c r="N52" i="63"/>
  <c r="N51" i="63"/>
  <c r="N50" i="63"/>
  <c r="N49" i="63"/>
  <c r="N48" i="63"/>
  <c r="N47" i="63"/>
  <c r="N46" i="63"/>
  <c r="N45" i="63"/>
  <c r="N44" i="63"/>
  <c r="N43" i="63"/>
  <c r="N42" i="63"/>
  <c r="N41" i="63"/>
  <c r="N40" i="63"/>
  <c r="N39" i="63"/>
  <c r="N38" i="63"/>
  <c r="N37" i="63"/>
  <c r="N36" i="63"/>
  <c r="T94" i="66"/>
  <c r="AM82" i="68"/>
  <c r="AM85" i="68"/>
  <c r="T70" i="66"/>
  <c r="T25" i="66"/>
  <c r="T106" i="66"/>
  <c r="T74" i="66"/>
  <c r="O54" i="63"/>
  <c r="T85" i="66"/>
  <c r="T46" i="66"/>
  <c r="T87" i="66"/>
  <c r="T111" i="66"/>
  <c r="T92" i="66"/>
  <c r="T50" i="66"/>
  <c r="T114" i="66"/>
  <c r="T69" i="66"/>
  <c r="T90" i="66"/>
  <c r="T108" i="66"/>
  <c r="T40" i="66"/>
  <c r="T57" i="66"/>
  <c r="T63" i="66"/>
  <c r="T22" i="66"/>
  <c r="T110" i="66"/>
  <c r="O41" i="63"/>
  <c r="O55" i="63"/>
  <c r="O49" i="63"/>
  <c r="AM80" i="68"/>
  <c r="AM78" i="68"/>
  <c r="T35" i="66"/>
  <c r="AM73" i="68"/>
  <c r="AM77" i="68"/>
  <c r="T59" i="66"/>
  <c r="O52" i="63"/>
  <c r="T24" i="66"/>
  <c r="T78" i="66"/>
  <c r="T73" i="66"/>
  <c r="S31" i="65"/>
  <c r="AM71" i="68"/>
  <c r="T76" i="66"/>
  <c r="T89" i="66"/>
  <c r="T105" i="66"/>
  <c r="AM81" i="68"/>
  <c r="O43" i="63"/>
  <c r="O36" i="63"/>
  <c r="T44" i="66"/>
  <c r="T33" i="66"/>
  <c r="T83" i="66"/>
  <c r="T48" i="66"/>
  <c r="T23" i="66"/>
  <c r="AM95" i="68"/>
  <c r="T31" i="66"/>
  <c r="T99" i="66"/>
  <c r="T116" i="66"/>
  <c r="O45" i="63"/>
  <c r="T109" i="66"/>
  <c r="T120" i="66"/>
  <c r="T121" i="66"/>
  <c r="T68" i="66"/>
  <c r="T107" i="66"/>
  <c r="O37" i="63"/>
  <c r="O51" i="63"/>
  <c r="T97" i="66"/>
  <c r="T58" i="66"/>
  <c r="AM76" i="68"/>
  <c r="T67" i="66"/>
  <c r="T28" i="66"/>
  <c r="T96" i="66"/>
  <c r="T98" i="66"/>
  <c r="T56" i="66"/>
  <c r="T43" i="66"/>
  <c r="T72" i="66"/>
  <c r="T103" i="66"/>
  <c r="T26" i="66"/>
  <c r="T55" i="66"/>
  <c r="T52" i="66"/>
  <c r="T88" i="66"/>
  <c r="T82" i="66"/>
  <c r="O50" i="63"/>
  <c r="T86" i="66"/>
  <c r="AM83" i="68"/>
  <c r="T47" i="66"/>
  <c r="T45" i="66"/>
  <c r="AM84" i="68"/>
  <c r="AL70" i="68"/>
  <c r="AL94" i="68"/>
  <c r="AL93" i="68"/>
  <c r="T112" i="66"/>
  <c r="O46" i="63"/>
  <c r="T41" i="66"/>
  <c r="O39" i="63"/>
  <c r="T27" i="66"/>
  <c r="T117" i="66"/>
  <c r="AL71" i="68"/>
  <c r="T62" i="66"/>
  <c r="T113" i="66"/>
  <c r="AM72" i="68"/>
  <c r="T38" i="66"/>
  <c r="AM75" i="68"/>
  <c r="T118" i="66"/>
  <c r="T115" i="66"/>
  <c r="O47" i="63"/>
  <c r="T104" i="66"/>
  <c r="T84" i="66"/>
  <c r="T65" i="66"/>
  <c r="T60" i="66"/>
  <c r="T91" i="66"/>
  <c r="T54" i="66"/>
  <c r="O44" i="63"/>
  <c r="T77" i="66"/>
  <c r="T71" i="66"/>
  <c r="T95" i="66"/>
  <c r="T30" i="66"/>
  <c r="T100" i="66"/>
  <c r="AM79" i="68"/>
  <c r="T93" i="66"/>
  <c r="T61" i="66"/>
  <c r="T51" i="66"/>
  <c r="O38" i="63"/>
  <c r="T29" i="66"/>
  <c r="O42" i="63"/>
  <c r="T64" i="66"/>
  <c r="T81" i="66"/>
  <c r="T75" i="66"/>
  <c r="T42" i="66"/>
  <c r="T79" i="66"/>
  <c r="T119" i="66"/>
  <c r="T53" i="66"/>
  <c r="T37" i="66"/>
  <c r="AM94" i="68"/>
  <c r="T36" i="66"/>
  <c r="O40" i="63"/>
  <c r="AM74" i="68"/>
  <c r="T39" i="66"/>
  <c r="T101" i="66"/>
  <c r="T102" i="66"/>
  <c r="T34" i="66"/>
  <c r="T49" i="66"/>
  <c r="O48" i="63"/>
  <c r="T80" i="66"/>
  <c r="T66" i="66"/>
  <c r="T32" i="66"/>
  <c r="L18" i="65"/>
  <c r="AL95" i="68"/>
  <c r="O53" i="63"/>
  <c r="L43" i="68" l="1"/>
  <c r="K43" i="68" s="1"/>
  <c r="L47" i="68"/>
  <c r="K47" i="68" s="1"/>
  <c r="L51" i="68"/>
  <c r="K51" i="68" s="1"/>
  <c r="L55" i="68"/>
  <c r="K55" i="68" s="1"/>
  <c r="L20" i="68"/>
  <c r="K20" i="68" s="1"/>
  <c r="L21" i="68"/>
  <c r="K21" i="68" s="1"/>
  <c r="L24" i="68"/>
  <c r="K24" i="68" s="1"/>
  <c r="L25" i="68"/>
  <c r="K25" i="68" s="1"/>
  <c r="L28" i="68"/>
  <c r="K28" i="68" s="1"/>
  <c r="L29" i="68"/>
  <c r="K29" i="68" s="1"/>
  <c r="L32" i="68"/>
  <c r="K32" i="68" s="1"/>
  <c r="L50" i="68"/>
  <c r="K50" i="68" s="1"/>
  <c r="L52" i="68"/>
  <c r="K52" i="68" s="1"/>
  <c r="L54" i="68"/>
  <c r="K54" i="68" s="1"/>
  <c r="L56" i="68"/>
  <c r="K56" i="68" s="1"/>
  <c r="L22" i="68"/>
  <c r="K22" i="68" s="1"/>
  <c r="L23" i="68"/>
  <c r="K23" i="68" s="1"/>
  <c r="L26" i="68"/>
  <c r="K26" i="68" s="1"/>
  <c r="L27" i="68"/>
  <c r="K27" i="68" s="1"/>
  <c r="L30" i="68"/>
  <c r="K30" i="68" s="1"/>
  <c r="L33" i="68"/>
  <c r="K33" i="68" s="1"/>
  <c r="L19" i="68"/>
  <c r="K19" i="68" s="1"/>
  <c r="L46" i="68"/>
  <c r="K46" i="68" s="1"/>
  <c r="L31" i="68"/>
  <c r="K31" i="68" s="1"/>
  <c r="L53" i="68"/>
  <c r="K53" i="68" s="1"/>
  <c r="L49" i="68"/>
  <c r="K49" i="68" s="1"/>
  <c r="L48" i="68"/>
  <c r="K48" i="68" s="1"/>
  <c r="L45" i="68"/>
  <c r="K45" i="68" s="1"/>
  <c r="L44" i="68"/>
  <c r="K44" i="68" s="1"/>
  <c r="L42" i="68"/>
  <c r="T31" i="65"/>
  <c r="K42" i="68" l="1"/>
  <c r="I26" i="67"/>
  <c r="C30" i="67" s="1"/>
  <c r="V131" i="66" l="1"/>
  <c r="A62" i="69"/>
  <c r="A63" i="69"/>
  <c r="A64" i="69"/>
  <c r="A65" i="69"/>
  <c r="A67" i="69"/>
  <c r="A68" i="69"/>
  <c r="A69" i="69"/>
  <c r="A70" i="69"/>
  <c r="A71" i="69"/>
  <c r="A72" i="69"/>
  <c r="A54" i="69" l="1"/>
  <c r="N17" i="62" l="1"/>
  <c r="I38" i="63" l="1"/>
  <c r="I39" i="63"/>
  <c r="I40" i="63"/>
  <c r="I41" i="63"/>
  <c r="I42" i="63"/>
  <c r="I43" i="63"/>
  <c r="I44" i="63"/>
  <c r="I45" i="63"/>
  <c r="I46" i="63"/>
  <c r="I47" i="63"/>
  <c r="I48" i="63"/>
  <c r="I49" i="63"/>
  <c r="I50" i="63"/>
  <c r="I51" i="63"/>
  <c r="I52" i="63"/>
  <c r="I53" i="63"/>
  <c r="I54" i="63"/>
  <c r="I55" i="63"/>
  <c r="I37" i="63"/>
  <c r="I36" i="63"/>
  <c r="G55" i="63" l="1"/>
  <c r="G54" i="63"/>
  <c r="G53" i="63"/>
  <c r="G52" i="63"/>
  <c r="G51" i="63"/>
  <c r="G50" i="63"/>
  <c r="G49" i="63"/>
  <c r="G48" i="63"/>
  <c r="G47" i="63"/>
  <c r="G46" i="63"/>
  <c r="G45" i="63"/>
  <c r="G44" i="63"/>
  <c r="G43" i="63"/>
  <c r="G42" i="63"/>
  <c r="G41" i="63"/>
  <c r="G40" i="63"/>
  <c r="G39" i="63"/>
  <c r="G38" i="63"/>
  <c r="G37" i="63"/>
  <c r="G36" i="63"/>
  <c r="AL78" i="68"/>
  <c r="AL75" i="68"/>
  <c r="AL80" i="68"/>
  <c r="AL73" i="68"/>
  <c r="AL81" i="68"/>
  <c r="AL83" i="68"/>
  <c r="AL82" i="68"/>
  <c r="AL84" i="68"/>
  <c r="AL77" i="68"/>
  <c r="AL76" i="68"/>
  <c r="AL74" i="68"/>
  <c r="AL85" i="68"/>
  <c r="AL79" i="68"/>
  <c r="AL72" i="68"/>
  <c r="BK41" i="66" l="1"/>
  <c r="BK42" i="66"/>
  <c r="BK43" i="66"/>
  <c r="BK44" i="66"/>
  <c r="BK45" i="66"/>
  <c r="BK46" i="66"/>
  <c r="BK47" i="66"/>
  <c r="BK48" i="66"/>
  <c r="BK49" i="66"/>
  <c r="BK50" i="66"/>
  <c r="BK51" i="66"/>
  <c r="BK52" i="66"/>
  <c r="BK53" i="66"/>
  <c r="BK54" i="66"/>
  <c r="BK55" i="66"/>
  <c r="BK56" i="66"/>
  <c r="BK57" i="66"/>
  <c r="BK58" i="66"/>
  <c r="BK59" i="66"/>
  <c r="BK60" i="66"/>
  <c r="BK61" i="66"/>
  <c r="BK62" i="66"/>
  <c r="BK63" i="66"/>
  <c r="BK64" i="66"/>
  <c r="BK65" i="66"/>
  <c r="BK66" i="66"/>
  <c r="BK67" i="66"/>
  <c r="BK68" i="66"/>
  <c r="BK69" i="66"/>
  <c r="BK70" i="66"/>
  <c r="BK71" i="66"/>
  <c r="BK72" i="66"/>
  <c r="BK73" i="66"/>
  <c r="BK74" i="66"/>
  <c r="BK75" i="66"/>
  <c r="BK76" i="66"/>
  <c r="BK77" i="66"/>
  <c r="BK78" i="66"/>
  <c r="BK79" i="66"/>
  <c r="BK80" i="66"/>
  <c r="BK81" i="66"/>
  <c r="BK82" i="66"/>
  <c r="BK83" i="66"/>
  <c r="BK84" i="66"/>
  <c r="BK85" i="66"/>
  <c r="BK86" i="66"/>
  <c r="BK87" i="66"/>
  <c r="BK88" i="66"/>
  <c r="BK89" i="66"/>
  <c r="BK90" i="66"/>
  <c r="BK91" i="66"/>
  <c r="BK92" i="66"/>
  <c r="BK93" i="66"/>
  <c r="BK94" i="66"/>
  <c r="BK95" i="66"/>
  <c r="BK96" i="66"/>
  <c r="BK97" i="66"/>
  <c r="BK98" i="66"/>
  <c r="BK99" i="66"/>
  <c r="BK100" i="66"/>
  <c r="BK101" i="66"/>
  <c r="BK102" i="66"/>
  <c r="BK103" i="66"/>
  <c r="BK104" i="66"/>
  <c r="BK105" i="66"/>
  <c r="BK106" i="66"/>
  <c r="BK107" i="66"/>
  <c r="BK108" i="66"/>
  <c r="BK109" i="66"/>
  <c r="BK110" i="66"/>
  <c r="BK111" i="66"/>
  <c r="BK112" i="66"/>
  <c r="BK113" i="66"/>
  <c r="BK114" i="66"/>
  <c r="BK115" i="66"/>
  <c r="BK116" i="66"/>
  <c r="BK117" i="66"/>
  <c r="BK118" i="66"/>
  <c r="BK119" i="66"/>
  <c r="BK120" i="66"/>
  <c r="BK121" i="66"/>
  <c r="BK22" i="66"/>
  <c r="AQ59" i="66"/>
  <c r="AQ46" i="66"/>
  <c r="AQ72" i="66"/>
  <c r="AQ104" i="66"/>
  <c r="AQ62" i="66"/>
  <c r="AQ52" i="66"/>
  <c r="AQ64" i="66"/>
  <c r="AQ57" i="66"/>
  <c r="AQ68" i="66"/>
  <c r="AQ93" i="66"/>
  <c r="AQ95" i="66"/>
  <c r="AR22" i="66"/>
  <c r="AQ54" i="66"/>
  <c r="AQ111" i="66"/>
  <c r="AQ88" i="66"/>
  <c r="AQ22" i="66"/>
  <c r="AQ38" i="66"/>
  <c r="AQ44" i="66"/>
  <c r="AQ79" i="66"/>
  <c r="AQ53" i="66"/>
  <c r="AQ23" i="66"/>
  <c r="AQ80" i="66"/>
  <c r="AQ51" i="66"/>
  <c r="AQ55" i="66"/>
  <c r="AQ78" i="66"/>
  <c r="AQ99" i="66"/>
  <c r="AQ100" i="66"/>
  <c r="AQ117" i="66"/>
  <c r="AQ40" i="66"/>
  <c r="AQ67" i="66"/>
  <c r="AQ103" i="66"/>
  <c r="AQ87" i="66"/>
  <c r="AQ83" i="66"/>
  <c r="AQ106" i="66"/>
  <c r="AQ63" i="66"/>
  <c r="AQ49" i="66"/>
  <c r="AQ92" i="66"/>
  <c r="AQ30" i="66"/>
  <c r="AQ71" i="66"/>
  <c r="AQ34" i="66"/>
  <c r="AQ77" i="66"/>
  <c r="I19" i="81"/>
  <c r="AQ60" i="66"/>
  <c r="AQ110" i="66"/>
  <c r="AQ66" i="66"/>
  <c r="AQ115" i="66"/>
  <c r="AQ116" i="66"/>
  <c r="AQ31" i="66"/>
  <c r="AQ28" i="66"/>
  <c r="AQ84" i="66"/>
  <c r="AQ102" i="66"/>
  <c r="AQ73" i="66"/>
  <c r="AQ39" i="66"/>
  <c r="AQ89" i="66"/>
  <c r="AQ121" i="66"/>
  <c r="AQ101" i="66"/>
  <c r="AQ85" i="66"/>
  <c r="AQ91" i="66"/>
  <c r="AQ35" i="66"/>
  <c r="AQ76" i="66"/>
  <c r="AQ114" i="66"/>
  <c r="AQ109" i="66"/>
  <c r="AQ43" i="66"/>
  <c r="AQ105" i="66"/>
  <c r="AQ56" i="66"/>
  <c r="AQ45" i="66"/>
  <c r="AQ96" i="66"/>
  <c r="AQ82" i="66"/>
  <c r="AQ36" i="66"/>
  <c r="AQ33" i="66"/>
  <c r="AQ86" i="66"/>
  <c r="AQ98" i="66"/>
  <c r="AQ90" i="66"/>
  <c r="AQ118" i="66"/>
  <c r="AQ113" i="66"/>
  <c r="AQ37" i="66"/>
  <c r="AQ25" i="66"/>
  <c r="AQ41" i="66"/>
  <c r="AQ58" i="66"/>
  <c r="AQ65" i="66"/>
  <c r="AQ97" i="66"/>
  <c r="AQ112" i="66"/>
  <c r="AQ120" i="66"/>
  <c r="AQ61" i="66"/>
  <c r="AQ24" i="66"/>
  <c r="AQ119" i="66"/>
  <c r="AQ26" i="66"/>
  <c r="AQ81" i="66"/>
  <c r="I15" i="81"/>
  <c r="AQ75" i="66"/>
  <c r="AQ42" i="66"/>
  <c r="AQ50" i="66"/>
  <c r="AQ108" i="66"/>
  <c r="AQ69" i="66"/>
  <c r="I16" i="81"/>
  <c r="AQ27" i="66"/>
  <c r="AQ48" i="66"/>
  <c r="AQ70" i="66"/>
  <c r="AQ32" i="66"/>
  <c r="AQ47" i="66"/>
  <c r="AQ94" i="66"/>
  <c r="AQ29" i="66"/>
  <c r="AQ74" i="66"/>
  <c r="AQ107" i="66"/>
  <c r="A20" i="69" l="1"/>
  <c r="A21" i="69"/>
  <c r="A22" i="69"/>
  <c r="A23" i="69"/>
  <c r="A24" i="69"/>
  <c r="A25" i="69"/>
  <c r="A26" i="69"/>
  <c r="A27" i="69"/>
  <c r="A28" i="69"/>
  <c r="A29" i="69"/>
  <c r="A30" i="69"/>
  <c r="A31" i="69"/>
  <c r="A32" i="69"/>
  <c r="A33" i="69"/>
  <c r="A34" i="69"/>
  <c r="A35" i="69"/>
  <c r="A36" i="69"/>
  <c r="A37" i="69"/>
  <c r="A38" i="69"/>
  <c r="A39" i="69"/>
  <c r="A40" i="69"/>
  <c r="A41" i="69"/>
  <c r="A42" i="69"/>
  <c r="A43" i="69"/>
  <c r="A44" i="69"/>
  <c r="A45" i="69"/>
  <c r="A46" i="69"/>
  <c r="A47" i="69"/>
  <c r="A48" i="69"/>
  <c r="A49" i="69"/>
  <c r="A50" i="69"/>
  <c r="A51" i="69"/>
  <c r="A52" i="69"/>
  <c r="A53" i="69"/>
  <c r="G121" i="66" l="1"/>
  <c r="G120" i="66"/>
  <c r="G119" i="66"/>
  <c r="G118" i="66"/>
  <c r="G117" i="66"/>
  <c r="G116" i="66"/>
  <c r="G115" i="66"/>
  <c r="G114" i="66"/>
  <c r="G113" i="66"/>
  <c r="G112" i="66"/>
  <c r="G111" i="66"/>
  <c r="G110" i="66"/>
  <c r="G109" i="66"/>
  <c r="G108" i="66"/>
  <c r="G107" i="66"/>
  <c r="G106" i="66"/>
  <c r="G105" i="66"/>
  <c r="G104" i="66"/>
  <c r="G103" i="66"/>
  <c r="G102" i="66"/>
  <c r="G101" i="66"/>
  <c r="G100" i="66"/>
  <c r="G99" i="66"/>
  <c r="G98" i="66"/>
  <c r="G97" i="66"/>
  <c r="G96" i="66"/>
  <c r="G95" i="66"/>
  <c r="G94" i="66"/>
  <c r="G93" i="66"/>
  <c r="G92" i="66"/>
  <c r="G91" i="66"/>
  <c r="G90" i="66"/>
  <c r="G89" i="66"/>
  <c r="G88" i="66"/>
  <c r="G87" i="66"/>
  <c r="G86" i="66"/>
  <c r="G85" i="66"/>
  <c r="G84" i="66"/>
  <c r="G83" i="66"/>
  <c r="G82" i="66"/>
  <c r="G81" i="66"/>
  <c r="G80" i="66"/>
  <c r="G79" i="66"/>
  <c r="G78" i="66"/>
  <c r="G77" i="66"/>
  <c r="G76" i="66"/>
  <c r="G75" i="66"/>
  <c r="G74" i="66"/>
  <c r="G73" i="66"/>
  <c r="G72" i="66"/>
  <c r="G71" i="66"/>
  <c r="G70" i="66"/>
  <c r="G69" i="66"/>
  <c r="G68" i="66"/>
  <c r="G67" i="66"/>
  <c r="G66" i="66"/>
  <c r="G65" i="66"/>
  <c r="G64" i="66"/>
  <c r="G63" i="66"/>
  <c r="G62" i="66"/>
  <c r="G61" i="66"/>
  <c r="G60" i="66"/>
  <c r="G59" i="66"/>
  <c r="G58" i="66"/>
  <c r="G57" i="66"/>
  <c r="G56" i="66"/>
  <c r="G55" i="66"/>
  <c r="G54" i="66"/>
  <c r="G53" i="66"/>
  <c r="G52" i="66"/>
  <c r="G51" i="66"/>
  <c r="G50" i="66"/>
  <c r="G49" i="66"/>
  <c r="G48" i="66"/>
  <c r="G47" i="66"/>
  <c r="G46" i="66"/>
  <c r="G45" i="66"/>
  <c r="G44" i="66"/>
  <c r="G43" i="66"/>
  <c r="G42" i="66"/>
  <c r="G41" i="66"/>
  <c r="G40" i="66"/>
  <c r="BK40" i="66" s="1"/>
  <c r="G39" i="66"/>
  <c r="BK39" i="66" s="1"/>
  <c r="G38" i="66"/>
  <c r="BK38" i="66" s="1"/>
  <c r="G37" i="66"/>
  <c r="BK37" i="66" s="1"/>
  <c r="G36" i="66"/>
  <c r="BK36" i="66" s="1"/>
  <c r="G35" i="66"/>
  <c r="BK35" i="66" s="1"/>
  <c r="G34" i="66"/>
  <c r="BK34" i="66" s="1"/>
  <c r="G33" i="66"/>
  <c r="BK33" i="66" s="1"/>
  <c r="G32" i="66"/>
  <c r="BK32" i="66" s="1"/>
  <c r="G31" i="66"/>
  <c r="BK31" i="66" s="1"/>
  <c r="G30" i="66"/>
  <c r="E410" i="111" s="1"/>
  <c r="G29" i="66"/>
  <c r="E409" i="111" s="1"/>
  <c r="G28" i="66"/>
  <c r="G27" i="66"/>
  <c r="G26" i="66"/>
  <c r="G25" i="66"/>
  <c r="G24" i="66"/>
  <c r="G23" i="66"/>
  <c r="BH34" i="66" l="1"/>
  <c r="E414" i="111"/>
  <c r="BH38" i="66"/>
  <c r="E418" i="111"/>
  <c r="BH42" i="66"/>
  <c r="E422" i="111"/>
  <c r="BH46" i="66"/>
  <c r="E426" i="111"/>
  <c r="BH50" i="66"/>
  <c r="E430" i="111"/>
  <c r="BH54" i="66"/>
  <c r="E434" i="111"/>
  <c r="BH58" i="66"/>
  <c r="E438" i="111"/>
  <c r="BH62" i="66"/>
  <c r="E442" i="111"/>
  <c r="BH66" i="66"/>
  <c r="E446" i="111"/>
  <c r="BH70" i="66"/>
  <c r="E450" i="111"/>
  <c r="BH74" i="66"/>
  <c r="E454" i="111"/>
  <c r="BH78" i="66"/>
  <c r="E458" i="111"/>
  <c r="BH82" i="66"/>
  <c r="E462" i="111"/>
  <c r="BH86" i="66"/>
  <c r="E466" i="111"/>
  <c r="BH90" i="66"/>
  <c r="E470" i="111"/>
  <c r="BH94" i="66"/>
  <c r="E474" i="111"/>
  <c r="BH98" i="66"/>
  <c r="E478" i="111"/>
  <c r="BH102" i="66"/>
  <c r="E482" i="111"/>
  <c r="BH106" i="66"/>
  <c r="E486" i="111"/>
  <c r="BH110" i="66"/>
  <c r="E490" i="111"/>
  <c r="BH114" i="66"/>
  <c r="E494" i="111"/>
  <c r="BH118" i="66"/>
  <c r="E498" i="111"/>
  <c r="BH31" i="66"/>
  <c r="E411" i="111"/>
  <c r="BH35" i="66"/>
  <c r="E415" i="111"/>
  <c r="BH39" i="66"/>
  <c r="E419" i="111"/>
  <c r="BH43" i="66"/>
  <c r="E423" i="111"/>
  <c r="BH47" i="66"/>
  <c r="E427" i="111"/>
  <c r="BH51" i="66"/>
  <c r="E431" i="111"/>
  <c r="BH55" i="66"/>
  <c r="E435" i="111"/>
  <c r="BH59" i="66"/>
  <c r="E439" i="111"/>
  <c r="BH63" i="66"/>
  <c r="E443" i="111"/>
  <c r="BH67" i="66"/>
  <c r="E447" i="111"/>
  <c r="BH71" i="66"/>
  <c r="E451" i="111"/>
  <c r="BH75" i="66"/>
  <c r="E455" i="111"/>
  <c r="BH79" i="66"/>
  <c r="E459" i="111"/>
  <c r="BH83" i="66"/>
  <c r="E463" i="111"/>
  <c r="BH87" i="66"/>
  <c r="E467" i="111"/>
  <c r="BH91" i="66"/>
  <c r="E471" i="111"/>
  <c r="BH95" i="66"/>
  <c r="E475" i="111"/>
  <c r="BH99" i="66"/>
  <c r="E479" i="111"/>
  <c r="BH103" i="66"/>
  <c r="E483" i="111"/>
  <c r="BH107" i="66"/>
  <c r="E487" i="111"/>
  <c r="BH111" i="66"/>
  <c r="E491" i="111"/>
  <c r="BH115" i="66"/>
  <c r="E495" i="111"/>
  <c r="BH119" i="66"/>
  <c r="E499" i="111"/>
  <c r="BH32" i="66"/>
  <c r="E412" i="111"/>
  <c r="BH36" i="66"/>
  <c r="E416" i="111"/>
  <c r="BH40" i="66"/>
  <c r="E420" i="111"/>
  <c r="BH44" i="66"/>
  <c r="E424" i="111"/>
  <c r="BH48" i="66"/>
  <c r="E428" i="111"/>
  <c r="BH52" i="66"/>
  <c r="E432" i="111"/>
  <c r="BH56" i="66"/>
  <c r="E436" i="111"/>
  <c r="BH60" i="66"/>
  <c r="E440" i="111"/>
  <c r="BH64" i="66"/>
  <c r="E444" i="111"/>
  <c r="BH68" i="66"/>
  <c r="E448" i="111"/>
  <c r="BH72" i="66"/>
  <c r="E452" i="111"/>
  <c r="BH76" i="66"/>
  <c r="E456" i="111"/>
  <c r="BH80" i="66"/>
  <c r="E460" i="111"/>
  <c r="BH84" i="66"/>
  <c r="E464" i="111"/>
  <c r="BH88" i="66"/>
  <c r="E468" i="111"/>
  <c r="BH92" i="66"/>
  <c r="E472" i="111"/>
  <c r="BH96" i="66"/>
  <c r="E476" i="111"/>
  <c r="BH100" i="66"/>
  <c r="E480" i="111"/>
  <c r="BH104" i="66"/>
  <c r="E484" i="111"/>
  <c r="BH108" i="66"/>
  <c r="E488" i="111"/>
  <c r="BH112" i="66"/>
  <c r="E492" i="111"/>
  <c r="BH116" i="66"/>
  <c r="E496" i="111"/>
  <c r="BH120" i="66"/>
  <c r="E500" i="111"/>
  <c r="BH33" i="66"/>
  <c r="E413" i="111"/>
  <c r="BH37" i="66"/>
  <c r="E417" i="111"/>
  <c r="BH41" i="66"/>
  <c r="E421" i="111"/>
  <c r="BH45" i="66"/>
  <c r="E425" i="111"/>
  <c r="BH49" i="66"/>
  <c r="E429" i="111"/>
  <c r="BH53" i="66"/>
  <c r="E433" i="111"/>
  <c r="BH57" i="66"/>
  <c r="E437" i="111"/>
  <c r="BH61" i="66"/>
  <c r="E441" i="111"/>
  <c r="BH65" i="66"/>
  <c r="E445" i="111"/>
  <c r="BH69" i="66"/>
  <c r="E449" i="111"/>
  <c r="BH73" i="66"/>
  <c r="E453" i="111"/>
  <c r="BH77" i="66"/>
  <c r="E457" i="111"/>
  <c r="BH81" i="66"/>
  <c r="E461" i="111"/>
  <c r="BH85" i="66"/>
  <c r="E465" i="111"/>
  <c r="BH89" i="66"/>
  <c r="E469" i="111"/>
  <c r="BH93" i="66"/>
  <c r="E473" i="111"/>
  <c r="BH97" i="66"/>
  <c r="E477" i="111"/>
  <c r="BH101" i="66"/>
  <c r="E481" i="111"/>
  <c r="BH105" i="66"/>
  <c r="E485" i="111"/>
  <c r="BH109" i="66"/>
  <c r="E489" i="111"/>
  <c r="BH113" i="66"/>
  <c r="E493" i="111"/>
  <c r="BH117" i="66"/>
  <c r="E497" i="111"/>
  <c r="BH121" i="66"/>
  <c r="E501" i="111"/>
  <c r="BK26" i="66"/>
  <c r="BH26" i="66" s="1"/>
  <c r="E406" i="111"/>
  <c r="BK27" i="66"/>
  <c r="BH27" i="66" s="1"/>
  <c r="E407" i="111"/>
  <c r="BK24" i="66"/>
  <c r="BH24" i="66" s="1"/>
  <c r="E404" i="111"/>
  <c r="BK28" i="66"/>
  <c r="BH28" i="66" s="1"/>
  <c r="E408" i="111"/>
  <c r="BK25" i="66"/>
  <c r="BH25" i="66" s="1"/>
  <c r="E405" i="111"/>
  <c r="BK23" i="66"/>
  <c r="BH23" i="66" s="1"/>
  <c r="E403" i="111"/>
  <c r="BK30" i="66"/>
  <c r="BH30" i="66" s="1"/>
  <c r="BK29" i="66"/>
  <c r="BH29" i="66" s="1"/>
  <c r="D21" i="62" l="1"/>
  <c r="BH22" i="66"/>
  <c r="B12" i="69"/>
  <c r="B10" i="69"/>
  <c r="H19" i="65"/>
  <c r="H18" i="65"/>
  <c r="L53" i="81" l="1"/>
  <c r="L52" i="81"/>
  <c r="L51" i="81"/>
  <c r="L50" i="81"/>
  <c r="L49" i="81"/>
  <c r="L48" i="81"/>
  <c r="L47" i="81"/>
  <c r="L46" i="81"/>
  <c r="L45" i="81"/>
  <c r="L44" i="81"/>
  <c r="L43" i="81"/>
  <c r="L42" i="81"/>
  <c r="L41" i="81"/>
  <c r="L40" i="81"/>
  <c r="L36" i="81"/>
  <c r="L35" i="81"/>
  <c r="L34" i="81"/>
  <c r="L33" i="81"/>
  <c r="L32" i="81"/>
  <c r="L31" i="81"/>
  <c r="L30" i="81"/>
  <c r="L29" i="81"/>
  <c r="L27" i="81"/>
  <c r="L26" i="81"/>
  <c r="L25" i="81"/>
  <c r="L24" i="81"/>
  <c r="L23" i="81"/>
  <c r="L22" i="81"/>
  <c r="L21" i="81"/>
  <c r="L20" i="81"/>
  <c r="L19" i="81"/>
  <c r="H20" i="65"/>
  <c r="H15" i="65"/>
  <c r="I23" i="67" l="1"/>
  <c r="E17" i="69" l="1"/>
  <c r="A20" i="65"/>
  <c r="A19" i="65"/>
  <c r="A18" i="65"/>
  <c r="H16" i="65"/>
  <c r="F25" i="62"/>
  <c r="K17" i="65"/>
  <c r="J15" i="65"/>
  <c r="J18" i="65"/>
  <c r="L17" i="65"/>
  <c r="J20" i="65"/>
  <c r="J19" i="65"/>
  <c r="A23" i="67" l="1"/>
  <c r="A16" i="65"/>
  <c r="A15" i="65"/>
  <c r="L38" i="81" l="1"/>
  <c r="A38" i="81" s="1"/>
  <c r="A20" i="68" l="1"/>
  <c r="A21" i="68"/>
  <c r="A22" i="68"/>
  <c r="A23" i="68"/>
  <c r="A24" i="68"/>
  <c r="A25" i="68"/>
  <c r="A26" i="68"/>
  <c r="A27" i="68"/>
  <c r="A28" i="68"/>
  <c r="A29" i="68"/>
  <c r="A30" i="68"/>
  <c r="A31" i="68"/>
  <c r="A32" i="68"/>
  <c r="A33" i="68"/>
  <c r="A19" i="68"/>
  <c r="A10" i="67" l="1"/>
  <c r="A2" i="67" s="1"/>
  <c r="A3" i="67" s="1"/>
  <c r="E23" i="46" s="1"/>
  <c r="A37" i="63"/>
  <c r="A36" i="63"/>
  <c r="A56" i="69" l="1"/>
  <c r="A57" i="69"/>
  <c r="A58" i="69"/>
  <c r="A59" i="69"/>
  <c r="A60" i="69"/>
  <c r="A61" i="69"/>
  <c r="A55" i="69"/>
  <c r="X52" i="64" l="1"/>
  <c r="E6" i="67"/>
  <c r="E6" i="62"/>
  <c r="E6" i="81"/>
  <c r="E6" i="65"/>
  <c r="E6" i="69"/>
  <c r="AB122" i="66" l="1"/>
  <c r="AN22" i="66"/>
  <c r="E6" i="64"/>
  <c r="BI23" i="66" l="1"/>
  <c r="BI24" i="66"/>
  <c r="BI25" i="66"/>
  <c r="BI26" i="66"/>
  <c r="BI27" i="66"/>
  <c r="BI29" i="66"/>
  <c r="BI30" i="66"/>
  <c r="BI33" i="66"/>
  <c r="BI34" i="66"/>
  <c r="BI38" i="66"/>
  <c r="BI42" i="66"/>
  <c r="BI46" i="66"/>
  <c r="BI49" i="66"/>
  <c r="BI50" i="66"/>
  <c r="BI54" i="66"/>
  <c r="BI58" i="66"/>
  <c r="BI59" i="66"/>
  <c r="BI62" i="66"/>
  <c r="BI63" i="66"/>
  <c r="BI65" i="66"/>
  <c r="BI66" i="66"/>
  <c r="BI69" i="66"/>
  <c r="BI70" i="66"/>
  <c r="BI71" i="66"/>
  <c r="BI74" i="66"/>
  <c r="BI75" i="66"/>
  <c r="BI78" i="66"/>
  <c r="BI81" i="66"/>
  <c r="BI82" i="66"/>
  <c r="BI83" i="66"/>
  <c r="BI85" i="66"/>
  <c r="BI86" i="66"/>
  <c r="BI89" i="66"/>
  <c r="BI90" i="66"/>
  <c r="BI91" i="66"/>
  <c r="BI93" i="66"/>
  <c r="BI94" i="66"/>
  <c r="BI95" i="66"/>
  <c r="BI97" i="66"/>
  <c r="BI98" i="66"/>
  <c r="BI100" i="66"/>
  <c r="BI101" i="66"/>
  <c r="BI102" i="66"/>
  <c r="BI103" i="66"/>
  <c r="BI104" i="66"/>
  <c r="BI105" i="66"/>
  <c r="BI106" i="66"/>
  <c r="BI107" i="66"/>
  <c r="BI108" i="66"/>
  <c r="BI109" i="66"/>
  <c r="BI110" i="66"/>
  <c r="BI111" i="66"/>
  <c r="BI112" i="66"/>
  <c r="BI113" i="66"/>
  <c r="BI114" i="66"/>
  <c r="BI115" i="66"/>
  <c r="BI116" i="66"/>
  <c r="BI117" i="66"/>
  <c r="BI118" i="66"/>
  <c r="BI119" i="66"/>
  <c r="BI120" i="66"/>
  <c r="BI121" i="66"/>
  <c r="BI28" i="66"/>
  <c r="BI31" i="66"/>
  <c r="BI32" i="66"/>
  <c r="BI35" i="66"/>
  <c r="BI36" i="66"/>
  <c r="BI37" i="66"/>
  <c r="BI39" i="66"/>
  <c r="BI40" i="66"/>
  <c r="BI41" i="66"/>
  <c r="BI43" i="66"/>
  <c r="BI44" i="66"/>
  <c r="BI45" i="66"/>
  <c r="BI47" i="66"/>
  <c r="BI48" i="66"/>
  <c r="BI51" i="66"/>
  <c r="BI52" i="66"/>
  <c r="BI53" i="66"/>
  <c r="BI55" i="66"/>
  <c r="BI56" i="66"/>
  <c r="BI57" i="66"/>
  <c r="BI60" i="66"/>
  <c r="BI61" i="66"/>
  <c r="BI64" i="66"/>
  <c r="BI67" i="66"/>
  <c r="BI68" i="66"/>
  <c r="BI72" i="66"/>
  <c r="BI73" i="66"/>
  <c r="BI76" i="66"/>
  <c r="BI77" i="66"/>
  <c r="BI79" i="66"/>
  <c r="BI80" i="66"/>
  <c r="BI84" i="66"/>
  <c r="BI87" i="66"/>
  <c r="BI88" i="66"/>
  <c r="BI92" i="66"/>
  <c r="BI96" i="66"/>
  <c r="BI99" i="66"/>
  <c r="I25" i="62" l="1"/>
  <c r="A25" i="62" l="1"/>
  <c r="B11" i="68"/>
  <c r="D52" i="64" l="1"/>
  <c r="AX127" i="66"/>
  <c r="AW129" i="66"/>
  <c r="AZ127" i="66"/>
  <c r="AX130" i="66"/>
  <c r="AZ130" i="66"/>
  <c r="AV130" i="66"/>
  <c r="AX129" i="66"/>
  <c r="AW130" i="66"/>
  <c r="AW127" i="66"/>
  <c r="AY129" i="66"/>
  <c r="AY130" i="66"/>
  <c r="AY127" i="66"/>
  <c r="AZ129" i="66"/>
  <c r="AH19" i="68" l="1"/>
  <c r="AF19" i="68"/>
  <c r="AG19" i="68" s="1"/>
  <c r="BE117" i="66"/>
  <c r="BE113" i="66"/>
  <c r="BE39" i="66"/>
  <c r="BE91" i="66"/>
  <c r="BE44" i="66"/>
  <c r="BE35" i="66"/>
  <c r="BE43" i="66"/>
  <c r="BE70" i="66"/>
  <c r="BE79" i="66"/>
  <c r="BE54" i="66"/>
  <c r="BE24" i="66"/>
  <c r="BE99" i="66"/>
  <c r="BE116" i="66"/>
  <c r="BE41" i="66"/>
  <c r="BE49" i="66"/>
  <c r="BE64" i="66"/>
  <c r="BE109" i="66"/>
  <c r="BE55" i="66"/>
  <c r="BE75" i="66"/>
  <c r="BE105" i="66"/>
  <c r="BE31" i="66"/>
  <c r="BE60" i="66"/>
  <c r="BE103" i="66"/>
  <c r="BE67" i="66"/>
  <c r="BE63" i="66"/>
  <c r="BE101" i="66"/>
  <c r="BE98" i="66"/>
  <c r="BE85" i="66"/>
  <c r="BE69" i="66"/>
  <c r="BE66" i="66"/>
  <c r="BE51" i="66"/>
  <c r="BE61" i="66"/>
  <c r="BE30" i="66"/>
  <c r="BE83" i="66"/>
  <c r="BE107" i="66"/>
  <c r="BE25" i="66"/>
  <c r="BE73" i="66"/>
  <c r="BE76" i="66"/>
  <c r="BE115" i="66"/>
  <c r="BE40" i="66"/>
  <c r="BE27" i="66"/>
  <c r="BE57" i="66"/>
  <c r="BE22" i="66"/>
  <c r="BE96" i="66"/>
  <c r="BE100" i="66"/>
  <c r="BE112" i="66"/>
  <c r="BE45" i="66"/>
  <c r="BE114" i="66"/>
  <c r="BE121" i="66"/>
  <c r="BE71" i="66"/>
  <c r="BE58" i="66"/>
  <c r="BE118" i="66"/>
  <c r="BE37" i="66"/>
  <c r="BE97" i="66"/>
  <c r="BE78" i="66"/>
  <c r="BE108" i="66"/>
  <c r="BE89" i="66"/>
  <c r="BE82" i="66"/>
  <c r="BE77" i="66"/>
  <c r="BE23" i="66"/>
  <c r="BE34" i="66"/>
  <c r="BE119" i="66"/>
  <c r="BE84" i="66"/>
  <c r="BE65" i="66"/>
  <c r="BE80" i="66"/>
  <c r="BE36" i="66"/>
  <c r="BE72" i="66"/>
  <c r="BE52" i="66"/>
  <c r="BE47" i="66"/>
  <c r="BE93" i="66"/>
  <c r="BE94" i="66"/>
  <c r="BE95" i="66"/>
  <c r="BE102" i="66"/>
  <c r="BE111" i="66"/>
  <c r="BE81" i="66"/>
  <c r="BE59" i="66"/>
  <c r="BE50" i="66"/>
  <c r="BE110" i="66"/>
  <c r="BE74" i="66"/>
  <c r="BE104" i="66"/>
  <c r="BE46" i="66"/>
  <c r="BE42" i="66"/>
  <c r="BE26" i="66"/>
  <c r="BE86" i="66"/>
  <c r="BE56" i="66"/>
  <c r="BE48" i="66"/>
  <c r="BE120" i="66"/>
  <c r="BE90" i="66"/>
  <c r="BE68" i="66"/>
  <c r="BE33" i="66"/>
  <c r="BE87" i="66"/>
  <c r="BE106" i="66"/>
  <c r="BE29" i="66"/>
  <c r="BE32" i="66"/>
  <c r="BE92" i="66"/>
  <c r="BE38" i="66"/>
  <c r="BE28" i="66"/>
  <c r="BE53" i="66"/>
  <c r="BE62" i="66"/>
  <c r="BE88" i="66"/>
  <c r="C19" i="68" l="1"/>
  <c r="T19" i="68"/>
  <c r="D19" i="68"/>
  <c r="U19" i="68"/>
  <c r="O41" i="81" l="1"/>
  <c r="R41" i="81" s="1"/>
  <c r="H41" i="81"/>
  <c r="H52" i="81"/>
  <c r="I48" i="81"/>
  <c r="H51" i="81"/>
  <c r="I44" i="81"/>
  <c r="I45" i="81"/>
  <c r="H50" i="81"/>
  <c r="I47" i="81"/>
  <c r="I42" i="81"/>
  <c r="I40" i="81"/>
  <c r="I50" i="81"/>
  <c r="I46" i="81"/>
  <c r="H53" i="81"/>
  <c r="I54" i="81"/>
  <c r="H40" i="81"/>
  <c r="I43" i="81"/>
  <c r="I49" i="81"/>
  <c r="I41" i="81"/>
  <c r="Q41" i="81" l="1"/>
  <c r="B12" i="81"/>
  <c r="F39" i="81"/>
  <c r="O39" i="81"/>
  <c r="O40" i="81"/>
  <c r="R40" i="81" s="1"/>
  <c r="O42" i="81"/>
  <c r="R42" i="81" s="1"/>
  <c r="O43" i="81"/>
  <c r="R43" i="81" s="1"/>
  <c r="O44" i="81"/>
  <c r="R44" i="81" s="1"/>
  <c r="O45" i="81"/>
  <c r="R45" i="81" s="1"/>
  <c r="O46" i="81"/>
  <c r="R46" i="81" s="1"/>
  <c r="O47" i="81"/>
  <c r="R47" i="81" s="1"/>
  <c r="O48" i="81"/>
  <c r="R48" i="81" s="1"/>
  <c r="O49" i="81"/>
  <c r="R49" i="81" s="1"/>
  <c r="O50" i="81"/>
  <c r="R50" i="81" s="1"/>
  <c r="O51" i="81"/>
  <c r="R51" i="81" s="1"/>
  <c r="O52" i="81"/>
  <c r="R52" i="81" s="1"/>
  <c r="O53" i="81"/>
  <c r="R53" i="81" s="1"/>
  <c r="H49" i="81"/>
  <c r="H46" i="81"/>
  <c r="I53" i="81"/>
  <c r="H47" i="81"/>
  <c r="H48" i="81"/>
  <c r="H42" i="81"/>
  <c r="H43" i="81"/>
  <c r="H45" i="81"/>
  <c r="I52" i="81"/>
  <c r="I51" i="81"/>
  <c r="H44" i="81"/>
  <c r="Q53" i="81" l="1"/>
  <c r="Q49" i="81"/>
  <c r="Q40" i="81"/>
  <c r="Q52" i="81"/>
  <c r="Q48" i="81"/>
  <c r="Q44" i="81"/>
  <c r="Q51" i="81"/>
  <c r="Q47" i="81"/>
  <c r="Q43" i="81"/>
  <c r="Q45" i="81"/>
  <c r="Q50" i="81"/>
  <c r="Q46" i="81"/>
  <c r="Q42" i="81"/>
  <c r="F28" i="81"/>
  <c r="F18" i="81"/>
  <c r="F17" i="81"/>
  <c r="K17" i="81" s="1"/>
  <c r="Y12" i="81"/>
  <c r="AA12" i="81"/>
  <c r="AD34" i="81"/>
  <c r="Z12" i="81"/>
  <c r="O18" i="81" l="1"/>
  <c r="O28" i="81"/>
  <c r="O17" i="81"/>
  <c r="H36" i="81"/>
  <c r="I34" i="81"/>
  <c r="H21" i="81"/>
  <c r="I37" i="81"/>
  <c r="H27" i="81"/>
  <c r="I31" i="81"/>
  <c r="I36" i="81"/>
  <c r="I20" i="81"/>
  <c r="H31" i="81"/>
  <c r="H24" i="81"/>
  <c r="H37" i="81"/>
  <c r="H29" i="81"/>
  <c r="I25" i="81"/>
  <c r="I27" i="81"/>
  <c r="H25" i="81"/>
  <c r="H22" i="81"/>
  <c r="H30" i="81"/>
  <c r="I26" i="81"/>
  <c r="I30" i="81"/>
  <c r="I29" i="81"/>
  <c r="H38" i="81"/>
  <c r="H19" i="81"/>
  <c r="I23" i="81"/>
  <c r="H35" i="81"/>
  <c r="I32" i="81"/>
  <c r="H33" i="81"/>
  <c r="I35" i="81"/>
  <c r="H23" i="81"/>
  <c r="H20" i="81"/>
  <c r="I33" i="81"/>
  <c r="A4" i="81"/>
  <c r="H34" i="81"/>
  <c r="I22" i="81"/>
  <c r="I21" i="81"/>
  <c r="H26" i="81"/>
  <c r="H32" i="81"/>
  <c r="I24" i="81"/>
  <c r="O12" i="81" l="1"/>
  <c r="S39" i="81"/>
  <c r="O33" i="81"/>
  <c r="R33" i="81" s="1"/>
  <c r="O22" i="81"/>
  <c r="R22" i="81" s="1"/>
  <c r="O38" i="81"/>
  <c r="O31" i="81"/>
  <c r="R31" i="81" s="1"/>
  <c r="O20" i="81"/>
  <c r="R20" i="81" s="1"/>
  <c r="O36" i="81"/>
  <c r="R36" i="81" s="1"/>
  <c r="O54" i="81"/>
  <c r="S54" i="81" s="1"/>
  <c r="O37" i="81"/>
  <c r="R37" i="81" s="1"/>
  <c r="O26" i="81"/>
  <c r="R26" i="81" s="1"/>
  <c r="O19" i="81"/>
  <c r="R19" i="81" s="1"/>
  <c r="O24" i="81"/>
  <c r="R24" i="81" s="1"/>
  <c r="O30" i="81"/>
  <c r="R30" i="81" s="1"/>
  <c r="O27" i="81"/>
  <c r="R27" i="81" s="1"/>
  <c r="O21" i="81"/>
  <c r="R21" i="81" s="1"/>
  <c r="O25" i="81"/>
  <c r="R25" i="81" s="1"/>
  <c r="O34" i="81"/>
  <c r="R34" i="81" s="1"/>
  <c r="O35" i="81"/>
  <c r="R35" i="81" s="1"/>
  <c r="O23" i="81"/>
  <c r="R23" i="81" s="1"/>
  <c r="O32" i="81"/>
  <c r="R32" i="81" s="1"/>
  <c r="O29" i="81"/>
  <c r="R29" i="81" s="1"/>
  <c r="D29" i="67"/>
  <c r="H25" i="67"/>
  <c r="G26" i="67"/>
  <c r="H27" i="67"/>
  <c r="G23" i="67"/>
  <c r="H26" i="67"/>
  <c r="H24" i="67"/>
  <c r="H28" i="67"/>
  <c r="Q21" i="81" l="1"/>
  <c r="Q19" i="81"/>
  <c r="Q22" i="81"/>
  <c r="Q32" i="81"/>
  <c r="Q35" i="81"/>
  <c r="Q27" i="81"/>
  <c r="Q26" i="81"/>
  <c r="Q20" i="81"/>
  <c r="Q33" i="81"/>
  <c r="Q25" i="81"/>
  <c r="Q24" i="81"/>
  <c r="Q23" i="81"/>
  <c r="Q36" i="81"/>
  <c r="Q29" i="81"/>
  <c r="Q34" i="81"/>
  <c r="Q30" i="81"/>
  <c r="Q37" i="81"/>
  <c r="Q31" i="81"/>
  <c r="R38" i="81"/>
  <c r="S38" i="81"/>
  <c r="Q38" i="81"/>
  <c r="C19" i="67"/>
  <c r="S17" i="81"/>
  <c r="S18" i="81" l="1"/>
  <c r="S28" i="81"/>
  <c r="F40" i="62"/>
  <c r="G40" i="62" s="1"/>
  <c r="E39" i="62"/>
  <c r="E41" i="62" s="1"/>
  <c r="D39" i="62"/>
  <c r="D41" i="62" s="1"/>
  <c r="F38" i="62"/>
  <c r="F37" i="62"/>
  <c r="F36" i="62"/>
  <c r="F35" i="62"/>
  <c r="F39" i="62" l="1"/>
  <c r="F41" i="62" s="1"/>
  <c r="C17" i="62"/>
  <c r="A11" i="62"/>
  <c r="I40" i="62" l="1"/>
  <c r="A40" i="62" s="1"/>
  <c r="B13" i="64" l="1"/>
  <c r="A55" i="63"/>
  <c r="A54" i="63"/>
  <c r="A53" i="63"/>
  <c r="A52" i="63"/>
  <c r="A51" i="63"/>
  <c r="A49" i="63"/>
  <c r="A48" i="63"/>
  <c r="A47" i="63"/>
  <c r="A46" i="63"/>
  <c r="A45" i="63"/>
  <c r="A44" i="63"/>
  <c r="A43" i="63"/>
  <c r="A42" i="63"/>
  <c r="A40" i="63"/>
  <c r="A39" i="63"/>
  <c r="A38" i="63"/>
  <c r="J36" i="63"/>
  <c r="A41" i="63" l="1"/>
  <c r="A50" i="63"/>
  <c r="J51" i="63"/>
  <c r="J50" i="63"/>
  <c r="J42" i="63"/>
  <c r="J41" i="63"/>
  <c r="J45" i="63"/>
  <c r="J48" i="63"/>
  <c r="J39" i="63"/>
  <c r="J40" i="63"/>
  <c r="J37" i="63"/>
  <c r="J54" i="63"/>
  <c r="J55" i="63"/>
  <c r="J43" i="63"/>
  <c r="J46" i="63"/>
  <c r="J52" i="63"/>
  <c r="J47" i="63"/>
  <c r="J38" i="63"/>
  <c r="J44" i="63"/>
  <c r="J53" i="63"/>
  <c r="J49" i="63"/>
  <c r="A10" i="63" l="1"/>
  <c r="A2" i="63" s="1"/>
  <c r="A3" i="63" s="1"/>
  <c r="AJ131" i="66"/>
  <c r="AI131" i="66"/>
  <c r="AH131" i="66"/>
  <c r="AG131" i="66"/>
  <c r="U131" i="66"/>
  <c r="AQ130" i="66"/>
  <c r="AR130" i="66"/>
  <c r="AQ129" i="66"/>
  <c r="AQ135" i="66"/>
  <c r="AR129" i="66"/>
  <c r="AQ136" i="66"/>
  <c r="AV129" i="66"/>
  <c r="AD131" i="66" l="1"/>
  <c r="AF130" i="66"/>
  <c r="AC130" i="66"/>
  <c r="AF129" i="66"/>
  <c r="AC129" i="66"/>
  <c r="AF127" i="66"/>
  <c r="W130" i="66"/>
  <c r="W129" i="66"/>
  <c r="T131" i="66"/>
  <c r="T133" i="66" s="1"/>
  <c r="AF131" i="66" l="1"/>
  <c r="AC131" i="66"/>
  <c r="W131" i="66"/>
  <c r="Y131" i="66" s="1"/>
  <c r="BH131" i="66" l="1"/>
  <c r="BI131" i="66" s="1"/>
  <c r="AJ122" i="66"/>
  <c r="AJ133" i="66" s="1"/>
  <c r="AI122" i="66"/>
  <c r="AI133" i="66" s="1"/>
  <c r="AH122" i="66"/>
  <c r="AH133" i="66" s="1"/>
  <c r="AG122" i="66"/>
  <c r="AG133" i="66" s="1"/>
  <c r="AD122" i="66"/>
  <c r="AD133" i="66" s="1"/>
  <c r="Z122" i="66"/>
  <c r="Y122" i="66"/>
  <c r="V122" i="66"/>
  <c r="V133" i="66" s="1"/>
  <c r="U122" i="66"/>
  <c r="U133" i="66" s="1"/>
  <c r="Z15" i="66"/>
  <c r="Y15" i="66"/>
  <c r="AA14" i="66"/>
  <c r="AA13" i="66"/>
  <c r="AA12" i="66"/>
  <c r="S122" i="66"/>
  <c r="BI122" i="66" s="1"/>
  <c r="AA122" i="66" l="1"/>
  <c r="AC122" i="66"/>
  <c r="W122" i="66"/>
  <c r="AF122" i="66"/>
  <c r="AF133" i="66" s="1"/>
  <c r="AA15" i="66"/>
  <c r="Z137" i="66" l="1"/>
  <c r="BI136" i="66" s="1"/>
  <c r="BI135" i="66"/>
  <c r="A114" i="64" l="1"/>
  <c r="A111" i="64" l="1"/>
  <c r="A110" i="64"/>
  <c r="B10" i="65" l="1"/>
  <c r="E18" i="46"/>
  <c r="L52" i="63"/>
  <c r="M41" i="63"/>
  <c r="K52" i="63"/>
  <c r="K37" i="63"/>
  <c r="L53" i="63"/>
  <c r="M47" i="63"/>
  <c r="L38" i="63"/>
  <c r="L43" i="63"/>
  <c r="M39" i="63"/>
  <c r="K53" i="63"/>
  <c r="M42" i="63"/>
  <c r="K45" i="63"/>
  <c r="L42" i="63"/>
  <c r="L48" i="63"/>
  <c r="M54" i="63"/>
  <c r="M43" i="63"/>
  <c r="L55" i="63"/>
  <c r="K36" i="63"/>
  <c r="L44" i="63"/>
  <c r="L39" i="63"/>
  <c r="M37" i="63"/>
  <c r="M51" i="63"/>
  <c r="L40" i="63"/>
  <c r="L50" i="63"/>
  <c r="M53" i="63"/>
  <c r="M50" i="63"/>
  <c r="L51" i="63"/>
  <c r="M38" i="63"/>
  <c r="K50" i="63"/>
  <c r="M45" i="63"/>
  <c r="M48" i="63"/>
  <c r="K54" i="63"/>
  <c r="L47" i="63"/>
  <c r="M52" i="63"/>
  <c r="L54" i="63"/>
  <c r="K38" i="63"/>
  <c r="L37" i="63"/>
  <c r="K47" i="63"/>
  <c r="K41" i="63"/>
  <c r="K40" i="63"/>
  <c r="K42" i="63"/>
  <c r="L41" i="63"/>
  <c r="K49" i="63"/>
  <c r="L36" i="63"/>
  <c r="M40" i="63"/>
  <c r="K51" i="63"/>
  <c r="L49" i="63"/>
  <c r="K48" i="63"/>
  <c r="K43" i="63"/>
  <c r="M46" i="63"/>
  <c r="M44" i="63"/>
  <c r="K55" i="63"/>
  <c r="K46" i="63"/>
  <c r="M55" i="63"/>
  <c r="L45" i="63"/>
  <c r="M49" i="63"/>
  <c r="K44" i="63"/>
  <c r="M36" i="63"/>
  <c r="K39" i="63"/>
  <c r="L46" i="63"/>
  <c r="F18" i="46" l="1"/>
  <c r="A119" i="62" l="1"/>
  <c r="A103" i="67" l="1"/>
  <c r="A98" i="67"/>
  <c r="A97" i="67"/>
  <c r="A91" i="67"/>
  <c r="A90" i="67"/>
  <c r="F23" i="46" l="1"/>
  <c r="D99" i="69" l="1"/>
  <c r="W14" i="66"/>
  <c r="W13" i="66"/>
  <c r="S13" i="66"/>
  <c r="O13" i="66"/>
  <c r="U15" i="66"/>
  <c r="S12" i="66"/>
  <c r="A114" i="46" l="1"/>
  <c r="S15" i="66"/>
  <c r="W12" i="66"/>
  <c r="V15" i="66"/>
  <c r="AF43" i="68"/>
  <c r="AE84" i="68"/>
  <c r="AH53" i="68"/>
  <c r="AG53" i="68"/>
  <c r="AE78" i="68"/>
  <c r="A101" i="67"/>
  <c r="AE79" i="68"/>
  <c r="AE77" i="68"/>
  <c r="AF55" i="68"/>
  <c r="AE80" i="68"/>
  <c r="AE76" i="68"/>
  <c r="AG52" i="68"/>
  <c r="AF54" i="68"/>
  <c r="AG54" i="68"/>
  <c r="AG51" i="68"/>
  <c r="AF53" i="68"/>
  <c r="AG49" i="68"/>
  <c r="AH52" i="68"/>
  <c r="AG55" i="68"/>
  <c r="AE94" i="68"/>
  <c r="AH44" i="68"/>
  <c r="AF51" i="68"/>
  <c r="AH42" i="68"/>
  <c r="AG46" i="68"/>
  <c r="AF42" i="68"/>
  <c r="AG50" i="68"/>
  <c r="AG56" i="68"/>
  <c r="AE82" i="68"/>
  <c r="AE72" i="68"/>
  <c r="AH49" i="68"/>
  <c r="A104" i="67"/>
  <c r="AF45" i="68"/>
  <c r="AG42" i="68"/>
  <c r="AE74" i="68"/>
  <c r="AF46" i="68"/>
  <c r="AF48" i="68"/>
  <c r="Z33" i="67"/>
  <c r="A4" i="68"/>
  <c r="AF52" i="68"/>
  <c r="AH50" i="68"/>
  <c r="AH47" i="68"/>
  <c r="AG44" i="68"/>
  <c r="AG48" i="68"/>
  <c r="AE85" i="68"/>
  <c r="AE71" i="68"/>
  <c r="AH43" i="68"/>
  <c r="A4" i="67"/>
  <c r="AH55" i="68"/>
  <c r="AG47" i="68"/>
  <c r="AH45" i="68"/>
  <c r="AH46" i="68"/>
  <c r="AF44" i="68"/>
  <c r="AH54" i="68"/>
  <c r="AE95" i="68"/>
  <c r="AE73" i="68"/>
  <c r="AE83" i="68"/>
  <c r="AG43" i="68"/>
  <c r="AH51" i="68"/>
  <c r="AF49" i="68"/>
  <c r="AE81" i="68"/>
  <c r="A102" i="67"/>
  <c r="AG45" i="68"/>
  <c r="AF50" i="68"/>
  <c r="AE86" i="68"/>
  <c r="AF56" i="68"/>
  <c r="AE75" i="68"/>
  <c r="AF47" i="68"/>
  <c r="AH48" i="68"/>
  <c r="AH56" i="68"/>
  <c r="AI95" i="68" l="1"/>
  <c r="AJ95" i="68" s="1"/>
  <c r="AK95" i="68"/>
  <c r="AK85" i="68"/>
  <c r="AI85" i="68"/>
  <c r="AJ85" i="68" s="1"/>
  <c r="C85" i="68" s="1"/>
  <c r="O85" i="68" s="1"/>
  <c r="AH24" i="68"/>
  <c r="AF24" i="68"/>
  <c r="AG24" i="68" s="1"/>
  <c r="T24" i="68" s="1"/>
  <c r="AI83" i="68"/>
  <c r="AJ83" i="68" s="1"/>
  <c r="AK83" i="68"/>
  <c r="AH28" i="68"/>
  <c r="AF28" i="68"/>
  <c r="AG28" i="68" s="1"/>
  <c r="C28" i="68" s="1"/>
  <c r="L29" i="67"/>
  <c r="AH32" i="68"/>
  <c r="AF32" i="68"/>
  <c r="AG32" i="68" s="1"/>
  <c r="AH27" i="68"/>
  <c r="AF27" i="68"/>
  <c r="AG27" i="68" s="1"/>
  <c r="AH22" i="68"/>
  <c r="AF22" i="68"/>
  <c r="AG22" i="68" s="1"/>
  <c r="C22" i="68" s="1"/>
  <c r="D86" i="69"/>
  <c r="AH31" i="68"/>
  <c r="AF31" i="68"/>
  <c r="AG31" i="68" s="1"/>
  <c r="T31" i="68" s="1"/>
  <c r="AK76" i="68"/>
  <c r="D76" i="68" s="1"/>
  <c r="AI76" i="68"/>
  <c r="AJ76" i="68" s="1"/>
  <c r="AI81" i="68"/>
  <c r="AJ81" i="68" s="1"/>
  <c r="AK81" i="68"/>
  <c r="AH20" i="68"/>
  <c r="AF20" i="68"/>
  <c r="AG20" i="68" s="1"/>
  <c r="T20" i="68" s="1"/>
  <c r="AF21" i="68"/>
  <c r="AG21" i="68" s="1"/>
  <c r="T21" i="68" s="1"/>
  <c r="AH21" i="68"/>
  <c r="U21" i="68" s="1"/>
  <c r="AF34" i="68"/>
  <c r="AH25" i="68"/>
  <c r="AF25" i="68"/>
  <c r="AG25" i="68" s="1"/>
  <c r="K19" i="67"/>
  <c r="D75" i="69"/>
  <c r="T11" i="68"/>
  <c r="AI82" i="68"/>
  <c r="AJ82" i="68" s="1"/>
  <c r="AK82" i="68"/>
  <c r="D82" i="68" s="1"/>
  <c r="D67" i="69"/>
  <c r="AK77" i="68"/>
  <c r="U77" i="68" s="1"/>
  <c r="AI77" i="68"/>
  <c r="AJ77" i="68" s="1"/>
  <c r="C77" i="68" s="1"/>
  <c r="O77" i="68" s="1"/>
  <c r="D82" i="69"/>
  <c r="AK75" i="68"/>
  <c r="AI75" i="68"/>
  <c r="AJ75" i="68" s="1"/>
  <c r="AH30" i="68"/>
  <c r="AF30" i="68"/>
  <c r="AG30" i="68" s="1"/>
  <c r="AI96" i="68"/>
  <c r="AJ96" i="68" s="1"/>
  <c r="AF33" i="68"/>
  <c r="AG33" i="68" s="1"/>
  <c r="AH33" i="68"/>
  <c r="D94" i="69"/>
  <c r="AK84" i="68"/>
  <c r="AI84" i="68"/>
  <c r="AJ84" i="68" s="1"/>
  <c r="AK74" i="68"/>
  <c r="AI74" i="68"/>
  <c r="AJ74" i="68" s="1"/>
  <c r="AK79" i="68"/>
  <c r="AI79" i="68"/>
  <c r="AJ79" i="68" s="1"/>
  <c r="AI71" i="68"/>
  <c r="AJ71" i="68" s="1"/>
  <c r="AK71" i="68"/>
  <c r="AI73" i="68"/>
  <c r="AJ73" i="68" s="1"/>
  <c r="AK73" i="68"/>
  <c r="D73" i="68" s="1"/>
  <c r="AK78" i="68"/>
  <c r="AI78" i="68"/>
  <c r="AJ78" i="68" s="1"/>
  <c r="C78" i="68" s="1"/>
  <c r="O78" i="68" s="1"/>
  <c r="AK80" i="68"/>
  <c r="AI80" i="68"/>
  <c r="AJ80" i="68" s="1"/>
  <c r="D55" i="69"/>
  <c r="AK72" i="68"/>
  <c r="AI72" i="68"/>
  <c r="AJ72" i="68" s="1"/>
  <c r="AH26" i="68"/>
  <c r="AF26" i="68"/>
  <c r="AG26" i="68" s="1"/>
  <c r="C26" i="68" s="1"/>
  <c r="AH29" i="68"/>
  <c r="D29" i="68" s="1"/>
  <c r="AF29" i="68"/>
  <c r="AG29" i="68" s="1"/>
  <c r="D90" i="69"/>
  <c r="AI94" i="68"/>
  <c r="AJ94" i="68" s="1"/>
  <c r="T94" i="68" s="1"/>
  <c r="AK94" i="68"/>
  <c r="U94" i="68" s="1"/>
  <c r="AH23" i="68"/>
  <c r="U23" i="68" s="1"/>
  <c r="AF23" i="68"/>
  <c r="AG23" i="68" s="1"/>
  <c r="T23" i="68" s="1"/>
  <c r="W15" i="66"/>
  <c r="W16" i="66" s="1"/>
  <c r="A107" i="46"/>
  <c r="A108" i="46"/>
  <c r="A111" i="46"/>
  <c r="A4" i="65"/>
  <c r="T30" i="65"/>
  <c r="T18" i="65"/>
  <c r="U30" i="65"/>
  <c r="V30" i="65"/>
  <c r="C24" i="68" l="1"/>
  <c r="C31" i="68"/>
  <c r="T22" i="68"/>
  <c r="C20" i="68"/>
  <c r="T78" i="68"/>
  <c r="T26" i="68"/>
  <c r="U73" i="68"/>
  <c r="U29" i="68"/>
  <c r="U76" i="68"/>
  <c r="C21" i="68"/>
  <c r="T28" i="68"/>
  <c r="D77" i="68"/>
  <c r="U82" i="68"/>
  <c r="D94" i="68"/>
  <c r="D21" i="68"/>
  <c r="T77" i="68"/>
  <c r="C94" i="68"/>
  <c r="T85" i="68"/>
  <c r="C23" i="68"/>
  <c r="D23" i="68"/>
  <c r="D26" i="68"/>
  <c r="U26" i="68"/>
  <c r="D80" i="68"/>
  <c r="U80" i="68"/>
  <c r="D78" i="68"/>
  <c r="U78" i="68"/>
  <c r="T71" i="68"/>
  <c r="C71" i="68"/>
  <c r="O71" i="68" s="1"/>
  <c r="U79" i="68"/>
  <c r="D79" i="68"/>
  <c r="D30" i="68"/>
  <c r="U30" i="68"/>
  <c r="T75" i="68"/>
  <c r="C75" i="68"/>
  <c r="O75" i="68" s="1"/>
  <c r="D25" i="68"/>
  <c r="U25" i="68"/>
  <c r="U20" i="68"/>
  <c r="D20" i="68"/>
  <c r="T76" i="68"/>
  <c r="C76" i="68"/>
  <c r="O76" i="68" s="1"/>
  <c r="T32" i="68"/>
  <c r="C32" i="68"/>
  <c r="T83" i="68"/>
  <c r="C83" i="68"/>
  <c r="O83" i="68" s="1"/>
  <c r="D95" i="68"/>
  <c r="U95" i="68"/>
  <c r="C72" i="68"/>
  <c r="T72" i="68"/>
  <c r="C74" i="68"/>
  <c r="T74" i="68"/>
  <c r="C84" i="68"/>
  <c r="O84" i="68" s="1"/>
  <c r="T84" i="68"/>
  <c r="C96" i="68"/>
  <c r="T96" i="68"/>
  <c r="U75" i="68"/>
  <c r="D75" i="68"/>
  <c r="D81" i="68"/>
  <c r="U81" i="68"/>
  <c r="C27" i="68"/>
  <c r="T27" i="68"/>
  <c r="U32" i="68"/>
  <c r="D32" i="68"/>
  <c r="D85" i="68"/>
  <c r="U85" i="68"/>
  <c r="T95" i="68"/>
  <c r="C95" i="68"/>
  <c r="D72" i="68"/>
  <c r="U72" i="68"/>
  <c r="C73" i="68"/>
  <c r="O73" i="68" s="1"/>
  <c r="T73" i="68"/>
  <c r="D74" i="68"/>
  <c r="U74" i="68"/>
  <c r="D84" i="68"/>
  <c r="U84" i="68"/>
  <c r="U33" i="68"/>
  <c r="D33" i="68"/>
  <c r="T82" i="68"/>
  <c r="C82" i="68"/>
  <c r="O82" i="68" s="1"/>
  <c r="T81" i="68"/>
  <c r="C81" i="68"/>
  <c r="O81" i="68" s="1"/>
  <c r="D27" i="68"/>
  <c r="U27" i="68"/>
  <c r="U28" i="68"/>
  <c r="D28" i="68"/>
  <c r="T29" i="68"/>
  <c r="C29" i="68"/>
  <c r="C80" i="68"/>
  <c r="O80" i="68" s="1"/>
  <c r="T80" i="68"/>
  <c r="U71" i="68"/>
  <c r="D71" i="68"/>
  <c r="T79" i="68"/>
  <c r="C79" i="68"/>
  <c r="O79" i="68" s="1"/>
  <c r="C33" i="68"/>
  <c r="T33" i="68"/>
  <c r="C30" i="68"/>
  <c r="T30" i="68"/>
  <c r="C25" i="68"/>
  <c r="T25" i="68"/>
  <c r="D31" i="68"/>
  <c r="U31" i="68"/>
  <c r="D22" i="68"/>
  <c r="U22" i="68"/>
  <c r="U83" i="68"/>
  <c r="D83" i="68"/>
  <c r="U24" i="68"/>
  <c r="D24" i="68"/>
  <c r="Q78" i="68"/>
  <c r="P78" i="68" s="1"/>
  <c r="A78" i="68" s="1"/>
  <c r="Q77" i="68"/>
  <c r="P77" i="68" s="1"/>
  <c r="A77" i="68" s="1"/>
  <c r="Q74" i="68"/>
  <c r="P74" i="68" s="1"/>
  <c r="Q85" i="68"/>
  <c r="P85" i="68" s="1"/>
  <c r="A85" i="68" s="1"/>
  <c r="E45" i="62"/>
  <c r="A45" i="62" s="1"/>
  <c r="E48" i="62"/>
  <c r="A48" i="62" s="1"/>
  <c r="A17" i="65"/>
  <c r="A12" i="65" s="1"/>
  <c r="A2" i="65" s="1"/>
  <c r="A3" i="65" s="1"/>
  <c r="R29" i="64"/>
  <c r="R25" i="64"/>
  <c r="R33" i="64"/>
  <c r="R34" i="64"/>
  <c r="R28" i="64"/>
  <c r="R32" i="64"/>
  <c r="R26" i="64"/>
  <c r="R27" i="64"/>
  <c r="R35" i="64"/>
  <c r="L17" i="81"/>
  <c r="W17" i="66"/>
  <c r="AJ31" i="64"/>
  <c r="AJ27" i="64"/>
  <c r="A4" i="64"/>
  <c r="AJ35" i="64"/>
  <c r="AJ22" i="64"/>
  <c r="U42" i="64"/>
  <c r="AJ23" i="64"/>
  <c r="AJ24" i="64"/>
  <c r="AJ33" i="64"/>
  <c r="AJ30" i="64"/>
  <c r="AJ28" i="64"/>
  <c r="U17" i="64"/>
  <c r="AJ29" i="64"/>
  <c r="AJ26" i="64"/>
  <c r="J17" i="65"/>
  <c r="AJ34" i="64"/>
  <c r="O72" i="68" l="1"/>
  <c r="Q72" i="68" s="1"/>
  <c r="P72" i="68" s="1"/>
  <c r="A72" i="68" s="1"/>
  <c r="O95" i="68"/>
  <c r="Q95" i="68" s="1"/>
  <c r="P95" i="68" s="1"/>
  <c r="A95" i="68" s="1"/>
  <c r="O94" i="68"/>
  <c r="Q94" i="68" s="1"/>
  <c r="P94" i="68" s="1"/>
  <c r="A94" i="68" s="1"/>
  <c r="Q80" i="68"/>
  <c r="P80" i="68" s="1"/>
  <c r="A80" i="68" s="1"/>
  <c r="Q84" i="68"/>
  <c r="P84" i="68" s="1"/>
  <c r="A84" i="68" s="1"/>
  <c r="Q82" i="68"/>
  <c r="P82" i="68" s="1"/>
  <c r="A82" i="68" s="1"/>
  <c r="Q75" i="68"/>
  <c r="P75" i="68" s="1"/>
  <c r="A75" i="68" s="1"/>
  <c r="Q73" i="68"/>
  <c r="P73" i="68" s="1"/>
  <c r="A73" i="68" s="1"/>
  <c r="Q79" i="68"/>
  <c r="P79" i="68" s="1"/>
  <c r="A79" i="68" s="1"/>
  <c r="Q81" i="68"/>
  <c r="P81" i="68" s="1"/>
  <c r="A81" i="68" s="1"/>
  <c r="Q83" i="68"/>
  <c r="P83" i="68" s="1"/>
  <c r="A83" i="68" s="1"/>
  <c r="Q76" i="68"/>
  <c r="P76" i="68" s="1"/>
  <c r="A76" i="68" s="1"/>
  <c r="Q71" i="68"/>
  <c r="P71" i="68" s="1"/>
  <c r="A71" i="68" s="1"/>
  <c r="E20" i="46"/>
  <c r="F20" i="46" s="1"/>
  <c r="A74" i="68"/>
  <c r="X59" i="64"/>
  <c r="X62" i="64" s="1"/>
  <c r="X56" i="64"/>
  <c r="A17" i="81"/>
  <c r="A10" i="81" s="1"/>
  <c r="A2" i="81" s="1"/>
  <c r="A3" i="81" s="1"/>
  <c r="E24" i="46" s="1"/>
  <c r="F24" i="46" s="1"/>
  <c r="N10" i="65"/>
  <c r="AJ21" i="64"/>
  <c r="Q68" i="68" l="1"/>
  <c r="T13" i="64"/>
  <c r="A13" i="68"/>
  <c r="A2" i="68" s="1"/>
  <c r="A3" i="68" s="1"/>
  <c r="E25" i="46" s="1"/>
  <c r="X61" i="64"/>
  <c r="X64" i="64" s="1"/>
  <c r="X66" i="64" s="1"/>
  <c r="D59" i="64"/>
  <c r="D61" i="64" s="1"/>
  <c r="D56" i="64"/>
  <c r="F25" i="46" l="1"/>
  <c r="D64" i="64"/>
  <c r="D66" i="64" s="1"/>
  <c r="D40" i="64" s="1"/>
  <c r="D62" i="64"/>
  <c r="X40" i="64"/>
  <c r="AK21" i="64" l="1"/>
  <c r="AK32" i="64"/>
  <c r="AK26" i="64"/>
  <c r="AK25" i="64"/>
  <c r="AK33" i="64"/>
  <c r="AK27" i="64"/>
  <c r="AK29" i="64"/>
  <c r="AK35" i="64"/>
  <c r="AK28" i="64"/>
  <c r="AK22" i="64"/>
  <c r="AK34" i="64"/>
  <c r="Q32" i="64"/>
  <c r="Q25" i="64"/>
  <c r="Q35" i="64"/>
  <c r="Q26" i="64"/>
  <c r="Q29" i="64"/>
  <c r="Q33" i="64"/>
  <c r="Q28" i="64"/>
  <c r="Q34" i="64"/>
  <c r="Q27" i="64"/>
  <c r="Q22" i="64"/>
  <c r="Q21" i="64"/>
  <c r="A112" i="62"/>
  <c r="AK2" i="64" l="1"/>
  <c r="A116" i="62"/>
  <c r="A2" i="64" l="1"/>
  <c r="A3" i="64" s="1"/>
  <c r="E19" i="46" s="1"/>
  <c r="F19" i="46" s="1"/>
  <c r="A113" i="62"/>
  <c r="W127" i="66" l="1"/>
  <c r="Y127" i="66" l="1"/>
  <c r="W133" i="66"/>
  <c r="AC127" i="66"/>
  <c r="K60" i="63"/>
  <c r="AC133" i="66" l="1"/>
  <c r="BH127" i="66"/>
  <c r="BI127" i="66" s="1"/>
  <c r="BI22" i="66"/>
  <c r="Z131" i="66" l="1"/>
  <c r="Z127" i="66"/>
  <c r="V125" i="66"/>
  <c r="U125" i="66"/>
  <c r="D55" i="62"/>
  <c r="F53" i="62"/>
  <c r="F54" i="62"/>
  <c r="E55" i="62"/>
  <c r="BI125" i="66" l="1"/>
  <c r="BI2" i="66" s="1"/>
  <c r="A2" i="66" s="1"/>
  <c r="A3" i="66" s="1"/>
  <c r="E17" i="46" s="1"/>
  <c r="F17" i="46" s="1"/>
  <c r="Q40" i="62"/>
  <c r="O21" i="62"/>
  <c r="P39" i="62"/>
  <c r="P41" i="62" s="1"/>
  <c r="Q37" i="62"/>
  <c r="Q36" i="62"/>
  <c r="Q38" i="62"/>
  <c r="O39" i="62"/>
  <c r="O41" i="62" s="1"/>
  <c r="Q35" i="62"/>
  <c r="F55" i="62"/>
  <c r="I55" i="62" s="1"/>
  <c r="A55" i="62" s="1"/>
  <c r="A14" i="62" s="1"/>
  <c r="A2" i="62" s="1"/>
  <c r="A3" i="62" s="1"/>
  <c r="E21" i="46" s="1"/>
  <c r="F21" i="46" s="1"/>
  <c r="Q39" i="62" l="1"/>
  <c r="O55" i="62" l="1"/>
  <c r="Q53" i="62"/>
  <c r="Q54" i="62"/>
  <c r="P55" i="62"/>
  <c r="Q41" i="62"/>
  <c r="Q55" i="62" l="1"/>
  <c r="L88" i="69" l="1"/>
  <c r="C1717" i="111"/>
  <c r="C1653" i="102"/>
  <c r="O88" i="69"/>
  <c r="C1723" i="102"/>
  <c r="C1583" i="102"/>
  <c r="N88" i="69"/>
  <c r="C1796" i="111"/>
  <c r="C1513" i="102"/>
  <c r="M88" i="69"/>
  <c r="C1638" i="111"/>
  <c r="C1637" i="111"/>
  <c r="C1512" i="102"/>
  <c r="C1652" i="102"/>
  <c r="C1716" i="111"/>
  <c r="C1722" i="102"/>
  <c r="C1795" i="111"/>
  <c r="C1582" i="102"/>
  <c r="E1513" i="102"/>
  <c r="E1653" i="102"/>
  <c r="E1652" i="102"/>
  <c r="E1512" i="102"/>
  <c r="E90" i="69"/>
  <c r="E1722" i="102"/>
  <c r="M87" i="69"/>
  <c r="E1717" i="111"/>
  <c r="H90" i="69"/>
  <c r="E1583" i="102"/>
  <c r="N87" i="69"/>
  <c r="L87" i="69"/>
  <c r="O87" i="69"/>
  <c r="F90" i="69"/>
  <c r="E1637" i="111"/>
  <c r="O90" i="69" l="1"/>
  <c r="M90" i="69"/>
  <c r="L90" i="69"/>
  <c r="N90" i="69"/>
  <c r="E1796" i="111"/>
  <c r="E1582" i="102"/>
  <c r="E1638" i="111"/>
  <c r="E1795" i="111"/>
  <c r="G90" i="69"/>
  <c r="E1723" i="102"/>
  <c r="E1716" i="111"/>
  <c r="A88" i="69" l="1"/>
  <c r="A87" i="69"/>
  <c r="D19" i="69"/>
  <c r="B19" i="69"/>
  <c r="C1661" i="102" l="1"/>
  <c r="O19" i="69"/>
  <c r="O67" i="69" s="1"/>
  <c r="O100" i="69" s="1"/>
  <c r="M19" i="69"/>
  <c r="M67" i="69" s="1"/>
  <c r="M100" i="69" s="1"/>
  <c r="L19" i="69"/>
  <c r="L67" i="69" s="1"/>
  <c r="L100" i="69" s="1"/>
  <c r="C1571" i="111"/>
  <c r="C1521" i="102"/>
  <c r="N19" i="69"/>
  <c r="N67" i="69" s="1"/>
  <c r="N100" i="69" s="1"/>
  <c r="C1451" i="102"/>
  <c r="C1591" i="102"/>
  <c r="C1729" i="111"/>
  <c r="C1650" i="111"/>
  <c r="K80" i="63"/>
  <c r="AP77" i="66"/>
  <c r="AX49" i="66"/>
  <c r="AS54" i="66"/>
  <c r="AR54" i="66"/>
  <c r="AS33" i="66"/>
  <c r="AT67" i="66"/>
  <c r="AR92" i="66"/>
  <c r="AS65" i="66"/>
  <c r="AR68" i="66"/>
  <c r="AU119" i="66"/>
  <c r="AX52" i="66"/>
  <c r="BB119" i="66"/>
  <c r="AX104" i="66"/>
  <c r="K68" i="63"/>
  <c r="BA64" i="66"/>
  <c r="AY92" i="66"/>
  <c r="AN28" i="66"/>
  <c r="E6" i="63"/>
  <c r="AU29" i="66"/>
  <c r="BB113" i="66"/>
  <c r="BA91" i="66"/>
  <c r="AY81" i="66"/>
  <c r="AO27" i="66"/>
  <c r="AN51" i="66"/>
  <c r="AR87" i="66"/>
  <c r="AW113" i="66"/>
  <c r="AN114" i="66"/>
  <c r="BC28" i="66"/>
  <c r="AR75" i="66"/>
  <c r="BC90" i="66"/>
  <c r="AZ104" i="66"/>
  <c r="J76" i="63"/>
  <c r="BB31" i="66"/>
  <c r="AU40" i="66"/>
  <c r="AR105" i="66"/>
  <c r="AN96" i="66"/>
  <c r="BC58" i="66"/>
  <c r="BD113" i="66"/>
  <c r="AN23" i="66"/>
  <c r="AV116" i="66"/>
  <c r="BB107" i="66"/>
  <c r="AX107" i="66"/>
  <c r="AP115" i="66"/>
  <c r="AR62" i="66"/>
  <c r="AU53" i="66"/>
  <c r="AN71" i="66"/>
  <c r="AT101" i="66"/>
  <c r="AZ39" i="66"/>
  <c r="AS62" i="66"/>
  <c r="AW58" i="66"/>
  <c r="AY120" i="66"/>
  <c r="BA120" i="66"/>
  <c r="AV104" i="66"/>
  <c r="AP39" i="66"/>
  <c r="AR78" i="66"/>
  <c r="AY48" i="66"/>
  <c r="AU79" i="66"/>
  <c r="AP83" i="66"/>
  <c r="AV30" i="66"/>
  <c r="BD57" i="66"/>
  <c r="AV49" i="66"/>
  <c r="BB104" i="66"/>
  <c r="AW66" i="66"/>
  <c r="BD31" i="66"/>
  <c r="AS42" i="66"/>
  <c r="AP69" i="66"/>
  <c r="J63" i="63"/>
  <c r="AZ61" i="66"/>
  <c r="AY58" i="66"/>
  <c r="BC82" i="66"/>
  <c r="AS98" i="66"/>
  <c r="BD44" i="66"/>
  <c r="BD80" i="66"/>
  <c r="BC98" i="66"/>
  <c r="AN84" i="66"/>
  <c r="AU92" i="66"/>
  <c r="AX86" i="66"/>
  <c r="BB73" i="66"/>
  <c r="AW55" i="66"/>
  <c r="AS63" i="66"/>
  <c r="AW77" i="66"/>
  <c r="AW39" i="66"/>
  <c r="AR47" i="66"/>
  <c r="BB44" i="66"/>
  <c r="BA78" i="66"/>
  <c r="AR23" i="66"/>
  <c r="AY84" i="66"/>
  <c r="BB48" i="66"/>
  <c r="BC89" i="66"/>
  <c r="BB68" i="66"/>
  <c r="AW83" i="66"/>
  <c r="AO95" i="66"/>
  <c r="BC61" i="66"/>
  <c r="AT98" i="66"/>
  <c r="AP32" i="66"/>
  <c r="AW52" i="66"/>
  <c r="BB39" i="66"/>
  <c r="AZ79" i="66"/>
  <c r="AX56" i="66"/>
  <c r="AS30" i="66"/>
  <c r="AU72" i="66"/>
  <c r="AN78" i="66"/>
  <c r="AT73" i="66"/>
  <c r="BB75" i="66"/>
  <c r="BB77" i="66"/>
  <c r="AN101" i="66"/>
  <c r="AY42" i="66"/>
  <c r="AZ72" i="66"/>
  <c r="BD93" i="66"/>
  <c r="BD116" i="66"/>
  <c r="BB27" i="66"/>
  <c r="AN39" i="66"/>
  <c r="AZ29" i="66"/>
  <c r="AY63" i="66"/>
  <c r="AR84" i="66"/>
  <c r="AX87" i="66"/>
  <c r="AS41" i="66"/>
  <c r="BB118" i="66"/>
  <c r="AV23" i="66"/>
  <c r="AY40" i="66"/>
  <c r="AT117" i="66"/>
  <c r="AV40" i="66"/>
  <c r="AN117" i="66"/>
  <c r="AV50" i="66"/>
  <c r="AV97" i="66"/>
  <c r="BB81" i="66"/>
  <c r="BD63" i="66"/>
  <c r="AY80" i="66"/>
  <c r="AX62" i="66"/>
  <c r="AT43" i="66"/>
  <c r="BB25" i="66"/>
  <c r="AV84" i="66"/>
  <c r="AT80" i="66"/>
  <c r="AV103" i="66"/>
  <c r="AZ55" i="66"/>
  <c r="BB40" i="66"/>
  <c r="AR41" i="66"/>
  <c r="AZ92" i="66"/>
  <c r="AU108" i="66"/>
  <c r="AT90" i="66"/>
  <c r="AW90" i="66"/>
  <c r="AS104" i="66"/>
  <c r="AW53" i="66"/>
  <c r="AV46" i="66"/>
  <c r="BC99" i="66"/>
  <c r="BC83" i="66"/>
  <c r="AV68" i="66"/>
  <c r="AY73" i="66"/>
  <c r="AU115" i="66"/>
  <c r="BA27" i="66"/>
  <c r="AP119" i="66"/>
  <c r="AZ112" i="66"/>
  <c r="BD85" i="66"/>
  <c r="AU32" i="66"/>
  <c r="AN66" i="66"/>
  <c r="AX93" i="66"/>
  <c r="AY90" i="66"/>
  <c r="AU110" i="66"/>
  <c r="BC109" i="66"/>
  <c r="BA52" i="66"/>
  <c r="AT62" i="66"/>
  <c r="AO53" i="66"/>
  <c r="AS111" i="66"/>
  <c r="AS101" i="66"/>
  <c r="AN47" i="66"/>
  <c r="AY51" i="66"/>
  <c r="AP46" i="66"/>
  <c r="AZ52" i="66"/>
  <c r="AS53" i="66"/>
  <c r="BD79" i="66"/>
  <c r="BD60" i="66"/>
  <c r="BB100" i="66"/>
  <c r="AU64" i="66"/>
  <c r="BA41" i="66"/>
  <c r="AR101" i="66"/>
  <c r="AO111" i="66"/>
  <c r="AY91" i="66"/>
  <c r="K74" i="63"/>
  <c r="AZ106" i="66"/>
  <c r="AS67" i="66"/>
  <c r="BA45" i="66"/>
  <c r="J78" i="63"/>
  <c r="AP112" i="66"/>
  <c r="AQ127" i="66"/>
  <c r="BD56" i="66"/>
  <c r="BC70" i="66"/>
  <c r="AT111" i="66"/>
  <c r="AW105" i="66"/>
  <c r="AR52" i="66"/>
  <c r="AS94" i="66"/>
  <c r="BA58" i="66"/>
  <c r="AW82" i="66"/>
  <c r="AS113" i="66"/>
  <c r="AP104" i="66"/>
  <c r="BA35" i="66"/>
  <c r="AR61" i="66"/>
  <c r="BC88" i="66"/>
  <c r="AR43" i="66"/>
  <c r="AZ70" i="66"/>
  <c r="AZ100" i="66"/>
  <c r="AN58" i="66"/>
  <c r="AS100" i="66"/>
  <c r="AP116" i="66"/>
  <c r="AV88" i="66"/>
  <c r="AX99" i="66"/>
  <c r="AX97" i="66"/>
  <c r="AN24" i="66"/>
  <c r="AN73" i="66"/>
  <c r="BC63" i="66"/>
  <c r="BA115" i="66"/>
  <c r="AW100" i="66"/>
  <c r="BA68" i="66"/>
  <c r="AO80" i="66"/>
  <c r="AS87" i="66"/>
  <c r="J77" i="63"/>
  <c r="AX90" i="66"/>
  <c r="AP55" i="66"/>
  <c r="M60" i="63"/>
  <c r="AR36" i="66"/>
  <c r="AN89" i="66"/>
  <c r="AX115" i="66"/>
  <c r="AZ49" i="66"/>
  <c r="AV94" i="66"/>
  <c r="AP60" i="66"/>
  <c r="BC23" i="66"/>
  <c r="AN87" i="66"/>
  <c r="AT29" i="66"/>
  <c r="AV79" i="66"/>
  <c r="BC51" i="66"/>
  <c r="AS27" i="66"/>
  <c r="AX80" i="66"/>
  <c r="BC29" i="66"/>
  <c r="AP48" i="66"/>
  <c r="BA63" i="66"/>
  <c r="AP53" i="66"/>
  <c r="BA94" i="66"/>
  <c r="AO83" i="66"/>
  <c r="AT78" i="66"/>
  <c r="BC96" i="66"/>
  <c r="AY54" i="66"/>
  <c r="AW35" i="66"/>
  <c r="BA75" i="66"/>
  <c r="AP67" i="66"/>
  <c r="AS115" i="66"/>
  <c r="AU35" i="66"/>
  <c r="AO114" i="66"/>
  <c r="AX94" i="66"/>
  <c r="AP70" i="66"/>
  <c r="AO106" i="66"/>
  <c r="AS107" i="66"/>
  <c r="AR117" i="66"/>
  <c r="BC64" i="66"/>
  <c r="BD83" i="66"/>
  <c r="AY44" i="66"/>
  <c r="AR111" i="66"/>
  <c r="AX69" i="66"/>
  <c r="AN88" i="66"/>
  <c r="AZ51" i="66"/>
  <c r="AN54" i="66"/>
  <c r="BC52" i="66"/>
  <c r="AZ32" i="66"/>
  <c r="AO28" i="66"/>
  <c r="AR72" i="66"/>
  <c r="BA70" i="66"/>
  <c r="AU69" i="66"/>
  <c r="BA40" i="66"/>
  <c r="AT105" i="66"/>
  <c r="AY110" i="66"/>
  <c r="AX100" i="66"/>
  <c r="BD101" i="66"/>
  <c r="AU74" i="66"/>
  <c r="AN29" i="66"/>
  <c r="AZ80" i="66"/>
  <c r="AY74" i="66"/>
  <c r="AR55" i="66"/>
  <c r="BC85" i="66"/>
  <c r="BA106" i="66"/>
  <c r="AS75" i="66"/>
  <c r="BA107" i="66"/>
  <c r="AO109" i="66"/>
  <c r="BD26" i="66"/>
  <c r="AT84" i="66"/>
  <c r="AP66" i="66"/>
  <c r="AN118" i="66"/>
  <c r="AR77" i="66"/>
  <c r="AU50" i="66"/>
  <c r="BB94" i="66"/>
  <c r="AW99" i="66"/>
  <c r="AR38" i="66"/>
  <c r="BA49" i="66"/>
  <c r="BB32" i="66"/>
  <c r="AY67" i="66"/>
  <c r="BC57" i="66"/>
  <c r="BC111" i="66"/>
  <c r="AU31" i="66"/>
  <c r="AV81" i="66"/>
  <c r="AP111" i="66"/>
  <c r="BA26" i="66"/>
  <c r="J65" i="63"/>
  <c r="AY117" i="66"/>
  <c r="AX26" i="66"/>
  <c r="AV60" i="66"/>
  <c r="AZ38" i="66"/>
  <c r="AX103" i="66"/>
  <c r="AX68" i="66"/>
  <c r="AX22" i="66"/>
  <c r="AP82" i="66"/>
  <c r="AW97" i="66"/>
  <c r="AT118" i="66"/>
  <c r="AT26" i="66"/>
  <c r="AZ62" i="66"/>
  <c r="AZ78" i="66"/>
  <c r="AU38" i="66"/>
  <c r="BA108" i="66"/>
  <c r="BC78" i="66"/>
  <c r="AU83" i="66"/>
  <c r="AZ34" i="66"/>
  <c r="AX36" i="66"/>
  <c r="AW61" i="66"/>
  <c r="AV93" i="66"/>
  <c r="AZ73" i="66"/>
  <c r="AN38" i="66"/>
  <c r="AU49" i="66"/>
  <c r="AP101" i="66"/>
  <c r="AZ63" i="66"/>
  <c r="AX120" i="66"/>
  <c r="AZ85" i="66"/>
  <c r="AV42" i="66"/>
  <c r="AN65" i="66"/>
  <c r="AW49" i="66"/>
  <c r="BB87" i="66"/>
  <c r="AN41" i="66"/>
  <c r="AZ26" i="66"/>
  <c r="AP40" i="66"/>
  <c r="AY107" i="66"/>
  <c r="AZ27" i="66"/>
  <c r="AV44" i="66"/>
  <c r="AN113" i="66"/>
  <c r="BB51" i="66"/>
  <c r="BA34" i="66"/>
  <c r="BD90" i="66"/>
  <c r="AS49" i="66"/>
  <c r="AX61" i="66"/>
  <c r="AP79" i="66"/>
  <c r="BC72" i="66"/>
  <c r="AU63" i="66"/>
  <c r="AZ69" i="66"/>
  <c r="AZ111" i="66"/>
  <c r="AX78" i="66"/>
  <c r="AN97" i="66"/>
  <c r="AR94" i="66"/>
  <c r="AU118" i="66"/>
  <c r="AX102" i="66"/>
  <c r="BC108" i="66"/>
  <c r="AZ105" i="66"/>
  <c r="AN98" i="66"/>
  <c r="BB52" i="66"/>
  <c r="AN63" i="66"/>
  <c r="BD97" i="66"/>
  <c r="AU91" i="66"/>
  <c r="AX73" i="66"/>
  <c r="AR66" i="66"/>
  <c r="BC101" i="66"/>
  <c r="AN59" i="66"/>
  <c r="A5" i="62"/>
  <c r="AO64" i="66"/>
  <c r="AS23" i="66"/>
  <c r="AZ97" i="66"/>
  <c r="AX51" i="66"/>
  <c r="BB72" i="66"/>
  <c r="AO91" i="66"/>
  <c r="AT63" i="66"/>
  <c r="AT119" i="66"/>
  <c r="BB34" i="66"/>
  <c r="AO29" i="66"/>
  <c r="AS55" i="66"/>
  <c r="AY50" i="66"/>
  <c r="AV76" i="66"/>
  <c r="AY22" i="66"/>
  <c r="AU71" i="66"/>
  <c r="AO70" i="66"/>
  <c r="AT97" i="66"/>
  <c r="AO102" i="66"/>
  <c r="BD39" i="66"/>
  <c r="BB117" i="66"/>
  <c r="AR44" i="66"/>
  <c r="BA25" i="66"/>
  <c r="AZ35" i="66"/>
  <c r="BB26" i="66"/>
  <c r="AS82" i="66"/>
  <c r="AO41" i="66"/>
  <c r="J64" i="63"/>
  <c r="BB120" i="66"/>
  <c r="AT59" i="66"/>
  <c r="AV71" i="66"/>
  <c r="AZ59" i="66"/>
  <c r="AR83" i="66"/>
  <c r="AX110" i="66"/>
  <c r="AU112" i="66"/>
  <c r="AY71" i="66"/>
  <c r="AT121" i="66"/>
  <c r="AX50" i="66"/>
  <c r="BB90" i="66"/>
  <c r="AW92" i="66"/>
  <c r="AP109" i="66"/>
  <c r="AP102" i="66"/>
  <c r="AZ46" i="66"/>
  <c r="AP113" i="66"/>
  <c r="BA55" i="66"/>
  <c r="AR70" i="66"/>
  <c r="AZ77" i="66"/>
  <c r="AV109" i="66"/>
  <c r="BB84" i="66"/>
  <c r="AU55" i="66"/>
  <c r="BD24" i="66"/>
  <c r="AO105" i="66"/>
  <c r="AU54" i="66"/>
  <c r="AZ98" i="66"/>
  <c r="AZ90" i="66"/>
  <c r="AW62" i="66"/>
  <c r="AU82" i="66"/>
  <c r="AT83" i="66"/>
  <c r="AT57" i="66"/>
  <c r="BD66" i="66"/>
  <c r="AP108" i="66"/>
  <c r="AN57" i="66"/>
  <c r="AY28" i="66"/>
  <c r="AX41" i="66"/>
  <c r="BB85" i="66"/>
  <c r="BD105" i="66"/>
  <c r="AY76" i="66"/>
  <c r="AS58" i="66"/>
  <c r="AS60" i="66"/>
  <c r="AO55" i="66"/>
  <c r="AU98" i="66"/>
  <c r="AW30" i="66"/>
  <c r="AV127" i="66"/>
  <c r="BA87" i="66"/>
  <c r="BD92" i="66"/>
  <c r="K65" i="63"/>
  <c r="AX46" i="66"/>
  <c r="AU44" i="66"/>
  <c r="AU34" i="66"/>
  <c r="J70" i="63"/>
  <c r="AY118" i="66"/>
  <c r="BA110" i="66"/>
  <c r="BB86" i="66"/>
  <c r="AY105" i="66"/>
  <c r="K73" i="63"/>
  <c r="BD98" i="66"/>
  <c r="AW29" i="66"/>
  <c r="AT113" i="66"/>
  <c r="BA112" i="66"/>
  <c r="AV73" i="66"/>
  <c r="AS105" i="66"/>
  <c r="BC81" i="66"/>
  <c r="AW81" i="66"/>
  <c r="BD88" i="66"/>
  <c r="AO57" i="66"/>
  <c r="AY112" i="66"/>
  <c r="AU57" i="66"/>
  <c r="AT87" i="66"/>
  <c r="BA83" i="66"/>
  <c r="AT47" i="66"/>
  <c r="AO46" i="66"/>
  <c r="AS93" i="66"/>
  <c r="AW24" i="66"/>
  <c r="AV58" i="66"/>
  <c r="AY78" i="66"/>
  <c r="BD49" i="66"/>
  <c r="BB101" i="66"/>
  <c r="AO118" i="66"/>
  <c r="BD64" i="66"/>
  <c r="AS29" i="66"/>
  <c r="BB59" i="66"/>
  <c r="BC46" i="66"/>
  <c r="AO73" i="66"/>
  <c r="BC50" i="66"/>
  <c r="BA101" i="66"/>
  <c r="AU94" i="66"/>
  <c r="BA103" i="66"/>
  <c r="AV110" i="66"/>
  <c r="AU59" i="66"/>
  <c r="BC35" i="66"/>
  <c r="AZ75" i="66"/>
  <c r="BD117" i="66"/>
  <c r="AW86" i="66"/>
  <c r="AS92" i="66"/>
  <c r="AU75" i="66"/>
  <c r="BA23" i="66"/>
  <c r="BB55" i="66"/>
  <c r="AZ64" i="66"/>
  <c r="AU116" i="66"/>
  <c r="AW70" i="66"/>
  <c r="AY121" i="66"/>
  <c r="AR93" i="66"/>
  <c r="AY52" i="66"/>
  <c r="AN93" i="66"/>
  <c r="AX45" i="66"/>
  <c r="AV80" i="66"/>
  <c r="AO101" i="66"/>
  <c r="BA73" i="66"/>
  <c r="AP59" i="66"/>
  <c r="AN95" i="66"/>
  <c r="BB65" i="66"/>
  <c r="BD29" i="66"/>
  <c r="AO24" i="66"/>
  <c r="AY82" i="66"/>
  <c r="AY68" i="66"/>
  <c r="AW120" i="66"/>
  <c r="AZ120" i="66"/>
  <c r="AS120" i="66"/>
  <c r="BB24" i="66"/>
  <c r="AN60" i="66"/>
  <c r="AZ115" i="66"/>
  <c r="AW104" i="66"/>
  <c r="J75" i="63"/>
  <c r="AX105" i="66"/>
  <c r="AX116" i="66"/>
  <c r="AN112" i="66"/>
  <c r="AS76" i="66"/>
  <c r="AY79" i="66"/>
  <c r="J73" i="63"/>
  <c r="BA61" i="66"/>
  <c r="BA85" i="66"/>
  <c r="AO43" i="66"/>
  <c r="AR91" i="66"/>
  <c r="BA36" i="66"/>
  <c r="AW93" i="66"/>
  <c r="AU23" i="66"/>
  <c r="AX89" i="66"/>
  <c r="AP107" i="66"/>
  <c r="BD22" i="66"/>
  <c r="AU70" i="66"/>
  <c r="AP88" i="66"/>
  <c r="BC33" i="66"/>
  <c r="AY72" i="66"/>
  <c r="AS81" i="66"/>
  <c r="AO54" i="66"/>
  <c r="K67" i="63"/>
  <c r="AT51" i="66"/>
  <c r="AR46" i="66"/>
  <c r="BD82" i="66"/>
  <c r="AN121" i="66"/>
  <c r="BC86" i="66"/>
  <c r="AR65" i="66"/>
  <c r="BC107" i="66"/>
  <c r="AZ50" i="66"/>
  <c r="AP56" i="66"/>
  <c r="AX83" i="66"/>
  <c r="AU25" i="66"/>
  <c r="AN67" i="66"/>
  <c r="AZ95" i="66"/>
  <c r="AX47" i="66"/>
  <c r="AO45" i="66"/>
  <c r="BA69" i="66"/>
  <c r="AN53" i="66"/>
  <c r="BB108" i="66"/>
  <c r="AT99" i="66"/>
  <c r="AO62" i="66"/>
  <c r="AS74" i="66"/>
  <c r="AP80" i="66"/>
  <c r="AS77" i="66"/>
  <c r="AS64" i="66"/>
  <c r="AX43" i="66"/>
  <c r="BC105" i="66"/>
  <c r="AX92" i="66"/>
  <c r="AZ108" i="66"/>
  <c r="AR73" i="66"/>
  <c r="AU76" i="66"/>
  <c r="AR74" i="66"/>
  <c r="AU33" i="66"/>
  <c r="AU43" i="66"/>
  <c r="K77" i="63"/>
  <c r="BA57" i="66"/>
  <c r="AN105" i="66"/>
  <c r="BA113" i="66"/>
  <c r="BB89" i="66"/>
  <c r="BC56" i="66"/>
  <c r="AO36" i="66"/>
  <c r="AO96" i="66"/>
  <c r="AP43" i="66"/>
  <c r="AZ36" i="66"/>
  <c r="AV62" i="66"/>
  <c r="BB99" i="66"/>
  <c r="BD45" i="66"/>
  <c r="AU93" i="66"/>
  <c r="BA74" i="66"/>
  <c r="AX33" i="66"/>
  <c r="AP68" i="66"/>
  <c r="AW63" i="66"/>
  <c r="AW56" i="66"/>
  <c r="K69" i="63"/>
  <c r="BB61" i="66"/>
  <c r="BA105" i="66"/>
  <c r="AP54" i="66"/>
  <c r="AR51" i="66"/>
  <c r="BB112" i="66"/>
  <c r="BB80" i="66"/>
  <c r="AV29" i="66"/>
  <c r="BC30" i="66"/>
  <c r="BC27" i="66"/>
  <c r="AR31" i="66"/>
  <c r="AS116" i="66"/>
  <c r="BD81" i="66"/>
  <c r="AU97" i="66"/>
  <c r="AX71" i="66"/>
  <c r="BD71" i="66"/>
  <c r="AZ68" i="66"/>
  <c r="AN46" i="66"/>
  <c r="AT65" i="66"/>
  <c r="AX82" i="66"/>
  <c r="AX37" i="66"/>
  <c r="AY97" i="66"/>
  <c r="AO50" i="66"/>
  <c r="AW114" i="66"/>
  <c r="AZ99" i="66"/>
  <c r="AS91" i="66"/>
  <c r="AX81" i="66"/>
  <c r="AT35" i="66"/>
  <c r="BD48" i="66"/>
  <c r="AX60" i="66"/>
  <c r="AP92" i="66"/>
  <c r="AX40" i="66"/>
  <c r="AR64" i="66"/>
  <c r="AS72" i="66"/>
  <c r="BD106" i="66"/>
  <c r="AN100" i="66"/>
  <c r="AU27" i="66"/>
  <c r="AN69" i="66"/>
  <c r="AT89" i="66"/>
  <c r="AT66" i="66"/>
  <c r="A3" i="46"/>
  <c r="AW72" i="66"/>
  <c r="AV72" i="66"/>
  <c r="AO47" i="66"/>
  <c r="AO99" i="66"/>
  <c r="AP27" i="66"/>
  <c r="AT91" i="66"/>
  <c r="AP106" i="66"/>
  <c r="BD110" i="66"/>
  <c r="AN70" i="66"/>
  <c r="AZ86" i="66"/>
  <c r="AS31" i="66"/>
  <c r="AT93" i="66"/>
  <c r="AU88" i="66"/>
  <c r="BB106" i="66"/>
  <c r="AR97" i="66"/>
  <c r="BD94" i="66"/>
  <c r="AU113" i="66"/>
  <c r="BA114" i="66"/>
  <c r="AS56" i="66"/>
  <c r="AX88" i="66"/>
  <c r="AX114" i="66"/>
  <c r="AZ25" i="66"/>
  <c r="BB62" i="66"/>
  <c r="AZ91" i="66"/>
  <c r="AV102" i="66"/>
  <c r="AP30" i="66"/>
  <c r="AP63" i="66"/>
  <c r="BA86" i="66"/>
  <c r="AZ41" i="66"/>
  <c r="AU22" i="66"/>
  <c r="BC48" i="66"/>
  <c r="AT22" i="66"/>
  <c r="AP51" i="66"/>
  <c r="BA84" i="66"/>
  <c r="BC41" i="66"/>
  <c r="AX29" i="66"/>
  <c r="AR33" i="66"/>
  <c r="AO110" i="66"/>
  <c r="AT31" i="66"/>
  <c r="AX64" i="66"/>
  <c r="AY109" i="66"/>
  <c r="K63" i="63"/>
  <c r="AX112" i="66"/>
  <c r="BD35" i="66"/>
  <c r="AT50" i="66"/>
  <c r="AT115" i="66"/>
  <c r="AR53" i="66"/>
  <c r="AY116" i="66"/>
  <c r="AP50" i="66"/>
  <c r="AR104" i="66"/>
  <c r="AY111" i="66"/>
  <c r="AN33" i="66"/>
  <c r="BD47" i="66"/>
  <c r="AY69" i="66"/>
  <c r="BC91" i="66"/>
  <c r="AT64" i="66"/>
  <c r="AP34" i="66"/>
  <c r="AT24" i="66"/>
  <c r="AW44" i="66"/>
  <c r="AW48" i="66"/>
  <c r="AY85" i="66"/>
  <c r="AX63" i="66"/>
  <c r="AN110" i="66"/>
  <c r="AS118" i="66"/>
  <c r="AU104" i="66"/>
  <c r="BC53" i="66"/>
  <c r="J67" i="63"/>
  <c r="AO107" i="66"/>
  <c r="AY41" i="66"/>
  <c r="AN106" i="66"/>
  <c r="AV45" i="66"/>
  <c r="BB114" i="66"/>
  <c r="AV101" i="66"/>
  <c r="AW32" i="66"/>
  <c r="BC80" i="66"/>
  <c r="AV99" i="66"/>
  <c r="AW85" i="66"/>
  <c r="AO60" i="66"/>
  <c r="AR32" i="66"/>
  <c r="AS35" i="66"/>
  <c r="BD61" i="66"/>
  <c r="AR30" i="66"/>
  <c r="BD38" i="66"/>
  <c r="N60" i="63"/>
  <c r="AR50" i="66"/>
  <c r="BA111" i="66"/>
  <c r="AT44" i="66"/>
  <c r="BD87" i="66"/>
  <c r="AW50" i="66"/>
  <c r="AY94" i="66"/>
  <c r="AT82" i="66"/>
  <c r="AZ23" i="66"/>
  <c r="AV65" i="66"/>
  <c r="AW31" i="66"/>
  <c r="AZ101" i="66"/>
  <c r="AN102" i="66"/>
  <c r="BA117" i="66"/>
  <c r="BC45" i="66"/>
  <c r="AU78" i="66"/>
  <c r="AN92" i="66"/>
  <c r="AV100" i="66"/>
  <c r="AO33" i="66"/>
  <c r="BC92" i="66"/>
  <c r="AV39" i="66"/>
  <c r="AY96" i="66"/>
  <c r="BD46" i="66"/>
  <c r="BA60" i="66"/>
  <c r="AX98" i="66"/>
  <c r="AZ103" i="66"/>
  <c r="AV35" i="66"/>
  <c r="AV83" i="66"/>
  <c r="AZ87" i="66"/>
  <c r="AX57" i="66"/>
  <c r="AU48" i="66"/>
  <c r="AP25" i="66"/>
  <c r="AX53" i="66"/>
  <c r="BB57" i="66"/>
  <c r="BB97" i="66"/>
  <c r="BC69" i="66"/>
  <c r="AZ76" i="66"/>
  <c r="BD43" i="66"/>
  <c r="AV107" i="66"/>
  <c r="AY38" i="66"/>
  <c r="BC87" i="66"/>
  <c r="AN91" i="66"/>
  <c r="J71" i="63"/>
  <c r="AN86" i="66"/>
  <c r="AR115" i="66"/>
  <c r="BB41" i="66"/>
  <c r="BA54" i="66"/>
  <c r="AR56" i="66"/>
  <c r="AT94" i="66"/>
  <c r="BD86" i="66"/>
  <c r="AX54" i="66"/>
  <c r="AR86" i="66"/>
  <c r="BD112" i="66"/>
  <c r="BA28" i="66"/>
  <c r="AY108" i="66"/>
  <c r="AT81" i="66"/>
  <c r="BD108" i="66"/>
  <c r="AU61" i="66"/>
  <c r="AT48" i="66"/>
  <c r="AS99" i="66"/>
  <c r="AT103" i="66"/>
  <c r="AO72" i="66"/>
  <c r="AP74" i="66"/>
  <c r="AP71" i="66"/>
  <c r="AY83" i="66"/>
  <c r="AU30" i="66"/>
  <c r="BA43" i="66"/>
  <c r="BD74" i="66"/>
  <c r="AO84" i="66"/>
  <c r="AZ93" i="66"/>
  <c r="BB70" i="66"/>
  <c r="BC97" i="66"/>
  <c r="AO42" i="66"/>
  <c r="AP118" i="66"/>
  <c r="AZ53" i="66"/>
  <c r="AY56" i="66"/>
  <c r="BC110" i="66"/>
  <c r="BC74" i="66"/>
  <c r="AP52" i="66"/>
  <c r="AN75" i="66"/>
  <c r="BA119" i="66"/>
  <c r="AO32" i="66"/>
  <c r="AT112" i="66"/>
  <c r="AT46" i="66"/>
  <c r="BA47" i="66"/>
  <c r="AY95" i="66"/>
  <c r="AN61" i="66"/>
  <c r="BB45" i="66"/>
  <c r="AU56" i="66"/>
  <c r="AW28" i="66"/>
  <c r="BC37" i="66"/>
  <c r="BD107" i="66"/>
  <c r="A117" i="66"/>
  <c r="AO100" i="66"/>
  <c r="BA48" i="66"/>
  <c r="AW65" i="66"/>
  <c r="AR25" i="66"/>
  <c r="AP36" i="66"/>
  <c r="BC34" i="66"/>
  <c r="AO78" i="66"/>
  <c r="AV48" i="66"/>
  <c r="AS57" i="66"/>
  <c r="AN80" i="66"/>
  <c r="AP117" i="66"/>
  <c r="AT88" i="66"/>
  <c r="AN72" i="66"/>
  <c r="J66" i="63"/>
  <c r="AP98" i="66"/>
  <c r="AV51" i="66"/>
  <c r="AY49" i="66"/>
  <c r="AV86" i="66"/>
  <c r="AU60" i="66"/>
  <c r="AW106" i="66"/>
  <c r="BD30" i="66"/>
  <c r="BD50" i="66"/>
  <c r="AY46" i="66"/>
  <c r="AP103" i="66"/>
  <c r="BB79" i="66"/>
  <c r="AY77" i="66"/>
  <c r="AV90" i="66"/>
  <c r="AV118" i="66"/>
  <c r="AN94" i="66"/>
  <c r="AT39" i="66"/>
  <c r="AO88" i="66"/>
  <c r="AW40" i="66"/>
  <c r="AP62" i="66"/>
  <c r="BA82" i="66"/>
  <c r="AO85" i="66"/>
  <c r="AN62" i="66"/>
  <c r="BA100" i="66"/>
  <c r="AP35" i="66"/>
  <c r="AX95" i="66"/>
  <c r="AT110" i="66"/>
  <c r="AR95" i="66"/>
  <c r="BC49" i="66"/>
  <c r="BC116" i="66"/>
  <c r="BA65" i="66"/>
  <c r="AO112" i="66"/>
  <c r="AN76" i="66"/>
  <c r="K70" i="63"/>
  <c r="AW87" i="66"/>
  <c r="AS36" i="66"/>
  <c r="AS119" i="66"/>
  <c r="AP72" i="66"/>
  <c r="AW121" i="66"/>
  <c r="AR49" i="66"/>
  <c r="K64" i="63"/>
  <c r="AT77" i="66"/>
  <c r="AO117" i="66"/>
  <c r="AV74" i="66"/>
  <c r="BC106" i="66"/>
  <c r="AT86" i="66"/>
  <c r="AZ43" i="66"/>
  <c r="BB67" i="66"/>
  <c r="AX121" i="66"/>
  <c r="AV66" i="66"/>
  <c r="AR108" i="66"/>
  <c r="AS97" i="66"/>
  <c r="BA46" i="66"/>
  <c r="AX24" i="66"/>
  <c r="AR45" i="66"/>
  <c r="AY99" i="66"/>
  <c r="AO35" i="66"/>
  <c r="AN111" i="66"/>
  <c r="AW54" i="66"/>
  <c r="AV55" i="66"/>
  <c r="AZ24" i="66"/>
  <c r="AO120" i="66"/>
  <c r="AR63" i="66"/>
  <c r="AY103" i="66"/>
  <c r="AU85" i="66"/>
  <c r="AS86" i="66"/>
  <c r="AN37" i="66"/>
  <c r="BD32" i="66"/>
  <c r="AW119" i="66"/>
  <c r="AY23" i="66"/>
  <c r="AU42" i="66"/>
  <c r="AZ58" i="66"/>
  <c r="AR121" i="66"/>
  <c r="BA67" i="66"/>
  <c r="AO98" i="66"/>
  <c r="AP44" i="66"/>
  <c r="AZ71" i="66"/>
  <c r="AP121" i="66"/>
  <c r="AN42" i="66"/>
  <c r="AT68" i="66"/>
  <c r="AY25" i="66"/>
  <c r="BC47" i="66"/>
  <c r="K75" i="63"/>
  <c r="BA44" i="66"/>
  <c r="AP120" i="66"/>
  <c r="AV33" i="66"/>
  <c r="AT104" i="66"/>
  <c r="BA92" i="66"/>
  <c r="AX108" i="66"/>
  <c r="AN55" i="66"/>
  <c r="AS71" i="66"/>
  <c r="K66" i="63"/>
  <c r="AR106" i="66"/>
  <c r="AR37" i="66"/>
  <c r="AV54" i="66"/>
  <c r="AO44" i="66"/>
  <c r="AR58" i="66"/>
  <c r="AS114" i="66"/>
  <c r="AO69" i="66"/>
  <c r="BA88" i="66"/>
  <c r="AS69" i="66"/>
  <c r="AN45" i="66"/>
  <c r="AX111" i="66"/>
  <c r="AV92" i="66"/>
  <c r="AT40" i="66"/>
  <c r="AN44" i="66"/>
  <c r="AT74" i="66"/>
  <c r="AV115" i="66"/>
  <c r="AZ56" i="66"/>
  <c r="AO97" i="66"/>
  <c r="AT54" i="66"/>
  <c r="BA53" i="66"/>
  <c r="J80" i="63"/>
  <c r="AX31" i="66"/>
  <c r="BD69" i="66"/>
  <c r="AU120" i="66"/>
  <c r="AV105" i="66"/>
  <c r="AZ30" i="66"/>
  <c r="AN49" i="66"/>
  <c r="BD55" i="66"/>
  <c r="AP24" i="66"/>
  <c r="AV22" i="66"/>
  <c r="AP58" i="66"/>
  <c r="AU58" i="66"/>
  <c r="BB46" i="66"/>
  <c r="BA80" i="66"/>
  <c r="AV41" i="66"/>
  <c r="AO116" i="66"/>
  <c r="AZ57" i="66"/>
  <c r="AW73" i="66"/>
  <c r="AZ107" i="66"/>
  <c r="BD51" i="66"/>
  <c r="AR110" i="66"/>
  <c r="AT55" i="66"/>
  <c r="AW80" i="66"/>
  <c r="AW84" i="66"/>
  <c r="BC24" i="66"/>
  <c r="BD91" i="66"/>
  <c r="BB37" i="66"/>
  <c r="AY61" i="66"/>
  <c r="AT60" i="66"/>
  <c r="BD120" i="66"/>
  <c r="BC40" i="66"/>
  <c r="AO48" i="66"/>
  <c r="AU101" i="66"/>
  <c r="AN64" i="66"/>
  <c r="BB33" i="66"/>
  <c r="AR76" i="66"/>
  <c r="J69" i="63"/>
  <c r="BA56" i="66"/>
  <c r="BB50" i="66"/>
  <c r="BB49" i="66"/>
  <c r="BA29" i="66"/>
  <c r="AS52" i="66"/>
  <c r="AU39" i="66"/>
  <c r="K61" i="63"/>
  <c r="AU26" i="66"/>
  <c r="AS51" i="66"/>
  <c r="BD59" i="66"/>
  <c r="AS112" i="66"/>
  <c r="AO94" i="66"/>
  <c r="BD121" i="66"/>
  <c r="BC38" i="66"/>
  <c r="AZ82" i="66"/>
  <c r="AW46" i="66"/>
  <c r="AW107" i="66"/>
  <c r="AW37" i="66"/>
  <c r="BA104" i="66"/>
  <c r="BA33" i="66"/>
  <c r="AO90" i="66"/>
  <c r="BC31" i="66"/>
  <c r="AV27" i="66"/>
  <c r="BD40" i="66"/>
  <c r="AR89" i="66"/>
  <c r="AS85" i="66"/>
  <c r="AO58" i="66"/>
  <c r="AT41" i="66"/>
  <c r="AV111" i="66"/>
  <c r="BB78" i="66"/>
  <c r="BD34" i="66"/>
  <c r="BC120" i="66"/>
  <c r="AV82" i="66"/>
  <c r="BC62" i="66"/>
  <c r="AT107" i="66"/>
  <c r="AP90" i="66"/>
  <c r="AV53" i="66"/>
  <c r="BA102" i="66"/>
  <c r="AT52" i="66"/>
  <c r="AO67" i="66"/>
  <c r="AU84" i="66"/>
  <c r="BA71" i="66"/>
  <c r="BC115" i="66"/>
  <c r="AN35" i="66"/>
  <c r="AP22" i="66"/>
  <c r="AO104" i="66"/>
  <c r="AY89" i="66"/>
  <c r="AR35" i="66"/>
  <c r="BB23" i="66"/>
  <c r="AV34" i="66"/>
  <c r="BB98" i="66"/>
  <c r="AN79" i="66"/>
  <c r="AN52" i="66"/>
  <c r="BB91" i="66"/>
  <c r="BC71" i="66"/>
  <c r="AX79" i="66"/>
  <c r="AZ67" i="66"/>
  <c r="BC114" i="66"/>
  <c r="AR113" i="66"/>
  <c r="AR85" i="66"/>
  <c r="AP23" i="66"/>
  <c r="AO86" i="66"/>
  <c r="BA31" i="66"/>
  <c r="AW47" i="66"/>
  <c r="AU96" i="66"/>
  <c r="AT53" i="66"/>
  <c r="AS61" i="66"/>
  <c r="BD37" i="66"/>
  <c r="AN31" i="66"/>
  <c r="BB35" i="66"/>
  <c r="BD100" i="66"/>
  <c r="AR118" i="66"/>
  <c r="AP86" i="66"/>
  <c r="BD118" i="66"/>
  <c r="AO65" i="66"/>
  <c r="BA32" i="66"/>
  <c r="AO37" i="66"/>
  <c r="BD67" i="66"/>
  <c r="BD84" i="66"/>
  <c r="AW42" i="66"/>
  <c r="AT116" i="66"/>
  <c r="AT108" i="66"/>
  <c r="AR79" i="66"/>
  <c r="AR120" i="66"/>
  <c r="AR40" i="66"/>
  <c r="J74" i="63"/>
  <c r="AV89" i="66"/>
  <c r="AW78" i="66"/>
  <c r="AS40" i="66"/>
  <c r="BD102" i="66"/>
  <c r="AY102" i="66"/>
  <c r="AN34" i="66"/>
  <c r="AP84" i="66"/>
  <c r="AN36" i="66"/>
  <c r="AR29" i="66"/>
  <c r="BC36" i="66"/>
  <c r="BC59" i="66"/>
  <c r="BA89" i="66"/>
  <c r="BD89" i="66"/>
  <c r="AX91" i="66"/>
  <c r="AT56" i="66"/>
  <c r="AP91" i="66"/>
  <c r="AP64" i="66"/>
  <c r="AO68" i="66"/>
  <c r="AV47" i="66"/>
  <c r="AY64" i="66"/>
  <c r="BD52" i="66"/>
  <c r="AX101" i="66"/>
  <c r="BC60" i="66"/>
  <c r="AX117" i="66"/>
  <c r="AX66" i="66"/>
  <c r="AZ121" i="66"/>
  <c r="AY65" i="66"/>
  <c r="BC119" i="66"/>
  <c r="AT69" i="66"/>
  <c r="AV117" i="66"/>
  <c r="AX106" i="66"/>
  <c r="AR60" i="66"/>
  <c r="AW112" i="66"/>
  <c r="BC121" i="66"/>
  <c r="AU80" i="66"/>
  <c r="BC118" i="66"/>
  <c r="AW96" i="66"/>
  <c r="AV26" i="66"/>
  <c r="AN85" i="66"/>
  <c r="AZ96" i="66"/>
  <c r="AU99" i="66"/>
  <c r="AO121" i="66"/>
  <c r="AP97" i="66"/>
  <c r="BB96" i="66"/>
  <c r="AT33" i="66"/>
  <c r="AZ109" i="66"/>
  <c r="AW111" i="66"/>
  <c r="BD42" i="66"/>
  <c r="AZ60" i="66"/>
  <c r="AO93" i="66"/>
  <c r="BB71" i="66"/>
  <c r="AS103" i="66"/>
  <c r="AX23" i="66"/>
  <c r="AN82" i="66"/>
  <c r="AP114" i="66"/>
  <c r="BC117" i="66"/>
  <c r="AX67" i="66"/>
  <c r="AX59" i="66"/>
  <c r="K76" i="63"/>
  <c r="AY93" i="66"/>
  <c r="AR71" i="66"/>
  <c r="AV64" i="66"/>
  <c r="AO59" i="66"/>
  <c r="BC77" i="66"/>
  <c r="AS50" i="66"/>
  <c r="AZ110" i="66"/>
  <c r="BA59" i="66"/>
  <c r="BD54" i="66"/>
  <c r="A117" i="62"/>
  <c r="AR26" i="66"/>
  <c r="AY66" i="66"/>
  <c r="AR59" i="66"/>
  <c r="BC66" i="66"/>
  <c r="AY53" i="66"/>
  <c r="AT49" i="66"/>
  <c r="AU109" i="66"/>
  <c r="AR96" i="66"/>
  <c r="BA22" i="66"/>
  <c r="AT72" i="66"/>
  <c r="AY35" i="66"/>
  <c r="AY113" i="66"/>
  <c r="AY59" i="66"/>
  <c r="AZ66" i="66"/>
  <c r="AS28" i="66"/>
  <c r="AW95" i="66"/>
  <c r="AW71" i="66"/>
  <c r="AP41" i="66"/>
  <c r="AW22" i="66"/>
  <c r="L60" i="63"/>
  <c r="AX48" i="66"/>
  <c r="AZ22" i="66"/>
  <c r="AU46" i="66"/>
  <c r="AU103" i="66"/>
  <c r="J68" i="63"/>
  <c r="AR67" i="66"/>
  <c r="AO108" i="66"/>
  <c r="AX76" i="66"/>
  <c r="AS26" i="66"/>
  <c r="BB43" i="66"/>
  <c r="BA109" i="66"/>
  <c r="J61" i="63"/>
  <c r="AU67" i="66"/>
  <c r="AR109" i="66"/>
  <c r="AW57" i="66"/>
  <c r="AV52" i="66"/>
  <c r="AX85" i="66"/>
  <c r="AS109" i="66"/>
  <c r="AZ65" i="66"/>
  <c r="AW69" i="66"/>
  <c r="AS32" i="66"/>
  <c r="BC42" i="66"/>
  <c r="AZ88" i="66"/>
  <c r="BB121" i="66"/>
  <c r="AP110" i="66"/>
  <c r="AZ42" i="66"/>
  <c r="AU73" i="66"/>
  <c r="AX32" i="66"/>
  <c r="AW101" i="66"/>
  <c r="AT79" i="66"/>
  <c r="AZ114" i="66"/>
  <c r="AY37" i="66"/>
  <c r="AV114" i="66"/>
  <c r="BC104" i="66"/>
  <c r="BA118" i="66"/>
  <c r="BB82" i="66"/>
  <c r="AN90" i="66"/>
  <c r="BD58" i="66"/>
  <c r="AO79" i="66"/>
  <c r="BD28" i="66"/>
  <c r="AR80" i="66"/>
  <c r="BD77" i="66"/>
  <c r="AT109" i="66"/>
  <c r="AT23" i="66"/>
  <c r="BB60" i="66"/>
  <c r="AX38" i="66"/>
  <c r="AS70" i="66"/>
  <c r="BB115" i="66"/>
  <c r="AZ28" i="66"/>
  <c r="BA66" i="66"/>
  <c r="AO26" i="66"/>
  <c r="AV32" i="66"/>
  <c r="AN108" i="66"/>
  <c r="AU41" i="66"/>
  <c r="J62" i="63"/>
  <c r="BA24" i="66"/>
  <c r="AT85" i="66"/>
  <c r="AO61" i="66"/>
  <c r="AO87" i="66"/>
  <c r="BD103" i="66"/>
  <c r="AP33" i="66"/>
  <c r="AY43" i="66"/>
  <c r="AV85" i="66"/>
  <c r="AX44" i="66"/>
  <c r="AR69" i="66"/>
  <c r="AT100" i="66"/>
  <c r="AS48" i="66"/>
  <c r="AN26" i="66"/>
  <c r="AY70" i="66"/>
  <c r="BD36" i="66"/>
  <c r="K78" i="63"/>
  <c r="AW109" i="66"/>
  <c r="AV108" i="66"/>
  <c r="AO66" i="66"/>
  <c r="AV91" i="66"/>
  <c r="AN74" i="66"/>
  <c r="AN25" i="66"/>
  <c r="AU100" i="66"/>
  <c r="AR116" i="66"/>
  <c r="BC112" i="66"/>
  <c r="AT37" i="66"/>
  <c r="BA90" i="66"/>
  <c r="AO39" i="66"/>
  <c r="BB110" i="66"/>
  <c r="AU65" i="66"/>
  <c r="AT32" i="66"/>
  <c r="AR28" i="66"/>
  <c r="BD78" i="66"/>
  <c r="BD65" i="66"/>
  <c r="AN43" i="66"/>
  <c r="BA72" i="66"/>
  <c r="AX96" i="66"/>
  <c r="AY115" i="66"/>
  <c r="BB102" i="66"/>
  <c r="AY33" i="66"/>
  <c r="AW110" i="66"/>
  <c r="AV36" i="66"/>
  <c r="BA39" i="66"/>
  <c r="AP37" i="66"/>
  <c r="AS38" i="66"/>
  <c r="AV37" i="66"/>
  <c r="AX39" i="66"/>
  <c r="AW68" i="66"/>
  <c r="AV57" i="66"/>
  <c r="AW79" i="66"/>
  <c r="AU37" i="66"/>
  <c r="AS79" i="66"/>
  <c r="BD72" i="66"/>
  <c r="AW108" i="66"/>
  <c r="AP105" i="66"/>
  <c r="AP47" i="66"/>
  <c r="BB66" i="66"/>
  <c r="AN56" i="66"/>
  <c r="AZ102" i="66"/>
  <c r="AX58" i="66"/>
  <c r="AT45" i="66"/>
  <c r="BC103" i="66"/>
  <c r="AT76" i="66"/>
  <c r="AT34" i="66"/>
  <c r="AO23" i="66"/>
  <c r="BB95" i="66"/>
  <c r="BD73" i="66"/>
  <c r="AY30" i="66"/>
  <c r="AX34" i="66"/>
  <c r="K79" i="63"/>
  <c r="K72" i="63"/>
  <c r="AR107" i="66"/>
  <c r="AU52" i="66"/>
  <c r="AY98" i="66"/>
  <c r="AP100" i="66"/>
  <c r="AU106" i="66"/>
  <c r="AX27" i="66"/>
  <c r="AX84" i="66"/>
  <c r="AY88" i="66"/>
  <c r="BB69" i="66"/>
  <c r="BB88" i="66"/>
  <c r="AW76" i="66"/>
  <c r="AX30" i="66"/>
  <c r="AZ45" i="66"/>
  <c r="AY119" i="66"/>
  <c r="AV43" i="66"/>
  <c r="AS90" i="66"/>
  <c r="AW103" i="66"/>
  <c r="A4" i="62"/>
  <c r="BD76" i="66"/>
  <c r="AY101" i="66"/>
  <c r="BC76" i="66"/>
  <c r="AU107" i="66"/>
  <c r="AO22" i="66"/>
  <c r="BB111" i="66"/>
  <c r="AO119" i="66"/>
  <c r="AY32" i="66"/>
  <c r="AP87" i="66"/>
  <c r="AW34" i="66"/>
  <c r="AY39" i="66"/>
  <c r="AY34" i="66"/>
  <c r="AW75" i="66"/>
  <c r="AN81" i="66"/>
  <c r="AV98" i="66"/>
  <c r="AY26" i="66"/>
  <c r="AS37" i="66"/>
  <c r="AW67" i="66"/>
  <c r="AN99" i="66"/>
  <c r="BA96" i="66"/>
  <c r="AW91" i="66"/>
  <c r="AU36" i="66"/>
  <c r="AS80" i="66"/>
  <c r="BC84" i="66"/>
  <c r="AR34" i="66"/>
  <c r="AY45" i="66"/>
  <c r="AV78" i="66"/>
  <c r="AS34" i="66"/>
  <c r="AP73" i="66"/>
  <c r="AZ117" i="66"/>
  <c r="BD33" i="66"/>
  <c r="AN116" i="66"/>
  <c r="BC94" i="66"/>
  <c r="AP99" i="66"/>
  <c r="AU111" i="66"/>
  <c r="AS96" i="66"/>
  <c r="AY106" i="66"/>
  <c r="AO56" i="66"/>
  <c r="BA30" i="66"/>
  <c r="AX42" i="66"/>
  <c r="AT120" i="66"/>
  <c r="BB64" i="66"/>
  <c r="AP26" i="66"/>
  <c r="AX70" i="66"/>
  <c r="BC54" i="66"/>
  <c r="AW51" i="66"/>
  <c r="AZ40" i="66"/>
  <c r="BC100" i="66"/>
  <c r="BB36" i="66"/>
  <c r="BD25" i="66"/>
  <c r="AW118" i="66"/>
  <c r="AP29" i="66"/>
  <c r="AY24" i="66"/>
  <c r="BC75" i="66"/>
  <c r="AX35" i="66"/>
  <c r="AS84" i="66"/>
  <c r="AU24" i="66"/>
  <c r="BD70" i="66"/>
  <c r="BB76" i="66"/>
  <c r="AZ84" i="66"/>
  <c r="BC55" i="66"/>
  <c r="AN103" i="66"/>
  <c r="AR88" i="66"/>
  <c r="AP85" i="66"/>
  <c r="BC73" i="66"/>
  <c r="AY27" i="66"/>
  <c r="BB63" i="66"/>
  <c r="AX65" i="66"/>
  <c r="AV56" i="66"/>
  <c r="AR82" i="66"/>
  <c r="AU117" i="66"/>
  <c r="AZ44" i="66"/>
  <c r="AU62" i="66"/>
  <c r="AO81" i="66"/>
  <c r="AP28" i="66"/>
  <c r="BA62" i="66"/>
  <c r="AP49" i="66"/>
  <c r="AZ54" i="66"/>
  <c r="AP57" i="66"/>
  <c r="AS108" i="66"/>
  <c r="AP89" i="66"/>
  <c r="A115" i="66"/>
  <c r="AO51" i="66"/>
  <c r="BA99" i="66"/>
  <c r="AR103" i="66"/>
  <c r="AW88" i="66"/>
  <c r="AS46" i="66"/>
  <c r="AZ118" i="66"/>
  <c r="AN40" i="66"/>
  <c r="AP94" i="66"/>
  <c r="AV95" i="66"/>
  <c r="AS47" i="66"/>
  <c r="AU87" i="66"/>
  <c r="AP45" i="66"/>
  <c r="AZ37" i="66"/>
  <c r="AX25" i="66"/>
  <c r="AU114" i="66"/>
  <c r="AV61" i="66"/>
  <c r="BB56" i="66"/>
  <c r="AU95" i="66"/>
  <c r="AX113" i="66"/>
  <c r="AO31" i="66"/>
  <c r="AS117" i="66"/>
  <c r="AY55" i="66"/>
  <c r="AW26" i="66"/>
  <c r="AY60" i="66"/>
  <c r="AO25" i="66"/>
  <c r="BC44" i="66"/>
  <c r="AS88" i="66"/>
  <c r="AW27" i="66"/>
  <c r="AR27" i="66"/>
  <c r="AR90" i="66"/>
  <c r="BD96" i="66"/>
  <c r="AS24" i="66"/>
  <c r="AV96" i="66"/>
  <c r="AZ83" i="66"/>
  <c r="AS22" i="66"/>
  <c r="AV67" i="66"/>
  <c r="AP96" i="66"/>
  <c r="AS121" i="66"/>
  <c r="BD27" i="66"/>
  <c r="BD99" i="66"/>
  <c r="AP78" i="66"/>
  <c r="AW41" i="66"/>
  <c r="BC39" i="66"/>
  <c r="AR100" i="66"/>
  <c r="AZ81" i="66"/>
  <c r="BB22" i="66"/>
  <c r="BB53" i="66"/>
  <c r="AT27" i="66"/>
  <c r="AR42" i="66"/>
  <c r="AN68" i="66"/>
  <c r="BB29" i="66"/>
  <c r="AO34" i="66"/>
  <c r="AZ119" i="66"/>
  <c r="AY100" i="66"/>
  <c r="AS44" i="66"/>
  <c r="AR112" i="66"/>
  <c r="BB30" i="66"/>
  <c r="AW115" i="66"/>
  <c r="AU90" i="66"/>
  <c r="AW59" i="66"/>
  <c r="BB83" i="66"/>
  <c r="J79" i="63"/>
  <c r="AU105" i="66"/>
  <c r="AZ113" i="66"/>
  <c r="AT28" i="66"/>
  <c r="BC113" i="66"/>
  <c r="AZ116" i="66"/>
  <c r="AW89" i="66"/>
  <c r="AW25" i="66"/>
  <c r="K62" i="63"/>
  <c r="AP81" i="66"/>
  <c r="AO40" i="66"/>
  <c r="AU45" i="66"/>
  <c r="AO74" i="66"/>
  <c r="BC102" i="66"/>
  <c r="AV120" i="66"/>
  <c r="AS110" i="66"/>
  <c r="AS83" i="66"/>
  <c r="AV112" i="66"/>
  <c r="BD111" i="66"/>
  <c r="AO92" i="66"/>
  <c r="AN32" i="66"/>
  <c r="AO38" i="66"/>
  <c r="AY62" i="66"/>
  <c r="AN109" i="66"/>
  <c r="AV75" i="66"/>
  <c r="AR114" i="66"/>
  <c r="AS73" i="66"/>
  <c r="AS43" i="66"/>
  <c r="AX119" i="66"/>
  <c r="AS39" i="66"/>
  <c r="BB47" i="66"/>
  <c r="AT75" i="66"/>
  <c r="AS106" i="66"/>
  <c r="AV69" i="66"/>
  <c r="AU81" i="66"/>
  <c r="AP38" i="66"/>
  <c r="AS68" i="66"/>
  <c r="AY36" i="66"/>
  <c r="AT38" i="66"/>
  <c r="BA42" i="66"/>
  <c r="AP76" i="66"/>
  <c r="AO52" i="66"/>
  <c r="AW36" i="66"/>
  <c r="AP93" i="66"/>
  <c r="BC79" i="66"/>
  <c r="BB38" i="66"/>
  <c r="AU51" i="66"/>
  <c r="BC43" i="66"/>
  <c r="AO75" i="66"/>
  <c r="AN120" i="66"/>
  <c r="BD109" i="66"/>
  <c r="A113" i="66"/>
  <c r="AO30" i="66"/>
  <c r="BB116" i="66"/>
  <c r="AY47" i="66"/>
  <c r="AN77" i="66"/>
  <c r="AU86" i="66"/>
  <c r="BB28" i="66"/>
  <c r="BA98" i="66"/>
  <c r="BA93" i="66"/>
  <c r="AT25" i="66"/>
  <c r="AW74" i="66"/>
  <c r="AR48" i="66"/>
  <c r="AN107" i="66"/>
  <c r="K71" i="63"/>
  <c r="AY75" i="66"/>
  <c r="BB74" i="66"/>
  <c r="AY57" i="66"/>
  <c r="AU28" i="66"/>
  <c r="AW23" i="66"/>
  <c r="BC93" i="66"/>
  <c r="AV106" i="66"/>
  <c r="AO77" i="66"/>
  <c r="AU47" i="66"/>
  <c r="AT95" i="66"/>
  <c r="BA51" i="66"/>
  <c r="BA95" i="66"/>
  <c r="AY86" i="66"/>
  <c r="AN83" i="66"/>
  <c r="AW43" i="66"/>
  <c r="AU77" i="66"/>
  <c r="BD95" i="66"/>
  <c r="AZ47" i="66"/>
  <c r="BC25" i="66"/>
  <c r="AW45" i="66"/>
  <c r="BB54" i="66"/>
  <c r="AS45" i="66"/>
  <c r="BB92" i="66"/>
  <c r="AS66" i="66"/>
  <c r="AT96" i="66"/>
  <c r="AN119" i="66"/>
  <c r="AY87" i="66"/>
  <c r="BD41" i="66"/>
  <c r="AN30" i="66"/>
  <c r="AW64" i="66"/>
  <c r="AO103" i="66"/>
  <c r="AZ94" i="66"/>
  <c r="AV77" i="66"/>
  <c r="AO115" i="66"/>
  <c r="AO71" i="66"/>
  <c r="AR127" i="66"/>
  <c r="AU102" i="66"/>
  <c r="BA121" i="66"/>
  <c r="BB105" i="66"/>
  <c r="BA116" i="66"/>
  <c r="AN48" i="66"/>
  <c r="AX55" i="66"/>
  <c r="BC65" i="66"/>
  <c r="AV59" i="66"/>
  <c r="AV70" i="66"/>
  <c r="AP65" i="66"/>
  <c r="BD75" i="66"/>
  <c r="BC67" i="66"/>
  <c r="AR39" i="66"/>
  <c r="BB58" i="66"/>
  <c r="BD23" i="66"/>
  <c r="AO49" i="66"/>
  <c r="AO82" i="66"/>
  <c r="BA81" i="66"/>
  <c r="AU68" i="66"/>
  <c r="AW98" i="66"/>
  <c r="BD114" i="66"/>
  <c r="AO63" i="66"/>
  <c r="AZ33" i="66"/>
  <c r="AU121" i="66"/>
  <c r="AO113" i="66"/>
  <c r="AV38" i="66"/>
  <c r="AV25" i="66"/>
  <c r="AW33" i="66"/>
  <c r="BA79" i="66"/>
  <c r="AY114" i="66"/>
  <c r="AW38" i="66"/>
  <c r="AZ31" i="66"/>
  <c r="AP61" i="66"/>
  <c r="AT114" i="66"/>
  <c r="AX118" i="66"/>
  <c r="AT36" i="66"/>
  <c r="BD53" i="66"/>
  <c r="AR119" i="66"/>
  <c r="AT30" i="66"/>
  <c r="AY29" i="66"/>
  <c r="BC22" i="66"/>
  <c r="AR81" i="66"/>
  <c r="AY104" i="66"/>
  <c r="AP42" i="66"/>
  <c r="BC95" i="66"/>
  <c r="AX74" i="66"/>
  <c r="AX28" i="66"/>
  <c r="BD68" i="66"/>
  <c r="AS89" i="66"/>
  <c r="AW102" i="66"/>
  <c r="AV31" i="66"/>
  <c r="AT71" i="66"/>
  <c r="AU89" i="66"/>
  <c r="AZ74" i="66"/>
  <c r="AP75" i="66"/>
  <c r="AN104" i="66"/>
  <c r="AW116" i="66"/>
  <c r="AW117" i="66"/>
  <c r="AR98" i="66"/>
  <c r="AS78" i="66"/>
  <c r="AR24" i="66"/>
  <c r="AT102" i="66"/>
  <c r="AX109" i="66"/>
  <c r="BD119" i="66"/>
  <c r="AN27" i="66"/>
  <c r="AX77" i="66"/>
  <c r="BC68" i="66"/>
  <c r="AV63" i="66"/>
  <c r="BA50" i="66"/>
  <c r="AW94" i="66"/>
  <c r="BD104" i="66"/>
  <c r="BC26" i="66"/>
  <c r="AX72" i="66"/>
  <c r="BA97" i="66"/>
  <c r="AP95" i="66"/>
  <c r="BD62" i="66"/>
  <c r="AV87" i="66"/>
  <c r="AT92" i="66"/>
  <c r="AS59" i="66"/>
  <c r="AV28" i="66"/>
  <c r="BC32" i="66"/>
  <c r="BD115" i="66"/>
  <c r="BB109" i="66"/>
  <c r="AV121" i="66"/>
  <c r="AV24" i="66"/>
  <c r="AO76" i="66"/>
  <c r="AT70" i="66"/>
  <c r="AW60" i="66"/>
  <c r="AP31" i="66"/>
  <c r="BA76" i="66"/>
  <c r="AR99" i="66"/>
  <c r="AU66" i="66"/>
  <c r="AV113" i="66"/>
  <c r="AS102" i="66"/>
  <c r="AT58" i="66"/>
  <c r="AZ89" i="66"/>
  <c r="BA37" i="66"/>
  <c r="AO89" i="66"/>
  <c r="AT42" i="66"/>
  <c r="AN50" i="66"/>
  <c r="AR102" i="66"/>
  <c r="BB42" i="66"/>
  <c r="AS25" i="66"/>
  <c r="AS95" i="66"/>
  <c r="BA38" i="66"/>
  <c r="J72" i="63"/>
  <c r="AT61" i="66"/>
  <c r="AT106" i="66"/>
  <c r="AX75" i="66"/>
  <c r="AZ48" i="66"/>
  <c r="BB93" i="66"/>
  <c r="BB103" i="66"/>
  <c r="AN115" i="66"/>
  <c r="AR57" i="66"/>
  <c r="BA77" i="66"/>
  <c r="AY31" i="66"/>
  <c r="AV119" i="66"/>
  <c r="A112" i="66" l="1"/>
  <c r="A109" i="66"/>
  <c r="A108" i="66"/>
  <c r="A114" i="66"/>
  <c r="A4" i="46"/>
  <c r="A10" i="62"/>
  <c r="E1451" i="102"/>
  <c r="E67" i="69"/>
  <c r="E100" i="69" s="1"/>
  <c r="E109" i="69" s="1"/>
  <c r="A109" i="69" s="1"/>
  <c r="E1521" i="102"/>
  <c r="F67" i="69"/>
  <c r="F100" i="69" s="1"/>
  <c r="H67" i="69"/>
  <c r="H100" i="69" s="1"/>
  <c r="E1661" i="102"/>
  <c r="E1571" i="111"/>
  <c r="G67" i="69"/>
  <c r="G100" i="69" s="1"/>
  <c r="E1591" i="102"/>
  <c r="Z19" i="69" l="1"/>
  <c r="A19" i="69" s="1"/>
  <c r="E1729" i="111"/>
  <c r="E1650" i="111"/>
  <c r="F109" i="69"/>
  <c r="A108" i="69" s="1"/>
  <c r="A18" i="69" l="1"/>
  <c r="A2" i="69" s="1"/>
  <c r="A3" i="69" s="1"/>
  <c r="E22" i="46" s="1"/>
  <c r="A2" i="46" s="1"/>
  <c r="A5" i="46" l="1"/>
  <c r="C10" i="46" s="1"/>
  <c r="F22" i="46"/>
</calcChain>
</file>

<file path=xl/comments1.xml><?xml version="1.0" encoding="utf-8"?>
<comments xmlns="http://schemas.openxmlformats.org/spreadsheetml/2006/main">
  <authors>
    <author>Edgardo Dominguez Lopez</author>
    <author>lennin Velez Patiño</author>
  </authors>
  <commentList>
    <comment ref="O10" authorId="0">
      <text>
        <r>
          <rPr>
            <b/>
            <sz val="9"/>
            <color indexed="81"/>
            <rFont val="Tahoma"/>
            <family val="2"/>
          </rPr>
          <t>Tenga en cuenta que esta casilla corresponde al cálculo de la tasa efectiva anual, no a la descripción de la misma</t>
        </r>
        <r>
          <rPr>
            <sz val="9"/>
            <color indexed="81"/>
            <rFont val="Tahoma"/>
            <family val="2"/>
          </rPr>
          <t xml:space="preserve">
</t>
        </r>
      </text>
    </comment>
    <comment ref="N20" authorId="0">
      <text>
        <r>
          <rPr>
            <b/>
            <sz val="9"/>
            <color indexed="81"/>
            <rFont val="Tahoma"/>
            <family val="2"/>
          </rPr>
          <t>Edgardo Dominguez Lopez:</t>
        </r>
        <r>
          <rPr>
            <sz val="9"/>
            <color indexed="81"/>
            <rFont val="Tahoma"/>
            <family val="2"/>
          </rPr>
          <t xml:space="preserve">
Tenga en cuenta las abreviaturas relacionadas en el recuadro azul al final del cuadro de reporte. Describa las tasas completas con sus decimales y el signo de porcentaje %</t>
        </r>
      </text>
    </comment>
    <comment ref="O20" authorId="0">
      <text>
        <r>
          <rPr>
            <b/>
            <sz val="9"/>
            <color indexed="81"/>
            <rFont val="Tahoma"/>
            <family val="2"/>
          </rPr>
          <t>Tenga en cuenta que esta casilla corresponde al cálculo de la tasa efectiva anual, no a la desripción de la misma</t>
        </r>
        <r>
          <rPr>
            <sz val="9"/>
            <color indexed="81"/>
            <rFont val="Tahoma"/>
            <family val="2"/>
          </rPr>
          <t xml:space="preserve">
</t>
        </r>
      </text>
    </comment>
    <comment ref="AB20" authorId="1">
      <text>
        <r>
          <rPr>
            <b/>
            <sz val="9"/>
            <color indexed="81"/>
            <rFont val="Tahoma"/>
            <family val="2"/>
          </rPr>
          <t>El valor razonable de las obligaciones financieras para efectos de revelación se calcula con base en el valor presente de los flujos futuros de efectivo incluyendo capital e intereses descontados utilizando tasas de interés de mercado a la fecha de reporte</t>
        </r>
      </text>
    </comment>
    <comment ref="AK20" authorId="1">
      <text>
        <r>
          <rPr>
            <b/>
            <sz val="9"/>
            <color indexed="81"/>
            <rFont val="Tahoma"/>
            <family val="2"/>
          </rPr>
          <t xml:space="preserve">Capital de trabajo
Compra de inversiones en instrumentos de patrimonio
Para la compra de activos fijos
Para la renovación de préstamos desembolsados en años anteriores
Capitalización de inversiones
Adquisición e implementación de Sofware
ETC.
</t>
        </r>
      </text>
    </comment>
    <comment ref="BA20" authorId="0">
      <text>
        <r>
          <rPr>
            <b/>
            <sz val="9"/>
            <color indexed="81"/>
            <rFont val="Tahoma"/>
            <family val="2"/>
          </rPr>
          <t>Edgardo Dominguez Lopez:</t>
        </r>
        <r>
          <rPr>
            <sz val="9"/>
            <color indexed="81"/>
            <rFont val="Tahoma"/>
            <family val="2"/>
          </rPr>
          <t xml:space="preserve">
Tenga en cuenta las abreviaturas relacionadas en el recuadro azul al final del cuadro de reporte. Describa las tasas completas con sus decimales y el signo de porcentaje %</t>
        </r>
      </text>
    </comment>
    <comment ref="BB20" authorId="0">
      <text>
        <r>
          <rPr>
            <b/>
            <sz val="9"/>
            <color indexed="81"/>
            <rFont val="Tahoma"/>
            <family val="2"/>
          </rPr>
          <t>Tenga en cuenta que esta casilla corresponde al cálculo de la tasa efectiva anual, no a la desripción de la misma</t>
        </r>
        <r>
          <rPr>
            <sz val="9"/>
            <color indexed="81"/>
            <rFont val="Tahoma"/>
            <family val="2"/>
          </rPr>
          <t xml:space="preserve">
</t>
        </r>
      </text>
    </comment>
  </commentList>
</comments>
</file>

<file path=xl/comments2.xml><?xml version="1.0" encoding="utf-8"?>
<comments xmlns="http://schemas.openxmlformats.org/spreadsheetml/2006/main">
  <authors>
    <author>Edgardo Dominguez Lopez</author>
  </authors>
  <commentList>
    <comment ref="B51" authorId="0">
      <text>
        <r>
          <rPr>
            <b/>
            <sz val="9"/>
            <color indexed="81"/>
            <rFont val="Tahoma"/>
            <family val="2"/>
          </rPr>
          <t>Edgardo Dominguez Lopez:</t>
        </r>
        <r>
          <rPr>
            <sz val="9"/>
            <color indexed="81"/>
            <rFont val="Tahoma"/>
            <family val="2"/>
          </rPr>
          <t xml:space="preserve">
Columna D en el balance. Este código interno identifica las cuentas, grupos de cuentas, subtotales y los totales</t>
        </r>
      </text>
    </comment>
    <comment ref="M51" authorId="0">
      <text>
        <r>
          <rPr>
            <b/>
            <sz val="9"/>
            <color indexed="81"/>
            <rFont val="Tahoma"/>
            <family val="2"/>
          </rPr>
          <t>Edgardo Dominguez Lopez:</t>
        </r>
        <r>
          <rPr>
            <sz val="9"/>
            <color indexed="81"/>
            <rFont val="Tahoma"/>
            <family val="2"/>
          </rPr>
          <t xml:space="preserve">
Columna D en el balance. Este código interno identifica las cuentas, grupos de cuentas, subtotales y los totales</t>
        </r>
      </text>
    </comment>
  </commentList>
</comments>
</file>

<file path=xl/comments3.xml><?xml version="1.0" encoding="utf-8"?>
<comments xmlns="http://schemas.openxmlformats.org/spreadsheetml/2006/main">
  <authors>
    <author>Juan Pablo Ballen</author>
  </authors>
  <commentList>
    <comment ref="R18" authorId="0">
      <text>
        <r>
          <rPr>
            <sz val="9"/>
            <color indexed="81"/>
            <rFont val="Tahoma"/>
            <family val="2"/>
          </rPr>
          <t xml:space="preserve">Por favor, sino cuenta con ninguna observacion diligenciar "Ninguno". Campo "N/A" no valido.
</t>
        </r>
      </text>
    </comment>
    <comment ref="AA18" authorId="0">
      <text>
        <r>
          <rPr>
            <sz val="9"/>
            <color indexed="81"/>
            <rFont val="Tahoma"/>
            <family val="2"/>
          </rPr>
          <t xml:space="preserve">Validador de entidades repetidas.
</t>
        </r>
      </text>
    </comment>
  </commentList>
</comments>
</file>

<file path=xl/comments4.xml><?xml version="1.0" encoding="utf-8"?>
<comments xmlns="http://schemas.openxmlformats.org/spreadsheetml/2006/main">
  <authors>
    <author>Edgardo Dominguez Lopez</author>
  </authors>
  <commentList>
    <comment ref="C15" authorId="0">
      <text>
        <r>
          <rPr>
            <sz val="10"/>
            <color indexed="81"/>
            <rFont val="Tahoma"/>
            <family val="2"/>
          </rPr>
          <t>Esto quiere decir, que si todos los que ocupan un determinado cargo (vicepresidencias por ejemplo) son personal clave de la gerencia no es necesario que los enumere uno por uno; pero si los que ocupan un determinado cargo (como Gerentes o Directores) unos son personal clave de la gerencia y otros no, debe enumerarlos uno por uno.</t>
        </r>
        <r>
          <rPr>
            <sz val="9"/>
            <color indexed="81"/>
            <rFont val="Tahoma"/>
            <family val="2"/>
          </rPr>
          <t xml:space="preserve">
</t>
        </r>
      </text>
    </comment>
  </commentList>
</comments>
</file>

<file path=xl/connections.xml><?xml version="1.0" encoding="utf-8"?>
<connections xmlns="http://schemas.openxmlformats.org/spreadsheetml/2006/main">
  <connection id="1" keepAlive="1" name="Query - BPC_COLUMNA_NOTA" description="Connection to the 'BPC_COLUMNA_NOTA' query in the workbook." type="5" refreshedVersion="4" background="1" saveData="1">
    <dbPr connection="provider=Microsoft.Mashup.OleDb.1;data source=$EmbeddedMashup(a726656d-13d2-4d62-bdc3-4d1127f53db0)$;location=BPC_COLUMNA_NOTA" command="SELECT * FROM [BPC_COLUMNA_NOTA]"/>
  </connection>
  <connection id="2" keepAlive="1" name="Query - BPC_COMENTARIOS" description="Connection to the 'BPC_COMENTARIOS' query in the workbook." type="5" refreshedVersion="4" background="1" saveData="1">
    <dbPr connection="provider=Microsoft.Mashup.OleDb.1;data source=$EmbeddedMashup(a726656d-13d2-4d62-bdc3-4d1127f53db0)$;location=BPC_COMENTARIOS;extended properties=" command="SELECT * FROM [BPC_COMENTARIOS]"/>
  </connection>
  <connection id="3" keepAlive="1" name="Query - BPC_COMENTARIOS2" description="Connection to the 'BPC_COMENTARIOS2' query in the workbook." type="5" refreshedVersion="4" background="1" saveData="1">
    <dbPr connection="provider=Microsoft.Mashup.OleDb.1;data source=$EmbeddedMashup(a726656d-13d2-4d62-bdc3-4d1127f53db0)$;location=BPC_COMENTARIOS2;extended properties=" command="SELECT * FROM [BPC_COMENTARIOS2]"/>
  </connection>
  <connection id="4" keepAlive="1" name="Query - BPC_FILA_NOTA" description="Connection to the 'BPC_FILA_NOTA' query in the workbook." type="5" refreshedVersion="4" background="1" saveData="1">
    <dbPr connection="provider=Microsoft.Mashup.OleDb.1;data source=$EmbeddedMashup(a726656d-13d2-4d62-bdc3-4d1127f53db0)$;location=BPC_FILA_NOTA" command="SELECT * FROM [BPC_FILA_NOTA]"/>
  </connection>
  <connection id="5" keepAlive="1" name="Query - BPC_NOTAS" description="Connection to the 'BPC_NOTAS' query in the workbook." type="5" refreshedVersion="4" background="1" saveData="1">
    <dbPr connection="provider=Microsoft.Mashup.OleDb.1;data source=$EmbeddedMashup(a726656d-13d2-4d62-bdc3-4d1127f53db0)$;location=BPC_NOTAS;extended properties=" command="SELECT * FROM [BPC_NOTAS]"/>
  </connection>
  <connection id="6" keepAlive="1" name="Query - BPC_NOTAS2" description="Connection to the 'BPC_NOTAS2' query in the workbook." type="5" refreshedVersion="4" background="1" saveData="1">
    <dbPr connection="provider=Microsoft.Mashup.OleDb.1;data source=$EmbeddedMashup(a726656d-13d2-4d62-bdc3-4d1127f53db0)$;location=BPC_NOTAS2;extended properties=" command="SELECT * FROM [BPC_NOTAS2]"/>
  </connection>
  <connection id="7" keepAlive="1" name="Query - BPC_TASAS" description="Connection to the 'BPC_TASAS' query in the workbook." type="5" refreshedVersion="4" background="1" saveData="1">
    <dbPr connection="provider=Microsoft.Mashup.OleDb.1;data source=$EmbeddedMashup(a726656d-13d2-4d62-bdc3-4d1127f53db0)$;location=BPC_TASAS;extended properties=" command="SELECT * FROM [BPC_TASAS]"/>
  </connection>
  <connection id="8" keepAlive="1" name="Query - ENTIDADES" description="Connection to the 'ENTIDADES' query in the workbook." type="5" refreshedVersion="4" saveData="1">
    <dbPr connection="provider=Microsoft.Mashup.OleDb.1;data source=$EmbeddedMashup(a726656d-13d2-4d62-bdc3-4d1127f53db0)$;location=ENTIDADES" command="SELECT * FROM [ENTIDADES]"/>
  </connection>
  <connection id="9" keepAlive="1" name="Query - FECHAS" description="Connection to the 'FECHAS' query in the workbook." type="5" refreshedVersion="4" saveData="1">
    <dbPr connection="provider=Microsoft.Mashup.OleDb.1;data source=$EmbeddedMashup(a726656d-13d2-4d62-bdc3-4d1127f53db0)$;location=FECHAS" command="SELECT * FROM [FECHAS]"/>
  </connection>
  <connection id="10" keepAlive="1" name="Query - GRUPO" description="Connection to the 'GRUPO' query in the workbook." type="5" refreshedVersion="4" saveData="1">
    <dbPr connection="provider=Microsoft.Mashup.OleDb.1;data source=$EmbeddedMashup(a726656d-13d2-4d62-bdc3-4d1127f53db0)$;location=GRUPO" command="SELECT * FROM [GRUPO]"/>
  </connection>
  <connection id="11" keepAlive="1" name="Query - ORGANIZACION" description="Connection to the 'ORGANIZACION' query in the workbook." type="5" refreshedVersion="6" background="1" saveData="1">
    <dbPr connection="provider=Microsoft.Mashup.OleDb.1;data source=$EmbeddedMashup(a726656d-13d2-4d62-bdc3-4d1127f53db0)$;location=ORGANIZACION" command="SELECT * FROM [ORGANIZACION]"/>
  </connection>
  <connection id="12" keepAlive="1" name="Query - ORGANIZACION_1" description="Connection to the 'ORGANIZACION_1' query in the workbook." type="5" refreshedVersion="6" background="1" saveData="1">
    <dbPr connection="provider=Microsoft.Mashup.OleDb.1;data source=$EmbeddedMashup(a726656d-13d2-4d62-bdc3-4d1127f53db0)$;location=ORGANIZACION_1" command="SELECT * FROM [ORGANIZACION_1]"/>
  </connection>
  <connection id="13" keepAlive="1" name="Query - ORGANIZACION_2" description="Connection to the 'ORGANIZACION_2' query in the workbook." type="5" refreshedVersion="6" background="1" saveData="1">
    <dbPr connection="provider=Microsoft.Mashup.OleDb.1;data source=$EmbeddedMashup(a726656d-13d2-4d62-bdc3-4d1127f53db0)$;location=ORGANIZACION_2" command="SELECT * FROM [ORGANIZACION_2]"/>
  </connection>
  <connection id="14" keepAlive="1" name="Query - ORGANIZACION_3" description="Connection to the 'ORGANIZACION_3' query in the workbook." type="5" refreshedVersion="6" background="1" saveData="1">
    <dbPr connection="provider=Microsoft.Mashup.OleDb.1;data source=$EmbeddedMashup(a726656d-13d2-4d62-bdc3-4d1127f53db0)$;location=ORGANIZACION_3" command="SELECT * FROM [ORGANIZACION_3]"/>
  </connection>
  <connection id="15" keepAlive="1" name="Query - ORGANIZACION_4" description="Connection to the 'ORGANIZACION_4' query in the workbook." type="5" refreshedVersion="6" background="1" saveData="1">
    <dbPr connection="provider=Microsoft.Mashup.OleDb.1;data source=$EmbeddedMashup(a726656d-13d2-4d62-bdc3-4d1127f53db0)$;location=ORGANIZACION_4" command="SELECT * FROM [ORGANIZACION_4]"/>
  </connection>
  <connection id="16" keepAlive="1" name="Query - ORGANIZACION_5" description="Connection to the 'ORGANIZACION_5' query in the workbook." type="5" refreshedVersion="6" background="1" saveData="1">
    <dbPr connection="provider=Microsoft.Mashup.OleDb.1;data source=$EmbeddedMashup(a726656d-13d2-4d62-bdc3-4d1127f53db0)$;location=ORGANIZACION_5" command="SELECT * FROM [ORGANIZACION_5]"/>
  </connection>
  <connection id="17" keepAlive="1" name="Query - ORGANIZACION_6" description="Connection to the 'ORGANIZACION_6' query in the workbook." type="5" refreshedVersion="6" background="1" saveData="1">
    <dbPr connection="provider=Microsoft.Mashup.OleDb.1;data source=$EmbeddedMashup(a726656d-13d2-4d62-bdc3-4d1127f53db0)$;location=ORGANIZACION_6" command="SELECT * FROM [ORGANIZACION_6]"/>
  </connection>
  <connection id="18" keepAlive="1" name="Query - ORGANIZACION_7" description="Connection to the 'ORGANIZACION_7' query in the workbook." type="5" refreshedVersion="6" background="1" saveData="1">
    <dbPr connection="provider=Microsoft.Mashup.OleDb.1;data source=$EmbeddedMashup(a726656d-13d2-4d62-bdc3-4d1127f53db0)$;location=ORGANIZACION_7" command="SELECT * FROM [ORGANIZACION_7]"/>
  </connection>
  <connection id="19" keepAlive="1" name="Query - ORGANIZACION_8" description="Connection to the 'ORGANIZACION_8' query in the workbook." type="5" refreshedVersion="6" background="1" saveData="1">
    <dbPr connection="provider=Microsoft.Mashup.OleDb.1;data source=$EmbeddedMashup(a726656d-13d2-4d62-bdc3-4d1127f53db0)$;location=ORGANIZACION_8" command="SELECT * FROM [ORGANIZACION_8]"/>
  </connection>
  <connection id="20" name="Query - TraerFiltros" description="Connection to the 'TraerFiltros' query in the workbook." type="5" refreshedVersion="0" background="1">
    <dbPr connection="provider=Microsoft.Mashup.OleDb.1;data source=$EmbeddedMashup(a726656d-13d2-4d62-bdc3-4d1127f53db0)$;location=TraerFiltros" command="SELECT * FROM [TraerFiltros]"/>
  </connection>
  <connection id="21" keepAlive="1" name="Query - VERSION" description="Connection to the 'VERSION' query in the workbook." type="5" refreshedVersion="4" saveData="1">
    <dbPr connection="provider=Microsoft.Mashup.OleDb.1;data source=$EmbeddedMashup(a726656d-13d2-4d62-bdc3-4d1127f53db0)$;location=VERSION" command="SELECT * FROM [VERSION]"/>
  </connection>
</connections>
</file>

<file path=xl/sharedStrings.xml><?xml version="1.0" encoding="utf-8"?>
<sst xmlns="http://schemas.openxmlformats.org/spreadsheetml/2006/main" count="34772" uniqueCount="20760">
  <si>
    <t>OK</t>
  </si>
  <si>
    <t>Convenciones Plantillas Notas</t>
  </si>
  <si>
    <t>No</t>
  </si>
  <si>
    <t>Plantillas / Notas XBRL</t>
  </si>
  <si>
    <t>Definición</t>
  </si>
  <si>
    <t>Ingreso de Informacion Tipo Numerico</t>
  </si>
  <si>
    <t>Ingreso de Información Tipo Texto</t>
  </si>
  <si>
    <t>N/A</t>
  </si>
  <si>
    <t>Dato Predefinido como No Aplica  (Protegida)</t>
  </si>
  <si>
    <t>Informacion Proveniente Consolidación (Protegida)</t>
  </si>
  <si>
    <t>Tipo Titulo (Protegida)</t>
  </si>
  <si>
    <t>Validador</t>
  </si>
  <si>
    <t>Aprobado y permite Guardado de Informacion de la Nota respectiva</t>
  </si>
  <si>
    <t>FAIL</t>
  </si>
  <si>
    <t>No Aprueba, No permite Guardado de Informacion de la Nota respectiva</t>
  </si>
  <si>
    <t>Informacion solo para Visualizar (Protegida)</t>
  </si>
  <si>
    <t>Informacion Proveniente entre Notas (Protegida)</t>
  </si>
  <si>
    <t>Consolidacion</t>
  </si>
  <si>
    <t>ENTIDAD_INTCO:TOTAL_INTCO</t>
  </si>
  <si>
    <t>FLUJO:F_ENT</t>
  </si>
  <si>
    <t>SEGMENTO:S_TOTAL</t>
  </si>
  <si>
    <t>VERSION:REAL</t>
  </si>
  <si>
    <t>Ingreso de Información Tipo %</t>
  </si>
  <si>
    <t>Ingreso de Informacion Tipo Fecha</t>
  </si>
  <si>
    <t>Nota</t>
  </si>
  <si>
    <t>Resultado Validación</t>
  </si>
  <si>
    <t>Estado actual de la nota</t>
  </si>
  <si>
    <t>Contexto</t>
  </si>
  <si>
    <t>Mensaje de comprobación final</t>
  </si>
  <si>
    <t>MOVIMIENTO DE LA PROVISIÓN DE DEUDAS INCOBRABLES DURANTE LA FECHA DE REPORTE</t>
  </si>
  <si>
    <t>Se reporta con signo negativo, tal como está en el estado financiero</t>
  </si>
  <si>
    <t>Observaciones</t>
  </si>
  <si>
    <t>DEUDORES COMERCIALES POR COBRAR Y OTRAS CUENTAS POR COBRAR POR EDADES</t>
  </si>
  <si>
    <t>Código
interno</t>
  </si>
  <si>
    <t>Saldos según balance</t>
  </si>
  <si>
    <t>Total</t>
  </si>
  <si>
    <t>S105_0 + S140_1</t>
  </si>
  <si>
    <t>Total Cuentas comerciales por cobrar y otras cuentas por cobrar corrientes/no corrientes</t>
  </si>
  <si>
    <t>S110_0 + S145_1</t>
  </si>
  <si>
    <t>Total Cuentas por cobrar partes relacionadas y asociadas corrientes/no corrientes</t>
  </si>
  <si>
    <t>Diferencia</t>
  </si>
  <si>
    <t>S105_0</t>
  </si>
  <si>
    <t>S140_1</t>
  </si>
  <si>
    <t>S110_0</t>
  </si>
  <si>
    <t>S145_1</t>
  </si>
  <si>
    <t>C</t>
  </si>
  <si>
    <t>Cumple a la fecha de reporte</t>
  </si>
  <si>
    <t>COVENANTS  ASOCIADOS A LAS OBLIGACIONES FINANCIERAS</t>
  </si>
  <si>
    <t>Ejemplo:</t>
  </si>
  <si>
    <t>Descripción</t>
  </si>
  <si>
    <t>Si</t>
  </si>
  <si>
    <t>El apalancamiento debe ser mayor a uno punto cinco veces (1.5), sin tener en cuenta las valorizaciones de la sociedad. Apalancamiento= Pasivos / (Patrimonio - Superávit por valorizaciones).</t>
  </si>
  <si>
    <t>X</t>
  </si>
  <si>
    <t>El total de la suma de EBITDA, más caja inicial, más las inversiones temporales dividido entre el gasto financiero debe ser mayor a 1.4 veces.</t>
  </si>
  <si>
    <t>74. Cuando una entidad infrinja una disposición contenida en un contrato de préstamo a largo plazo al final del periodo sobre el que se informa o antes con el efecto de que el pasivo se convierta en exigible a voluntad del prestamista, tal pasivo se clasificará como corriente, incluso si el prestamista hubiera acordado, después de la fecha del periodo sobre el que se informa y antes de que los estados financieros sean autorizados para su publicación, no exigir el pago como consecuencia de la infracción. Una entidad clasificará el pasivo como corriente porque, al final del periodo sobre el que se informa, no tiene el derecho incondicional de aplazar la cancelación del pasivo durante al menos, doce meses tras esa fecha</t>
  </si>
  <si>
    <t>75. Sin embargo, una entidad clasificará el pasivo como no corriente si el prestamista hubiese acordado, al final del periodo sobre el que se informa, la concesión de un periodo de gracia que finalice al menos doce meses después de esa fecha, dentro de cuyo plazo la entidad puede rectificar la infracción y durante el cual el prestamista no puede exigir el reembolso inmediato.</t>
  </si>
  <si>
    <t>Es decir, si hay un incumplimiento al 31 de diciembre y se obtiene una exención del banco posterior al 31 de diciembre, el pasivo debe clasificarse como corto plazo.</t>
  </si>
  <si>
    <t>Tasas</t>
  </si>
  <si>
    <t>ENTIDAD_TASA:GLOBAL</t>
  </si>
  <si>
    <t>MONEDA_ENT:USD</t>
  </si>
  <si>
    <t>TIPO_TASA:END</t>
  </si>
  <si>
    <t>OBJETICOS Y POLITICAS PARA EL MANEJO DE RIESGO</t>
  </si>
  <si>
    <t>Riesgo de tasas de moneda extranjera</t>
  </si>
  <si>
    <t>1. Reporte los saldos, separandolos por moneda, de las cuentas detalladas en el cuadro adjunto</t>
  </si>
  <si>
    <t>3. Ingrese los valores de los PASIVOS con signo negativo</t>
  </si>
  <si>
    <t>Análisis de sensibilidad</t>
  </si>
  <si>
    <t>Un cambio del 1% en tasas de cambio de moneda extranjera, tiene un efecto en resultados de:</t>
  </si>
  <si>
    <t>Para el cálculo de este valor digite donde corresponda las cifras que le pide el cuadro que sigue</t>
  </si>
  <si>
    <t/>
  </si>
  <si>
    <t>Variación gasto por devaluación</t>
  </si>
  <si>
    <t>TRM promedio a la fecha de reporte</t>
  </si>
  <si>
    <t>Monto de la diferencia en cambio en USD (ABS)</t>
  </si>
  <si>
    <t>TIPO_TASA:AVG</t>
  </si>
  <si>
    <t>Diferencia en cambio neta (Ingreso menos gasto)</t>
  </si>
  <si>
    <t>Variación de la TRM 1%</t>
  </si>
  <si>
    <t>Aumento del 1% en la TRM</t>
  </si>
  <si>
    <t>Disminución del 1% en la TRM</t>
  </si>
  <si>
    <t>Nueva diferencia en cambio considerando el aumento del 1%</t>
  </si>
  <si>
    <t>EPMDimensionOverride</t>
  </si>
  <si>
    <t>INFORMACIÓN SOBRE EFECTIVO RESTRINGIDO</t>
  </si>
  <si>
    <t>Presentación en el balance</t>
  </si>
  <si>
    <t>C09901003</t>
  </si>
  <si>
    <t>C09901004</t>
  </si>
  <si>
    <t>C09901005</t>
  </si>
  <si>
    <t>C09901006</t>
  </si>
  <si>
    <t>C09901007</t>
  </si>
  <si>
    <t>C09901008</t>
  </si>
  <si>
    <t>C09901009</t>
  </si>
  <si>
    <t>C09901010</t>
  </si>
  <si>
    <t>C09901011</t>
  </si>
  <si>
    <t>C09901012</t>
  </si>
  <si>
    <t>C09901013</t>
  </si>
  <si>
    <t>C09901014</t>
  </si>
  <si>
    <t>C09901015</t>
  </si>
  <si>
    <t>C09901016</t>
  </si>
  <si>
    <t>C09901017</t>
  </si>
  <si>
    <t>C09901018</t>
  </si>
  <si>
    <t>Tipo de banco</t>
  </si>
  <si>
    <t>Tipo de moneda</t>
  </si>
  <si>
    <t>Swap de tasas de interes</t>
  </si>
  <si>
    <t>Tipo de tasa</t>
  </si>
  <si>
    <t>Tasa de interes nominal</t>
  </si>
  <si>
    <t>Garantia</t>
  </si>
  <si>
    <t>Fecha desembolso</t>
  </si>
  <si>
    <t>Fecha vencimiento</t>
  </si>
  <si>
    <t>Monto de la deuda a la fecha de reporte en pesos col</t>
  </si>
  <si>
    <t>Pagaré</t>
  </si>
  <si>
    <t>Bancolombia</t>
  </si>
  <si>
    <t>Análisis de sensibilidad - Riesgo de tasa de interes</t>
  </si>
  <si>
    <t>EJEMPLO</t>
  </si>
  <si>
    <t>Entidad con la que se tiene la obligación</t>
  </si>
  <si>
    <t>Tasa efectiva anual</t>
  </si>
  <si>
    <t>Monto original de la deuda
Pesos Col.</t>
  </si>
  <si>
    <t>Riesgo de tasa de interes</t>
  </si>
  <si>
    <t>Nacional</t>
  </si>
  <si>
    <t>Del exterior</t>
  </si>
  <si>
    <t>Pesos Col.</t>
  </si>
  <si>
    <t>Extranjera</t>
  </si>
  <si>
    <t>Clase
moneda
extranjera</t>
  </si>
  <si>
    <t>Monto moneda ext. a la fecha de reporte</t>
  </si>
  <si>
    <t>Fija</t>
  </si>
  <si>
    <t>Variable</t>
  </si>
  <si>
    <t>Porción corriente</t>
  </si>
  <si>
    <t>Porción largo plazo</t>
  </si>
  <si>
    <t>Total obligación</t>
  </si>
  <si>
    <t>Efecto en los gastos de subir 1% a la tasa de interes</t>
  </si>
  <si>
    <t>Efecto en los gastos de bajar 1% a la tasa de interes</t>
  </si>
  <si>
    <t>Dólar</t>
  </si>
  <si>
    <t>Libor (180) + 0.90 %, pag. A.V.</t>
  </si>
  <si>
    <t>Espiritu Santo</t>
  </si>
  <si>
    <t>Euro</t>
  </si>
  <si>
    <t>DTF + 2.5%</t>
  </si>
  <si>
    <t>Pignoración acciones</t>
  </si>
  <si>
    <t>Davivienda</t>
  </si>
  <si>
    <t>IBR (N.T.V.)</t>
  </si>
  <si>
    <t>Back to Back</t>
  </si>
  <si>
    <t>TOTALES</t>
  </si>
  <si>
    <t>Porcentaje de la deuda a tasa variable (El monto de las obligaciones a tasa variable a la fecha de reporte/ el monto total de las obligaciones a la fecha de reporte)</t>
  </si>
  <si>
    <t>Calcule y reporte este dato</t>
  </si>
  <si>
    <t>Porcentaje de la deuda a tasa fija (El monto de las obligaciones a tasa fija a la fecha de reporte/ el monto total de las obligaciones a la fecha de reporte)</t>
  </si>
  <si>
    <t>Total porcentaje de obligaciones</t>
  </si>
  <si>
    <t>A las obligaciones financieras adicione los saldos corrientes y no corrientes de:</t>
  </si>
  <si>
    <t>Gran total obligaciones financieras + cuentas por pagar comerciales y otras cuentas por pagar + Cuentas por pagar partes relacionadas y asociadas</t>
  </si>
  <si>
    <t>Pag.=Pagadero; E.A.=Efectivo anual; A.V.=Año vencido; T.A.=Trimestre anticipado; T.V.=Trimestre vencido</t>
  </si>
  <si>
    <t>M.V.=Mes vencido; M.A.=Mes anticipado; S.V.=Semestre vencido; N.M.=Nominal mensual, N.T.V.=Nominal trimestre vencido; etc.</t>
  </si>
  <si>
    <t>CONSIDERACIONES</t>
  </si>
  <si>
    <r>
      <rPr>
        <b/>
        <u/>
        <sz val="10"/>
        <color theme="1"/>
        <rFont val="Arial"/>
        <family val="2"/>
      </rPr>
      <t>Todos los campos son obligatorios</t>
    </r>
    <r>
      <rPr>
        <b/>
        <sz val="10"/>
        <color theme="1"/>
        <rFont val="Arial"/>
        <family val="2"/>
      </rPr>
      <t>, excepto la columna G y H cuando el tipo de moneda sea pesos colombianos, o cuando una respuesta excluye la otra, por ejemplo tipo de moneda (Pesos col/extranjera), tipo de banco (Nacional/del exterior), swaps tasas de interes (SI/NO) Tipo de tasa (FIJA/Variable)</t>
    </r>
  </si>
  <si>
    <t>Se debe relacionar las obligaciones financieras una por una</t>
  </si>
  <si>
    <t>Asegurese que la fecha de vencimiento de las obligaciones financieras clasificadas como corrientes, está dentro del año siguiente a la fecha de reporte, en este caso dentro del 2019. A menos que tenga abonos sucesivos de capital, caso en el cual la obligación tendrá una porción a corto plazo y una porción a largo plazo y deberá relacionar la fecha de vencimiento correspondiente al último pago, como en el ejemplo de Davivienda</t>
  </si>
  <si>
    <t>Si la compañía tiene permutas (swap de tasa de cambio) que se utilizan para cambiar de tasa variable a tasa fija, entonces dicha deuda junto con su permuta se considera como de tasa fija</t>
  </si>
  <si>
    <t>Si la deuda tiene una porción fija y una porción variable, la deuda se considera como de tasa variable</t>
  </si>
  <si>
    <r>
      <t xml:space="preserve">Porcentaje de la deuda a tasa variable (El monto de las obligaciones a tasa variable a la fecha de reporte / el monto total de las obligaciones a la fecha de reporte) - </t>
    </r>
    <r>
      <rPr>
        <b/>
        <sz val="10"/>
        <color rgb="FFFF0000"/>
        <rFont val="Arial"/>
        <family val="2"/>
      </rPr>
      <t>Calcule y reporte este dato</t>
    </r>
  </si>
  <si>
    <r>
      <t xml:space="preserve">Porcentaje de la deuda a tasa fija (El monto de las obligaciones a tasa fija a la fecha de reporte / el monto total de las obligaciones a la fecha de reporte) - </t>
    </r>
    <r>
      <rPr>
        <b/>
        <sz val="10"/>
        <color rgb="FFFF0000"/>
        <rFont val="Arial"/>
        <family val="2"/>
      </rPr>
      <t>Calcule y reporte este dato</t>
    </r>
  </si>
  <si>
    <t>REMUNERACIÓN AL PERSONAL CLAVE DE LA GERENCIA (NIC 24, parrafo 17)</t>
  </si>
  <si>
    <t>Ejemplo</t>
  </si>
  <si>
    <t>Haga una descripción (por cargos) del personal que la compañía considera personal clave de la gerencia:</t>
  </si>
  <si>
    <t>La compañía considera personal clave de la gerencia al Presidente (representante legal), vicepresidentes y al Gerente de T.I.</t>
  </si>
  <si>
    <t>Notas</t>
  </si>
  <si>
    <t>ACTIVOS QUE TIENEN ALGUNA RESTRICCIÓN A LA TITULARIDAD</t>
  </si>
  <si>
    <t>C11901002</t>
  </si>
  <si>
    <t>Relacione los montos totales por cada clase de activo de aquellos elementos de PP&amp;E que tienen algun tipo de restricción a la titularidad, indicando el tipo de restricción, como por ejemplo: Pignorado, embargado, etc.</t>
  </si>
  <si>
    <t>OTROS ACTIVOS PIGNORADOS (DIFERENTES A PP&amp;E, RELACIONADOS EN EL PUNTO ANTERIOR E INVENTARIOS, RELACIONADOS EN EL PUNTO DE INVENTARIOS.</t>
  </si>
  <si>
    <t>C11902002</t>
  </si>
  <si>
    <t>C11902003</t>
  </si>
  <si>
    <t>C11902004</t>
  </si>
  <si>
    <t>PP&amp;E AL VALOR RAZONABLE Vs. MEDIDOS POR MODELO DEL COSTO</t>
  </si>
  <si>
    <t xml:space="preserve">La Compañía utiliza el modelo de revaluación para medir terrenos y edificios, así como algunos activos especializados. La Administración ha determinado que estos activos constituyen diferentes clases de activos bajo la NIC 16, debido a la naturaleza, características y riesgos de los mismos. </t>
  </si>
  <si>
    <t>C11904002</t>
  </si>
  <si>
    <t>Variación 
Costo Revaluado Vs. Modelo del costo</t>
  </si>
  <si>
    <t>PROPIEDADES DE INVERSIÓN</t>
  </si>
  <si>
    <t>1 - Los valores relacionados por cada clase de activo no pueden ser superiores al saldo en libros de la respectiva clase</t>
  </si>
  <si>
    <t>2- Para los rubros que en su totalidad son medidos al valor razonable, como por ejemplo Terrenos y edificios, los saldos reportados deben cuadrar con los saldos del estado financiero.</t>
  </si>
  <si>
    <t>3- Caso contrario al punto 2, son aquellos rubros que pueden contener al mismo tiempo elementos valorados al costo y elementos especializados valorados al valor razonable, como por ejemplo el rubro de Maquinaria y Equipo ó el rubro de Flota y Equipo de Transporte</t>
  </si>
  <si>
    <t>4 - Las depreciaciones bajo el costo revaluado no pueden ser iguales a las depreciaciones bajo el modelo del costo</t>
  </si>
  <si>
    <t>5 - Los valores reportados en este anexo deben ser los mismos que se reporten en las notas XBRL que se debn reportar más adelante</t>
  </si>
  <si>
    <t>Lista de Bancos</t>
  </si>
  <si>
    <t>Miembros de un mismo Grupo Empresarial, Accionistas, Asociadas, Negocios conjuntos, operaciones conjuntas y miembros de junta directiva</t>
  </si>
  <si>
    <t>En las cuentas de resultados no se deben considerar como operaciones con partes relacionadas: impuestos, diferencia en cambio, método de participación</t>
  </si>
  <si>
    <t>Todas las cifras se deben reportar en valores absolutos</t>
  </si>
  <si>
    <t>C11601001</t>
  </si>
  <si>
    <t>C11601002</t>
  </si>
  <si>
    <t>C11601003</t>
  </si>
  <si>
    <t>Formulas</t>
  </si>
  <si>
    <t>C11905002</t>
  </si>
  <si>
    <t>Detalle</t>
  </si>
  <si>
    <t>Subcuentas</t>
  </si>
  <si>
    <t>valor en pesos colombianos</t>
  </si>
  <si>
    <t>Explicación de los valores que deben ir en cada renglón</t>
  </si>
  <si>
    <t>1 - Inventarios al valor razonable menos los costos de venta</t>
  </si>
  <si>
    <t>2 - Inventarios al costo</t>
  </si>
  <si>
    <t>3 - Total inventarios</t>
  </si>
  <si>
    <t>Este valor debe cuadrar con los saldos de las cuentas S115_0 / S_147_1 Total Inventarios corrientes y no corrientes</t>
  </si>
  <si>
    <t>4 - Rebaja del valor del inventario</t>
  </si>
  <si>
    <t>Valor en resultados</t>
  </si>
  <si>
    <t>5 - Reversión de la rebaja del inventario</t>
  </si>
  <si>
    <t>6 - Descripción de las circunstancias que conducen a reversiones de rebajas de inventarios</t>
  </si>
  <si>
    <t>Si reportó valor como recuperación de gastos por reversión de ajuste al VNR debe diligenciar este renglón</t>
  </si>
  <si>
    <t>7 - Costo de inventarios reconocidos como gasto durante el periodo</t>
  </si>
  <si>
    <t>8 - Inventarios pignorados como garantía de pasivos</t>
  </si>
  <si>
    <t>Saldos que estan en la cuenta de balance 14XX que estan pignorados como garantías de pasivos</t>
  </si>
  <si>
    <t>Banco Popular</t>
  </si>
  <si>
    <t>11010001</t>
  </si>
  <si>
    <t>11010002</t>
  </si>
  <si>
    <t>11010003</t>
  </si>
  <si>
    <t>11010004</t>
  </si>
  <si>
    <t>11010005</t>
  </si>
  <si>
    <t>11010006</t>
  </si>
  <si>
    <t>11010007</t>
  </si>
  <si>
    <t>11010008</t>
  </si>
  <si>
    <t>11010009</t>
  </si>
  <si>
    <t>11010010</t>
  </si>
  <si>
    <t>11010011</t>
  </si>
  <si>
    <t>11010012</t>
  </si>
  <si>
    <t>11010013</t>
  </si>
  <si>
    <t>11010014</t>
  </si>
  <si>
    <t>11010015</t>
  </si>
  <si>
    <t>11010016</t>
  </si>
  <si>
    <t>11010017</t>
  </si>
  <si>
    <t>11010018</t>
  </si>
  <si>
    <t>11010019</t>
  </si>
  <si>
    <t>11010020</t>
  </si>
  <si>
    <t>C11001001</t>
  </si>
  <si>
    <t>C11001002</t>
  </si>
  <si>
    <t>C11001003</t>
  </si>
  <si>
    <t>Validadadores</t>
  </si>
  <si>
    <t>Logicos</t>
  </si>
  <si>
    <t>La compañía tiene efectivo restringido? SI o NO</t>
  </si>
  <si>
    <t>Monto del efectivo restringido en pesos y moneda extranjera si aplica, indicando la moneda</t>
  </si>
  <si>
    <t>Moneda ext.</t>
  </si>
  <si>
    <t>Tipo moneda extranjera</t>
  </si>
  <si>
    <t>Clase o tipo (CDT, Cta corriente, Cta ahorro, derecho fiduciario, etc.)</t>
  </si>
  <si>
    <t>11201002</t>
  </si>
  <si>
    <t>11201003</t>
  </si>
  <si>
    <t>11201005</t>
  </si>
  <si>
    <t>11201006</t>
  </si>
  <si>
    <t>11201004</t>
  </si>
  <si>
    <t>C11201002</t>
  </si>
  <si>
    <t>C11201003</t>
  </si>
  <si>
    <t>E</t>
  </si>
  <si>
    <t>Dolares</t>
  </si>
  <si>
    <t>Euros</t>
  </si>
  <si>
    <t>Bolivares</t>
  </si>
  <si>
    <t>Otras monedas extranjeras</t>
  </si>
  <si>
    <t>09901002</t>
  </si>
  <si>
    <t>09901003</t>
  </si>
  <si>
    <t>09901004</t>
  </si>
  <si>
    <t>09901005</t>
  </si>
  <si>
    <t>09901006</t>
  </si>
  <si>
    <t>09901007</t>
  </si>
  <si>
    <t>09901008</t>
  </si>
  <si>
    <t>09901009</t>
  </si>
  <si>
    <t>09901010</t>
  </si>
  <si>
    <t>09901011</t>
  </si>
  <si>
    <t>09901012</t>
  </si>
  <si>
    <t>09901013</t>
  </si>
  <si>
    <t>09901014</t>
  </si>
  <si>
    <t>09901015</t>
  </si>
  <si>
    <t>09901016</t>
  </si>
  <si>
    <t>09901017</t>
  </si>
  <si>
    <t>09901018</t>
  </si>
  <si>
    <t>09901019</t>
  </si>
  <si>
    <t>09901020</t>
  </si>
  <si>
    <t>09901021</t>
  </si>
  <si>
    <t>09901022</t>
  </si>
  <si>
    <t>09901023</t>
  </si>
  <si>
    <t>09901024</t>
  </si>
  <si>
    <t>09901025</t>
  </si>
  <si>
    <t>09901026</t>
  </si>
  <si>
    <t>09901027</t>
  </si>
  <si>
    <t>09901028</t>
  </si>
  <si>
    <t>09901029</t>
  </si>
  <si>
    <t>09901030</t>
  </si>
  <si>
    <t>09901031</t>
  </si>
  <si>
    <t>09901032</t>
  </si>
  <si>
    <t>09901033</t>
  </si>
  <si>
    <t>09901034</t>
  </si>
  <si>
    <t>09901035</t>
  </si>
  <si>
    <t>09901036</t>
  </si>
  <si>
    <t>09901037</t>
  </si>
  <si>
    <t>09901038</t>
  </si>
  <si>
    <t>09901039</t>
  </si>
  <si>
    <t>09901040</t>
  </si>
  <si>
    <t>09901041</t>
  </si>
  <si>
    <t>09901042</t>
  </si>
  <si>
    <t>09901043</t>
  </si>
  <si>
    <t>09901044</t>
  </si>
  <si>
    <t>09901045</t>
  </si>
  <si>
    <t>09901046</t>
  </si>
  <si>
    <t>09901047</t>
  </si>
  <si>
    <t>09901048</t>
  </si>
  <si>
    <t>09901049</t>
  </si>
  <si>
    <t>09901050</t>
  </si>
  <si>
    <t>09901051</t>
  </si>
  <si>
    <t>09901052</t>
  </si>
  <si>
    <t>09901053</t>
  </si>
  <si>
    <t>09901054</t>
  </si>
  <si>
    <t>09901055</t>
  </si>
  <si>
    <t>09901056</t>
  </si>
  <si>
    <t>09901057</t>
  </si>
  <si>
    <t>09901058</t>
  </si>
  <si>
    <t>09901059</t>
  </si>
  <si>
    <t>09901060</t>
  </si>
  <si>
    <t>09901061</t>
  </si>
  <si>
    <t>09901062</t>
  </si>
  <si>
    <t>09901063</t>
  </si>
  <si>
    <t>09901064</t>
  </si>
  <si>
    <t>09901065</t>
  </si>
  <si>
    <t>09901066</t>
  </si>
  <si>
    <t>09901067</t>
  </si>
  <si>
    <t>09901068</t>
  </si>
  <si>
    <t>09901069</t>
  </si>
  <si>
    <t>09901070</t>
  </si>
  <si>
    <t>09901071</t>
  </si>
  <si>
    <t>09901072</t>
  </si>
  <si>
    <t>09901073</t>
  </si>
  <si>
    <t>09901074</t>
  </si>
  <si>
    <t>09901075</t>
  </si>
  <si>
    <t>09901076</t>
  </si>
  <si>
    <t>09901077</t>
  </si>
  <si>
    <t>09901078</t>
  </si>
  <si>
    <t>09901079</t>
  </si>
  <si>
    <t>09901080</t>
  </si>
  <si>
    <t>09901081</t>
  </si>
  <si>
    <t>09901082</t>
  </si>
  <si>
    <t>09901083</t>
  </si>
  <si>
    <t>09901084</t>
  </si>
  <si>
    <t>09901085</t>
  </si>
  <si>
    <t>09901086</t>
  </si>
  <si>
    <t>09901087</t>
  </si>
  <si>
    <t>09901088</t>
  </si>
  <si>
    <t>09901089</t>
  </si>
  <si>
    <t>09901090</t>
  </si>
  <si>
    <t>09901091</t>
  </si>
  <si>
    <t>09901092</t>
  </si>
  <si>
    <t>09901093</t>
  </si>
  <si>
    <t>09901094</t>
  </si>
  <si>
    <t>09901095</t>
  </si>
  <si>
    <t>09901096</t>
  </si>
  <si>
    <t>09901097</t>
  </si>
  <si>
    <t>09901098</t>
  </si>
  <si>
    <t>09901099</t>
  </si>
  <si>
    <t>09901100</t>
  </si>
  <si>
    <t>09901101</t>
  </si>
  <si>
    <t>Clase moneda ext.</t>
  </si>
  <si>
    <t>G</t>
  </si>
  <si>
    <t>H</t>
  </si>
  <si>
    <t>I</t>
  </si>
  <si>
    <t>J</t>
  </si>
  <si>
    <t>K</t>
  </si>
  <si>
    <t>L</t>
  </si>
  <si>
    <t>M</t>
  </si>
  <si>
    <t>N</t>
  </si>
  <si>
    <t>O</t>
  </si>
  <si>
    <t>P</t>
  </si>
  <si>
    <t>Q</t>
  </si>
  <si>
    <t>R</t>
  </si>
  <si>
    <t>S</t>
  </si>
  <si>
    <t>Banco</t>
  </si>
  <si>
    <t>Porcion corriente</t>
  </si>
  <si>
    <t>C09901019</t>
  </si>
  <si>
    <t>C09901020</t>
  </si>
  <si>
    <t>09902002</t>
  </si>
  <si>
    <t>09902003</t>
  </si>
  <si>
    <t>09902004</t>
  </si>
  <si>
    <t>09902005</t>
  </si>
  <si>
    <t>09903001</t>
  </si>
  <si>
    <t>09903002</t>
  </si>
  <si>
    <t>porcentajes</t>
  </si>
  <si>
    <t>C09903006</t>
  </si>
  <si>
    <t>C09903007</t>
  </si>
  <si>
    <t>C09903008</t>
  </si>
  <si>
    <t>C09903009</t>
  </si>
  <si>
    <t>Anexe hoja de trabajo de los cálculos efectuados</t>
  </si>
  <si>
    <t>Pagos contractuales de los pasivos financieros no derivados (Obligaciones financieras y cuentas por pagar), incluida la porción estimada de intereses</t>
  </si>
  <si>
    <t>Estos montos reflejan los flujos de efectivo contractuales sin descontar  a valor presente</t>
  </si>
  <si>
    <t>Riesgo de liquidez</t>
  </si>
  <si>
    <t>Banco de la República</t>
  </si>
  <si>
    <t>Bancoldex</t>
  </si>
  <si>
    <t>Jp Morgan</t>
  </si>
  <si>
    <t>BNP Paribas</t>
  </si>
  <si>
    <t>Banco Serfinanza</t>
  </si>
  <si>
    <t>Banco Finandina</t>
  </si>
  <si>
    <t>Banco Multibank S.A.</t>
  </si>
  <si>
    <t>Banco Santander de Negocios Colombia S.A.</t>
  </si>
  <si>
    <t>Banco Compartir</t>
  </si>
  <si>
    <t>Banco de Bogotá </t>
  </si>
  <si>
    <t>Banco Itaú Corpbanca Colombia S.A.</t>
  </si>
  <si>
    <t>Banco Citibank</t>
  </si>
  <si>
    <t>Banco GNB Sudameris</t>
  </si>
  <si>
    <t>Banco BBVA</t>
  </si>
  <si>
    <t>Red Multibanca Colpatria </t>
  </si>
  <si>
    <t>Banco de Occidente </t>
  </si>
  <si>
    <t>Banco BCSC</t>
  </si>
  <si>
    <t>Banco Agrario de Colombia</t>
  </si>
  <si>
    <t>Banco AV Villas</t>
  </si>
  <si>
    <t>Banco Procredit Colombia</t>
  </si>
  <si>
    <t>Banco Pichincha</t>
  </si>
  <si>
    <t>Bancoomeva</t>
  </si>
  <si>
    <t>Banco Falabella</t>
  </si>
  <si>
    <t>Banco Coopcentral</t>
  </si>
  <si>
    <t>Listas desplegables</t>
  </si>
  <si>
    <t>C11101009</t>
  </si>
  <si>
    <t>11301003</t>
  </si>
  <si>
    <t>11301004</t>
  </si>
  <si>
    <t>11301005</t>
  </si>
  <si>
    <t>11301006</t>
  </si>
  <si>
    <t>11301007</t>
  </si>
  <si>
    <t>Cifras en pesos</t>
  </si>
  <si>
    <t>C11301001</t>
  </si>
  <si>
    <t>Deudores Comerciales</t>
  </si>
  <si>
    <t>Partes relacionadas</t>
  </si>
  <si>
    <t>No vencidas - No deterioradas</t>
  </si>
  <si>
    <t>Vencidas 1 a 30 días</t>
  </si>
  <si>
    <t>Vencidas 31 a 90 días</t>
  </si>
  <si>
    <t>Vencidas más de 91 días</t>
  </si>
  <si>
    <t>Subtotal</t>
  </si>
  <si>
    <t>Provisión por incobrables</t>
  </si>
  <si>
    <t>Cuentas por cobrar netas</t>
  </si>
  <si>
    <t>C11302002</t>
  </si>
  <si>
    <t>C11302003</t>
  </si>
  <si>
    <t>Beneficios a los empleados a corto plazo</t>
  </si>
  <si>
    <t>Beneficios post-empleo</t>
  </si>
  <si>
    <t>Otros beneficios a los empleados a largo plazo</t>
  </si>
  <si>
    <t>Beneficios por terminación de la relación laboral</t>
  </si>
  <si>
    <t>Pagos basados en acciones</t>
  </si>
  <si>
    <t>Total Remuneración al personal clave de la gerencia</t>
  </si>
  <si>
    <t>11701002</t>
  </si>
  <si>
    <t>11701004</t>
  </si>
  <si>
    <t>11701005</t>
  </si>
  <si>
    <t>11701006</t>
  </si>
  <si>
    <t>11701007</t>
  </si>
  <si>
    <t>11701003</t>
  </si>
  <si>
    <t>C11701002</t>
  </si>
  <si>
    <t>=EPMSaveData(D14;;B$14;$D$10)</t>
  </si>
  <si>
    <t>=EPMSaveComment(E22; ;$B22;$D$19;)</t>
  </si>
  <si>
    <t>=EPMRetrieveData("";M14;$O$10;$A$4;)</t>
  </si>
  <si>
    <t>=EPMCommentFullContext(;M14;$O$10;$A$4)</t>
  </si>
  <si>
    <t>INVENTARIOS</t>
  </si>
  <si>
    <t>C11801001</t>
  </si>
  <si>
    <r>
      <rPr>
        <b/>
        <sz val="9"/>
        <color theme="1"/>
        <rFont val="Arial"/>
        <family val="2"/>
      </rPr>
      <t>Inventarios que tuvieron ajuste al Valor Neto Realizable (VNR)</t>
    </r>
    <r>
      <rPr>
        <sz val="9"/>
        <color theme="1"/>
        <rFont val="Arial"/>
        <family val="2"/>
      </rPr>
      <t>. Reporte los saldos que estan en la cuenta de balance 14XX a la fecha de reporte que fueron objeto de ajuste al VNR</t>
    </r>
  </si>
  <si>
    <r>
      <rPr>
        <b/>
        <sz val="9"/>
        <color theme="1"/>
        <rFont val="Arial"/>
        <family val="2"/>
      </rPr>
      <t>Inventarios que no tuvieron ajuste al VNR</t>
    </r>
    <r>
      <rPr>
        <sz val="9"/>
        <color theme="1"/>
        <rFont val="Arial"/>
        <family val="2"/>
      </rPr>
      <t>. Reporte los saldos que estan en la cuenta de balance 14XX a la fecha de reporte que no fueron objeto de ajuste por VNR</t>
    </r>
  </si>
  <si>
    <r>
      <rPr>
        <b/>
        <sz val="9"/>
        <color theme="1"/>
        <rFont val="Arial"/>
        <family val="2"/>
      </rPr>
      <t>Valor del ajuste para llegar al VNR</t>
    </r>
    <r>
      <rPr>
        <sz val="9"/>
        <color theme="1"/>
        <rFont val="Arial"/>
        <family val="2"/>
      </rPr>
      <t xml:space="preserve">. Es el valor por el cual se ajustó el inventario y que </t>
    </r>
    <r>
      <rPr>
        <b/>
        <sz val="9"/>
        <color theme="1"/>
        <rFont val="Arial"/>
        <family val="2"/>
      </rPr>
      <t>se llevó al gasto</t>
    </r>
    <r>
      <rPr>
        <sz val="9"/>
        <color theme="1"/>
        <rFont val="Arial"/>
        <family val="2"/>
      </rPr>
      <t xml:space="preserve"> en el estado de resultados para dejarlo por su VNR</t>
    </r>
  </si>
  <si>
    <r>
      <rPr>
        <b/>
        <sz val="9"/>
        <color theme="1"/>
        <rFont val="Arial"/>
        <family val="2"/>
      </rPr>
      <t>Reversión de ajuste para llegar al VNR.</t>
    </r>
    <r>
      <rPr>
        <sz val="9"/>
        <color theme="1"/>
        <rFont val="Arial"/>
        <family val="2"/>
      </rPr>
      <t xml:space="preserve"> Es la reversión del gasto por ajustes al VNR, el cual se puede registrar en una cuenta del gasto si se recupera durante el mismo ejercicio contable o en una cuenta de ingresos si se recupera en un ejercicio contable diferente. Esta recuperación podria darse por un aumento del precio de venta por ejemplo.</t>
    </r>
  </si>
  <si>
    <r>
      <t xml:space="preserve">Valores de los inventarios que han sido trasladados de la 14XX a resultados como Costo de venta, Inventarios consumibles utilizados, elementos dados de baja, provisión de inventarios, etc.
</t>
    </r>
    <r>
      <rPr>
        <b/>
        <sz val="9"/>
        <color theme="1"/>
        <rFont val="Arial"/>
        <family val="2"/>
      </rPr>
      <t>Los valores aquí relacionados deben ser diferentes a los relacionados en el punto 4 - Rebaja del valor del inventario</t>
    </r>
  </si>
  <si>
    <t>11802002</t>
  </si>
  <si>
    <t>=EPMRetrieveData("Ifrs_Consolidacion";Y125;$C$3;$C$4;Resultados!$A$106;Resultados!$A$107;Resultados!$A$108;Resultados!$A$109;Resultados!$A$110;Resultados!$A$111;Resultados!$A$112)</t>
  </si>
  <si>
    <t>Probable</t>
  </si>
  <si>
    <t>Eventual</t>
  </si>
  <si>
    <t>Remota</t>
  </si>
  <si>
    <t>Nota 900013</t>
  </si>
  <si>
    <t>C09903004</t>
  </si>
  <si>
    <t xml:space="preserve"> </t>
  </si>
  <si>
    <t>C09903003</t>
  </si>
  <si>
    <t>Cuentas por pagar comerciales y otras cuentas por pagar (S215_1+S220_0)</t>
  </si>
  <si>
    <t>Total cuentas por pagar partes relacionadas y asociadas (S220_1+S225_0)</t>
  </si>
  <si>
    <t>La diferencia debe ser cero</t>
  </si>
  <si>
    <t>Cuenta</t>
  </si>
  <si>
    <t>Accionista</t>
  </si>
  <si>
    <t>Asociada</t>
  </si>
  <si>
    <t>Controladora</t>
  </si>
  <si>
    <t>Miembros de Junta Directiva</t>
  </si>
  <si>
    <t>Miembros del mismo Grupo</t>
  </si>
  <si>
    <t>Negocio conjunto</t>
  </si>
  <si>
    <t>I_E004</t>
  </si>
  <si>
    <t>I_E005</t>
  </si>
  <si>
    <t>I_E006</t>
  </si>
  <si>
    <t>I_E007</t>
  </si>
  <si>
    <t>I_E008</t>
  </si>
  <si>
    <t>I_E009</t>
  </si>
  <si>
    <t>I_E010</t>
  </si>
  <si>
    <t>I_E012</t>
  </si>
  <si>
    <t>I_E016</t>
  </si>
  <si>
    <t>I_E017</t>
  </si>
  <si>
    <t>I_E021</t>
  </si>
  <si>
    <t>I_E023</t>
  </si>
  <si>
    <t>I_E025</t>
  </si>
  <si>
    <t>I_E035</t>
  </si>
  <si>
    <t>I_E041</t>
  </si>
  <si>
    <t>I_E042</t>
  </si>
  <si>
    <t>I_E043</t>
  </si>
  <si>
    <t>I_E044</t>
  </si>
  <si>
    <t>I_E047</t>
  </si>
  <si>
    <t>I_E049</t>
  </si>
  <si>
    <t>I_E052</t>
  </si>
  <si>
    <t>I_E055</t>
  </si>
  <si>
    <t>I_E056</t>
  </si>
  <si>
    <t>I_E057</t>
  </si>
  <si>
    <t>I_E062</t>
  </si>
  <si>
    <t>I_E063</t>
  </si>
  <si>
    <t>I_E068</t>
  </si>
  <si>
    <t>I_E069</t>
  </si>
  <si>
    <t>I_E070</t>
  </si>
  <si>
    <t>I_E071</t>
  </si>
  <si>
    <t>I_E072</t>
  </si>
  <si>
    <t>I_E073</t>
  </si>
  <si>
    <t>I_E074</t>
  </si>
  <si>
    <t>I_E075</t>
  </si>
  <si>
    <t>I_E076</t>
  </si>
  <si>
    <t>I_E077</t>
  </si>
  <si>
    <t>I_E078</t>
  </si>
  <si>
    <t>C12001003</t>
  </si>
  <si>
    <t>C12001004</t>
  </si>
  <si>
    <t>C12001005</t>
  </si>
  <si>
    <t>C12001006</t>
  </si>
  <si>
    <t>C12001007</t>
  </si>
  <si>
    <t>C12001008</t>
  </si>
  <si>
    <t>C12001009</t>
  </si>
  <si>
    <t>C12001010</t>
  </si>
  <si>
    <t>C12001011</t>
  </si>
  <si>
    <t>C12001012</t>
  </si>
  <si>
    <t>C12001013</t>
  </si>
  <si>
    <t>C12001014</t>
  </si>
  <si>
    <t>C12001015</t>
  </si>
  <si>
    <t>C12001016</t>
  </si>
  <si>
    <t>C12001017</t>
  </si>
  <si>
    <t>C12001018</t>
  </si>
  <si>
    <t>C12001019</t>
  </si>
  <si>
    <t>C12001020</t>
  </si>
  <si>
    <t>C12001021</t>
  </si>
  <si>
    <t>C12001022</t>
  </si>
  <si>
    <t>C12001023</t>
  </si>
  <si>
    <t>C12001024</t>
  </si>
  <si>
    <t>C12001025</t>
  </si>
  <si>
    <t>C12001026</t>
  </si>
  <si>
    <t>C12001029</t>
  </si>
  <si>
    <t>C12001030</t>
  </si>
  <si>
    <t>C12001031</t>
  </si>
  <si>
    <t>C12001032</t>
  </si>
  <si>
    <t>C12001033</t>
  </si>
  <si>
    <t>C12001034</t>
  </si>
  <si>
    <t>C12001035</t>
  </si>
  <si>
    <t>C12001036</t>
  </si>
  <si>
    <t>C12001037</t>
  </si>
  <si>
    <t>C12001038</t>
  </si>
  <si>
    <t>C12001039</t>
  </si>
  <si>
    <t>C12001040</t>
  </si>
  <si>
    <t>C12001041</t>
  </si>
  <si>
    <t>Descripcion</t>
  </si>
  <si>
    <t>Interco</t>
  </si>
  <si>
    <t>E047, Santo Domingo &amp; Cía.. S. En C., NIT 8001143419</t>
  </si>
  <si>
    <t>E012, Comunican S.A., NIT 8600075906</t>
  </si>
  <si>
    <t>E035, Valorem S.A.S., NIT 8300388857</t>
  </si>
  <si>
    <t>E052, Koba Colombia S.A.S., NIT 9002769621</t>
  </si>
  <si>
    <t>Nota 900009</t>
  </si>
  <si>
    <t>12904002</t>
  </si>
  <si>
    <t>E004, Canal Clima S.A.S., NIT 9005546628</t>
  </si>
  <si>
    <t>12904003</t>
  </si>
  <si>
    <t>E007, Caracol Televisión S.A., NIT 8600256742</t>
  </si>
  <si>
    <t>12904004</t>
  </si>
  <si>
    <t>E009, Cine Colombia S.A., NIT 8909000760</t>
  </si>
  <si>
    <t>12904005</t>
  </si>
  <si>
    <t>12904006</t>
  </si>
  <si>
    <t>E010, Ditransa S.A., NIT 8002424271</t>
  </si>
  <si>
    <t>12904007</t>
  </si>
  <si>
    <t>E078, Eco-energía S.A.S., NIT 9009838212</t>
  </si>
  <si>
    <t>12904008</t>
  </si>
  <si>
    <t>E016, Famosa S.A.S., NIT 8002068035</t>
  </si>
  <si>
    <t>12904009</t>
  </si>
  <si>
    <t>E044, Invernac &amp; Cía. S.A.S., NIT 8002424827</t>
  </si>
  <si>
    <t>12904010</t>
  </si>
  <si>
    <t>E017, Inversiones Cromos S.A.S., NIT 8605232800</t>
  </si>
  <si>
    <t>12904011</t>
  </si>
  <si>
    <t>12904012</t>
  </si>
  <si>
    <t xml:space="preserve">E057, Koba Colombia S.A.S. - PPA, NIT </t>
  </si>
  <si>
    <t>12904013</t>
  </si>
  <si>
    <t>E021, Naviagro S.A.S., NIT 9003703353</t>
  </si>
  <si>
    <t>12904014</t>
  </si>
  <si>
    <t>E043, PrimeFinanzas S.A.S., NIT 9000905064</t>
  </si>
  <si>
    <t>12904015</t>
  </si>
  <si>
    <t>E041, PrimeOther S.A.S., NIT 8301328415</t>
  </si>
  <si>
    <t>12904016</t>
  </si>
  <si>
    <t>E042, PrimeValueService S.A.S., NIT 8301328422</t>
  </si>
  <si>
    <t>12904017</t>
  </si>
  <si>
    <t>E056, Radial Bogotá S.A.S., NIT 8600040087</t>
  </si>
  <si>
    <t>12904018</t>
  </si>
  <si>
    <t>E023, Reforestadora de la Costa S.A.S., NIT 8901101475</t>
  </si>
  <si>
    <t>12904019</t>
  </si>
  <si>
    <t>E055, San Francisco Investment S.A.S., NIT 9008676535</t>
  </si>
  <si>
    <t>12904020</t>
  </si>
  <si>
    <t>12904021</t>
  </si>
  <si>
    <t>E063, SPV Villanueva S.A.S., NIT 9010727724</t>
  </si>
  <si>
    <t>12904022</t>
  </si>
  <si>
    <t>E025, Stock Models S.A.S., NIT 8002023068</t>
  </si>
  <si>
    <t>12904023</t>
  </si>
  <si>
    <t>12904024</t>
  </si>
  <si>
    <t>E062, Xylom S.A.S., NIT 9010852285</t>
  </si>
  <si>
    <t>12904025</t>
  </si>
  <si>
    <t>E005, Caracol América Production LLC (USA), NIT 444444236</t>
  </si>
  <si>
    <t>12904026</t>
  </si>
  <si>
    <t>E008, Caracol T.V. América Corp. (USA), NIT 444444218</t>
  </si>
  <si>
    <t>12904027</t>
  </si>
  <si>
    <t>E006, Caracol Televisión Inc. (USA), NIT 444444237</t>
  </si>
  <si>
    <t>12904028</t>
  </si>
  <si>
    <t>E068, Caribbean Equity Investments Corp. (Panamá), NIT 83013</t>
  </si>
  <si>
    <t>12904029</t>
  </si>
  <si>
    <t>E069, Colinsa S. de R.L. (antes WIH) -MATRIZ (Panamá), NIT 9</t>
  </si>
  <si>
    <t>12904030</t>
  </si>
  <si>
    <t>E070, EIH S. de R. L. (Panamá), NIT 9000383803</t>
  </si>
  <si>
    <t>12904031</t>
  </si>
  <si>
    <t>E049, Gabes S.A. (Panamá), NIT 8301252259</t>
  </si>
  <si>
    <t>12904032</t>
  </si>
  <si>
    <t>E071, Mariscala S. de R.L. (Panamá), NIT 8300923151</t>
  </si>
  <si>
    <t>12904033</t>
  </si>
  <si>
    <t>E072, MBH 1 LLC (Delaware), NIT 9000321071</t>
  </si>
  <si>
    <t>12904034</t>
  </si>
  <si>
    <t>E073, MIH2 LLC (Delaware), NIT 9000321064</t>
  </si>
  <si>
    <t>12904035</t>
  </si>
  <si>
    <t>E074, Visencio Investments (Panamá), NIT 444446025</t>
  </si>
  <si>
    <t>12904036</t>
  </si>
  <si>
    <t>E075, Weirsdale Holdings (Panamá), NIT 8301261445</t>
  </si>
  <si>
    <t>12904037</t>
  </si>
  <si>
    <t>E076, Weissener S. de R.L. (Panamá), NIT 8301261452</t>
  </si>
  <si>
    <t>12904038</t>
  </si>
  <si>
    <t>E077, Wieisan S. de R.L. (Panamá), NIT 9001326111</t>
  </si>
  <si>
    <t>Nota 900018</t>
  </si>
  <si>
    <t>Laboral</t>
  </si>
  <si>
    <t>Civil</t>
  </si>
  <si>
    <t>Impuestos</t>
  </si>
  <si>
    <t>Otros</t>
  </si>
  <si>
    <t>Tipos de proceso</t>
  </si>
  <si>
    <t>C09901002</t>
  </si>
  <si>
    <t>Grupo Empresarial</t>
  </si>
  <si>
    <r>
      <t>Tenga presente que si la compañía no cumple con los covenants que respaldan una obligación a largo plazo, tal obligación debe ser reclasificada al corto plazo al cierre de la fecha de reporte, de acuerdo con las NIIF.</t>
    </r>
    <r>
      <rPr>
        <b/>
        <sz val="8"/>
        <color theme="1"/>
        <rFont val="Arial"/>
        <family val="2"/>
      </rPr>
      <t xml:space="preserve"> (NIC 1 párrafo 74 y 75, cuando una entidad infrinja un covenant, debe clasificar el total de la deuda a corto plazo)</t>
    </r>
  </si>
  <si>
    <t xml:space="preserve">COMPAÑÍA: </t>
  </si>
  <si>
    <t>FECHA DE CORTE:</t>
  </si>
  <si>
    <t>Operación conjunta</t>
  </si>
  <si>
    <t>Control de errores</t>
  </si>
  <si>
    <t>Grupo Colinsa S. De R.L.</t>
  </si>
  <si>
    <t>Grupo Invernac - Combinado</t>
  </si>
  <si>
    <t>Grupo Inv-Gabes</t>
  </si>
  <si>
    <t>Grupo Invernac</t>
  </si>
  <si>
    <t>GVALOREM_IFRS - Grupo Valorem IFRS</t>
  </si>
  <si>
    <t>FILA_NOTA</t>
  </si>
  <si>
    <t>ID BPC</t>
  </si>
  <si>
    <t>S225_0</t>
  </si>
  <si>
    <t>S220_1</t>
  </si>
  <si>
    <t>Asegurese que los totales de las CxC y CxP cruzan con su balance BPC, con los saldos de las cuentas:</t>
  </si>
  <si>
    <r>
      <rPr>
        <b/>
        <sz val="9"/>
        <color theme="1"/>
        <rFont val="Arial"/>
        <family val="2"/>
      </rPr>
      <t>Se refiere a los gastos ocasionados por pagos al personal clave de la gerencia (empleados de la Compañía) durante la fecha de reporte</t>
    </r>
    <r>
      <rPr>
        <sz val="9"/>
        <color theme="1"/>
        <rFont val="Arial"/>
        <family val="2"/>
      </rPr>
      <t>. Se entiende por personal clave de la gerencia los empleados que tienen autoridad y responsabilidad para planificar, dirigir y controlar las actividades de la entidad, ya sea directa o indirectamente y tengan un cargo ejecutivo o no.</t>
    </r>
  </si>
  <si>
    <t>Corresponde a todas las erogaciones por concepto de la remuneración del servicio actual, tales como, salarios, prestaciones sociales legales y extralegales, bonificaciones, aportes a la seguridad social, parafiscales, amortización de beneficios por préstamos a empleados, etc.</t>
  </si>
  <si>
    <t>=EPMSaveComment(E22; "ANEXO_NOTAS_XBRL";$B22;$D$19;)</t>
  </si>
  <si>
    <t>Se refiere a todas las erogaciones que tienen que ver con pensiones de jubilación</t>
  </si>
  <si>
    <t>Se refiere a los pagos realizados por la terminación de la relación laboral, tales como indemnizaciones</t>
  </si>
  <si>
    <t>=EPMSaveComment(E23; "ANEXO_NOTAS_XBRL";$B23;$D$19;)</t>
  </si>
  <si>
    <t>=EPMSaveComment(E25; "ANEXO_NOTAS_XBRL";$B25;$D$19;)</t>
  </si>
  <si>
    <t>=EPMSaveComment(E26; "ANEXO_NOTAS_XBRL";$B26;$D$19;)</t>
  </si>
  <si>
    <r>
      <t xml:space="preserve">Todas los erogaciones laborales, tales como salarios, bonificaciones, comisiones de exito, etc., que se deban pagar con acciones de la compañía o de otra entidad del grupo. </t>
    </r>
    <r>
      <rPr>
        <u/>
        <sz val="8"/>
        <color theme="1"/>
        <rFont val="Arial"/>
        <family val="2"/>
      </rPr>
      <t>Los valores relacionados en este punto, se deben excluir de los valores relacionados en los puntos anteriores</t>
    </r>
  </si>
  <si>
    <r>
      <rPr>
        <b/>
        <sz val="11"/>
        <color theme="1"/>
        <rFont val="Calibri"/>
        <family val="2"/>
        <scheme val="minor"/>
      </rPr>
      <t>Medidos al valor razonable</t>
    </r>
    <r>
      <rPr>
        <sz val="11"/>
        <color theme="1"/>
        <rFont val="Calibri"/>
        <family val="2"/>
        <scheme val="minor"/>
      </rPr>
      <t xml:space="preserve"> (columnas E,F,G,H): Relacione para cada clase de activo el monto total de aquellos que son medidos al valor razonable. Si en una misma clase de activo tiene diferentes fechas de avalúos relacionelas todas</t>
    </r>
  </si>
  <si>
    <r>
      <t xml:space="preserve">Medidos por el modelo del costo (columnas I,J,K): Relacione por cada clase de activos el monto total de los </t>
    </r>
    <r>
      <rPr>
        <sz val="11"/>
        <color rgb="FFFF0000"/>
        <rFont val="Calibri"/>
        <family val="2"/>
        <scheme val="minor"/>
      </rPr>
      <t>activos que relacionó en las columnas E y F</t>
    </r>
    <r>
      <rPr>
        <sz val="11"/>
        <rFont val="Calibri"/>
        <family val="2"/>
        <scheme val="minor"/>
      </rPr>
      <t>, pero por su valor bajo el modelo del costo</t>
    </r>
  </si>
  <si>
    <r>
      <t xml:space="preserve">Relacione los </t>
    </r>
    <r>
      <rPr>
        <b/>
        <i/>
        <sz val="11"/>
        <color theme="1"/>
        <rFont val="Arial"/>
        <family val="2"/>
      </rPr>
      <t xml:space="preserve">covenants </t>
    </r>
    <r>
      <rPr>
        <b/>
        <sz val="11"/>
        <color theme="1"/>
        <rFont val="Arial"/>
        <family val="2"/>
      </rPr>
      <t>asociados a las obligaciones financieras y si a la fecha de reporte la compañía cumple o no con ellos</t>
    </r>
  </si>
  <si>
    <t>Recuerde que el efectivo restringido debe ser reclasificado al rubro OTROS ACTIVOS FINANCIEROS (Corriente o Largo plazo), cuenta  1227 DEPOSITOS BANCARIOS RESTRINGIDOS</t>
  </si>
  <si>
    <r>
      <rPr>
        <b/>
        <sz val="10"/>
        <color theme="1"/>
        <rFont val="Arial"/>
        <family val="2"/>
      </rPr>
      <t>Tenga en cuenta lo siguiente</t>
    </r>
    <r>
      <rPr>
        <sz val="10"/>
        <color theme="1"/>
        <rFont val="Arial"/>
        <family val="2"/>
      </rPr>
      <t xml:space="preserve">:  Todos los saldos por cobrar y/o por pagar a una parte relacionada deben ser registrados (o reclasificados) en las cuentas creadas para tal fin, como 131010, 131095 y 230525, 231505, 235505 respectivamente  </t>
    </r>
    <r>
      <rPr>
        <b/>
        <sz val="10"/>
        <color rgb="FFFF0000"/>
        <rFont val="Arial"/>
        <family val="2"/>
      </rPr>
      <t>(si faltan cuentas por favor reportarlo)</t>
    </r>
  </si>
  <si>
    <t>[900000] Obligaciones financieras</t>
  </si>
  <si>
    <t>[900001] Covenants</t>
  </si>
  <si>
    <t>[900002] Riesgos tasas moneda extranjera</t>
  </si>
  <si>
    <t>[900003] Efectivo restringido</t>
  </si>
  <si>
    <t>[900004] CxC x edades y prov de cartera</t>
  </si>
  <si>
    <t>[900005] Partes relacionadas</t>
  </si>
  <si>
    <t>[900006] Personal Clave</t>
  </si>
  <si>
    <t>[900007] Inventario</t>
  </si>
  <si>
    <t>[900008] PP&amp;E</t>
  </si>
  <si>
    <t>&lt;= Indique la cuenta utilizada aquí</t>
  </si>
  <si>
    <t>&lt;= Si usted registró la provisión en una cuenta distinta por favor indiquela aquí, y en observaciones detalle porque utiliza esta cuenta</t>
  </si>
  <si>
    <t>&lt;= Si usted registró la recuperación de la provisión en una cuenta distinta por favor indiquela aquí, y en observaciones detalle porque utiliza esta cuenta</t>
  </si>
  <si>
    <t>&lt;= Se reporta con signo negativo, tal como está en el estado financiero</t>
  </si>
  <si>
    <t>OBJETIVOS Y POLITICAS PARA EL MANEJO DE RIESGO</t>
  </si>
  <si>
    <t>2. Los totales de la columna N, deben cuadrar con los saldos reportados en su balance BPC a la fecha de reporte</t>
  </si>
  <si>
    <t>Fecha</t>
  </si>
  <si>
    <t>Tipo de restricción  y condición para que desaparezca la restricción</t>
  </si>
  <si>
    <t>1,2,3</t>
  </si>
  <si>
    <t>Leasing Occidente</t>
  </si>
  <si>
    <t>Leasing Colombia</t>
  </si>
  <si>
    <t>Leasing Banco BBVA</t>
  </si>
  <si>
    <t>Leasing Banco de Bogotá</t>
  </si>
  <si>
    <t>Banco Scotiabank Colpatria</t>
  </si>
  <si>
    <t>C11904004</t>
  </si>
  <si>
    <t>TOTALES ( S200_0 - S200_1 )</t>
  </si>
  <si>
    <r>
      <t xml:space="preserve">Cuentas por pagar partes relacionadas y asociadas( S225_0 - S220_1 ) - </t>
    </r>
    <r>
      <rPr>
        <b/>
        <sz val="10"/>
        <color rgb="FFFF0000"/>
        <rFont val="Arial"/>
        <family val="2"/>
      </rPr>
      <t>Que hacen parte de los estados financieros consolidados y por lo tanto se eliminan en este proceso, de acuerdo con las especificaciones del ANEXO 1</t>
    </r>
  </si>
  <si>
    <r>
      <t xml:space="preserve">Cuentas por pagar partes relacionadas y asociadas ( S225_0 - S220_1 ) - </t>
    </r>
    <r>
      <rPr>
        <b/>
        <sz val="10"/>
        <color rgb="FFFF0000"/>
        <rFont val="Arial"/>
        <family val="2"/>
      </rPr>
      <t xml:space="preserve">Que NO hacen parte de los estados financieros consolidados y que por lo tanto no se eliminan en este proceso, de acuerdo con las especificaciones del ANEXO 1, </t>
    </r>
  </si>
  <si>
    <t>Saldo de la provisión al 31 de diciembre del año anterior ( S1399_0 + S1399_1 )</t>
  </si>
  <si>
    <r>
      <rPr>
        <b/>
        <sz val="10"/>
        <color theme="1"/>
        <rFont val="Arial"/>
        <family val="2"/>
      </rPr>
      <t>Constitución de la provisión</t>
    </r>
    <r>
      <rPr>
        <sz val="10"/>
        <color theme="1"/>
        <rFont val="Arial"/>
        <family val="2"/>
      </rPr>
      <t xml:space="preserve"> : Aumento de la provisión (CR 1399) contra el gasto durante el período de reporte (DB 5X99) ( S519910 + S529910 )</t>
    </r>
  </si>
  <si>
    <r>
      <rPr>
        <b/>
        <sz val="10"/>
        <color theme="1"/>
        <rFont val="Arial"/>
        <family val="2"/>
      </rPr>
      <t>Recuperación de la provisión</t>
    </r>
    <r>
      <rPr>
        <sz val="10"/>
        <color theme="1"/>
        <rFont val="Arial"/>
        <family val="2"/>
      </rPr>
      <t>: Disminución de la provisión contra el ingreso durante la fecha de reporte. Solo aplica si corresponde a provisiones efectuadas en ejercicios anteriores al de la fecha de reporte DB 1399 - CR 4250 ( S4250050000  y S4250350007 )</t>
    </r>
  </si>
  <si>
    <r>
      <rPr>
        <b/>
        <sz val="10"/>
        <color theme="1"/>
        <rFont val="Arial"/>
        <family val="2"/>
      </rPr>
      <t xml:space="preserve">Castigos: </t>
    </r>
    <r>
      <rPr>
        <sz val="10"/>
        <color theme="1"/>
        <rFont val="Arial"/>
        <family val="2"/>
      </rPr>
      <t>Cuentas dadas de baja contra la provisión durante el período de reporte DB 1399 - CR CxC ( S1399_0 + S1399_1 )</t>
    </r>
  </si>
  <si>
    <t>Saldo de la provisión al cierre del periodo ( S1399_0 + S1399_1 )</t>
  </si>
  <si>
    <t>Subsidiaria</t>
  </si>
  <si>
    <r>
      <t xml:space="preserve">Fecha desembolso
</t>
    </r>
    <r>
      <rPr>
        <b/>
        <sz val="7.2"/>
        <color rgb="FFFF0000"/>
        <rFont val="Arial"/>
        <family val="2"/>
      </rPr>
      <t>Año-Mes-Dia</t>
    </r>
  </si>
  <si>
    <r>
      <t xml:space="preserve">Fecha vencimiento
</t>
    </r>
    <r>
      <rPr>
        <b/>
        <sz val="7.2"/>
        <color rgb="FFFF0000"/>
        <rFont val="Arial"/>
        <family val="2"/>
      </rPr>
      <t>Año-Mes-Dia</t>
    </r>
  </si>
  <si>
    <t>=SI(N69="SI";SI(O(G69&lt;&gt;O69;I69&gt;E69;Y(F69&lt;&gt;0;F69=J69);N69="");"Error";"Ok");SI(N69="";"Error";"Ok"))</t>
  </si>
  <si>
    <t>Fecha ultima valoracion</t>
  </si>
  <si>
    <t>C11201004</t>
  </si>
  <si>
    <t>C11301002</t>
  </si>
  <si>
    <t>S139920_0</t>
  </si>
  <si>
    <t>C11101015</t>
  </si>
  <si>
    <t>S1310_1</t>
  </si>
  <si>
    <t>S1310_0</t>
  </si>
  <si>
    <t xml:space="preserve">Kartal S.A. </t>
  </si>
  <si>
    <t>Unosan S.A.</t>
  </si>
  <si>
    <t>Kartal S.A.</t>
  </si>
  <si>
    <t>USD</t>
  </si>
  <si>
    <t>FILTROS</t>
  </si>
  <si>
    <t>ENTIDAD</t>
  </si>
  <si>
    <t>VERSION</t>
  </si>
  <si>
    <t>VALOR</t>
  </si>
  <si>
    <t>REAL</t>
  </si>
  <si>
    <t>03202007</t>
  </si>
  <si>
    <t>05502007</t>
  </si>
  <si>
    <t>03202011</t>
  </si>
  <si>
    <t>01701003</t>
  </si>
  <si>
    <t>03202016</t>
  </si>
  <si>
    <t>05508005</t>
  </si>
  <si>
    <t>03202013</t>
  </si>
  <si>
    <t>05502009</t>
  </si>
  <si>
    <t>03202030</t>
  </si>
  <si>
    <t>01701006</t>
  </si>
  <si>
    <t>03701004</t>
  </si>
  <si>
    <t>03202043</t>
  </si>
  <si>
    <t>03202042</t>
  </si>
  <si>
    <t>01701013</t>
  </si>
  <si>
    <t>03202044</t>
  </si>
  <si>
    <t>07102015</t>
  </si>
  <si>
    <t>04102008</t>
  </si>
  <si>
    <t>07102006</t>
  </si>
  <si>
    <t>01701007</t>
  </si>
  <si>
    <t>04403004</t>
  </si>
  <si>
    <t>03501004</t>
  </si>
  <si>
    <t>03202026</t>
  </si>
  <si>
    <t>03402004</t>
  </si>
  <si>
    <t>01804006</t>
  </si>
  <si>
    <t>03401004</t>
  </si>
  <si>
    <t>03401003</t>
  </si>
  <si>
    <t>07702009</t>
  </si>
  <si>
    <t>01501075</t>
  </si>
  <si>
    <t>05508010</t>
  </si>
  <si>
    <t>07103022</t>
  </si>
  <si>
    <t>07103011</t>
  </si>
  <si>
    <t>07601009</t>
  </si>
  <si>
    <t>06402005</t>
  </si>
  <si>
    <t>02201409</t>
  </si>
  <si>
    <t>01201071</t>
  </si>
  <si>
    <t>01401002</t>
  </si>
  <si>
    <t>01201072</t>
  </si>
  <si>
    <t>01201067</t>
  </si>
  <si>
    <t>02301086</t>
  </si>
  <si>
    <t>05502014</t>
  </si>
  <si>
    <t>02301078</t>
  </si>
  <si>
    <t>02301111</t>
  </si>
  <si>
    <t>01201004</t>
  </si>
  <si>
    <t>02301089</t>
  </si>
  <si>
    <t>02301115</t>
  </si>
  <si>
    <t>01301018</t>
  </si>
  <si>
    <t>02201413</t>
  </si>
  <si>
    <t>01301008</t>
  </si>
  <si>
    <t>05508007</t>
  </si>
  <si>
    <t>02201005</t>
  </si>
  <si>
    <t>02201410</t>
  </si>
  <si>
    <t>02201414</t>
  </si>
  <si>
    <t>06702004</t>
  </si>
  <si>
    <t>01201043</t>
  </si>
  <si>
    <t>03202014</t>
  </si>
  <si>
    <t>01201018</t>
  </si>
  <si>
    <t>01301017</t>
  </si>
  <si>
    <t>02301088</t>
  </si>
  <si>
    <t>06201023</t>
  </si>
  <si>
    <t>02301106</t>
  </si>
  <si>
    <t>02201311</t>
  </si>
  <si>
    <t>01401006</t>
  </si>
  <si>
    <t>01301011</t>
  </si>
  <si>
    <t>02301108</t>
  </si>
  <si>
    <t>02301178</t>
  </si>
  <si>
    <t>01601004</t>
  </si>
  <si>
    <t>02101050</t>
  </si>
  <si>
    <t>01201006</t>
  </si>
  <si>
    <t>07401012</t>
  </si>
  <si>
    <t>02301011</t>
  </si>
  <si>
    <t>01301003</t>
  </si>
  <si>
    <t>02101003</t>
  </si>
  <si>
    <t>01301006</t>
  </si>
  <si>
    <t>02301164</t>
  </si>
  <si>
    <t>02301107</t>
  </si>
  <si>
    <t>03402005</t>
  </si>
  <si>
    <t>05502011</t>
  </si>
  <si>
    <t>02201316</t>
  </si>
  <si>
    <t>01201009</t>
  </si>
  <si>
    <t>01201044</t>
  </si>
  <si>
    <t>01201007</t>
  </si>
  <si>
    <t>01601082</t>
  </si>
  <si>
    <t>01201013</t>
  </si>
  <si>
    <t>02201208</t>
  </si>
  <si>
    <t>01201045</t>
  </si>
  <si>
    <t>01301009</t>
  </si>
  <si>
    <t>02301155</t>
  </si>
  <si>
    <t>01601013</t>
  </si>
  <si>
    <t>01201040</t>
  </si>
  <si>
    <t>02301104</t>
  </si>
  <si>
    <t>02201108</t>
  </si>
  <si>
    <t>01601012</t>
  </si>
  <si>
    <t>02301154</t>
  </si>
  <si>
    <t>02301153</t>
  </si>
  <si>
    <t>01301023</t>
  </si>
  <si>
    <t>01701010</t>
  </si>
  <si>
    <t>02201030</t>
  </si>
  <si>
    <t>02301105</t>
  </si>
  <si>
    <t>01201074</t>
  </si>
  <si>
    <t>02201004</t>
  </si>
  <si>
    <t>02201156</t>
  </si>
  <si>
    <t>02301093</t>
  </si>
  <si>
    <t>02301032</t>
  </si>
  <si>
    <t>02501012</t>
  </si>
  <si>
    <t>02101007</t>
  </si>
  <si>
    <t>01601016</t>
  </si>
  <si>
    <t>01201075</t>
  </si>
  <si>
    <t>01601017</t>
  </si>
  <si>
    <t>06402008</t>
  </si>
  <si>
    <t>01601011</t>
  </si>
  <si>
    <t>01201070</t>
  </si>
  <si>
    <t>01301026</t>
  </si>
  <si>
    <t>02201016</t>
  </si>
  <si>
    <t>02201175</t>
  </si>
  <si>
    <t>02201389</t>
  </si>
  <si>
    <t>02301037</t>
  </si>
  <si>
    <t>01601006</t>
  </si>
  <si>
    <t>06402012</t>
  </si>
  <si>
    <t>01601020</t>
  </si>
  <si>
    <t>01201059</t>
  </si>
  <si>
    <t>01201023</t>
  </si>
  <si>
    <t>01201046</t>
  </si>
  <si>
    <t>01601046</t>
  </si>
  <si>
    <t>02301076</t>
  </si>
  <si>
    <t>02201097</t>
  </si>
  <si>
    <t>05508018</t>
  </si>
  <si>
    <t>02201318</t>
  </si>
  <si>
    <t>01201021</t>
  </si>
  <si>
    <t>06201015</t>
  </si>
  <si>
    <t>02301165</t>
  </si>
  <si>
    <t>06703005</t>
  </si>
  <si>
    <t>02101035</t>
  </si>
  <si>
    <t>01601036</t>
  </si>
  <si>
    <t>06201019</t>
  </si>
  <si>
    <t>07702008</t>
  </si>
  <si>
    <t>07501010</t>
  </si>
  <si>
    <t>06003004</t>
  </si>
  <si>
    <t>02201026</t>
  </si>
  <si>
    <t>01201026</t>
  </si>
  <si>
    <t>01201041</t>
  </si>
  <si>
    <t>12501001</t>
  </si>
  <si>
    <t>02201074</t>
  </si>
  <si>
    <t>02201265</t>
  </si>
  <si>
    <t>C11101003</t>
  </si>
  <si>
    <t>11101013</t>
  </si>
  <si>
    <t>01201038</t>
  </si>
  <si>
    <t>C11101004</t>
  </si>
  <si>
    <t>C11101005</t>
  </si>
  <si>
    <t>C11101002</t>
  </si>
  <si>
    <t>C11101006</t>
  </si>
  <si>
    <t>02301113</t>
  </si>
  <si>
    <t>02201270</t>
  </si>
  <si>
    <t>01201031</t>
  </si>
  <si>
    <t>01601028</t>
  </si>
  <si>
    <t>13801002</t>
  </si>
  <si>
    <t>02201009</t>
  </si>
  <si>
    <t>02301159</t>
  </si>
  <si>
    <t>02201268</t>
  </si>
  <si>
    <t>01201052</t>
  </si>
  <si>
    <t>01201032</t>
  </si>
  <si>
    <t>02201064</t>
  </si>
  <si>
    <t>07702004</t>
  </si>
  <si>
    <t>01601007</t>
  </si>
  <si>
    <t>01301010</t>
  </si>
  <si>
    <t>11101007</t>
  </si>
  <si>
    <t>12501002</t>
  </si>
  <si>
    <t>02301167</t>
  </si>
  <si>
    <t>02201343</t>
  </si>
  <si>
    <t>02301060</t>
  </si>
  <si>
    <t>12501003</t>
  </si>
  <si>
    <t>02201122</t>
  </si>
  <si>
    <t>01601021</t>
  </si>
  <si>
    <t>08101072</t>
  </si>
  <si>
    <t>12907028</t>
  </si>
  <si>
    <t>07101024</t>
  </si>
  <si>
    <t>12007002</t>
  </si>
  <si>
    <t>01601074</t>
  </si>
  <si>
    <t>01601026</t>
  </si>
  <si>
    <t>12004011</t>
  </si>
  <si>
    <t>01601080</t>
  </si>
  <si>
    <t>13401002</t>
  </si>
  <si>
    <t>08301002</t>
  </si>
  <si>
    <t>08101067</t>
  </si>
  <si>
    <t>01601024</t>
  </si>
  <si>
    <t>08101071</t>
  </si>
  <si>
    <t>08201008</t>
  </si>
  <si>
    <t>06003003</t>
  </si>
  <si>
    <t>12003003</t>
  </si>
  <si>
    <t>07010004</t>
  </si>
  <si>
    <t>02201123</t>
  </si>
  <si>
    <t>12003011</t>
  </si>
  <si>
    <t>08201018</t>
  </si>
  <si>
    <t>11101012</t>
  </si>
  <si>
    <t>06402013</t>
  </si>
  <si>
    <t>02201062</t>
  </si>
  <si>
    <t>01601018</t>
  </si>
  <si>
    <t>02301059</t>
  </si>
  <si>
    <t>08101043</t>
  </si>
  <si>
    <t>07702010</t>
  </si>
  <si>
    <t>21601004</t>
  </si>
  <si>
    <t>08101004</t>
  </si>
  <si>
    <t>13302003</t>
  </si>
  <si>
    <t>08101018</t>
  </si>
  <si>
    <t>01401005</t>
  </si>
  <si>
    <t>02201037</t>
  </si>
  <si>
    <t>08201011</t>
  </si>
  <si>
    <t>12007001</t>
  </si>
  <si>
    <t>12010002</t>
  </si>
  <si>
    <t>12010001</t>
  </si>
  <si>
    <t>12004003</t>
  </si>
  <si>
    <t>01601048</t>
  </si>
  <si>
    <t>12004004</t>
  </si>
  <si>
    <t>08101006</t>
  </si>
  <si>
    <t>12004014</t>
  </si>
  <si>
    <t>02201117</t>
  </si>
  <si>
    <t>12008003</t>
  </si>
  <si>
    <t>12008006</t>
  </si>
  <si>
    <t>12901002</t>
  </si>
  <si>
    <t>12008004</t>
  </si>
  <si>
    <t>02201286</t>
  </si>
  <si>
    <t>01601070</t>
  </si>
  <si>
    <t>12008009</t>
  </si>
  <si>
    <t>06402009</t>
  </si>
  <si>
    <t>13201021</t>
  </si>
  <si>
    <t>02201392</t>
  </si>
  <si>
    <t>13201013</t>
  </si>
  <si>
    <t>12008010</t>
  </si>
  <si>
    <t>12008007</t>
  </si>
  <si>
    <t>08201006</t>
  </si>
  <si>
    <t>08301006</t>
  </si>
  <si>
    <t>12006016</t>
  </si>
  <si>
    <t>08201017</t>
  </si>
  <si>
    <t>21601033</t>
  </si>
  <si>
    <t>01601071</t>
  </si>
  <si>
    <t>01401013</t>
  </si>
  <si>
    <t>21601082</t>
  </si>
  <si>
    <t>01601069</t>
  </si>
  <si>
    <t>21601034</t>
  </si>
  <si>
    <t>08101013</t>
  </si>
  <si>
    <t>08201023</t>
  </si>
  <si>
    <t>12907013</t>
  </si>
  <si>
    <t>08101009</t>
  </si>
  <si>
    <t>11101017</t>
  </si>
  <si>
    <t>08101007</t>
  </si>
  <si>
    <t>02101006</t>
  </si>
  <si>
    <t>12905004</t>
  </si>
  <si>
    <t>01601045</t>
  </si>
  <si>
    <t>08001012</t>
  </si>
  <si>
    <t>12001011</t>
  </si>
  <si>
    <t>12005004</t>
  </si>
  <si>
    <t>12003010</t>
  </si>
  <si>
    <t>12001003</t>
  </si>
  <si>
    <t>02201277</t>
  </si>
  <si>
    <t>12006004</t>
  </si>
  <si>
    <t>08101045</t>
  </si>
  <si>
    <t>08101044</t>
  </si>
  <si>
    <t>01601065</t>
  </si>
  <si>
    <t>08201003</t>
  </si>
  <si>
    <t>11302002</t>
  </si>
  <si>
    <t>C09902005</t>
  </si>
  <si>
    <t>21601017</t>
  </si>
  <si>
    <t>02201051</t>
  </si>
  <si>
    <t>C09902003</t>
  </si>
  <si>
    <t>C09902004</t>
  </si>
  <si>
    <t>08101075</t>
  </si>
  <si>
    <t>08101070</t>
  </si>
  <si>
    <t>21601035</t>
  </si>
  <si>
    <t>02201362</t>
  </si>
  <si>
    <t>12005012</t>
  </si>
  <si>
    <t>02201344</t>
  </si>
  <si>
    <t>13501015</t>
  </si>
  <si>
    <t>21601032</t>
  </si>
  <si>
    <t>08101040</t>
  </si>
  <si>
    <t>11101010</t>
  </si>
  <si>
    <t>C11601004</t>
  </si>
  <si>
    <t>11601006</t>
  </si>
  <si>
    <t>11101015</t>
  </si>
  <si>
    <t>08101059</t>
  </si>
  <si>
    <t>01701014</t>
  </si>
  <si>
    <t>21601006</t>
  </si>
  <si>
    <t>01401007</t>
  </si>
  <si>
    <t>13102001</t>
  </si>
  <si>
    <t>08301009</t>
  </si>
  <si>
    <t>11101003</t>
  </si>
  <si>
    <t>20201001</t>
  </si>
  <si>
    <t>12906002</t>
  </si>
  <si>
    <t>13101001</t>
  </si>
  <si>
    <t>02501011</t>
  </si>
  <si>
    <t>02101034</t>
  </si>
  <si>
    <t>21601046</t>
  </si>
  <si>
    <t>08101023</t>
  </si>
  <si>
    <t>13801003</t>
  </si>
  <si>
    <t>02201264</t>
  </si>
  <si>
    <t>01201055</t>
  </si>
  <si>
    <t>08001013</t>
  </si>
  <si>
    <t>08001007</t>
  </si>
  <si>
    <t>11101004</t>
  </si>
  <si>
    <t>13502002</t>
  </si>
  <si>
    <t>08101057</t>
  </si>
  <si>
    <t>02101014</t>
  </si>
  <si>
    <t>02201390</t>
  </si>
  <si>
    <t>21601020</t>
  </si>
  <si>
    <t>13502003</t>
  </si>
  <si>
    <t>01201012</t>
  </si>
  <si>
    <t>12004010</t>
  </si>
  <si>
    <t>11101009</t>
  </si>
  <si>
    <t>12004015</t>
  </si>
  <si>
    <t>07601025</t>
  </si>
  <si>
    <t>02201363</t>
  </si>
  <si>
    <t>08002004</t>
  </si>
  <si>
    <t>13701008</t>
  </si>
  <si>
    <t>20101001</t>
  </si>
  <si>
    <t>13502005</t>
  </si>
  <si>
    <t>13501025</t>
  </si>
  <si>
    <t>13805005</t>
  </si>
  <si>
    <t>21601045</t>
  </si>
  <si>
    <t>13802023</t>
  </si>
  <si>
    <t>13802038</t>
  </si>
  <si>
    <t>13901003</t>
  </si>
  <si>
    <t>13701010</t>
  </si>
  <si>
    <t>13701026</t>
  </si>
  <si>
    <t>26501004</t>
  </si>
  <si>
    <t>26801035</t>
  </si>
  <si>
    <t>26801012</t>
  </si>
  <si>
    <t>08101012</t>
  </si>
  <si>
    <t>08101052</t>
  </si>
  <si>
    <t>12001014</t>
  </si>
  <si>
    <t>26501003</t>
  </si>
  <si>
    <t>12901005</t>
  </si>
  <si>
    <t>12702004</t>
  </si>
  <si>
    <t>13701023</t>
  </si>
  <si>
    <t>12904040</t>
  </si>
  <si>
    <t>13501022</t>
  </si>
  <si>
    <t>21601021</t>
  </si>
  <si>
    <t>13701021</t>
  </si>
  <si>
    <t>26501006</t>
  </si>
  <si>
    <t>05502021</t>
  </si>
  <si>
    <t>11601028</t>
  </si>
  <si>
    <t>14001005</t>
  </si>
  <si>
    <t>13701022</t>
  </si>
  <si>
    <t>21601026</t>
  </si>
  <si>
    <t>21601072</t>
  </si>
  <si>
    <t>13802034</t>
  </si>
  <si>
    <t>26501002</t>
  </si>
  <si>
    <t>08002014</t>
  </si>
  <si>
    <t>11601008</t>
  </si>
  <si>
    <t>12602003</t>
  </si>
  <si>
    <t>13102002</t>
  </si>
  <si>
    <t>13805001</t>
  </si>
  <si>
    <t>13501024</t>
  </si>
  <si>
    <t>13802032</t>
  </si>
  <si>
    <t>13802045</t>
  </si>
  <si>
    <t>26501005</t>
  </si>
  <si>
    <t>02301118</t>
  </si>
  <si>
    <t>08101074</t>
  </si>
  <si>
    <t>12908045</t>
  </si>
  <si>
    <t>13701006</t>
  </si>
  <si>
    <t>13501014</t>
  </si>
  <si>
    <t>13901006</t>
  </si>
  <si>
    <t>08101082</t>
  </si>
  <si>
    <t>13401004</t>
  </si>
  <si>
    <t>13101017</t>
  </si>
  <si>
    <t>13501021</t>
  </si>
  <si>
    <t>13802027</t>
  </si>
  <si>
    <t>13802031</t>
  </si>
  <si>
    <t>26201009</t>
  </si>
  <si>
    <t>12803003</t>
  </si>
  <si>
    <t>13101013</t>
  </si>
  <si>
    <t>14002001</t>
  </si>
  <si>
    <t>13501020</t>
  </si>
  <si>
    <t>13802047</t>
  </si>
  <si>
    <t>13803001</t>
  </si>
  <si>
    <t>26201014</t>
  </si>
  <si>
    <t>26801014</t>
  </si>
  <si>
    <t>08101038</t>
  </si>
  <si>
    <t>11601020</t>
  </si>
  <si>
    <t>12005007</t>
  </si>
  <si>
    <t>12901006</t>
  </si>
  <si>
    <t>12908085</t>
  </si>
  <si>
    <t>12912003</t>
  </si>
  <si>
    <t>13802029</t>
  </si>
  <si>
    <t>13501023</t>
  </si>
  <si>
    <t>13802044</t>
  </si>
  <si>
    <t>08002007</t>
  </si>
  <si>
    <t>11101005</t>
  </si>
  <si>
    <t>C11904005</t>
  </si>
  <si>
    <t>11904002</t>
  </si>
  <si>
    <t>13802028</t>
  </si>
  <si>
    <t>13802052</t>
  </si>
  <si>
    <t>13802058</t>
  </si>
  <si>
    <t>21601071</t>
  </si>
  <si>
    <t>13502004</t>
  </si>
  <si>
    <t>13802043</t>
  </si>
  <si>
    <t>26801010</t>
  </si>
  <si>
    <t>01201081</t>
  </si>
  <si>
    <t>02101008</t>
  </si>
  <si>
    <t>11102004</t>
  </si>
  <si>
    <t>12907002</t>
  </si>
  <si>
    <t>14001002</t>
  </si>
  <si>
    <t>20201002</t>
  </si>
  <si>
    <t>13101002</t>
  </si>
  <si>
    <t>13804001</t>
  </si>
  <si>
    <t>13804002</t>
  </si>
  <si>
    <t>13901002</t>
  </si>
  <si>
    <t>26801027</t>
  </si>
  <si>
    <t>12002003</t>
  </si>
  <si>
    <t>12702005</t>
  </si>
  <si>
    <t>13802013</t>
  </si>
  <si>
    <t>01201082</t>
  </si>
  <si>
    <t>02201091</t>
  </si>
  <si>
    <t>12002011</t>
  </si>
  <si>
    <t>20201004</t>
  </si>
  <si>
    <t>21601048</t>
  </si>
  <si>
    <t>01601073</t>
  </si>
  <si>
    <t>02201308</t>
  </si>
  <si>
    <t>02201394</t>
  </si>
  <si>
    <t>08101032</t>
  </si>
  <si>
    <t>12701005</t>
  </si>
  <si>
    <t>12703002</t>
  </si>
  <si>
    <t>13802020</t>
  </si>
  <si>
    <t>13802035</t>
  </si>
  <si>
    <t>07101026</t>
  </si>
  <si>
    <t>13801004</t>
  </si>
  <si>
    <t>13802030</t>
  </si>
  <si>
    <t>01201080</t>
  </si>
  <si>
    <t>08002009</t>
  </si>
  <si>
    <t>11601009</t>
  </si>
  <si>
    <t>14001003</t>
  </si>
  <si>
    <t>13803003</t>
  </si>
  <si>
    <t>12301002</t>
  </si>
  <si>
    <t>12906003</t>
  </si>
  <si>
    <t>13101008</t>
  </si>
  <si>
    <t>01601035</t>
  </si>
  <si>
    <t>08101041</t>
  </si>
  <si>
    <t>08101046</t>
  </si>
  <si>
    <t>12902041</t>
  </si>
  <si>
    <t>01201057</t>
  </si>
  <si>
    <t>02301063</t>
  </si>
  <si>
    <t>13802025</t>
  </si>
  <si>
    <t>13802049</t>
  </si>
  <si>
    <t>13901001</t>
  </si>
  <si>
    <t>26201011</t>
  </si>
  <si>
    <t>01601067</t>
  </si>
  <si>
    <t>11601019</t>
  </si>
  <si>
    <t>12907014</t>
  </si>
  <si>
    <t>13101006</t>
  </si>
  <si>
    <t>01601032</t>
  </si>
  <si>
    <t>08201019</t>
  </si>
  <si>
    <t>08301005</t>
  </si>
  <si>
    <t>13101010</t>
  </si>
  <si>
    <t>13802019</t>
  </si>
  <si>
    <t>26801033</t>
  </si>
  <si>
    <t>01601076</t>
  </si>
  <si>
    <t>02101036</t>
  </si>
  <si>
    <t>02301036</t>
  </si>
  <si>
    <t>08101031</t>
  </si>
  <si>
    <t>08101080</t>
  </si>
  <si>
    <t>12703003</t>
  </si>
  <si>
    <t>13802055</t>
  </si>
  <si>
    <t>13804006</t>
  </si>
  <si>
    <t>01201068</t>
  </si>
  <si>
    <t>02201202</t>
  </si>
  <si>
    <t>08101021</t>
  </si>
  <si>
    <t>12002004</t>
  </si>
  <si>
    <t>13001005</t>
  </si>
  <si>
    <t>01601054</t>
  </si>
  <si>
    <t>02201068</t>
  </si>
  <si>
    <t>02201130</t>
  </si>
  <si>
    <t>02301119</t>
  </si>
  <si>
    <t>11101008</t>
  </si>
  <si>
    <t>12602002</t>
  </si>
  <si>
    <t>13805003</t>
  </si>
  <si>
    <t>21601024</t>
  </si>
  <si>
    <t>21601070</t>
  </si>
  <si>
    <t>13701025</t>
  </si>
  <si>
    <t>08101081</t>
  </si>
  <si>
    <t>12005015</t>
  </si>
  <si>
    <t>13001004</t>
  </si>
  <si>
    <t>13101014</t>
  </si>
  <si>
    <t>21601076</t>
  </si>
  <si>
    <t>13802024</t>
  </si>
  <si>
    <t>13802026</t>
  </si>
  <si>
    <t>07501012</t>
  </si>
  <si>
    <t>13301028</t>
  </si>
  <si>
    <t>08002008</t>
  </si>
  <si>
    <t>08001009</t>
  </si>
  <si>
    <t>20101004</t>
  </si>
  <si>
    <t>13805002</t>
  </si>
  <si>
    <t>21601075</t>
  </si>
  <si>
    <t>01601064</t>
  </si>
  <si>
    <t>01601084</t>
  </si>
  <si>
    <t>08002018</t>
  </si>
  <si>
    <t>11302007</t>
  </si>
  <si>
    <t>12701004</t>
  </si>
  <si>
    <t>21601023</t>
  </si>
  <si>
    <t>21601065</t>
  </si>
  <si>
    <t>21601080</t>
  </si>
  <si>
    <t>08101026</t>
  </si>
  <si>
    <t>11301002</t>
  </si>
  <si>
    <t>12701009</t>
  </si>
  <si>
    <t>21601028</t>
  </si>
  <si>
    <t>12914003</t>
  </si>
  <si>
    <t>26801034</t>
  </si>
  <si>
    <t>12001006</t>
  </si>
  <si>
    <t>12907011</t>
  </si>
  <si>
    <t>12006007</t>
  </si>
  <si>
    <t>13804003</t>
  </si>
  <si>
    <t>21601018</t>
  </si>
  <si>
    <t>21601036</t>
  </si>
  <si>
    <t>12901004</t>
  </si>
  <si>
    <t>13101004</t>
  </si>
  <si>
    <t>21601022</t>
  </si>
  <si>
    <t>26201010</t>
  </si>
  <si>
    <t>02201290</t>
  </si>
  <si>
    <t>12006011</t>
  </si>
  <si>
    <t>12701015</t>
  </si>
  <si>
    <t>14001004</t>
  </si>
  <si>
    <t>13806001</t>
  </si>
  <si>
    <t>26501008</t>
  </si>
  <si>
    <t>12006017</t>
  </si>
  <si>
    <t>12902025</t>
  </si>
  <si>
    <t>13802040</t>
  </si>
  <si>
    <t>13701016</t>
  </si>
  <si>
    <t>26501009</t>
  </si>
  <si>
    <t>26501012</t>
  </si>
  <si>
    <t>26501010</t>
  </si>
  <si>
    <t>13802021</t>
  </si>
  <si>
    <t>21601064</t>
  </si>
  <si>
    <t>13802005</t>
  </si>
  <si>
    <t>26501013</t>
  </si>
  <si>
    <t>26501011</t>
  </si>
  <si>
    <t>08101068</t>
  </si>
  <si>
    <t>12902065</t>
  </si>
  <si>
    <t>12904046</t>
  </si>
  <si>
    <t>26501007</t>
  </si>
  <si>
    <t>13806002</t>
  </si>
  <si>
    <t>13802002</t>
  </si>
  <si>
    <t>13802036</t>
  </si>
  <si>
    <t>13701009</t>
  </si>
  <si>
    <t>12601022</t>
  </si>
  <si>
    <t>12908064</t>
  </si>
  <si>
    <t>12701022</t>
  </si>
  <si>
    <t>26201005</t>
  </si>
  <si>
    <t>26301016</t>
  </si>
  <si>
    <t>11601065</t>
  </si>
  <si>
    <t>12601035</t>
  </si>
  <si>
    <t>11601045</t>
  </si>
  <si>
    <t>12601014</t>
  </si>
  <si>
    <t>12601017</t>
  </si>
  <si>
    <t>12601020</t>
  </si>
  <si>
    <t>12601028</t>
  </si>
  <si>
    <t>12601033</t>
  </si>
  <si>
    <t>13802039</t>
  </si>
  <si>
    <t>11601025</t>
  </si>
  <si>
    <t>12601004</t>
  </si>
  <si>
    <t>12902064</t>
  </si>
  <si>
    <t>13701003</t>
  </si>
  <si>
    <t>26301002</t>
  </si>
  <si>
    <t>02501019</t>
  </si>
  <si>
    <t>12701046</t>
  </si>
  <si>
    <t>13802008</t>
  </si>
  <si>
    <t>11601011</t>
  </si>
  <si>
    <t>12601018</t>
  </si>
  <si>
    <t>13701020</t>
  </si>
  <si>
    <t>12601007</t>
  </si>
  <si>
    <t>12601019</t>
  </si>
  <si>
    <t>12601030</t>
  </si>
  <si>
    <t>21601053</t>
  </si>
  <si>
    <t>26201003</t>
  </si>
  <si>
    <t>26201020</t>
  </si>
  <si>
    <t>13806003</t>
  </si>
  <si>
    <t>26201004</t>
  </si>
  <si>
    <t>13701017</t>
  </si>
  <si>
    <t>26301005</t>
  </si>
  <si>
    <t>12601005</t>
  </si>
  <si>
    <t>13802033</t>
  </si>
  <si>
    <t>21601066</t>
  </si>
  <si>
    <t>13802041</t>
  </si>
  <si>
    <t>26801013</t>
  </si>
  <si>
    <t>12601034</t>
  </si>
  <si>
    <t>12701028</t>
  </si>
  <si>
    <t>13301025</t>
  </si>
  <si>
    <t>13001006</t>
  </si>
  <si>
    <t>13802012</t>
  </si>
  <si>
    <t>26301012</t>
  </si>
  <si>
    <t>12301003</t>
  </si>
  <si>
    <t>12601024</t>
  </si>
  <si>
    <t>12902068</t>
  </si>
  <si>
    <t>13802015</t>
  </si>
  <si>
    <t>12913011</t>
  </si>
  <si>
    <t>11601029</t>
  </si>
  <si>
    <t>08101055</t>
  </si>
  <si>
    <t>12908044</t>
  </si>
  <si>
    <t>12902066</t>
  </si>
  <si>
    <t>26801023</t>
  </si>
  <si>
    <t>12905006</t>
  </si>
  <si>
    <t>21601052</t>
  </si>
  <si>
    <t>01601055</t>
  </si>
  <si>
    <t>12601027</t>
  </si>
  <si>
    <t>12601029</t>
  </si>
  <si>
    <t>12601002</t>
  </si>
  <si>
    <t>12601011</t>
  </si>
  <si>
    <t>12601026</t>
  </si>
  <si>
    <t>12908066</t>
  </si>
  <si>
    <t>11601024</t>
  </si>
  <si>
    <t>12602001</t>
  </si>
  <si>
    <t>11601026</t>
  </si>
  <si>
    <t>12908004</t>
  </si>
  <si>
    <t>20101009</t>
  </si>
  <si>
    <t>21601074</t>
  </si>
  <si>
    <t>26201021</t>
  </si>
  <si>
    <t>12905002</t>
  </si>
  <si>
    <t>12905012</t>
  </si>
  <si>
    <t>26201006</t>
  </si>
  <si>
    <t>C09901021</t>
  </si>
  <si>
    <t>03102011</t>
  </si>
  <si>
    <t>03102012</t>
  </si>
  <si>
    <t>06002010</t>
  </si>
  <si>
    <t>03102029</t>
  </si>
  <si>
    <t>03102030</t>
  </si>
  <si>
    <t>02002004</t>
  </si>
  <si>
    <t>02002005</t>
  </si>
  <si>
    <t>02002006</t>
  </si>
  <si>
    <t>04302004</t>
  </si>
  <si>
    <t>07802004</t>
  </si>
  <si>
    <t>07802006</t>
  </si>
  <si>
    <t>03202019</t>
  </si>
  <si>
    <t>07802009</t>
  </si>
  <si>
    <t>05802018</t>
  </si>
  <si>
    <t>01303002</t>
  </si>
  <si>
    <t>01303004</t>
  </si>
  <si>
    <t>01301004</t>
  </si>
  <si>
    <t>01303003</t>
  </si>
  <si>
    <t>01303008</t>
  </si>
  <si>
    <t>01302003</t>
  </si>
  <si>
    <t>07401020</t>
  </si>
  <si>
    <t>07401019</t>
  </si>
  <si>
    <t>07401004</t>
  </si>
  <si>
    <t>05902037</t>
  </si>
  <si>
    <t>01801006</t>
  </si>
  <si>
    <t>02201028</t>
  </si>
  <si>
    <t>01801014</t>
  </si>
  <si>
    <t>02301041</t>
  </si>
  <si>
    <t>06201011</t>
  </si>
  <si>
    <t>03101007</t>
  </si>
  <si>
    <t>07501011</t>
  </si>
  <si>
    <t>04702005</t>
  </si>
  <si>
    <t>03102014</t>
  </si>
  <si>
    <t>03102026</t>
  </si>
  <si>
    <t>02011007</t>
  </si>
  <si>
    <t>03102025</t>
  </si>
  <si>
    <t>04702004</t>
  </si>
  <si>
    <t>07802016</t>
  </si>
  <si>
    <t>01801011</t>
  </si>
  <si>
    <t>02301110</t>
  </si>
  <si>
    <t>03102020</t>
  </si>
  <si>
    <t>03102019</t>
  </si>
  <si>
    <t>02201029</t>
  </si>
  <si>
    <t>02201008</t>
  </si>
  <si>
    <t>07101004</t>
  </si>
  <si>
    <t>02006005</t>
  </si>
  <si>
    <t>02009021</t>
  </si>
  <si>
    <t>02008005</t>
  </si>
  <si>
    <t>02008004</t>
  </si>
  <si>
    <t>01303007</t>
  </si>
  <si>
    <t>02008006</t>
  </si>
  <si>
    <t>07103012</t>
  </si>
  <si>
    <t>07102018</t>
  </si>
  <si>
    <t>06002004</t>
  </si>
  <si>
    <t>02901004</t>
  </si>
  <si>
    <t>06002005</t>
  </si>
  <si>
    <t>02009072</t>
  </si>
  <si>
    <t>06002007</t>
  </si>
  <si>
    <t>08201004</t>
  </si>
  <si>
    <t>02004006</t>
  </si>
  <si>
    <t>02009010</t>
  </si>
  <si>
    <t>02009018</t>
  </si>
  <si>
    <t>02009051</t>
  </si>
  <si>
    <t>02009068</t>
  </si>
  <si>
    <t>02009045</t>
  </si>
  <si>
    <t>02009059</t>
  </si>
  <si>
    <t>02004005</t>
  </si>
  <si>
    <t>02008012</t>
  </si>
  <si>
    <t>02009075</t>
  </si>
  <si>
    <t>02009030</t>
  </si>
  <si>
    <t>01601060</t>
  </si>
  <si>
    <t>02008007</t>
  </si>
  <si>
    <t>02009023</t>
  </si>
  <si>
    <t>02501003</t>
  </si>
  <si>
    <t>08002005</t>
  </si>
  <si>
    <t>02009016</t>
  </si>
  <si>
    <t>08101058</t>
  </si>
  <si>
    <t>05802011</t>
  </si>
  <si>
    <t>11601010</t>
  </si>
  <si>
    <t>13502007</t>
  </si>
  <si>
    <t>06002006</t>
  </si>
  <si>
    <t>11102008</t>
  </si>
  <si>
    <t>02007002</t>
  </si>
  <si>
    <t>05802016</t>
  </si>
  <si>
    <t>20101003</t>
  </si>
  <si>
    <t>02009054</t>
  </si>
  <si>
    <t>05802015</t>
  </si>
  <si>
    <t>14001001</t>
  </si>
  <si>
    <t>20101007</t>
  </si>
  <si>
    <t>02009019</t>
  </si>
  <si>
    <t>12908081</t>
  </si>
  <si>
    <t>02008007DU1</t>
  </si>
  <si>
    <t>05802012</t>
  </si>
  <si>
    <t>21601056</t>
  </si>
  <si>
    <t>02008007DU</t>
  </si>
  <si>
    <t>05802013</t>
  </si>
  <si>
    <t>12912006</t>
  </si>
  <si>
    <t>03102010</t>
  </si>
  <si>
    <t>07501014</t>
  </si>
  <si>
    <t>02009073</t>
  </si>
  <si>
    <t>05802014</t>
  </si>
  <si>
    <t>07501015</t>
  </si>
  <si>
    <t>12907016</t>
  </si>
  <si>
    <t>02007003</t>
  </si>
  <si>
    <t>12908030</t>
  </si>
  <si>
    <t>08201030</t>
  </si>
  <si>
    <t>01601041</t>
  </si>
  <si>
    <t>01808002</t>
  </si>
  <si>
    <t>01901008</t>
  </si>
  <si>
    <t>06804007</t>
  </si>
  <si>
    <t>13802003</t>
  </si>
  <si>
    <t>11601039</t>
  </si>
  <si>
    <t>13201008</t>
  </si>
  <si>
    <t>01201058</t>
  </si>
  <si>
    <t>01601039</t>
  </si>
  <si>
    <t>26501014</t>
  </si>
  <si>
    <t>11902002</t>
  </si>
  <si>
    <t>13802009</t>
  </si>
  <si>
    <t>21601039</t>
  </si>
  <si>
    <t>12701016</t>
  </si>
  <si>
    <t>13802048</t>
  </si>
  <si>
    <t>12701044</t>
  </si>
  <si>
    <t>21601063</t>
  </si>
  <si>
    <t>12904041</t>
  </si>
  <si>
    <t>13802042</t>
  </si>
  <si>
    <t>13901004</t>
  </si>
  <si>
    <t>21601041</t>
  </si>
  <si>
    <t>01601063</t>
  </si>
  <si>
    <t>12912004</t>
  </si>
  <si>
    <t>02501007</t>
  </si>
  <si>
    <t>11601040</t>
  </si>
  <si>
    <t>11601042</t>
  </si>
  <si>
    <t>11601048</t>
  </si>
  <si>
    <t>11601023</t>
  </si>
  <si>
    <t>13701002</t>
  </si>
  <si>
    <t>11601038</t>
  </si>
  <si>
    <t>13804005</t>
  </si>
  <si>
    <t>Valor razonable de la deuda</t>
  </si>
  <si>
    <t>Flujos contractuales de las obligaciones a corto plazo</t>
  </si>
  <si>
    <t>Un año</t>
  </si>
  <si>
    <t>Dos años</t>
  </si>
  <si>
    <t>Tres años</t>
  </si>
  <si>
    <t>Cuatro años</t>
  </si>
  <si>
    <t>Cinco años y posteriores</t>
  </si>
  <si>
    <t>C11101007</t>
  </si>
  <si>
    <t>C11101008</t>
  </si>
  <si>
    <t>Monto en Pesos Colombianos</t>
  </si>
  <si>
    <t>Monto US$</t>
  </si>
  <si>
    <t>Convertido a pesos col</t>
  </si>
  <si>
    <t>Monto EUR</t>
  </si>
  <si>
    <t>Monto Bol</t>
  </si>
  <si>
    <t>Indique la moneda</t>
  </si>
  <si>
    <t>Convertido a pesos col.</t>
  </si>
  <si>
    <t>Total saldo en pesos COL a la fecha de corte</t>
  </si>
  <si>
    <t>Clasificación en el Estado Financiero</t>
  </si>
  <si>
    <t>11601012</t>
  </si>
  <si>
    <t>11601013</t>
  </si>
  <si>
    <t>11601014</t>
  </si>
  <si>
    <t>11601015</t>
  </si>
  <si>
    <t>11601016</t>
  </si>
  <si>
    <t>11601017</t>
  </si>
  <si>
    <t>11601018</t>
  </si>
  <si>
    <t>11601021</t>
  </si>
  <si>
    <t>11601022</t>
  </si>
  <si>
    <t>11601027</t>
  </si>
  <si>
    <t>11601079</t>
  </si>
  <si>
    <t>11601030</t>
  </si>
  <si>
    <t>11601031</t>
  </si>
  <si>
    <t>11601032</t>
  </si>
  <si>
    <t>11601033</t>
  </si>
  <si>
    <t>11601034</t>
  </si>
  <si>
    <t>11601035</t>
  </si>
  <si>
    <t>11601036</t>
  </si>
  <si>
    <t>11601037</t>
  </si>
  <si>
    <t>11601041</t>
  </si>
  <si>
    <t>11601043</t>
  </si>
  <si>
    <t>11601044</t>
  </si>
  <si>
    <t>11601046</t>
  </si>
  <si>
    <t>11601047</t>
  </si>
  <si>
    <t>11601049</t>
  </si>
  <si>
    <t>11601050</t>
  </si>
  <si>
    <t>11601051</t>
  </si>
  <si>
    <t>11601052</t>
  </si>
  <si>
    <t>11601053</t>
  </si>
  <si>
    <t>11601054</t>
  </si>
  <si>
    <t>11601056</t>
  </si>
  <si>
    <t>11601090</t>
  </si>
  <si>
    <t>11601057</t>
  </si>
  <si>
    <t>11601058</t>
  </si>
  <si>
    <t>11601059</t>
  </si>
  <si>
    <t>11601060</t>
  </si>
  <si>
    <t>11601061</t>
  </si>
  <si>
    <t>11601062</t>
  </si>
  <si>
    <t>11601063</t>
  </si>
  <si>
    <t>11601064</t>
  </si>
  <si>
    <t>11601066</t>
  </si>
  <si>
    <t>11601067</t>
  </si>
  <si>
    <t>11601068</t>
  </si>
  <si>
    <t>11601069</t>
  </si>
  <si>
    <t>11601070</t>
  </si>
  <si>
    <t>11601071</t>
  </si>
  <si>
    <t>11601072</t>
  </si>
  <si>
    <t>11601073</t>
  </si>
  <si>
    <t>11601074</t>
  </si>
  <si>
    <t>11601075</t>
  </si>
  <si>
    <t>11601076</t>
  </si>
  <si>
    <t>11601077</t>
  </si>
  <si>
    <t>11601078</t>
  </si>
  <si>
    <t>11601001</t>
  </si>
  <si>
    <t>Cuentas por cobrar</t>
  </si>
  <si>
    <t>cuentas por pagar</t>
  </si>
  <si>
    <t>Ingresos</t>
  </si>
  <si>
    <t>Gastos</t>
  </si>
  <si>
    <t>11901002</t>
  </si>
  <si>
    <t>11901003</t>
  </si>
  <si>
    <t>11901004</t>
  </si>
  <si>
    <t>11901005</t>
  </si>
  <si>
    <t>11901006</t>
  </si>
  <si>
    <t>11901007</t>
  </si>
  <si>
    <t>11901008</t>
  </si>
  <si>
    <t>11901009</t>
  </si>
  <si>
    <t>11901010</t>
  </si>
  <si>
    <t>11901011</t>
  </si>
  <si>
    <t>11901012</t>
  </si>
  <si>
    <t>11901013</t>
  </si>
  <si>
    <t>11901014</t>
  </si>
  <si>
    <t>11901015</t>
  </si>
  <si>
    <t>11901016</t>
  </si>
  <si>
    <t>11901001</t>
  </si>
  <si>
    <t>11902003</t>
  </si>
  <si>
    <t>11902004</t>
  </si>
  <si>
    <t>11902005</t>
  </si>
  <si>
    <t>11902006</t>
  </si>
  <si>
    <t>11902007</t>
  </si>
  <si>
    <t>11902008</t>
  </si>
  <si>
    <t>11902009</t>
  </si>
  <si>
    <t>11902010</t>
  </si>
  <si>
    <t>11902011</t>
  </si>
  <si>
    <t>11902012</t>
  </si>
  <si>
    <t>11902013</t>
  </si>
  <si>
    <t>11902014</t>
  </si>
  <si>
    <t>11902015</t>
  </si>
  <si>
    <t>11902016</t>
  </si>
  <si>
    <t>11902001</t>
  </si>
  <si>
    <t>11904003</t>
  </si>
  <si>
    <t>11904004</t>
  </si>
  <si>
    <t>11904005</t>
  </si>
  <si>
    <t>11904006</t>
  </si>
  <si>
    <t>11904007</t>
  </si>
  <si>
    <t>11904008</t>
  </si>
  <si>
    <t>11904009</t>
  </si>
  <si>
    <t>11904010</t>
  </si>
  <si>
    <t>11904011</t>
  </si>
  <si>
    <t>11904012</t>
  </si>
  <si>
    <t>11904013</t>
  </si>
  <si>
    <t>11904014</t>
  </si>
  <si>
    <t>11904015</t>
  </si>
  <si>
    <t>11904016</t>
  </si>
  <si>
    <t>11904001</t>
  </si>
  <si>
    <t>11905002</t>
  </si>
  <si>
    <t>11905003</t>
  </si>
  <si>
    <t>11905001</t>
  </si>
  <si>
    <t>C11901003</t>
  </si>
  <si>
    <t>C11901001</t>
  </si>
  <si>
    <t>C11902001</t>
  </si>
  <si>
    <t>C11904003</t>
  </si>
  <si>
    <t>C11904001</t>
  </si>
  <si>
    <t>C11905003</t>
  </si>
  <si>
    <t>C11905001</t>
  </si>
  <si>
    <t>C11904006</t>
  </si>
  <si>
    <t>PERIODO1</t>
  </si>
  <si>
    <t>PERIODO2</t>
  </si>
  <si>
    <t>FILA_COLUMNA</t>
  </si>
  <si>
    <t>03401004_C03401015</t>
  </si>
  <si>
    <t>01501075_C01501001</t>
  </si>
  <si>
    <t>01601082_C01601001</t>
  </si>
  <si>
    <t>02201208_C02201001</t>
  </si>
  <si>
    <t>06703005_C06703002</t>
  </si>
  <si>
    <t>09902002_C09901019</t>
  </si>
  <si>
    <t>21601004_C21601001</t>
  </si>
  <si>
    <t>02201117_C02201001</t>
  </si>
  <si>
    <t>21601082_C21601001</t>
  </si>
  <si>
    <t>12806002_C12801004</t>
  </si>
  <si>
    <t>12806004_C12801004</t>
  </si>
  <si>
    <t>02201091_C02201001</t>
  </si>
  <si>
    <t>11010001_C11001002</t>
  </si>
  <si>
    <t>02301063_C02301001</t>
  </si>
  <si>
    <t>12912003_C12912001</t>
  </si>
  <si>
    <t>01201068_C01201001</t>
  </si>
  <si>
    <t>02201202_C02201001</t>
  </si>
  <si>
    <t>12803001_C12801002</t>
  </si>
  <si>
    <t>12806003_C12801004</t>
  </si>
  <si>
    <t>08101068_C08101001</t>
  </si>
  <si>
    <t>C11905005</t>
  </si>
  <si>
    <t>C11905006</t>
  </si>
  <si>
    <t>C11905004</t>
  </si>
  <si>
    <t>GRUPO</t>
  </si>
  <si>
    <t>GINVERVAC</t>
  </si>
  <si>
    <t>Activos corrientes totales</t>
  </si>
  <si>
    <t>Efectivo y equivalentes al efectivo</t>
  </si>
  <si>
    <t>S1</t>
  </si>
  <si>
    <t>S1_0</t>
  </si>
  <si>
    <t>S10_0</t>
  </si>
  <si>
    <t>S100_0</t>
  </si>
  <si>
    <t>S1105_0</t>
  </si>
  <si>
    <t>S110505_0</t>
  </si>
  <si>
    <t>S110510_0</t>
  </si>
  <si>
    <t>S110515_0</t>
  </si>
  <si>
    <t>S1110_0</t>
  </si>
  <si>
    <t>S111005_0</t>
  </si>
  <si>
    <t>S111010_0</t>
  </si>
  <si>
    <t>S1120_0</t>
  </si>
  <si>
    <t>S112005_0</t>
  </si>
  <si>
    <t>S1125_0</t>
  </si>
  <si>
    <t>S112505_0</t>
  </si>
  <si>
    <t>Otros activos financieros corrientes</t>
  </si>
  <si>
    <t>S130_0</t>
  </si>
  <si>
    <t>S1227_0</t>
  </si>
  <si>
    <t>S122710_0</t>
  </si>
  <si>
    <t>Otros activos financieros no corrientes</t>
  </si>
  <si>
    <t>S1_1</t>
  </si>
  <si>
    <t>S160_1</t>
  </si>
  <si>
    <t>S1227_1</t>
  </si>
  <si>
    <t>S122745_0</t>
  </si>
  <si>
    <t>S122745_1</t>
  </si>
  <si>
    <t>G122745110</t>
  </si>
  <si>
    <t>S1235_0</t>
  </si>
  <si>
    <t>S123565_0</t>
  </si>
  <si>
    <t>S1245_0</t>
  </si>
  <si>
    <t>S124505_0</t>
  </si>
  <si>
    <t>S1255_1</t>
  </si>
  <si>
    <t>S125595_1</t>
  </si>
  <si>
    <t>G125595100</t>
  </si>
  <si>
    <t>Cuentas en participación</t>
  </si>
  <si>
    <t>S125_1</t>
  </si>
  <si>
    <t>S1265_1</t>
  </si>
  <si>
    <t>S126505_1</t>
  </si>
  <si>
    <t>G126505100</t>
  </si>
  <si>
    <t>Negocios conjuntos</t>
  </si>
  <si>
    <t>S1275_1</t>
  </si>
  <si>
    <t>S127505_1</t>
  </si>
  <si>
    <t>G127505100</t>
  </si>
  <si>
    <t>S1280_1</t>
  </si>
  <si>
    <t>S128005_1</t>
  </si>
  <si>
    <t>G128005100</t>
  </si>
  <si>
    <t>S128015_1</t>
  </si>
  <si>
    <t>G128015100</t>
  </si>
  <si>
    <t>Compañías vinculadas</t>
  </si>
  <si>
    <t>S131010_0</t>
  </si>
  <si>
    <t>S131010_1</t>
  </si>
  <si>
    <t>G131010100</t>
  </si>
  <si>
    <t>Inventarios corrientes</t>
  </si>
  <si>
    <t>Propiedades, planta y equipo</t>
  </si>
  <si>
    <t>Propiedades, planta y equipo en transito</t>
  </si>
  <si>
    <t>S100_1</t>
  </si>
  <si>
    <t>S15_1</t>
  </si>
  <si>
    <t>Servicios</t>
  </si>
  <si>
    <t>Activos por impuestos corrientes, corriente</t>
  </si>
  <si>
    <t>S120_0</t>
  </si>
  <si>
    <t>S1355_0</t>
  </si>
  <si>
    <t>S135505_0</t>
  </si>
  <si>
    <t>Retención en la fuente</t>
  </si>
  <si>
    <t>S135515_0</t>
  </si>
  <si>
    <t>S135520_0</t>
  </si>
  <si>
    <t>Reclamaciones</t>
  </si>
  <si>
    <t>S1360_0</t>
  </si>
  <si>
    <t>S136095_0</t>
  </si>
  <si>
    <t>S1365_0</t>
  </si>
  <si>
    <t>S136505_0</t>
  </si>
  <si>
    <t>S1365_1</t>
  </si>
  <si>
    <t>S136505_1</t>
  </si>
  <si>
    <t>G136505100</t>
  </si>
  <si>
    <t>S136510_0</t>
  </si>
  <si>
    <t>S136510_1</t>
  </si>
  <si>
    <t>G136510100</t>
  </si>
  <si>
    <t>S136595_0</t>
  </si>
  <si>
    <t>S136596_0</t>
  </si>
  <si>
    <t>S136596_1</t>
  </si>
  <si>
    <t>G136596100</t>
  </si>
  <si>
    <t>S1380_0</t>
  </si>
  <si>
    <t>S138095_0</t>
  </si>
  <si>
    <t>S1380_1</t>
  </si>
  <si>
    <t>S138095_1</t>
  </si>
  <si>
    <t>G138095100</t>
  </si>
  <si>
    <t>Provisiones</t>
  </si>
  <si>
    <t>S1399_1</t>
  </si>
  <si>
    <t>S139975_1</t>
  </si>
  <si>
    <t>G139975100</t>
  </si>
  <si>
    <t>Envases y empaques</t>
  </si>
  <si>
    <t>Terrenos</t>
  </si>
  <si>
    <t>S1504_1</t>
  </si>
  <si>
    <t>S150405_1</t>
  </si>
  <si>
    <t>Propiedad de inversión</t>
  </si>
  <si>
    <t>S150410_1</t>
  </si>
  <si>
    <t>Construcciones en curso</t>
  </si>
  <si>
    <t>S1508_1</t>
  </si>
  <si>
    <t>S150805_1</t>
  </si>
  <si>
    <t>Maquinaria y equipos en montaje</t>
  </si>
  <si>
    <t>S101_1</t>
  </si>
  <si>
    <t>S1513_1</t>
  </si>
  <si>
    <t>S151304_1</t>
  </si>
  <si>
    <t>S151316_1</t>
  </si>
  <si>
    <t>G151316100</t>
  </si>
  <si>
    <t>S151318_1</t>
  </si>
  <si>
    <t>S151320_1</t>
  </si>
  <si>
    <t>S151324_1</t>
  </si>
  <si>
    <t>G151324100</t>
  </si>
  <si>
    <t>S151328_1</t>
  </si>
  <si>
    <t>S151340_1</t>
  </si>
  <si>
    <t>Construcciones y edificaciones</t>
  </si>
  <si>
    <t>Edificios</t>
  </si>
  <si>
    <t>Mejoras en propiedades ajenas</t>
  </si>
  <si>
    <t>Maquinaria y equipo</t>
  </si>
  <si>
    <t>Equipo de oficina</t>
  </si>
  <si>
    <t>S1524_1</t>
  </si>
  <si>
    <t>S152405_1</t>
  </si>
  <si>
    <t>S152410_1</t>
  </si>
  <si>
    <t>S152495_1</t>
  </si>
  <si>
    <t>Equipo de computación y comunicación</t>
  </si>
  <si>
    <t>S1528_1</t>
  </si>
  <si>
    <t>S152805_1</t>
  </si>
  <si>
    <t>S152895_1</t>
  </si>
  <si>
    <t>Flota y equipo de transporte</t>
  </si>
  <si>
    <t>S1540_1</t>
  </si>
  <si>
    <t>S154005_1</t>
  </si>
  <si>
    <t>S154030_1</t>
  </si>
  <si>
    <t>Flota y equipo fluvial y/o marítimo</t>
  </si>
  <si>
    <t>Buques</t>
  </si>
  <si>
    <t>Acueductos, plantas y redes</t>
  </si>
  <si>
    <t>Armamento de vigilancia</t>
  </si>
  <si>
    <t>Activos biológicos no corrientes</t>
  </si>
  <si>
    <t>Semovientes</t>
  </si>
  <si>
    <t>S1584_1</t>
  </si>
  <si>
    <t>S1592_1</t>
  </si>
  <si>
    <t>S151392_1</t>
  </si>
  <si>
    <t>S15139204_1</t>
  </si>
  <si>
    <t>S15139205_1</t>
  </si>
  <si>
    <t>G159213116</t>
  </si>
  <si>
    <t>S15139218_1</t>
  </si>
  <si>
    <t>S15139210_1</t>
  </si>
  <si>
    <t>S15139215_1</t>
  </si>
  <si>
    <t>G159213124</t>
  </si>
  <si>
    <t>S15139220_1</t>
  </si>
  <si>
    <t>S15139235_1</t>
  </si>
  <si>
    <t>S159215_1</t>
  </si>
  <si>
    <t>G159215100</t>
  </si>
  <si>
    <t>S159220_1</t>
  </si>
  <si>
    <t>G159220100</t>
  </si>
  <si>
    <t>S159235_1</t>
  </si>
  <si>
    <t>G159235100</t>
  </si>
  <si>
    <t>Plusvalía</t>
  </si>
  <si>
    <t>S115_1</t>
  </si>
  <si>
    <t>S16_1</t>
  </si>
  <si>
    <t>S1635_1</t>
  </si>
  <si>
    <t>S163505_1</t>
  </si>
  <si>
    <t>S1698_1</t>
  </si>
  <si>
    <t>Otros activos no financieros corrientes</t>
  </si>
  <si>
    <t>Comisiones</t>
  </si>
  <si>
    <t>S135_0</t>
  </si>
  <si>
    <t>S1705_0</t>
  </si>
  <si>
    <t>S170520_0</t>
  </si>
  <si>
    <t>Otros activos no financieros no corrientes</t>
  </si>
  <si>
    <t>S165_1</t>
  </si>
  <si>
    <t>S1705_1</t>
  </si>
  <si>
    <t>Arrendamientos</t>
  </si>
  <si>
    <t>Suscripciones</t>
  </si>
  <si>
    <t>S170570_1</t>
  </si>
  <si>
    <t>G170570100</t>
  </si>
  <si>
    <t>S170595_0</t>
  </si>
  <si>
    <t>S171016_1</t>
  </si>
  <si>
    <t>G171016100</t>
  </si>
  <si>
    <t>Activos por impuestos diferidos</t>
  </si>
  <si>
    <t>S179816_1</t>
  </si>
  <si>
    <t>G179816100</t>
  </si>
  <si>
    <t>S1805_1</t>
  </si>
  <si>
    <t>S180505_1</t>
  </si>
  <si>
    <t>G180505100</t>
  </si>
  <si>
    <t>Pasivos corrientes totales</t>
  </si>
  <si>
    <t>Obligaciones financieras corrientes</t>
  </si>
  <si>
    <t>S2</t>
  </si>
  <si>
    <t>S2A</t>
  </si>
  <si>
    <t>S2_0</t>
  </si>
  <si>
    <t>S200_0</t>
  </si>
  <si>
    <t>Obligaciones financieras no corrientes</t>
  </si>
  <si>
    <t>S2_1</t>
  </si>
  <si>
    <t>S200_1</t>
  </si>
  <si>
    <t>S2105_1</t>
  </si>
  <si>
    <t>S210510_1</t>
  </si>
  <si>
    <t>G210510100</t>
  </si>
  <si>
    <t>S213_0</t>
  </si>
  <si>
    <t>S211304_0</t>
  </si>
  <si>
    <t>S211316_0</t>
  </si>
  <si>
    <t>G211305016</t>
  </si>
  <si>
    <t>S211318_0</t>
  </si>
  <si>
    <t>S211320_0</t>
  </si>
  <si>
    <t>S211324_0</t>
  </si>
  <si>
    <t>G211305024</t>
  </si>
  <si>
    <t>S211328_0</t>
  </si>
  <si>
    <t>S211340_0</t>
  </si>
  <si>
    <t>S213_1</t>
  </si>
  <si>
    <t>S211304_1</t>
  </si>
  <si>
    <t>S211316_1</t>
  </si>
  <si>
    <t>G211305116</t>
  </si>
  <si>
    <t>S211318_1</t>
  </si>
  <si>
    <t>S211320_1</t>
  </si>
  <si>
    <t>S211324_1</t>
  </si>
  <si>
    <t>G211305124</t>
  </si>
  <si>
    <t>S211328_1</t>
  </si>
  <si>
    <t>S211340_1</t>
  </si>
  <si>
    <t>S2120_0</t>
  </si>
  <si>
    <t>S212020_0</t>
  </si>
  <si>
    <t>S2120_1</t>
  </si>
  <si>
    <t>S212020_1</t>
  </si>
  <si>
    <t>G212020100</t>
  </si>
  <si>
    <t>S2195_1</t>
  </si>
  <si>
    <t>S219505_1</t>
  </si>
  <si>
    <t>G219505100</t>
  </si>
  <si>
    <t>S220_0</t>
  </si>
  <si>
    <t>S215_1</t>
  </si>
  <si>
    <t>Cuentas por pagar partes relacionadas y asociadas corrientes</t>
  </si>
  <si>
    <t>S2315_0</t>
  </si>
  <si>
    <t>S231505_0</t>
  </si>
  <si>
    <t>S2315_1</t>
  </si>
  <si>
    <t>S231505_1</t>
  </si>
  <si>
    <t>G231505100</t>
  </si>
  <si>
    <t>S2335_0</t>
  </si>
  <si>
    <t>S233505_0</t>
  </si>
  <si>
    <t>Gastos legales</t>
  </si>
  <si>
    <t>S233510_0</t>
  </si>
  <si>
    <t>S233520_0</t>
  </si>
  <si>
    <t>Honorarios</t>
  </si>
  <si>
    <t>S233525_0</t>
  </si>
  <si>
    <t>S233535_0</t>
  </si>
  <si>
    <t>S233550_0</t>
  </si>
  <si>
    <t>Seguros</t>
  </si>
  <si>
    <t>S233555_0</t>
  </si>
  <si>
    <t>Gastos de viaje</t>
  </si>
  <si>
    <t>S233560_0</t>
  </si>
  <si>
    <t>Gastos de personal</t>
  </si>
  <si>
    <t>S233595_0</t>
  </si>
  <si>
    <t>Otros pasivos financieros corrientes</t>
  </si>
  <si>
    <t>Dividendos</t>
  </si>
  <si>
    <t>Dividendos por pagar</t>
  </si>
  <si>
    <t>S235_0</t>
  </si>
  <si>
    <t>S2360_0</t>
  </si>
  <si>
    <t>S236005_0</t>
  </si>
  <si>
    <t>S2365_0</t>
  </si>
  <si>
    <t>S236515_0</t>
  </si>
  <si>
    <t>S236520_0</t>
  </si>
  <si>
    <t>S236525_0</t>
  </si>
  <si>
    <t>S236530_0</t>
  </si>
  <si>
    <t>S236535_0</t>
  </si>
  <si>
    <t>Compras</t>
  </si>
  <si>
    <t>S236540_0</t>
  </si>
  <si>
    <t>S236551_0</t>
  </si>
  <si>
    <t>S236570_0</t>
  </si>
  <si>
    <t>S236575_0</t>
  </si>
  <si>
    <t>S236576_0</t>
  </si>
  <si>
    <t>S236590_0</t>
  </si>
  <si>
    <t>S2367_0</t>
  </si>
  <si>
    <t>S236705_0</t>
  </si>
  <si>
    <t>S236790_0</t>
  </si>
  <si>
    <t>S2368_0</t>
  </si>
  <si>
    <t>S236805_0</t>
  </si>
  <si>
    <t>S236890_0</t>
  </si>
  <si>
    <t>S21</t>
  </si>
  <si>
    <t>S210_0</t>
  </si>
  <si>
    <t>S2370_0</t>
  </si>
  <si>
    <t>S2380_0</t>
  </si>
  <si>
    <t>S238095_0</t>
  </si>
  <si>
    <t>S2380_1</t>
  </si>
  <si>
    <t>S238095_1</t>
  </si>
  <si>
    <t>G238095100</t>
  </si>
  <si>
    <t>Pasivos por impuestos corrientes, corriente</t>
  </si>
  <si>
    <t>S230_0</t>
  </si>
  <si>
    <t>S2408_0</t>
  </si>
  <si>
    <t>S240805_0</t>
  </si>
  <si>
    <t>S2412_0</t>
  </si>
  <si>
    <t>S241205_0</t>
  </si>
  <si>
    <t>S241210_0</t>
  </si>
  <si>
    <t>S2510_0</t>
  </si>
  <si>
    <t>S2515_0</t>
  </si>
  <si>
    <t>S2520_0</t>
  </si>
  <si>
    <t>S2525_0</t>
  </si>
  <si>
    <t>S22</t>
  </si>
  <si>
    <t>Otras provisiones corrientes</t>
  </si>
  <si>
    <t>S215_0</t>
  </si>
  <si>
    <t>S2635_0</t>
  </si>
  <si>
    <t>Otras provisiones no corrientes</t>
  </si>
  <si>
    <t>S210_1</t>
  </si>
  <si>
    <t>S2635_1</t>
  </si>
  <si>
    <t>S263595_1</t>
  </si>
  <si>
    <t>Otros pasivos no financieros corrientes</t>
  </si>
  <si>
    <t>S2705_0</t>
  </si>
  <si>
    <t>Pasivo por impuestos diferidos</t>
  </si>
  <si>
    <t>S225_1</t>
  </si>
  <si>
    <t>S2725_1</t>
  </si>
  <si>
    <t>S272510_1</t>
  </si>
  <si>
    <t>G272510100</t>
  </si>
  <si>
    <t>S2805_0</t>
  </si>
  <si>
    <t>S280595_0</t>
  </si>
  <si>
    <t>Otros pasivos financieros no corrientes</t>
  </si>
  <si>
    <t>Patrimonio total</t>
  </si>
  <si>
    <t>Participaciones no controladoras</t>
  </si>
  <si>
    <t>S3</t>
  </si>
  <si>
    <t>S32</t>
  </si>
  <si>
    <t>S395</t>
  </si>
  <si>
    <t>S2005_1</t>
  </si>
  <si>
    <t>S200505</t>
  </si>
  <si>
    <t>G300505000</t>
  </si>
  <si>
    <t>Patrimonio atribuible a propietarios de la controladora</t>
  </si>
  <si>
    <t>Capital emitido</t>
  </si>
  <si>
    <t>S31</t>
  </si>
  <si>
    <t>S300</t>
  </si>
  <si>
    <t>S310505_0</t>
  </si>
  <si>
    <t>G310505000</t>
  </si>
  <si>
    <t>S310510_0</t>
  </si>
  <si>
    <t>G310510000</t>
  </si>
  <si>
    <t>S311505_0</t>
  </si>
  <si>
    <t>G311505000</t>
  </si>
  <si>
    <t>Prima de emisión</t>
  </si>
  <si>
    <t>S310</t>
  </si>
  <si>
    <t>S320505_0</t>
  </si>
  <si>
    <t>G320505000</t>
  </si>
  <si>
    <t>G320505032</t>
  </si>
  <si>
    <t>Otras participaciones en el patrimonio</t>
  </si>
  <si>
    <t>S325</t>
  </si>
  <si>
    <t>S3215_0</t>
  </si>
  <si>
    <t>S321505_0</t>
  </si>
  <si>
    <t>G321505000</t>
  </si>
  <si>
    <t>Reservas</t>
  </si>
  <si>
    <t>Reserva legal</t>
  </si>
  <si>
    <t>S330</t>
  </si>
  <si>
    <t>S3305_0</t>
  </si>
  <si>
    <t>S330505_0</t>
  </si>
  <si>
    <t>G330505000</t>
  </si>
  <si>
    <t>S330515_0</t>
  </si>
  <si>
    <t>G330515000</t>
  </si>
  <si>
    <t>Acciones propias en cartera</t>
  </si>
  <si>
    <t>S305</t>
  </si>
  <si>
    <t>S330516_0</t>
  </si>
  <si>
    <t>G330516000</t>
  </si>
  <si>
    <t>S330595_0</t>
  </si>
  <si>
    <t>S3315_0</t>
  </si>
  <si>
    <t>S331510_0</t>
  </si>
  <si>
    <t>G331510000</t>
  </si>
  <si>
    <t>S331515_0</t>
  </si>
  <si>
    <t>G331515000</t>
  </si>
  <si>
    <t>S331545_0</t>
  </si>
  <si>
    <t>G331545000</t>
  </si>
  <si>
    <t>S331595_0</t>
  </si>
  <si>
    <t>G331595020</t>
  </si>
  <si>
    <t>G331595032</t>
  </si>
  <si>
    <t>Resultado del ejercicio</t>
  </si>
  <si>
    <t>S315</t>
  </si>
  <si>
    <t>S3605_0</t>
  </si>
  <si>
    <t>S360505</t>
  </si>
  <si>
    <t>G360505000</t>
  </si>
  <si>
    <t>Ganancias (pérdidas) acumuladas</t>
  </si>
  <si>
    <t>S320</t>
  </si>
  <si>
    <t>S3605_0_UTO</t>
  </si>
  <si>
    <t>S360510_0</t>
  </si>
  <si>
    <t>G360510000</t>
  </si>
  <si>
    <t>G360510032</t>
  </si>
  <si>
    <t>S3610_0</t>
  </si>
  <si>
    <t>S361005</t>
  </si>
  <si>
    <t>G361005000</t>
  </si>
  <si>
    <t>S3705_0</t>
  </si>
  <si>
    <t>S370505_0</t>
  </si>
  <si>
    <t>G370505000</t>
  </si>
  <si>
    <t>G370505032</t>
  </si>
  <si>
    <t>S3705_01_1raVez</t>
  </si>
  <si>
    <t>S370510_0</t>
  </si>
  <si>
    <t>G370510000</t>
  </si>
  <si>
    <t>G370510032</t>
  </si>
  <si>
    <t>S3710_0</t>
  </si>
  <si>
    <t>S371005_0</t>
  </si>
  <si>
    <t>G371005000</t>
  </si>
  <si>
    <t>G371005032</t>
  </si>
  <si>
    <t>S3710_0_1raVez</t>
  </si>
  <si>
    <t>S371010_0</t>
  </si>
  <si>
    <t>G371010032</t>
  </si>
  <si>
    <t>Otras reservas</t>
  </si>
  <si>
    <t>S335</t>
  </si>
  <si>
    <t>S3810_0</t>
  </si>
  <si>
    <t>S381004_0</t>
  </si>
  <si>
    <t>G381004000</t>
  </si>
  <si>
    <t>G381004005</t>
  </si>
  <si>
    <t>G381004032</t>
  </si>
  <si>
    <t>G381004035</t>
  </si>
  <si>
    <t>S381008_0</t>
  </si>
  <si>
    <t>G381008032</t>
  </si>
  <si>
    <t>G381008035</t>
  </si>
  <si>
    <t>S381012_0</t>
  </si>
  <si>
    <t>G381012032</t>
  </si>
  <si>
    <t>G381012035</t>
  </si>
  <si>
    <t>S381020_0</t>
  </si>
  <si>
    <t>G381020032</t>
  </si>
  <si>
    <t>G381020035</t>
  </si>
  <si>
    <t>S381032_0</t>
  </si>
  <si>
    <t>G381032032</t>
  </si>
  <si>
    <t>G381032035</t>
  </si>
  <si>
    <t>S3815_0</t>
  </si>
  <si>
    <t>S381505_0</t>
  </si>
  <si>
    <t>G381505032</t>
  </si>
  <si>
    <t>G381505035</t>
  </si>
  <si>
    <t>S381515_0</t>
  </si>
  <si>
    <t>G381515000</t>
  </si>
  <si>
    <t>G381515005</t>
  </si>
  <si>
    <t>G381515032</t>
  </si>
  <si>
    <t>G381515035</t>
  </si>
  <si>
    <t>S381520_0</t>
  </si>
  <si>
    <t>G381520032</t>
  </si>
  <si>
    <t>S2T</t>
  </si>
  <si>
    <t>S2010_1</t>
  </si>
  <si>
    <t>SESF</t>
  </si>
  <si>
    <t>NOTA</t>
  </si>
  <si>
    <t>ID</t>
  </si>
  <si>
    <t>DESCRIPCION_LARGA</t>
  </si>
  <si>
    <t>01000000</t>
  </si>
  <si>
    <t>[105000] Comentarios de la gerencia</t>
  </si>
  <si>
    <t>01001001</t>
  </si>
  <si>
    <t>Comentarios de la gerencia [bloque de texto]</t>
  </si>
  <si>
    <t>01001002</t>
  </si>
  <si>
    <t>01001003</t>
  </si>
  <si>
    <t>Fecha de adopción de Normas NIIF</t>
  </si>
  <si>
    <t>01001004</t>
  </si>
  <si>
    <t>Información a revelar sobre la naturaleza del negocio [bloque de texto]</t>
  </si>
  <si>
    <t>01001005</t>
  </si>
  <si>
    <t>Información a revelar sobre los objetivos de la gerencia y sus estrategias para alcanzar esos objetivos [bloque de texto]</t>
  </si>
  <si>
    <t>01001006</t>
  </si>
  <si>
    <t>Información a revelar sobre los recursos, riesgos y relaciones más significativos de la entidad [bloque de texto]</t>
  </si>
  <si>
    <t>01001007</t>
  </si>
  <si>
    <t>Información a revelar sobre los resultados de las operaciones y perspectivas [bloque de texto]</t>
  </si>
  <si>
    <t>01001008</t>
  </si>
  <si>
    <t>Información a revelar sobre las medidas de rendimiento fundamentales e indicadores que la gerencia utiliza para evaluar el rendimiento de la entidad con respecto a los objetivos establecidos [bloque de texto]</t>
  </si>
  <si>
    <t>01100000</t>
  </si>
  <si>
    <t>[110000] Información general sobre estados financieros</t>
  </si>
  <si>
    <t>01101002</t>
  </si>
  <si>
    <t>Información a revelar sobre información general sobre los estados financieros [bloque de texto]</t>
  </si>
  <si>
    <t>01101003</t>
  </si>
  <si>
    <t>Nombre de la entidad que informa u otras formas de identificación</t>
  </si>
  <si>
    <t>01101004</t>
  </si>
  <si>
    <t>NIT de la entidad que informa</t>
  </si>
  <si>
    <t>01101005</t>
  </si>
  <si>
    <t>Actividad Principal</t>
  </si>
  <si>
    <t>01101006</t>
  </si>
  <si>
    <t>Tipo de entidad</t>
  </si>
  <si>
    <t>01101007</t>
  </si>
  <si>
    <t>Código de entidad</t>
  </si>
  <si>
    <t>01101008</t>
  </si>
  <si>
    <t>Tipo de fondo</t>
  </si>
  <si>
    <t>01101009</t>
  </si>
  <si>
    <t>Subtipo de fondo</t>
  </si>
  <si>
    <t>01101010</t>
  </si>
  <si>
    <t>Código FICS, patrimonio autónomo, fondos y/o universalidades</t>
  </si>
  <si>
    <t>01101011</t>
  </si>
  <si>
    <t>Explicación del cambio en el nombre de la entidad que informa u otras formas de identificación desde el final del periodo sobre el que se informa precedente</t>
  </si>
  <si>
    <t>01101012</t>
  </si>
  <si>
    <t>Descripción de la naturaleza de los estados financieros</t>
  </si>
  <si>
    <t>01101013</t>
  </si>
  <si>
    <t>Fecha de cierre del periodo sobre el que se informa</t>
  </si>
  <si>
    <t>01101014</t>
  </si>
  <si>
    <t>Periodo cubierto por los estados financieros</t>
  </si>
  <si>
    <t>01101015</t>
  </si>
  <si>
    <t>Nombre de la Compañía de auditoría externa o Revisoría Fiscal</t>
  </si>
  <si>
    <t>01101016</t>
  </si>
  <si>
    <t>Nombre del Socio o Auditor que firma la opinión</t>
  </si>
  <si>
    <t>01101017</t>
  </si>
  <si>
    <t>Tipo de Opinión a los Estados Financieros</t>
  </si>
  <si>
    <t>01101018</t>
  </si>
  <si>
    <t>Fecha de Emisión de la Opinión sobre estados financieros</t>
  </si>
  <si>
    <t>01101019</t>
  </si>
  <si>
    <t>Fecha Sesión del máximo órgano societario en que se aprobaron los Estados Financieros</t>
  </si>
  <si>
    <t>01101020</t>
  </si>
  <si>
    <t>Descripción de la moneda de presentación</t>
  </si>
  <si>
    <t>01101021</t>
  </si>
  <si>
    <t>Grado de redondeo utilizado en los estados financieros</t>
  </si>
  <si>
    <t>01200000</t>
  </si>
  <si>
    <t>[210000] Estado de situación financiera, corriente/no corriente</t>
  </si>
  <si>
    <t>01201001</t>
  </si>
  <si>
    <t>Estado de situación financiera [sinopsis]</t>
  </si>
  <si>
    <t>01201002</t>
  </si>
  <si>
    <t>Activos [sinopsis]</t>
  </si>
  <si>
    <t>01201003</t>
  </si>
  <si>
    <t>Activos corrientes [sinopsis]</t>
  </si>
  <si>
    <t>01201005</t>
  </si>
  <si>
    <t>Inversiones corrientes</t>
  </si>
  <si>
    <t>Cuentas comerciales por cobrar y otras cuentas por cobrar corrientes</t>
  </si>
  <si>
    <t>Cuentas por cobrar partes relacionadas y asociadas corrientes</t>
  </si>
  <si>
    <t>01201008</t>
  </si>
  <si>
    <t>01201010</t>
  </si>
  <si>
    <t>Activos biológicos corrientes</t>
  </si>
  <si>
    <t>01201011</t>
  </si>
  <si>
    <t>Recursos hidrocarburos y minerales corrientes</t>
  </si>
  <si>
    <t>01201014</t>
  </si>
  <si>
    <t>Total activos corrientes distintos de los activos no corrientes o grupo de activos para su disposición clasificados como mantenidos para la venta o como mantenidos para distribuir a los propietarios</t>
  </si>
  <si>
    <t>01201015</t>
  </si>
  <si>
    <t>Activos no corrientes o grupos de activos para su disposición clasificados como mantenidos para la venta o como mantenidos para distribuir a los propietarios</t>
  </si>
  <si>
    <t>01201016</t>
  </si>
  <si>
    <t>01201017</t>
  </si>
  <si>
    <t>Activos no corrientes [sinopsis]</t>
  </si>
  <si>
    <t>01201019</t>
  </si>
  <si>
    <t>01201020</t>
  </si>
  <si>
    <t>Activos intangibles distintos de la plusvalía</t>
  </si>
  <si>
    <t>01201022</t>
  </si>
  <si>
    <t>Inversiones contabilizadas utilizando el método de la participación</t>
  </si>
  <si>
    <t>Inversiones en subsidiarias, negocios conjuntos y asociadas</t>
  </si>
  <si>
    <t>01201024</t>
  </si>
  <si>
    <t>01201025</t>
  </si>
  <si>
    <t>Recursos hidrocarburos y minerales no corrientes</t>
  </si>
  <si>
    <t>Cuentas comerciales por cobrar y otras cuentas por cobrar no corrientes</t>
  </si>
  <si>
    <t>01201027</t>
  </si>
  <si>
    <t>Cuentas por cobrar partes relacionadas y asociadas no corrientes</t>
  </si>
  <si>
    <t>01201028</t>
  </si>
  <si>
    <t>Inventarios no corrientes</t>
  </si>
  <si>
    <t>01201029</t>
  </si>
  <si>
    <t>01201030</t>
  </si>
  <si>
    <t>Activos por impuestos corrientes, no corriente</t>
  </si>
  <si>
    <t>01201033</t>
  </si>
  <si>
    <t>Total de activos no corrientes</t>
  </si>
  <si>
    <t>01201034</t>
  </si>
  <si>
    <t>Total de activos</t>
  </si>
  <si>
    <t>01201035</t>
  </si>
  <si>
    <t>Patrimonio y Pasivos [sinopsis]</t>
  </si>
  <si>
    <t>01201036</t>
  </si>
  <si>
    <t>Pasivos [sinopsis]</t>
  </si>
  <si>
    <t>01201037</t>
  </si>
  <si>
    <t>Pasivos corrientes [sinopsis]</t>
  </si>
  <si>
    <t>01201039</t>
  </si>
  <si>
    <t>Disposiciones actuales [sinopsis]</t>
  </si>
  <si>
    <t>Provisiones corrientes por beneficios a los empleados</t>
  </si>
  <si>
    <t>01201042</t>
  </si>
  <si>
    <t>Total provisiones corrientes</t>
  </si>
  <si>
    <t>Cuentas por pagar comerciales y otras cuentas por pagar</t>
  </si>
  <si>
    <t>01201047</t>
  </si>
  <si>
    <t>01201048</t>
  </si>
  <si>
    <t>Total de pasivos corrientes distintos de los pasivos incluidos en grupos de activos para su disposición clasificados como mantenidos para la venta</t>
  </si>
  <si>
    <t>01201049</t>
  </si>
  <si>
    <t>Pasivos incluidos en grupos de activos para su disposición clasificados como mantenidos para la venta</t>
  </si>
  <si>
    <t>01201050</t>
  </si>
  <si>
    <t>01201051</t>
  </si>
  <si>
    <t>Pasivos no corrientes [sinopsis]</t>
  </si>
  <si>
    <t>01201053</t>
  </si>
  <si>
    <t>Provisiones no corrientes [sinopsis]</t>
  </si>
  <si>
    <t>01201054</t>
  </si>
  <si>
    <t>Provisiones no corrientes por beneficios a los empleados</t>
  </si>
  <si>
    <t>01201056</t>
  </si>
  <si>
    <t>Total provisiones no corrientes</t>
  </si>
  <si>
    <t>Cuentas comerciales por pagar y otras cuentas por pagar no corrientes</t>
  </si>
  <si>
    <t>Cuentas por pagar partes relacionadas y asociadas no corrientes</t>
  </si>
  <si>
    <t>01201060</t>
  </si>
  <si>
    <t>Pasivos por impuestos corrientes, no corriente</t>
  </si>
  <si>
    <t>01201061</t>
  </si>
  <si>
    <t>01201062</t>
  </si>
  <si>
    <t>Títulos Emitidos</t>
  </si>
  <si>
    <t>01201063</t>
  </si>
  <si>
    <t>Otros pasivos no financieros no corrientes</t>
  </si>
  <si>
    <t>01201064</t>
  </si>
  <si>
    <t>Total de pasivos no corrientes</t>
  </si>
  <si>
    <t>01201065</t>
  </si>
  <si>
    <t>Total pasivos</t>
  </si>
  <si>
    <t>01201066</t>
  </si>
  <si>
    <t>Patrimonio [sinopsis]</t>
  </si>
  <si>
    <t>01201069</t>
  </si>
  <si>
    <t>Inversión Suplementaria al Capital Asignado</t>
  </si>
  <si>
    <t>01201073</t>
  </si>
  <si>
    <t>01201076</t>
  </si>
  <si>
    <t>01201077</t>
  </si>
  <si>
    <t>01201078</t>
  </si>
  <si>
    <t>01201079</t>
  </si>
  <si>
    <t>Total de patrimonio y pasivos</t>
  </si>
  <si>
    <t>Derechos de uso</t>
  </si>
  <si>
    <t>Obligaciones financieras arrendamientos corrientes</t>
  </si>
  <si>
    <t>Obligaciones financieras arrendamientos no corrientes</t>
  </si>
  <si>
    <t>01300000</t>
  </si>
  <si>
    <t>[310000] Estado de resultado integral, resultado del periodo, por función de gasto</t>
  </si>
  <si>
    <t>01301001</t>
  </si>
  <si>
    <t>Resultado de periodo [resumen]</t>
  </si>
  <si>
    <t>01301002</t>
  </si>
  <si>
    <t>Ganancia (pérdida) [sinopsis]</t>
  </si>
  <si>
    <t>Ingresos de actividades ordinarias</t>
  </si>
  <si>
    <t>Costo de ventas</t>
  </si>
  <si>
    <t>01301005</t>
  </si>
  <si>
    <t>Ganancia bruta</t>
  </si>
  <si>
    <t>Otros ingresos</t>
  </si>
  <si>
    <t>01301007</t>
  </si>
  <si>
    <t>Gastos de distribución</t>
  </si>
  <si>
    <t>Gastos de administración y venta</t>
  </si>
  <si>
    <t>Gastos por beneficios a los empleados</t>
  </si>
  <si>
    <t>Reversión de pérdidas por deterioro de valor (pérdidas por deterioro de valor) reconocidas en el resultado del periodo</t>
  </si>
  <si>
    <t>Otros gastos</t>
  </si>
  <si>
    <t>01301012</t>
  </si>
  <si>
    <t>Otras ganancias (pérdidas)</t>
  </si>
  <si>
    <t>01301013</t>
  </si>
  <si>
    <t>Ganancia (pérdida) por actividades de operación</t>
  </si>
  <si>
    <t>01301014</t>
  </si>
  <si>
    <t>Diferencia entre el importe en libros de dividendos pagaderos e importe en libros de activos distribuidos distintos al efectivo</t>
  </si>
  <si>
    <t>01301015</t>
  </si>
  <si>
    <t>Ganancias (pérdidas) derivadas de la posición monetaria neta</t>
  </si>
  <si>
    <t>01301016</t>
  </si>
  <si>
    <t>Ganancias (pérdidas) que surgen de la baja en cuentas de activos financieros medidos al costo amortizado</t>
  </si>
  <si>
    <t>Ingresos financieros</t>
  </si>
  <si>
    <t>Costos financieros</t>
  </si>
  <si>
    <t>01301019</t>
  </si>
  <si>
    <t>Participación en las ganancias (pérdidas) de asociadas y negocios conjuntos que se contabilicen utilizando el método de la participación</t>
  </si>
  <si>
    <t>01301020</t>
  </si>
  <si>
    <t>Otros ingresos (gastos) procedentes de subsidiarias, entidades controladas de forma conjunta y asociadas</t>
  </si>
  <si>
    <t>01301021</t>
  </si>
  <si>
    <t>Ganancias (pérdidas) que surgen de diferencias entre importes en libros anteriores y el valor razonable de activos financieros reclasificados como medidos al valor razonable</t>
  </si>
  <si>
    <t>01301022</t>
  </si>
  <si>
    <t>Ganancia (pérdida), antes de impuestos</t>
  </si>
  <si>
    <t>Ingreso (gasto) por impuestos</t>
  </si>
  <si>
    <t>01301024</t>
  </si>
  <si>
    <t>Ganancia (pérdida) procedente de operaciones continuadas</t>
  </si>
  <si>
    <t>01301025</t>
  </si>
  <si>
    <t>Ganancia (pérdida) procedente de operaciones discontinuadas</t>
  </si>
  <si>
    <t>Ganancia (pérdida)</t>
  </si>
  <si>
    <t>01301027</t>
  </si>
  <si>
    <t>Ganancia (pérdida), atribuible a [sinopsis]</t>
  </si>
  <si>
    <t>01301028</t>
  </si>
  <si>
    <t>Ganancia (pérdida), atribuible a los propietarios de la controladora</t>
  </si>
  <si>
    <t>01301029</t>
  </si>
  <si>
    <t>Ganancia (pérdida), atribuible a participaciones no controladoras</t>
  </si>
  <si>
    <t>01302001</t>
  </si>
  <si>
    <t>Ganancias por acción [sinopsis]</t>
  </si>
  <si>
    <t>01302002</t>
  </si>
  <si>
    <t>Ganancia por acción básica [sinopsis]</t>
  </si>
  <si>
    <t>Ganancia (pérdida) por acción básica en operaciones continuadas</t>
  </si>
  <si>
    <t>01302004</t>
  </si>
  <si>
    <t>Ganancia (pérdida) por acción básica en operaciones discontinuadas</t>
  </si>
  <si>
    <t>01302005</t>
  </si>
  <si>
    <t>Total ganancias (pérdidas) básicas por acción</t>
  </si>
  <si>
    <t>01302006</t>
  </si>
  <si>
    <t>Ganancias por acción diluidas [sinopsis]</t>
  </si>
  <si>
    <t>01302007</t>
  </si>
  <si>
    <t>Ganancias (pérdida) diluida por acción procedente de operaciones continuadas</t>
  </si>
  <si>
    <t>01302008</t>
  </si>
  <si>
    <t>Ganancias (pérdida) diluida por acción procedentes de operaciones discontinuadas</t>
  </si>
  <si>
    <t>01302009</t>
  </si>
  <si>
    <t>Total ganancias (pérdidas) por acción diluidas</t>
  </si>
  <si>
    <t>01303001</t>
  </si>
  <si>
    <t>Número de acciones autorizadas</t>
  </si>
  <si>
    <t>Valor nominal de las acciones</t>
  </si>
  <si>
    <t>Número de acciones emitidas y completamente pagadas</t>
  </si>
  <si>
    <t>01303005</t>
  </si>
  <si>
    <t>Número de acciones emitidas pero no completamente pagadas</t>
  </si>
  <si>
    <t>01303006</t>
  </si>
  <si>
    <t>Número de acciones emitidas</t>
  </si>
  <si>
    <t>Número de acciones de la entidad que estén en su poder o bien en el de sus subsidiarias o asociadas</t>
  </si>
  <si>
    <t>Número de acciones en circulación</t>
  </si>
  <si>
    <t>01400000</t>
  </si>
  <si>
    <t>[410000] Estado del resultado integral, componentes ORI presentados netos de impuestos</t>
  </si>
  <si>
    <t>01401001</t>
  </si>
  <si>
    <t>Estado del resultado integral [sinopsis]</t>
  </si>
  <si>
    <t>01401003</t>
  </si>
  <si>
    <t>Otro resultado integral [sinopsis]</t>
  </si>
  <si>
    <t>01401004</t>
  </si>
  <si>
    <t>Componentes de otro resultado integral que no se reclasificarán al resultado del periodo, neto de impuestos [resumen]</t>
  </si>
  <si>
    <t>Otro resultado integral, neto de impuestos, ganancias (pérdidas) de inversiones en instrumentos de patrimonio</t>
  </si>
  <si>
    <t>Otro resultado integral, neto de impuestos, ganancias (pérdidas) por revaluación</t>
  </si>
  <si>
    <t>Otro resultado integral, neto de impuestos, ganancias (pérdidas) por nuevas mediciones de planes de beneficios definidos</t>
  </si>
  <si>
    <t>01401008</t>
  </si>
  <si>
    <t>Otro resultado integral, neto de impuestos, cambio en el valor razonable de pasivos financieros atribuible a cambios en el riesgo de crédito del pasivo</t>
  </si>
  <si>
    <t>01401009</t>
  </si>
  <si>
    <t>Participación de otro resultado integral de asociadas y negocios conjuntos contabilizados utilizando el método de la participación que no se reclasificará al resultado del periodo, neto de impuestos</t>
  </si>
  <si>
    <t>01401010</t>
  </si>
  <si>
    <t>Total otro resultado integral que no se reclasificará al resultado del periodo, neto de impuestos</t>
  </si>
  <si>
    <t>01401011</t>
  </si>
  <si>
    <t>Componentes de otro resultado integral que se reclasificarán al resultado del periodo, neto de impuestos [resumen]</t>
  </si>
  <si>
    <t>01401012</t>
  </si>
  <si>
    <t>Diferencias de cambio por conversión [sinopsis]</t>
  </si>
  <si>
    <t>Ganancias (pérdidas) por diferencias de cambio de conversión, netas de impuestos</t>
  </si>
  <si>
    <t>01401014</t>
  </si>
  <si>
    <t>Ajustes de reclasificación en diferencias de cambio de conversión, neto de impuestos</t>
  </si>
  <si>
    <t>01401015</t>
  </si>
  <si>
    <t>Otro resultado integral, neto de impuestos, diferencias de cambio por conversión</t>
  </si>
  <si>
    <t>01401016</t>
  </si>
  <si>
    <t>Activos financieros disponibles para la venta [sinopsis]</t>
  </si>
  <si>
    <t>01401017</t>
  </si>
  <si>
    <t>Ganancias (pérdidas) por nuevas mediciones de activos financieros disponibles para la venta, netas de impuestos</t>
  </si>
  <si>
    <t>01401018</t>
  </si>
  <si>
    <t>Ajustes de reclasificación, activos financieros disponibles para la venta, neto de impuestos</t>
  </si>
  <si>
    <t>01401019</t>
  </si>
  <si>
    <t>Otro resultado integral, neto de impuestos, activos financieros disponibles para la venta</t>
  </si>
  <si>
    <t>01401020</t>
  </si>
  <si>
    <t>Coberturas del flujo de efectivo [sinopsis]</t>
  </si>
  <si>
    <t>01401021</t>
  </si>
  <si>
    <t>Ganancias (pérdidas) por coberturas de flujos de efectivo, neto de impuestos</t>
  </si>
  <si>
    <t>01401022</t>
  </si>
  <si>
    <t>Ajustes de reclasificación en coberturas de flujos de efectivo, neto de impuestos</t>
  </si>
  <si>
    <t>01401023</t>
  </si>
  <si>
    <t>Importes eliminados del patrimonio e incluidos en el importe en libros de activos (pasivos) no financieros que se hayan adquirido o incurrido mediante una transacción prevista altamente probable cubierta, neto de impuestos</t>
  </si>
  <si>
    <t>01401024</t>
  </si>
  <si>
    <t>Otro resultado integral, neto de impuestos, coberturas del flujo de efectivo</t>
  </si>
  <si>
    <t>01401025</t>
  </si>
  <si>
    <t>Coberturas de inversiones netas en negocios en el extranjero [resumen]</t>
  </si>
  <si>
    <t>01401026</t>
  </si>
  <si>
    <t>Ganancias (pérdidas) por coberturas de inversiones netas en negocios en el extranjero, neto de impuestos</t>
  </si>
  <si>
    <t>01401027</t>
  </si>
  <si>
    <t>Ajustes de reclasificación por coberturas de inversiones netas en negocios en el extranjero, netos de impuestos</t>
  </si>
  <si>
    <t>01401028</t>
  </si>
  <si>
    <t>Otro resultado integral, neto de impuestos, coberturas de inversiones netas en negocios en el extranjero</t>
  </si>
  <si>
    <t>01401029</t>
  </si>
  <si>
    <t>Participación de otro resultado integral de asociadas y negocios conjuntos contabilizados utilizando el método de la participación que se reclasificará al resultado del periodo, neto de impuestos</t>
  </si>
  <si>
    <t>01401030</t>
  </si>
  <si>
    <t>Total otro resultado integral que se reclasificará al resultado del periodo, neto de impuestos</t>
  </si>
  <si>
    <t>01401031</t>
  </si>
  <si>
    <t>Total otro resultado integral</t>
  </si>
  <si>
    <t>01401032</t>
  </si>
  <si>
    <t>Resultado integral total</t>
  </si>
  <si>
    <t>01401033</t>
  </si>
  <si>
    <t>Resultado integral atribuible a [sinopsis]</t>
  </si>
  <si>
    <t>01401034</t>
  </si>
  <si>
    <t>Resultado integral atribuible a los propietarios de la controladora</t>
  </si>
  <si>
    <t>01401035</t>
  </si>
  <si>
    <t>Resultado integral atribuible a participaciones no controladoras</t>
  </si>
  <si>
    <t>01500000</t>
  </si>
  <si>
    <t>[510000] Estado de flujos de efectivo, método directo</t>
  </si>
  <si>
    <t>01501001</t>
  </si>
  <si>
    <t>Estado de flujos de efectivo [sinopsis]</t>
  </si>
  <si>
    <t>01501002</t>
  </si>
  <si>
    <t>Flujos de efectivo procedentes de (utilizados en) actividades de operación [sinopsis]</t>
  </si>
  <si>
    <t>01501003</t>
  </si>
  <si>
    <t>Clases de cobros por actividades de operación [sinopsis]</t>
  </si>
  <si>
    <t>01501004</t>
  </si>
  <si>
    <t>Cobros procedentes de cartera de créditos y operaciones de leasing financiero</t>
  </si>
  <si>
    <t>01501005</t>
  </si>
  <si>
    <t>Cobros procedentes de depósitos y exigibilidades</t>
  </si>
  <si>
    <t>01501006</t>
  </si>
  <si>
    <t>Cobros procedentes de cuentas por cobrar la actividad aseguradora</t>
  </si>
  <si>
    <t>01501007</t>
  </si>
  <si>
    <t>Cobros procedentes de las ventas de bienes y prestación de servicios</t>
  </si>
  <si>
    <t>01501008</t>
  </si>
  <si>
    <t>Cobros procedentes de regalías, cuotas, comisiones y otros ingresos de actividades ordinarias</t>
  </si>
  <si>
    <t>01501009</t>
  </si>
  <si>
    <t>Cobros derivados de contratos mantenidos para intermediación o para negociar con ellos</t>
  </si>
  <si>
    <t>01501010</t>
  </si>
  <si>
    <t>Cobros procedentes de primas y prestaciones, anualidades y otros beneficios de pólizas suscritas</t>
  </si>
  <si>
    <t>01501011</t>
  </si>
  <si>
    <t>Cobros por rentas y ventas posteriores de activos mantenidos para arrendar a terceros y posteriormente mantenidos para la venta</t>
  </si>
  <si>
    <t>01501012</t>
  </si>
  <si>
    <t>Otros cobros por actividades de operación</t>
  </si>
  <si>
    <t>01501013</t>
  </si>
  <si>
    <t>Clases de pagos en efectivo procedentes de actividades de operación [resumen]</t>
  </si>
  <si>
    <t>01501014</t>
  </si>
  <si>
    <t>Pagos procedentes de cartera de créditos y operaciones de leasing financiero</t>
  </si>
  <si>
    <t>01501015</t>
  </si>
  <si>
    <t>Pagos procedentes de depósitos y exigibilidades</t>
  </si>
  <si>
    <t>01501016</t>
  </si>
  <si>
    <t>Pagos procedentes de cuentas por pagar la actividad aseguradora</t>
  </si>
  <si>
    <t>01501017</t>
  </si>
  <si>
    <t>Pagos a proveedores por el suministro de bienes y servicios</t>
  </si>
  <si>
    <t>01501018</t>
  </si>
  <si>
    <t>Pagos procedentes de contratos mantenidos para intermediación o para negociar</t>
  </si>
  <si>
    <t>01501019</t>
  </si>
  <si>
    <t>Pagos a y por cuenta de los empleados</t>
  </si>
  <si>
    <t>01501020</t>
  </si>
  <si>
    <t>Pagos por primas y prestaciones, anualidades y otras obligaciones derivadas de las pólizas suscritas</t>
  </si>
  <si>
    <t>01501021</t>
  </si>
  <si>
    <t>Pagos por producir o adquirir activos mantenidos para arrendar a terceros y posteriormente mantenidos para la venta</t>
  </si>
  <si>
    <t>01501022</t>
  </si>
  <si>
    <t>Otros pagos por actividades de operación</t>
  </si>
  <si>
    <t>01501023</t>
  </si>
  <si>
    <t>Flujos de efectivo netos procedentes (utilizados en) operaciones</t>
  </si>
  <si>
    <t>01501024</t>
  </si>
  <si>
    <t>Dividendos pagados</t>
  </si>
  <si>
    <t>01501025</t>
  </si>
  <si>
    <t>Dividendos recibidos</t>
  </si>
  <si>
    <t>01501026</t>
  </si>
  <si>
    <t>Intereses pagados</t>
  </si>
  <si>
    <t>01501027</t>
  </si>
  <si>
    <t>Intereses recibidos</t>
  </si>
  <si>
    <t>01501028</t>
  </si>
  <si>
    <t>Impuestos a las ganancias reembolsados (pagados)</t>
  </si>
  <si>
    <t>01501029</t>
  </si>
  <si>
    <t>Otras entradas (salidas) de efectivo</t>
  </si>
  <si>
    <t>01501030</t>
  </si>
  <si>
    <t>Flujos de efectivo netos procedentes de (utilizados en) actividades de operación</t>
  </si>
  <si>
    <t>01501031</t>
  </si>
  <si>
    <t>Flujos de efectivo procedentes de (utilizados en) actividades de inversión [sinopsis]</t>
  </si>
  <si>
    <t>01501032</t>
  </si>
  <si>
    <t>Flujos de efectivo procedentes de la pérdida de control de subsidiarias u otros negocios</t>
  </si>
  <si>
    <t>01501033</t>
  </si>
  <si>
    <t>Flujos de efectivo utilizados para obtener el control de subsidiarias u otros negocios</t>
  </si>
  <si>
    <t>01501034</t>
  </si>
  <si>
    <t>Otros cobros por la venta de patrimonio o instrumentos de deuda de otras entidades</t>
  </si>
  <si>
    <t>01501035</t>
  </si>
  <si>
    <t>Otros pagos para adquirir patrimonio o instrumentos de deuda de otras entidades</t>
  </si>
  <si>
    <t>01501036</t>
  </si>
  <si>
    <t>Otros cobros por la venta de participaciones en negocios conjuntos</t>
  </si>
  <si>
    <t>01501037</t>
  </si>
  <si>
    <t>Otros pagos para adquirir participaciones en negocios conjuntos</t>
  </si>
  <si>
    <t>01501038</t>
  </si>
  <si>
    <t>Importes procedentes de la venta de propiedades, planta y equipo</t>
  </si>
  <si>
    <t>01501039</t>
  </si>
  <si>
    <t>Compras de propiedades, planta y equipo</t>
  </si>
  <si>
    <t>01501040</t>
  </si>
  <si>
    <t>Importes procedentes de ventas de activos intangibles</t>
  </si>
  <si>
    <t>01501041</t>
  </si>
  <si>
    <t>Compras de activos intangibles</t>
  </si>
  <si>
    <t>01501042</t>
  </si>
  <si>
    <t>Recursos por ventas de otros activos a largo plazo</t>
  </si>
  <si>
    <t>01501043</t>
  </si>
  <si>
    <t>Compras de otros activos a largo plazo</t>
  </si>
  <si>
    <t>01501044</t>
  </si>
  <si>
    <t>Importes procedentes de subvenciones del gobierno</t>
  </si>
  <si>
    <t>01501045</t>
  </si>
  <si>
    <t>Anticipos de efectivo y préstamos concedidos a terceros</t>
  </si>
  <si>
    <t>01501046</t>
  </si>
  <si>
    <t>Cobros procedentes del reembolso de anticipos y préstamos concedidos a terceros</t>
  </si>
  <si>
    <t>01501047</t>
  </si>
  <si>
    <t>Pagos derivados de contratos de futuro, a término, de opciones y de permuta financiera (swaps)</t>
  </si>
  <si>
    <t>01501048</t>
  </si>
  <si>
    <t>Cobros procedentes de contratos de futuro, a término, de opciones y de permuta financiera (swaps)</t>
  </si>
  <si>
    <t>01501049</t>
  </si>
  <si>
    <t>01501050</t>
  </si>
  <si>
    <t>01501051</t>
  </si>
  <si>
    <t>01501052</t>
  </si>
  <si>
    <t>01501053</t>
  </si>
  <si>
    <t>01501054</t>
  </si>
  <si>
    <t>Flujos de efectivo netos procedentes de (utilizados en) actividades de inversión</t>
  </si>
  <si>
    <t>01501055</t>
  </si>
  <si>
    <t>Flujos de efectivo procedentes de (utilizados en) actividades de financiación [sinopsis]</t>
  </si>
  <si>
    <t>01501056</t>
  </si>
  <si>
    <t>Recursos por cambios en las participaciones en la propiedad en subsidiarias que no dan lugar a la pérdida de control</t>
  </si>
  <si>
    <t>01501057</t>
  </si>
  <si>
    <t>Pagos por cambios en las participaciones en la propiedad en subsidiarias que no dan lugar a la pérdida de control</t>
  </si>
  <si>
    <t>01501058</t>
  </si>
  <si>
    <t>Importes procedentes de la emisión de acciones</t>
  </si>
  <si>
    <t>01501059</t>
  </si>
  <si>
    <t>Importes procedentes de la emisión de otros instrumentos de patrimonio</t>
  </si>
  <si>
    <t>01501060</t>
  </si>
  <si>
    <t>Pagos por adquirir o rescatar las acciones de la entidad</t>
  </si>
  <si>
    <t>01501061</t>
  </si>
  <si>
    <t>Pagos por otras participaciones en el patrimonio</t>
  </si>
  <si>
    <t>01501062</t>
  </si>
  <si>
    <t>Importes procedentes de préstamos</t>
  </si>
  <si>
    <t>01501063</t>
  </si>
  <si>
    <t>Reembolsos de préstamos</t>
  </si>
  <si>
    <t>01501064</t>
  </si>
  <si>
    <t>Pagos de pasivos por arrendamientos financieros</t>
  </si>
  <si>
    <t>01501065</t>
  </si>
  <si>
    <t>01501066</t>
  </si>
  <si>
    <t>01501067</t>
  </si>
  <si>
    <t>01501068</t>
  </si>
  <si>
    <t>01501069</t>
  </si>
  <si>
    <t>01501070</t>
  </si>
  <si>
    <t>Flujos de efectivo netos procedentes de (utilizados en) actividades de financiación</t>
  </si>
  <si>
    <t>01501071</t>
  </si>
  <si>
    <t>Incremento (disminución) neto de efectivo y equivalentes al efectivo, antes del efecto de los cambios en la tasa de cambio</t>
  </si>
  <si>
    <t>01501072</t>
  </si>
  <si>
    <t>Efectos de la variación en la tasa de cambio sobre el efectivo y equivalentes al efectivo [sinopsis]</t>
  </si>
  <si>
    <t>01501073</t>
  </si>
  <si>
    <t>Efectos de la variación en la tasa de cambio sobre el efectivo y equivalentes al efectivo</t>
  </si>
  <si>
    <t>01501074</t>
  </si>
  <si>
    <t>Incremento (disminución) neto de efectivo y equivalentes al efectivo</t>
  </si>
  <si>
    <t>Efectivo y equivalentes al efectivo al principio del periodo</t>
  </si>
  <si>
    <t>01501076</t>
  </si>
  <si>
    <t>Efectivo y equivalentes al efectivo al final del periodo</t>
  </si>
  <si>
    <t>01600000</t>
  </si>
  <si>
    <t>[520000] Estado de flujos de efectivo, método indirecto</t>
  </si>
  <si>
    <t>01601002</t>
  </si>
  <si>
    <t>01601003</t>
  </si>
  <si>
    <t>01601004_C01401001</t>
  </si>
  <si>
    <t>01601004_C01401001_1</t>
  </si>
  <si>
    <t>01601005</t>
  </si>
  <si>
    <t>Ajustes para conciliar la ganancia (pérdida) [sinopsis]</t>
  </si>
  <si>
    <t>Ajustes por gasto por impuestos a las ganancias</t>
  </si>
  <si>
    <t>Ajustes por costos financieros</t>
  </si>
  <si>
    <t>01601008</t>
  </si>
  <si>
    <t>Ajustes por disminuciones (incrementos) en los inventarios</t>
  </si>
  <si>
    <t>01601009</t>
  </si>
  <si>
    <t>Ajustes por disminuciones (incrementos) en la cartera de créditos y operaciones de leasing financiero</t>
  </si>
  <si>
    <t>01601010</t>
  </si>
  <si>
    <t>Ajustes por disminuciones (incrementos) en cuentas por cobrar la actividad aseguradora</t>
  </si>
  <si>
    <t>Ajustes por la disminución (incremento) de cuentas por cobrar de origen comercial</t>
  </si>
  <si>
    <t>Ajustes por disminuciones (incrementos) en otras cuentas por cobrar derivadas de las actividades de operación</t>
  </si>
  <si>
    <t>Ajustes por el incremento (disminución) de cuentas por pagar de origen comercial</t>
  </si>
  <si>
    <t>01601014</t>
  </si>
  <si>
    <t>Ajustes por el incremento (disminución) en depósitos y exigibilidades</t>
  </si>
  <si>
    <t>01601015</t>
  </si>
  <si>
    <t>Ajustes por el incremento (disminución) en cuentas por pagar la actividad aseguradora</t>
  </si>
  <si>
    <t>Ajustes por incrementos (disminuciones) en otras cuentas por pagar derivadas de las actividades de operación</t>
  </si>
  <si>
    <t>Ajustes por gastos de depreciación y amortización</t>
  </si>
  <si>
    <t>Ajustes por deterioro de valor (reversiones de pérdidas por deterioro de valor) reconocidas en el resultado del periodo</t>
  </si>
  <si>
    <t>01601019</t>
  </si>
  <si>
    <t>Ajustes por deterioro de valor (provisiones) de la cartera de créditos y operaciones de leasing financiero</t>
  </si>
  <si>
    <t>Ajustes por provisiones</t>
  </si>
  <si>
    <t>Ajustes por pérdidas (ganancias) de moneda extranjera no realizadas</t>
  </si>
  <si>
    <t>01601022</t>
  </si>
  <si>
    <t>Ajustes por pagos basados en acciones</t>
  </si>
  <si>
    <t>01601023</t>
  </si>
  <si>
    <t>Ajustes por pérdidas (ganancias) del valor razonable</t>
  </si>
  <si>
    <t>Ajustes por ganancias no distribuidas por aplicación del método de participación</t>
  </si>
  <si>
    <t>01601025</t>
  </si>
  <si>
    <t>Otros ajustes por partidas distintas al efectivo</t>
  </si>
  <si>
    <t>Ajustes por pérdidas (ganancias) por la disposición de activos no corrientes</t>
  </si>
  <si>
    <t>01601027</t>
  </si>
  <si>
    <t>Otros ajustes para los que los efectos sobre el efectivo son flujos de efectivo de inversión o financiación</t>
  </si>
  <si>
    <t>Otros ajustes para conciliar la ganancia (pérdida)</t>
  </si>
  <si>
    <t>01601029</t>
  </si>
  <si>
    <t>Total ajustes para conciliar la ganancia (pérdida)</t>
  </si>
  <si>
    <t>01601030</t>
  </si>
  <si>
    <t>01601031</t>
  </si>
  <si>
    <t>01601033</t>
  </si>
  <si>
    <t>01601034</t>
  </si>
  <si>
    <t>01601037</t>
  </si>
  <si>
    <t>01601038</t>
  </si>
  <si>
    <t>01601040</t>
  </si>
  <si>
    <t>01601042</t>
  </si>
  <si>
    <t>01601043</t>
  </si>
  <si>
    <t>01601044</t>
  </si>
  <si>
    <t>01601047</t>
  </si>
  <si>
    <t>01601049</t>
  </si>
  <si>
    <t>01601050</t>
  </si>
  <si>
    <t>01601051</t>
  </si>
  <si>
    <t>01601052</t>
  </si>
  <si>
    <t>01601053</t>
  </si>
  <si>
    <t>Pagos derivados de contratos de futuro, a término, de opciones y de permuta financiera</t>
  </si>
  <si>
    <t>Cobros procedentes de contratos de futuro, a término, de opciones y de permuta financiera</t>
  </si>
  <si>
    <t>01601056</t>
  </si>
  <si>
    <t>01601057</t>
  </si>
  <si>
    <t>01601058</t>
  </si>
  <si>
    <t>01601059</t>
  </si>
  <si>
    <t>01601061</t>
  </si>
  <si>
    <t>01601062</t>
  </si>
  <si>
    <t>01601066</t>
  </si>
  <si>
    <t>01601068</t>
  </si>
  <si>
    <t>01601072</t>
  </si>
  <si>
    <t>01601075</t>
  </si>
  <si>
    <t>01601077</t>
  </si>
  <si>
    <t>01601078</t>
  </si>
  <si>
    <t>01601079</t>
  </si>
  <si>
    <t>01601081</t>
  </si>
  <si>
    <t>01601083</t>
  </si>
  <si>
    <t>Ajustes por gastos de depreciación derechos de uso</t>
  </si>
  <si>
    <t>01601085</t>
  </si>
  <si>
    <t>Intereses pagados arrendamientos</t>
  </si>
  <si>
    <t>01700000</t>
  </si>
  <si>
    <t>[610000] Estado de cambios en el patrimonio</t>
  </si>
  <si>
    <t>01701001</t>
  </si>
  <si>
    <t>Estado de cambios en el patrimonio [sinopsis]</t>
  </si>
  <si>
    <t>01701002</t>
  </si>
  <si>
    <t>Estado de cambios en el patrimonio [partidas]</t>
  </si>
  <si>
    <t>Patrimonio al inicio del periodo</t>
  </si>
  <si>
    <t>01701004</t>
  </si>
  <si>
    <t>Cambios en el patrimonio [sinopsis]</t>
  </si>
  <si>
    <t>01701005</t>
  </si>
  <si>
    <t>Resultado integral [sinopsis]</t>
  </si>
  <si>
    <t>Otro resultado integral</t>
  </si>
  <si>
    <t>01701008</t>
  </si>
  <si>
    <t>Resultado integral</t>
  </si>
  <si>
    <t>01701009</t>
  </si>
  <si>
    <t>Emisión de patrimonio</t>
  </si>
  <si>
    <t>Dividendos reconocidos como distribuciones a los propietarios</t>
  </si>
  <si>
    <t>01701011</t>
  </si>
  <si>
    <t>Incrementos por otras aportaciones de los propietarios, patrimonio</t>
  </si>
  <si>
    <t>01701012</t>
  </si>
  <si>
    <t>Disminución por otras distribuciones a los propietarios, patrimonio</t>
  </si>
  <si>
    <t>Incrementos (disminuciones) por otros cambios, patrimonio</t>
  </si>
  <si>
    <t>Incrementos (disminuciones) por transacciones con acciones propias, patrimonio</t>
  </si>
  <si>
    <t>01701015</t>
  </si>
  <si>
    <t>Incrementos (disminuciones) por cambios las participaciones en la propiedad de subsidiarias que no dan lugar a pérdida de control, patrimonio</t>
  </si>
  <si>
    <t>01701016</t>
  </si>
  <si>
    <t>Incrementos (disminuciones) por transacciones con pagos basados en acciones, patrimonio</t>
  </si>
  <si>
    <t>01701017</t>
  </si>
  <si>
    <t>Total incremento (disminución) en el patrimonio</t>
  </si>
  <si>
    <t>01701018</t>
  </si>
  <si>
    <t>Patrimonio al final del periodo</t>
  </si>
  <si>
    <t>01800000</t>
  </si>
  <si>
    <t>[810000] Notas - Información de la entidad y declaración de cumplimiento con las NIIF</t>
  </si>
  <si>
    <t>01801000</t>
  </si>
  <si>
    <t>Información a revelar sobre notas y otra información explicativa [bloque de texto]</t>
  </si>
  <si>
    <t>01801001</t>
  </si>
  <si>
    <t>01801002</t>
  </si>
  <si>
    <t>01801003</t>
  </si>
  <si>
    <t>Sede de la entidad</t>
  </si>
  <si>
    <t>01801004</t>
  </si>
  <si>
    <t>Naturaleza juridica de la entidad (privada, mixta, oficial, otra)</t>
  </si>
  <si>
    <t>01801005</t>
  </si>
  <si>
    <t>País de constitución</t>
  </si>
  <si>
    <t>Fecha de constitución</t>
  </si>
  <si>
    <t>01801007</t>
  </si>
  <si>
    <t>Número de Resolución o acto administrativo que la organiza, fecha</t>
  </si>
  <si>
    <t>01801008</t>
  </si>
  <si>
    <t>Dirección de la sede social de la entidad</t>
  </si>
  <si>
    <t>01801009</t>
  </si>
  <si>
    <t>Domicilio principal donde desarrolla sus actividades</t>
  </si>
  <si>
    <t>01801010</t>
  </si>
  <si>
    <t>Número de agencias y sucursales con que opera</t>
  </si>
  <si>
    <t>Número de empleados</t>
  </si>
  <si>
    <t>01801012</t>
  </si>
  <si>
    <t>Número de Contratos de Corresponsales</t>
  </si>
  <si>
    <t>01801013</t>
  </si>
  <si>
    <t>Empresa de Revisoría Fiscal y/o Auditoría Externa</t>
  </si>
  <si>
    <t>Fecha en la cual la Junta Directiva autoriza someter a consideración de la Asamblea los Estados Financieros</t>
  </si>
  <si>
    <t>01801015</t>
  </si>
  <si>
    <t>Descripción de la naturaleza de las operaciones de la entidad y actividades principales</t>
  </si>
  <si>
    <t>01801016</t>
  </si>
  <si>
    <t>Nombre de la entidad controladora</t>
  </si>
  <si>
    <t>01801017</t>
  </si>
  <si>
    <t>Nombre de la controladora última del grupo</t>
  </si>
  <si>
    <t>01801018</t>
  </si>
  <si>
    <t>Duración de la vida de entidades de vida limitada</t>
  </si>
  <si>
    <t>01801019</t>
  </si>
  <si>
    <t>Declaración de cumplimiento con las NIIF [bloque de texto]</t>
  </si>
  <si>
    <t>01801020</t>
  </si>
  <si>
    <t>Conclusión de la gerencia sobre la presentación razonable como consecuencia de la falta de aplicación</t>
  </si>
  <si>
    <t>01801021</t>
  </si>
  <si>
    <t>Explicación de faltas de aplicación de las NIIF</t>
  </si>
  <si>
    <t>01801022</t>
  </si>
  <si>
    <t>Explicación del efecto financiero de faltas de aplicación de las NIIF</t>
  </si>
  <si>
    <t>01801023</t>
  </si>
  <si>
    <t>Explicación de la naturaleza del requerimiento de las NIIF y conclusiones sobre la razón por la que dicho requerimiento está en conflicto con algún objetivo de los estados financieros establecido en el Marco Conceptual</t>
  </si>
  <si>
    <t>01801024</t>
  </si>
  <si>
    <t>Explicación de ajustes que serían necesarios para lograr la presentación fiel</t>
  </si>
  <si>
    <t>01801025</t>
  </si>
  <si>
    <t>Información a revelar sobre incertidumbres sobre la capacidad de la entidad para continuar como negocio en marcha [bloque de texto]</t>
  </si>
  <si>
    <t>01801026</t>
  </si>
  <si>
    <t>Explicación del hecho y bases para la elaboración de los estados financieros cuando no es aplicable la hipótesis de negocio en marcha</t>
  </si>
  <si>
    <t>01801027</t>
  </si>
  <si>
    <t>Explicación de la razón por la que no se considera a la entidad como negocio en marcha</t>
  </si>
  <si>
    <t>01801028</t>
  </si>
  <si>
    <t>Descripción de la razón para utilizar un periodo sobre el que se informa de duración inferior o superior</t>
  </si>
  <si>
    <t>01801029</t>
  </si>
  <si>
    <t>Descripción del hecho de que los importes presentados en los estados financieros no son totalmente comparables</t>
  </si>
  <si>
    <t>01801030</t>
  </si>
  <si>
    <t>Información a revelar sobre reclasificaciones o cambios en la presentación [bloque de texto]</t>
  </si>
  <si>
    <t>01802002</t>
  </si>
  <si>
    <t>Información a revelar sobre reclasificaciones o cambios en la presentación [resumen]</t>
  </si>
  <si>
    <t>01802003</t>
  </si>
  <si>
    <t>Información a revelar sobre reclasificaciones o cambios en la presentación [partidas]</t>
  </si>
  <si>
    <t>01802004</t>
  </si>
  <si>
    <t>Descripción de la naturaleza de reclasificaciones o cambios en la presentación</t>
  </si>
  <si>
    <t>01802005</t>
  </si>
  <si>
    <t>Importe de reclasificaciones o cambios en la presentación</t>
  </si>
  <si>
    <t>01802006</t>
  </si>
  <si>
    <t>Descripción de la razón para reclasificaciones o cambios en la presentación</t>
  </si>
  <si>
    <t>01803000</t>
  </si>
  <si>
    <t>Descripción de la razón por la que es impracticable la reclasificación de importes comparativos</t>
  </si>
  <si>
    <t>01803001</t>
  </si>
  <si>
    <t>01803002</t>
  </si>
  <si>
    <t>Descripción de la naturaleza de los ajustes necesarios para proporcionar información comparativa</t>
  </si>
  <si>
    <t>01803003</t>
  </si>
  <si>
    <t>Información a revelar sobre los importes a recuperar o liquidar tras doce meses para clases de activos y pasivos que contienen importes a recuperar o liquidar antes y después de doce meses tras la fecha de presentación [bloque de texto]</t>
  </si>
  <si>
    <t>01804002</t>
  </si>
  <si>
    <t>Información a revelar sobre los importes a recuperar o liquidar tras doce meses para clases de activos y pasivos que contienen importes a recuperar o liquidar antes y después de doce meses tras la fecha de presentación [resumen]</t>
  </si>
  <si>
    <t>01804003</t>
  </si>
  <si>
    <t>Información a revelar sobre los importes a recuperar o liquidar tras doce meses para clases de activos y pasivos que contienen importes a recuperar o liquidar antes y después de doce meses tras la fecha de presentación [partidas]</t>
  </si>
  <si>
    <t>01804004</t>
  </si>
  <si>
    <t>01804005</t>
  </si>
  <si>
    <t>Cuentas comerciales por cobrar corrientes</t>
  </si>
  <si>
    <t>Cuentas comerciales por pagar corrientes</t>
  </si>
  <si>
    <t>01805000</t>
  </si>
  <si>
    <t>Información a revelar sobre un resumen de las políticas contables significativas [bloque de texto]</t>
  </si>
  <si>
    <t>01805001</t>
  </si>
  <si>
    <t>01805002</t>
  </si>
  <si>
    <t>Explicación los criterios de medición utilizados para preparar los estados financieros [bloque de texto]</t>
  </si>
  <si>
    <t>01805003</t>
  </si>
  <si>
    <t>Descripción de otras políticas contables relevantes para comprender los estados financieros [bloque de texto]</t>
  </si>
  <si>
    <t>01805004</t>
  </si>
  <si>
    <t>Explicación de juicios de la gerencia al aplicar las políticas contables de la entidad con efectos significativos en los importes reconocidos</t>
  </si>
  <si>
    <t>01805005</t>
  </si>
  <si>
    <t>Explicación del origen de incertidumbre de la estimación con riesgo significativo de causar ajustes importantes</t>
  </si>
  <si>
    <t>01805006</t>
  </si>
  <si>
    <t>Información a revelar sobre activos y pasivos con riesgo significativo de ajustes importantes [bloque de texto]</t>
  </si>
  <si>
    <t>01806002</t>
  </si>
  <si>
    <t>Información a revelar sobre activos y pasivos con riesgo significativo de ajustes importantes [resumen]</t>
  </si>
  <si>
    <t>01806003</t>
  </si>
  <si>
    <t>Información a revelar sobre activos y pasivos con riesgo significativo de ajustes importantes [partidas]</t>
  </si>
  <si>
    <t>01806004</t>
  </si>
  <si>
    <t>Descripción de la naturaleza de activos con riesgo significativo de ajustes materiales dentro del ejercicio contable siguiente</t>
  </si>
  <si>
    <t>01806005</t>
  </si>
  <si>
    <t>Descripción de la naturaleza de pasivos con riesgo significativo de ajustes materiales dentro del ejercicio contable siguiente</t>
  </si>
  <si>
    <t>01806006</t>
  </si>
  <si>
    <t>Activos con riesgo significativo de ajustes materiales dentro del ejercicio contable siguiente</t>
  </si>
  <si>
    <t>01806007</t>
  </si>
  <si>
    <t>Activos con riesgo significativo de ajustes importantes dentro del ejercicio contable siguiente</t>
  </si>
  <si>
    <t>01807002</t>
  </si>
  <si>
    <t>Información a revelar sobre objetivos, políticas y procesos para la gestión del capital [sinopsis]</t>
  </si>
  <si>
    <t>01807003</t>
  </si>
  <si>
    <t>Información a revelar sobre objetivos, políticas y procesos para la gestión del capital [partidas]</t>
  </si>
  <si>
    <t>01807004</t>
  </si>
  <si>
    <t>Información cualitativa sobre los objetivos, políticas y procesos para gestionar el capital de la entidad</t>
  </si>
  <si>
    <t>01807005</t>
  </si>
  <si>
    <t>Resumen de datos cuantitativos acerca de lo que gestiona la entidad como capital</t>
  </si>
  <si>
    <t>01807006</t>
  </si>
  <si>
    <t>Descripción de los cambios en los objetivos, políticas y procesos de la entidad para gestionar el capital y lo que la entidad gestiona como capital</t>
  </si>
  <si>
    <t>01807007</t>
  </si>
  <si>
    <t>Información sobre si la entidad cumplió con los requerimientos de capital impuestos externamente</t>
  </si>
  <si>
    <t>01807008</t>
  </si>
  <si>
    <t>Información sobre las consecuencias de no cumplir con los requerimientos de capital impuestos externamente</t>
  </si>
  <si>
    <t>Dividendos reconocidos como distribuciones a los propietarios por acción</t>
  </si>
  <si>
    <t>01808003</t>
  </si>
  <si>
    <t>Dividendos propuestos o declarados antes de la autorización de los estados financieros para su emisión pero no reconocidos como distribuciones a los propietarios</t>
  </si>
  <si>
    <t>01808004</t>
  </si>
  <si>
    <t>Dividendos propuestos o declarados antes de la autorización de los estados financieros para su emisión pero no reconocidos como distribuciones a los propietarios por acción</t>
  </si>
  <si>
    <t>01808005</t>
  </si>
  <si>
    <t>Dividendos preferentes acumulativos no reconocidos</t>
  </si>
  <si>
    <t>01808006</t>
  </si>
  <si>
    <t>Descripción de la naturaleza de los activos distintos al efectivo mantenidos para distribuir a los propietarios declarados antes de la autorización de los estados financieros para su publicación</t>
  </si>
  <si>
    <t>01808007</t>
  </si>
  <si>
    <t>Activos distintos al efectivo declarados para distribuir a los propietarios antes de la autorización de los estados financieros para su publicación</t>
  </si>
  <si>
    <t>01808008</t>
  </si>
  <si>
    <t>Activos distintos al efectivo declarados para distribuir a los propietarios antes de la autorización de los estados financieros para su publicación, al valor razonable</t>
  </si>
  <si>
    <t>01808009</t>
  </si>
  <si>
    <t>Descripción de los métodos utilizados para medir el valor razonable de activos distintos al efectivo declarados para distribuir a los propietarios antes de autorizar los estados financieros para su emisión</t>
  </si>
  <si>
    <t>01808010</t>
  </si>
  <si>
    <t>Dividendos pagaderos, distribuciones de activos distintos al efectivo</t>
  </si>
  <si>
    <t>01808011</t>
  </si>
  <si>
    <t>Incremento (disminución) de dividendos por pagar con cambios en el valor razonable de activos distintos al efectivo mantenidos para distribuir a los propietarios</t>
  </si>
  <si>
    <t>01808012</t>
  </si>
  <si>
    <t>Patrimonio reclasificado como pasivos financieros</t>
  </si>
  <si>
    <t>01808013</t>
  </si>
  <si>
    <t>Pasivos financieros reclasificados en patrimonio</t>
  </si>
  <si>
    <t>01808014</t>
  </si>
  <si>
    <t>Descripción del calendario y razones para la reclasificación entre pasivos financieros y patrimonio</t>
  </si>
  <si>
    <t>01809002</t>
  </si>
  <si>
    <t>01809003</t>
  </si>
  <si>
    <t>01809004</t>
  </si>
  <si>
    <t>01809005</t>
  </si>
  <si>
    <t>01809006</t>
  </si>
  <si>
    <t>01810001</t>
  </si>
  <si>
    <t>'Información a revelar sobre objetivos, políticas y procesos para la gestión del capital [bloque de texto]</t>
  </si>
  <si>
    <t>01900000</t>
  </si>
  <si>
    <t>[813000] Notas - Información financiera intermedia</t>
  </si>
  <si>
    <t>01901001</t>
  </si>
  <si>
    <t>Información a revelar sobre información financiera intermedia [bloque de texto]</t>
  </si>
  <si>
    <t>01901002</t>
  </si>
  <si>
    <t>Descripción de sucesos y transacciones significativas</t>
  </si>
  <si>
    <t>01901003</t>
  </si>
  <si>
    <t>Descripción de las políticas contables y métodos de cálculo seguidos en los estados financieros intermedios [bloque de texto]</t>
  </si>
  <si>
    <t>01901004</t>
  </si>
  <si>
    <t>Explicación de la estacionalidad o carácter cíclico de operaciones intermedias</t>
  </si>
  <si>
    <t>01901005</t>
  </si>
  <si>
    <t>Explicación de la naturaleza y valor de cada una de las partidas, que afecten a los activos, pasivos, patrimonio, ganancia neta o flujos de efectivo, que sean no usuales por su naturaleza, valor o incidencia</t>
  </si>
  <si>
    <t>01901006</t>
  </si>
  <si>
    <t>Explicación de la naturaleza y valor de los cambios por las estimaciones de los saldos presentados en periodos intermedios anteriores o ejercicios contables anteriores</t>
  </si>
  <si>
    <t>01901007</t>
  </si>
  <si>
    <t>Explicación de operaciones, recompras y reembolsos de títulos representativos de deuda y patrimonio</t>
  </si>
  <si>
    <t>Dividendos pagados, acciones ordinarias</t>
  </si>
  <si>
    <t>01901009</t>
  </si>
  <si>
    <t>Dividendos pagados, otras acciones</t>
  </si>
  <si>
    <t>01901010</t>
  </si>
  <si>
    <t>Dividendos pagados, acciones ordinarias por acción</t>
  </si>
  <si>
    <t>01901011</t>
  </si>
  <si>
    <t>Dividendos pagados, otras acciones por acción</t>
  </si>
  <si>
    <t>01901012</t>
  </si>
  <si>
    <t>Explicación de sucesos ocurridos después del periodo intermedio sobre el que se informa que no han sido reflejados</t>
  </si>
  <si>
    <t>01901013</t>
  </si>
  <si>
    <t>Explicación del efecto de los cambios en la composición accionaria de la entidad durante periodos intermedios</t>
  </si>
  <si>
    <t>01901014</t>
  </si>
  <si>
    <t>Descripción del cumplimiento con las NIIF si se aplican a la información financiera intermedia</t>
  </si>
  <si>
    <t>01901015</t>
  </si>
  <si>
    <t>Descripción de la naturaleza y valores del cambio en estimaciones durante el periodo intermedio final</t>
  </si>
  <si>
    <t>02000000</t>
  </si>
  <si>
    <t>[819100] Notas - Adopción de las NIIF por primera vez</t>
  </si>
  <si>
    <t>02001001</t>
  </si>
  <si>
    <t>Información a revelar sobre la adopción por primera vez de las NIIF [bloque de texto]</t>
  </si>
  <si>
    <t>02001002</t>
  </si>
  <si>
    <t>02001003</t>
  </si>
  <si>
    <t>Información a revelar sobre información comparativa preparada de conformidad con PCGA anteriores [bloque de texto]</t>
  </si>
  <si>
    <t>02002002</t>
  </si>
  <si>
    <t>Información a revelar sobre información comparativa preparada de conformidad con PCGA anteriores [sinopsis]</t>
  </si>
  <si>
    <t>02002003</t>
  </si>
  <si>
    <t>Información a revelar sobre información comparativa preparada de conformidad con PCGA anteriores [partidas]</t>
  </si>
  <si>
    <t>Patrimonio</t>
  </si>
  <si>
    <t>02003002</t>
  </si>
  <si>
    <t>Explicación del efecto de la transición de la situación financiera informada</t>
  </si>
  <si>
    <t>02003003</t>
  </si>
  <si>
    <t>Explicación del efecto de la transición en el rendimiento financiero informado</t>
  </si>
  <si>
    <t>02003004</t>
  </si>
  <si>
    <t>Explicación del efecto de la transición en los flujos de efectivo informados</t>
  </si>
  <si>
    <t>02003005</t>
  </si>
  <si>
    <t>Explicación del hecho de que no se presentan estados financieros de periodos anteriores</t>
  </si>
  <si>
    <t>02003006</t>
  </si>
  <si>
    <t>Explicación de las referencias cruzadas de información a revelar sobre estados financieros intermedios de una entidad que adopta por primera vez las NIIF</t>
  </si>
  <si>
    <t>02003007</t>
  </si>
  <si>
    <t>Información a revelar sobre activos y pasivos financieros designados nuevamente [bloque de texto]</t>
  </si>
  <si>
    <t>02004002</t>
  </si>
  <si>
    <t>Información a revelar sobre activos y pasivos financieros designados nuevamente [sinopsis]</t>
  </si>
  <si>
    <t>02004003</t>
  </si>
  <si>
    <t>Información a revelar sobre activos y pasivos financieros designados nuevamente [partidas]</t>
  </si>
  <si>
    <t>02004004</t>
  </si>
  <si>
    <t>Activos financieros nuevamente designados como disponibles para la venta</t>
  </si>
  <si>
    <t>Activos financieros designados nuevamente al valor razonable con cambios en resultados</t>
  </si>
  <si>
    <t>Pasivos financieros designados nuevamente al valor razonable con cambios en resultados</t>
  </si>
  <si>
    <t>02005002</t>
  </si>
  <si>
    <t>Descripción de pasivos financieros designados nuevamente</t>
  </si>
  <si>
    <t>02005003</t>
  </si>
  <si>
    <t>Descripción de activos financieros designados nuevamente</t>
  </si>
  <si>
    <t>02005004</t>
  </si>
  <si>
    <t>Información a revelar sobre los valores razonables de partidas utilizados como costo atribuido [bloque de texto]</t>
  </si>
  <si>
    <t>02006002</t>
  </si>
  <si>
    <t>Información a revelar sobre los valores razonables de partidas utilizados como costo atribuido [sinopsis]</t>
  </si>
  <si>
    <t>02006003</t>
  </si>
  <si>
    <t>Información a revelar sobre los valores razonables de partidas utilizados como costo atribuido [partidas]</t>
  </si>
  <si>
    <t>02006004</t>
  </si>
  <si>
    <t>Valor razonable de los activos intangibles utilizado como costo atribuido</t>
  </si>
  <si>
    <t>Valor razonable de propiedades, planta y equipo utilizado como costo atribuido</t>
  </si>
  <si>
    <t>02006006</t>
  </si>
  <si>
    <t>Valor razonable de propiedades de inversión utilizado como costo atribuido</t>
  </si>
  <si>
    <t>Costo atribuido acumulado de inversiones para las que el costo atribuido es el importe en libros de PCGA anteriores</t>
  </si>
  <si>
    <t>Costo atribuido acumulado de inversiones para las que el costo atribuido es su valor razonable</t>
  </si>
  <si>
    <t>02007004</t>
  </si>
  <si>
    <t>Ajuste acumulado a importes en libros de inversiones presentadas según PCGA anteriores</t>
  </si>
  <si>
    <t>02007005</t>
  </si>
  <si>
    <t>Descripción los hechos y criterios con que se asignaron los importes en libros determinados según los PCGA anteriores si la entidad utiliza la exención de la NIIF 1.D8A(b)</t>
  </si>
  <si>
    <t>02007006</t>
  </si>
  <si>
    <t>Descripción los hechos y criterios con que se determinaron los importes en libros según PCGA anteriores si la entidad utiliza la exención de la NIIF 1.D8B</t>
  </si>
  <si>
    <t>02008001</t>
  </si>
  <si>
    <t>Saldo [miembro]</t>
  </si>
  <si>
    <t>02008002</t>
  </si>
  <si>
    <t>SALDO DEL PATRIMONIO PCGA ANTERIORES [sinopsis]</t>
  </si>
  <si>
    <t>02008003</t>
  </si>
  <si>
    <t>SALDO DEL PATRIMONIO PCGA ANTERIORES [partidas]</t>
  </si>
  <si>
    <t>SALDO DEL PATRIMONIO PCGA ANTERIORES</t>
  </si>
  <si>
    <t>Modificación en los Activos</t>
  </si>
  <si>
    <t>Modificación en los Pasivos</t>
  </si>
  <si>
    <t>Modificación en el Patrimonio</t>
  </si>
  <si>
    <t>02008008</t>
  </si>
  <si>
    <t>TOTAL MODIFICACION POR CONVERGENCIA</t>
  </si>
  <si>
    <t>02008009</t>
  </si>
  <si>
    <t>Modificación por Errores</t>
  </si>
  <si>
    <t>02008010</t>
  </si>
  <si>
    <t>SALDO DEL PATRIMONIO NIIF</t>
  </si>
  <si>
    <t>02008011</t>
  </si>
  <si>
    <t>Variación absoluta ($)</t>
  </si>
  <si>
    <t>Variación relativa (%)</t>
  </si>
  <si>
    <t>02009002</t>
  </si>
  <si>
    <t>Información de Ajustes Generales por Efectos de la Transición [sinopsis]</t>
  </si>
  <si>
    <t>02009003</t>
  </si>
  <si>
    <t>Información a revelar sobre información de ajustes por efectos de la transición a NIIF [partidas]</t>
  </si>
  <si>
    <t>02009004</t>
  </si>
  <si>
    <t>MODIFICACIÓN EN LOS ACTIVOS [sinopsis]</t>
  </si>
  <si>
    <t>02009005</t>
  </si>
  <si>
    <t>Ajuste a valor razonable de Deudores</t>
  </si>
  <si>
    <t>02009006</t>
  </si>
  <si>
    <t>Deterioro Deudores</t>
  </si>
  <si>
    <t>02009007</t>
  </si>
  <si>
    <t>Eliminación Deudores Contingentes</t>
  </si>
  <si>
    <t>02009008</t>
  </si>
  <si>
    <t>Ajustes por método del grado de avance o de realización</t>
  </si>
  <si>
    <t>02009009</t>
  </si>
  <si>
    <t>Ajuste deudores por bienes entregados en arrendamiento financiero</t>
  </si>
  <si>
    <t>Otros incrementos (disminuciones) en Deudores</t>
  </si>
  <si>
    <t>02009011</t>
  </si>
  <si>
    <t>Ajuste al costo amortizado de otros activos financieros</t>
  </si>
  <si>
    <t>02009012</t>
  </si>
  <si>
    <t>Ajuste al valor razonable de activos financieros</t>
  </si>
  <si>
    <t>02009013</t>
  </si>
  <si>
    <t>Inventarios al valor neto de realización (Deterioro)</t>
  </si>
  <si>
    <t>02009014</t>
  </si>
  <si>
    <t>Disminución en inventarios por grado de realización</t>
  </si>
  <si>
    <t>02009015</t>
  </si>
  <si>
    <t>Ajuste a valor razonable menos costos de venta de activos biológicos</t>
  </si>
  <si>
    <t>Otros incrementos (disminuciones) en activos corrientes</t>
  </si>
  <si>
    <t>02009017</t>
  </si>
  <si>
    <t>Ajuste a valor razonable de propiedades de inversión</t>
  </si>
  <si>
    <t>Ajuste al valor razonable de inversiones</t>
  </si>
  <si>
    <t>Eliminación valorizaciones en inversiones</t>
  </si>
  <si>
    <t>02009020</t>
  </si>
  <si>
    <t>Ajuste por cambios en aplicación o eliminación del Método participación en inversiones</t>
  </si>
  <si>
    <t>Ajuste por medición al costo atribuido en propiedades, planta y equipo</t>
  </si>
  <si>
    <t>02009022</t>
  </si>
  <si>
    <t>Otros ajustes en el costo de propiedades planta y equipo</t>
  </si>
  <si>
    <t>Eliminación valorizaciones en propiedades planta y equipo</t>
  </si>
  <si>
    <t>02009024</t>
  </si>
  <si>
    <t>Costos por desmantelamiento de propiedades, planta y equipo</t>
  </si>
  <si>
    <t>02009025</t>
  </si>
  <si>
    <t>Ajustes por depreciación de propiedades, planta y equipo</t>
  </si>
  <si>
    <t>02009026</t>
  </si>
  <si>
    <t>Deterioro propiedades, planta y equipo</t>
  </si>
  <si>
    <t>02009027</t>
  </si>
  <si>
    <t>Deterioro de los activos para exploración y evaluación de recursos minerales</t>
  </si>
  <si>
    <t>02009028</t>
  </si>
  <si>
    <t>Ajuste por reclasificación de bienes dados en leasing operativo</t>
  </si>
  <si>
    <t>02009029</t>
  </si>
  <si>
    <t>Eliminación Ajustes por inflación</t>
  </si>
  <si>
    <t>Eliminación de diferidos</t>
  </si>
  <si>
    <t>02009031</t>
  </si>
  <si>
    <t>Ajuste en el costo de intangibles</t>
  </si>
  <si>
    <t>02009032</t>
  </si>
  <si>
    <t>Deterioro de intangibles</t>
  </si>
  <si>
    <t>02009033</t>
  </si>
  <si>
    <t>Intangibles en acuerdos de concesión</t>
  </si>
  <si>
    <t>02009034</t>
  </si>
  <si>
    <t>Ajuste impuesto diferido activo</t>
  </si>
  <si>
    <t>02009035</t>
  </si>
  <si>
    <t>Ajustes Bienes Recibidos en Pago</t>
  </si>
  <si>
    <t>02009036</t>
  </si>
  <si>
    <t>Reversión Provisión Bienes Recibidos en Pago</t>
  </si>
  <si>
    <t>02009037</t>
  </si>
  <si>
    <t>Ajuste Arrendamiento Operativo</t>
  </si>
  <si>
    <t>02009038</t>
  </si>
  <si>
    <t>Ajuste Arrendamiento Financiero</t>
  </si>
  <si>
    <t>02009039</t>
  </si>
  <si>
    <t>Ajustes realizados a causación de ingresos</t>
  </si>
  <si>
    <t>02009040</t>
  </si>
  <si>
    <t>Ajuste provisión cuentas por cobrar</t>
  </si>
  <si>
    <t>02009041</t>
  </si>
  <si>
    <t>Ajuste al Costo amortizado de cartera</t>
  </si>
  <si>
    <t>02009042</t>
  </si>
  <si>
    <t>Ajuste préstamo empleados</t>
  </si>
  <si>
    <t>02009043</t>
  </si>
  <si>
    <t>Reconocimiento de intereses cartera de créditos</t>
  </si>
  <si>
    <t>02009044</t>
  </si>
  <si>
    <t>Reservas de Seguros (parte Reaseguradores)</t>
  </si>
  <si>
    <t>Otros Activos</t>
  </si>
  <si>
    <t>02009046</t>
  </si>
  <si>
    <t>TOTAL INCREMENTO (DISMINUCIÓN) DE ACTIVOS</t>
  </si>
  <si>
    <t>02009047</t>
  </si>
  <si>
    <t>MODIFICACIÓN EN LOS PASIVOS [sinopsis]</t>
  </si>
  <si>
    <t>02009048</t>
  </si>
  <si>
    <t>Ajuste a valor presente en pasivos financieros</t>
  </si>
  <si>
    <t>02009049</t>
  </si>
  <si>
    <t>Ajuste a valor razonable en pasivos financieros</t>
  </si>
  <si>
    <t>02009050</t>
  </si>
  <si>
    <t>Ajuste costo amortizado en pasivos financieros</t>
  </si>
  <si>
    <t>Reconocimiento o ajuste en provisones</t>
  </si>
  <si>
    <t>02009052</t>
  </si>
  <si>
    <t>Ajuste pasivo pensional</t>
  </si>
  <si>
    <t>02009053</t>
  </si>
  <si>
    <t>Ajuste pasivo por otros beneficios a empleados a largo plazo</t>
  </si>
  <si>
    <t>Ajuste pasivo por otros beneficios a empleados a corto plazo</t>
  </si>
  <si>
    <t>02009055</t>
  </si>
  <si>
    <t>Ajuste a valor presente en cuentas por pagar</t>
  </si>
  <si>
    <t>02009056</t>
  </si>
  <si>
    <t>Ajuste a valor presente en otros pasivos financieros</t>
  </si>
  <si>
    <t>02009057</t>
  </si>
  <si>
    <t>Ajuste a valor presente en provisiones - parte no corriente</t>
  </si>
  <si>
    <t>02009058</t>
  </si>
  <si>
    <t>Provisiones por desmantelamiento</t>
  </si>
  <si>
    <t>Registro de impuesto diferido pasivo</t>
  </si>
  <si>
    <t>02009060</t>
  </si>
  <si>
    <t>Ajuste por instrumentos preferentes</t>
  </si>
  <si>
    <t>02009061</t>
  </si>
  <si>
    <t>Eliminación Ingresos Diferidos</t>
  </si>
  <si>
    <t>02009062</t>
  </si>
  <si>
    <t>Reservas Técnicas de Seguros</t>
  </si>
  <si>
    <t>02009063</t>
  </si>
  <si>
    <t>Ajuste garantías</t>
  </si>
  <si>
    <t>02009064</t>
  </si>
  <si>
    <t>Ajuste programas de fidelización de clientes</t>
  </si>
  <si>
    <t>02009065</t>
  </si>
  <si>
    <t>02009066</t>
  </si>
  <si>
    <t>02009067</t>
  </si>
  <si>
    <t>Ajuste del Impuesto al Patrimonio</t>
  </si>
  <si>
    <t>Otros Pasivos</t>
  </si>
  <si>
    <t>02009069</t>
  </si>
  <si>
    <t>TOTAL INCREMENTO (DISMINUCIÓN) DE PASIVOS</t>
  </si>
  <si>
    <t>02009070</t>
  </si>
  <si>
    <t>MODIFICACIÓN EN EL PATRIMONIO [sinopsis]</t>
  </si>
  <si>
    <t>02009071</t>
  </si>
  <si>
    <t>Revalorización de Patrimonio</t>
  </si>
  <si>
    <t>Otros ajustes al Patrimonio</t>
  </si>
  <si>
    <t>Eliminación Valorizaciones</t>
  </si>
  <si>
    <t>02009074</t>
  </si>
  <si>
    <t>Ajuste Interés Minoritario</t>
  </si>
  <si>
    <t>Otros Patrimonio</t>
  </si>
  <si>
    <t>02009076</t>
  </si>
  <si>
    <t>TOTAL MODIFICACION AL PATRIMONIO (NETO)</t>
  </si>
  <si>
    <t>02010002</t>
  </si>
  <si>
    <t>Descripción de los Ajustes realizados al Activo, Pasivo y Patrimonio</t>
  </si>
  <si>
    <t>02010003</t>
  </si>
  <si>
    <t>Descripción de los hechos y criterios con que se asignaron los importes determinados para revalorización del patrimonio</t>
  </si>
  <si>
    <t>02010004</t>
  </si>
  <si>
    <t>Descripción de los hechos y criterios con que se asignaron los importes determinados para otros ajustes al patrimonio (acciones preferentes y revalorizaciones)</t>
  </si>
  <si>
    <t>02010005</t>
  </si>
  <si>
    <t>Descripción de los hechos y criterios con que se asignaron los importes determinados para el efecto de errores en PCGA anteriores</t>
  </si>
  <si>
    <t>02010006</t>
  </si>
  <si>
    <t>Descripción de los hechos y criterios con que se asignaron los otros activos</t>
  </si>
  <si>
    <t>02010007</t>
  </si>
  <si>
    <t>Descripción de los hechos y criterios con que se asignaron los otros pasivos</t>
  </si>
  <si>
    <t>02010008</t>
  </si>
  <si>
    <t>Descripción de los hechos y criterios con que se asignaron los otros rubros del patrimonio</t>
  </si>
  <si>
    <t>02011002</t>
  </si>
  <si>
    <t>Resultados en ORI por la aplicación por primera vez de las NIIF [sinopsis]</t>
  </si>
  <si>
    <t>02011003</t>
  </si>
  <si>
    <t>Información a revelar sobre la aplicación de los resultados en el ORI- Aplicación por Primera Vez, de ser el caso [partidas]</t>
  </si>
  <si>
    <t>02011004</t>
  </si>
  <si>
    <t>Información a revelar sobre la realización de los Resultados en ORI por la aplicación por primera vez</t>
  </si>
  <si>
    <t>02011005</t>
  </si>
  <si>
    <t>Procesos de Capitalización</t>
  </si>
  <si>
    <t>02011006</t>
  </si>
  <si>
    <t>Repartición de Utilidades y/o Dividendos</t>
  </si>
  <si>
    <t>02011008</t>
  </si>
  <si>
    <t>Para Enjugar pérdidas</t>
  </si>
  <si>
    <t>02011009</t>
  </si>
  <si>
    <t>Otras Distribuciones</t>
  </si>
  <si>
    <t>02012002</t>
  </si>
  <si>
    <t>Descripción de la realización de los resultados en ORI y detalle de las personas naturales y/o jurídicas con las cuales se realizaron los mismos</t>
  </si>
  <si>
    <t>02012003</t>
  </si>
  <si>
    <t>Descripción de las razones que la entidad consideró para la repartición de utilidades y/o dividendos y adelantar procesos de capitalización, enjugar pérdidas o reconocer reservas</t>
  </si>
  <si>
    <t>02012004</t>
  </si>
  <si>
    <t>Descripción de las razones que la entidad consideró para la repartición de utilidades en otras distribuciones y su especificación</t>
  </si>
  <si>
    <t>02100000</t>
  </si>
  <si>
    <t>[420000] Estado del resultado integral, componentes ORI presentados antes de impuestos</t>
  </si>
  <si>
    <t>02101002</t>
  </si>
  <si>
    <t>02101004</t>
  </si>
  <si>
    <t>02101005</t>
  </si>
  <si>
    <t>Componentes de otro resultado integral que no se reclasificarán al resultado del periodo, antes de impuestos [resumen]</t>
  </si>
  <si>
    <t>Otro resultado integral, antes de impuestos, ganancias (pérdidas) de inversiones en instrumentos de patrimonio</t>
  </si>
  <si>
    <t>Otro resultado integral, antes de impuestos, ganancias (pérdidas) por revaluación</t>
  </si>
  <si>
    <t>Otro resultado integral, antes de impuestos, ganancias (pérdidas) actuariales por planes de beneficios definidos</t>
  </si>
  <si>
    <t>02101009</t>
  </si>
  <si>
    <t>Otro resultado integral, antes de impuestos, cambio en el valor razonable de pasivos financieros atribuible a cambios en el riesgo de crédito del pasivo</t>
  </si>
  <si>
    <t>02101010</t>
  </si>
  <si>
    <t>Participación de otro resultado integral de asociadas y negocios conjuntos contabilizados utilizando el método de la participación que no se reclasificará al resultado del periodo, antes de impuestos</t>
  </si>
  <si>
    <t>02101011</t>
  </si>
  <si>
    <t>Total otro resultado integral que no se reclasificará al resultado del periodo, antes de impuestos</t>
  </si>
  <si>
    <t>02101012</t>
  </si>
  <si>
    <t>Componentes de otro resultado integral que se reclasificarán al resultado del periodo, antes de impuestos [resumen]</t>
  </si>
  <si>
    <t>02101013</t>
  </si>
  <si>
    <t>Ganancias (pérdidas) por diferencias de cambio de conversión, antes de impuestos</t>
  </si>
  <si>
    <t>02101015</t>
  </si>
  <si>
    <t>Ajustes de reclasificación en diferencias de cambio de conversión, antes de impuestos</t>
  </si>
  <si>
    <t>02101016</t>
  </si>
  <si>
    <t>Otro resultado integral, antes de impuestos, diferencias de cambio por conversión</t>
  </si>
  <si>
    <t>02101017</t>
  </si>
  <si>
    <t>02101018</t>
  </si>
  <si>
    <t>Ganancias (pérdidas) por nuevas mediciones de activos financieros disponibles para la venta, antes de impuestos</t>
  </si>
  <si>
    <t>02101019</t>
  </si>
  <si>
    <t>Ajustes de reclasificación, activos financieros disponibles para la venta, antes de impuestos</t>
  </si>
  <si>
    <t>02101020</t>
  </si>
  <si>
    <t>Otro resultado integral antes de impuestos, activos financieros disponibles para la venta</t>
  </si>
  <si>
    <t>02101021</t>
  </si>
  <si>
    <t>02101022</t>
  </si>
  <si>
    <t>Ganancias (pérdidas) por coberturas de flujos de efectivo, antes de impuestos</t>
  </si>
  <si>
    <t>02101023</t>
  </si>
  <si>
    <t>Ajustes de reclasificación en coberturas de flujos de efectivo, antes de impuestos</t>
  </si>
  <si>
    <t>02101024</t>
  </si>
  <si>
    <t>Importes eliminados del patrimonio e INCluidos en el importe en libros de activos (pasivos) no financieros que se hayan adquirido o INCurrido mediante una transacción prevista altamente probable cubierta, antes de impuestos</t>
  </si>
  <si>
    <t>02101025</t>
  </si>
  <si>
    <t>Otro resultado integral, antes de impuestos, coberturas del flujo de efectivo</t>
  </si>
  <si>
    <t>02101026</t>
  </si>
  <si>
    <t>02101027</t>
  </si>
  <si>
    <t>Ganancias (pérdidas) por coberturas de inversiones netas en negocios en el extranjero, antes de impuestos</t>
  </si>
  <si>
    <t>02101028</t>
  </si>
  <si>
    <t>Ajustes de reclasificación por coberturas de inversiones netas en negocios en el extranjero, antes de impuestos</t>
  </si>
  <si>
    <t>02101029</t>
  </si>
  <si>
    <t>Otro resultado integral, antes de impuestos, coberturas de inversiones netas en negocios en el extranjero</t>
  </si>
  <si>
    <t>02101030</t>
  </si>
  <si>
    <t>Participación de otro resultado integral de asociadas y negocios conjuntos contabilizados utilizando el método de la participación que se reclasificará al resultado del periodo, antes de impuestos</t>
  </si>
  <si>
    <t>02101031</t>
  </si>
  <si>
    <t>Total otro resultado integral que se reclasificará al resultado del periodo, antes de impuestos</t>
  </si>
  <si>
    <t>02101032</t>
  </si>
  <si>
    <t>Total otro resultado integral, antes de impuestos</t>
  </si>
  <si>
    <t>02101033</t>
  </si>
  <si>
    <t>Impuestos a las ganancias relativos a componentes de otro resultado integral que no se reclasificará al resultado del periodo [resumen]</t>
  </si>
  <si>
    <t>Impuesto a las ganancias relativos a inversiones en instrumentos de patrimonio de otro resultado integral</t>
  </si>
  <si>
    <t>Impuesto a las ganancias relacionado con cambios en el superávit de revaluación de otro resultado integral</t>
  </si>
  <si>
    <t>02101035DU</t>
  </si>
  <si>
    <t>Impuesto a las ganancias relacionado con planes de beneficios definidos de otro resultado integral</t>
  </si>
  <si>
    <t>02101037</t>
  </si>
  <si>
    <t>Impuesto a las ganancias relacionado con cambios en el valor razonable de pasivos financieros atribuibles a cambios en el riesgo de crédito del pasivo de otro resultado integral</t>
  </si>
  <si>
    <t>02101038</t>
  </si>
  <si>
    <t>Impuestos a las ganancias acumulados relativos a componentes de otro resultado integral que no se reclasificarán al resultado del periodo</t>
  </si>
  <si>
    <t>02101039</t>
  </si>
  <si>
    <t>Impuestos a las ganancias relativos a la participación de otro resultado integral de asociadas y negocios conjuntos contabilizados utilizando el método de la participación que no se reclasificará al resultado del periodo</t>
  </si>
  <si>
    <t>02101040</t>
  </si>
  <si>
    <t>Impuestos a las ganancias relativos a componentes de otro resultado integral que se reclasificará al resultado del periodo [resumen]</t>
  </si>
  <si>
    <t>02101041</t>
  </si>
  <si>
    <t>Impuesto a las ganancias relacionado con diferencias de cambio de conversión de otro resultado integral</t>
  </si>
  <si>
    <t>02101042</t>
  </si>
  <si>
    <t>Impuesto a las ganancias relacionadas con activos financieros disponibles para la venta de otro resultado integral</t>
  </si>
  <si>
    <t>02101042DU</t>
  </si>
  <si>
    <t>02101042DU1</t>
  </si>
  <si>
    <t>02101043</t>
  </si>
  <si>
    <t>Impuesto a las ganancias relacionado con coberturas de flujos de efectivo de otro resultado integral</t>
  </si>
  <si>
    <t>02101044</t>
  </si>
  <si>
    <t>Impuesto a las ganancias relativos a coberturas de inversiones netas en negocios en el extranjero de otro resultado integral</t>
  </si>
  <si>
    <t>02101045</t>
  </si>
  <si>
    <t>Impuestos a las ganancias acumulados relativos a componentes de otro resultado integral que se reclasificarán al resultado del periodo</t>
  </si>
  <si>
    <t>02101046</t>
  </si>
  <si>
    <t>Impuestos a las ganancias relativos a la participación de otro resultado integral de asociadas y negocios conjuntos contabilizados utilizando el método de la participación que se reclasificará al resultado del periodo</t>
  </si>
  <si>
    <t>02101047</t>
  </si>
  <si>
    <t>02101048</t>
  </si>
  <si>
    <t>02101049</t>
  </si>
  <si>
    <t>02101051</t>
  </si>
  <si>
    <t>02200000</t>
  </si>
  <si>
    <t>[800100] Notas - Subclasificaciones de activos, pasivos y patrimonio</t>
  </si>
  <si>
    <t>02201001</t>
  </si>
  <si>
    <t>Subclasificaciones de activos, pasivos y patrimonios [sinopsis]</t>
  </si>
  <si>
    <t>02201002</t>
  </si>
  <si>
    <t>Efectivo y equivalentes al efectivo [sinopsis]</t>
  </si>
  <si>
    <t>02201003</t>
  </si>
  <si>
    <t>Efectivo [sinopsis]</t>
  </si>
  <si>
    <t>Efectivo en caja</t>
  </si>
  <si>
    <t>Saldos en bancos</t>
  </si>
  <si>
    <t>02201006</t>
  </si>
  <si>
    <t>Total efectivo</t>
  </si>
  <si>
    <t>02201007</t>
  </si>
  <si>
    <t>Equivalentes al efectivo [sinopsis]</t>
  </si>
  <si>
    <t>Depósitos a corto plazo, clasificados como equivalentes al efectivo</t>
  </si>
  <si>
    <t>Inversiones a corto plazo, clasificados como equivalentes al efectivo</t>
  </si>
  <si>
    <t>02201010</t>
  </si>
  <si>
    <t>Otros acuerdos bancarios, clasificados como equivalentes al efectivo</t>
  </si>
  <si>
    <t>02201011</t>
  </si>
  <si>
    <t>Total equivalentes al efectivo</t>
  </si>
  <si>
    <t>02201012</t>
  </si>
  <si>
    <t>Otro efectivo y equivalentes al efectivo</t>
  </si>
  <si>
    <t>02201013</t>
  </si>
  <si>
    <t>Total de efectivo y equivalentes al efectivo</t>
  </si>
  <si>
    <t>02201014</t>
  </si>
  <si>
    <t>Propiedades, planta y equipo [sinopsis]</t>
  </si>
  <si>
    <t>02201015</t>
  </si>
  <si>
    <t>Terrenos y construcciones [sinopsis]</t>
  </si>
  <si>
    <t>02201017</t>
  </si>
  <si>
    <t>02201018</t>
  </si>
  <si>
    <t>Total terrenos y edificios</t>
  </si>
  <si>
    <t>02201019</t>
  </si>
  <si>
    <t>Maquinaria y Equipo [sinopsis]</t>
  </si>
  <si>
    <t>02201020</t>
  </si>
  <si>
    <t>Maquinaria y Equipo de Producción</t>
  </si>
  <si>
    <t>02201021</t>
  </si>
  <si>
    <t>Maquinaria y Equipo en Montaje</t>
  </si>
  <si>
    <t>02201022</t>
  </si>
  <si>
    <t>Total de Maquinaria y Equipo</t>
  </si>
  <si>
    <t>02201023</t>
  </si>
  <si>
    <t>Vehículos [sinopsis]</t>
  </si>
  <si>
    <t>02201024</t>
  </si>
  <si>
    <t>02201025</t>
  </si>
  <si>
    <t>Aeronave</t>
  </si>
  <si>
    <t>Equipos de Transporte</t>
  </si>
  <si>
    <t>02201027</t>
  </si>
  <si>
    <t>Total vehículos</t>
  </si>
  <si>
    <t>Muebles Enseres y accesorios</t>
  </si>
  <si>
    <t>Equipo de Cómputo</t>
  </si>
  <si>
    <t>02201031</t>
  </si>
  <si>
    <t>Acueducto, Plantas y Redes</t>
  </si>
  <si>
    <t>02201032</t>
  </si>
  <si>
    <t>Armamento de Vigilancia</t>
  </si>
  <si>
    <t>02201033</t>
  </si>
  <si>
    <t>Vías de Comunicación</t>
  </si>
  <si>
    <t>02201034</t>
  </si>
  <si>
    <t>Activos tangibles para exploración y evaluación</t>
  </si>
  <si>
    <t>02201035</t>
  </si>
  <si>
    <t>Activos de minería</t>
  </si>
  <si>
    <t>02201036</t>
  </si>
  <si>
    <t>Activos de petróleo y gas</t>
  </si>
  <si>
    <t>Construcciones en proceso</t>
  </si>
  <si>
    <t>02201038</t>
  </si>
  <si>
    <t>Otras propiedades, planta y equipo</t>
  </si>
  <si>
    <t>02201039</t>
  </si>
  <si>
    <t>Total de propiedades, planta y equipo</t>
  </si>
  <si>
    <t>02201040</t>
  </si>
  <si>
    <t>Activos Biológicos [sinopsis]</t>
  </si>
  <si>
    <t>02201041</t>
  </si>
  <si>
    <t>Ganadería</t>
  </si>
  <si>
    <t>02201042</t>
  </si>
  <si>
    <t>Plantaciones Agrícolas y Forestales</t>
  </si>
  <si>
    <t>02201043</t>
  </si>
  <si>
    <t>Recursos de Hidrocarburos y Minerales [sinopsis]</t>
  </si>
  <si>
    <t>02201044</t>
  </si>
  <si>
    <t>Recursos de Hidrocarburos y Minerales</t>
  </si>
  <si>
    <t>02201045</t>
  </si>
  <si>
    <t>Total Activos Biológicos</t>
  </si>
  <si>
    <t>02201046</t>
  </si>
  <si>
    <t>Activos intangibles y plusvalía [resumen]</t>
  </si>
  <si>
    <t>02201047</t>
  </si>
  <si>
    <t>Activos intangibles distintos de la plusvalía [sinopsis]</t>
  </si>
  <si>
    <t>02201048</t>
  </si>
  <si>
    <t>Marcas comerciales</t>
  </si>
  <si>
    <t>02201049</t>
  </si>
  <si>
    <t>activos intangibles para exploración y evaluación</t>
  </si>
  <si>
    <t>02201050</t>
  </si>
  <si>
    <t>Cabeceras de periódicos o revistas y títulos de publicaciones</t>
  </si>
  <si>
    <t>Programas de computador</t>
  </si>
  <si>
    <t>02201052</t>
  </si>
  <si>
    <t>Licencias, concesiones y franquicias</t>
  </si>
  <si>
    <t>02201053</t>
  </si>
  <si>
    <t>Derechos de propiedad intelectual, patentes y otros derechos de propiedad industrial, servicio y derechos de explotación</t>
  </si>
  <si>
    <t>02201054</t>
  </si>
  <si>
    <t>Recetas, fórmulas, modelos, diseños y prototipos</t>
  </si>
  <si>
    <t>02201055</t>
  </si>
  <si>
    <t>Activos intangibles en desarrollo</t>
  </si>
  <si>
    <t>02201056</t>
  </si>
  <si>
    <t>Puestos de bolsa</t>
  </si>
  <si>
    <t>02201057</t>
  </si>
  <si>
    <t>Otros activos intangibles</t>
  </si>
  <si>
    <t>02201058</t>
  </si>
  <si>
    <t>Total de activos intangibles distintos de la plusvalía</t>
  </si>
  <si>
    <t>02201059</t>
  </si>
  <si>
    <t>Plusvalía o crédito mercantil</t>
  </si>
  <si>
    <t>02201060</t>
  </si>
  <si>
    <t>Total activos intangibles y plusvalía</t>
  </si>
  <si>
    <t>02201061</t>
  </si>
  <si>
    <t>Inversiones en subsidiarias, negocios conjuntos y asociadas [sinopsis]</t>
  </si>
  <si>
    <t>Inversiones en subsidiarias</t>
  </si>
  <si>
    <t>02201063</t>
  </si>
  <si>
    <t>Inversiones en negocios conjuntos</t>
  </si>
  <si>
    <t>Inversiones en asociadas</t>
  </si>
  <si>
    <t>02201065</t>
  </si>
  <si>
    <t>Operaciones Conjuntas</t>
  </si>
  <si>
    <t>02201066</t>
  </si>
  <si>
    <t>Total de inversiones en subsidiarias, negocios conjuntos y asociadas</t>
  </si>
  <si>
    <t>02201067</t>
  </si>
  <si>
    <t>Cuentas comerciales por cobrar y otras cuentas por cobrar (no corrientes) [resumen]</t>
  </si>
  <si>
    <t>Cuentas comerciales por cobrar (no corrientes)</t>
  </si>
  <si>
    <t>02201069</t>
  </si>
  <si>
    <t>Anticipos de pagos (no corrientes)</t>
  </si>
  <si>
    <t>02201070</t>
  </si>
  <si>
    <t>Otros Anticipos</t>
  </si>
  <si>
    <t>02201071</t>
  </si>
  <si>
    <t>Cuentas por cobrar (no corrientes) procedentes de impuestos distintos a los impuestos a las ganancias</t>
  </si>
  <si>
    <t>02201072</t>
  </si>
  <si>
    <t>Impuesto al valor agregado por cobrar (no corriente)</t>
  </si>
  <si>
    <t>02201073</t>
  </si>
  <si>
    <t>Cuentas por cobrar (no corrientes) debidas por partes relacionadas</t>
  </si>
  <si>
    <t>Otras cuentas por cobrar (no corrientes)</t>
  </si>
  <si>
    <t>02201075</t>
  </si>
  <si>
    <t>Total cuentas comerciales por cobrar y otras cuentas por cobrar (no corrientes)</t>
  </si>
  <si>
    <t>02201076</t>
  </si>
  <si>
    <t>Cartera de Créditos y operaciones de leasing financiero [sinopsis]</t>
  </si>
  <si>
    <t>02201077</t>
  </si>
  <si>
    <t>Cartera de créditos y operaciones de leasing financiero al costo (Establecimientos de Crédito) [sinopsis]</t>
  </si>
  <si>
    <t>02201078</t>
  </si>
  <si>
    <t>Cartera de Consumo</t>
  </si>
  <si>
    <t>02201079</t>
  </si>
  <si>
    <t>Cartera Comercial</t>
  </si>
  <si>
    <t>02201080</t>
  </si>
  <si>
    <t>Cartera de Vivienda</t>
  </si>
  <si>
    <t>02201081</t>
  </si>
  <si>
    <t>Cartera de Microcrédito</t>
  </si>
  <si>
    <t>02201082</t>
  </si>
  <si>
    <t>Total Cartera de Créditos y Operaciones de Leasing al Costo</t>
  </si>
  <si>
    <t>02201083</t>
  </si>
  <si>
    <t>Cartera de créditos y operaciones de leasing financiero al costo amortizado [sinopsis]</t>
  </si>
  <si>
    <t>02201084</t>
  </si>
  <si>
    <t>02201085</t>
  </si>
  <si>
    <t>02201086</t>
  </si>
  <si>
    <t>02201087</t>
  </si>
  <si>
    <t>02201088</t>
  </si>
  <si>
    <t>Total Cartera de Créditos y Operaciones de Leasing al Costo Amortizado</t>
  </si>
  <si>
    <t>02201089</t>
  </si>
  <si>
    <t>Total Cartera de créditos y operaciones de leasing financiero</t>
  </si>
  <si>
    <t>02201090</t>
  </si>
  <si>
    <t>Activos no corrientes diversos [resumen]</t>
  </si>
  <si>
    <t>Efectivo y equivalentes al efectivo restringido no corriente</t>
  </si>
  <si>
    <t>02201092</t>
  </si>
  <si>
    <t>Activos financieros derivados no corrientes</t>
  </si>
  <si>
    <t>02201093</t>
  </si>
  <si>
    <t>Intereses por cobrar no corrientes</t>
  </si>
  <si>
    <t>02201094</t>
  </si>
  <si>
    <t>Inversiones no corrientes distintas de las contabilizadas utilizando el método de la participación</t>
  </si>
  <si>
    <t>02201095</t>
  </si>
  <si>
    <t>Inversiones en negocios conjuntos contabilizadas utilizando el método de la participación</t>
  </si>
  <si>
    <t>02201096</t>
  </si>
  <si>
    <t>Inversiones en asociadas contabilizadas utilizando el método de la participación</t>
  </si>
  <si>
    <t>Otros activos no corrientes</t>
  </si>
  <si>
    <t>02201098</t>
  </si>
  <si>
    <t>Cuentas comerciales por cobrar y otras cuentas por cobrar (corrientes) [resumen]</t>
  </si>
  <si>
    <t>02201099</t>
  </si>
  <si>
    <t>Cuentas comerciales por cobrar (corrientes)</t>
  </si>
  <si>
    <t>02201100</t>
  </si>
  <si>
    <t>Cuentas por cobrar (corrientes) a partes relacionadas</t>
  </si>
  <si>
    <t>02201101</t>
  </si>
  <si>
    <t>Anticipos (corrientes) [resumen]</t>
  </si>
  <si>
    <t>02201102</t>
  </si>
  <si>
    <t>Anticipos (corrientes) a proveedores</t>
  </si>
  <si>
    <t>02201103</t>
  </si>
  <si>
    <t>Gastos anticipados (corrientes)</t>
  </si>
  <si>
    <t>02201104</t>
  </si>
  <si>
    <t>Total anticipos (corrientes)</t>
  </si>
  <si>
    <t>02201105</t>
  </si>
  <si>
    <t>Cuentas por cobrar (corrientes) procedentes de impuestos distintos a los impuestos a las ganancias</t>
  </si>
  <si>
    <t>02201106</t>
  </si>
  <si>
    <t>Impuesto al valor agregado por cobrar (corriente)</t>
  </si>
  <si>
    <t>02201107</t>
  </si>
  <si>
    <t>Otras cuentas por cobrar (corrientes)</t>
  </si>
  <si>
    <t>02201109</t>
  </si>
  <si>
    <t>Total cuentas comerciales por cobrar y otras cuentas por cobrar (corrientes)</t>
  </si>
  <si>
    <t>02201110</t>
  </si>
  <si>
    <t>Cuentas comerciales por cobrar y otras cuentas por cobrar [resumen]</t>
  </si>
  <si>
    <t>02201111</t>
  </si>
  <si>
    <t>Cuentas comerciales por cobrar</t>
  </si>
  <si>
    <t>02201112</t>
  </si>
  <si>
    <t>Cuentas por cobrar a cargo de partes relacionadas</t>
  </si>
  <si>
    <t>02201113</t>
  </si>
  <si>
    <t>Pagos anticipados</t>
  </si>
  <si>
    <t>02201114</t>
  </si>
  <si>
    <t>Cuentas por cobrar por impuestos distintos a los impuestos a las ganancias</t>
  </si>
  <si>
    <t>02201115</t>
  </si>
  <si>
    <t>Cuentas por cobrar por impuesto al valor agregado</t>
  </si>
  <si>
    <t>02201116</t>
  </si>
  <si>
    <t>Cuentas por cobrar Retención en la Fuente</t>
  </si>
  <si>
    <t>Otras cuentas por cobrar</t>
  </si>
  <si>
    <t>02201118</t>
  </si>
  <si>
    <t>Total cuentas comerciales por cobrar y otras cuentas por cobrar</t>
  </si>
  <si>
    <t>02201119</t>
  </si>
  <si>
    <t>Categorías de activos financieros (no corrientes) [resumen]</t>
  </si>
  <si>
    <t>02201120</t>
  </si>
  <si>
    <t>Activos financieros (no corrientes) disponibles para la venta</t>
  </si>
  <si>
    <t>02201121</t>
  </si>
  <si>
    <t>Inversiones (no corrientes) mantenidas hasta el vencimiento</t>
  </si>
  <si>
    <t>Préstamos y cuentas por cobrar (no corrientes)</t>
  </si>
  <si>
    <t>Activos financieros (no corrientes) al valor razonable con cambios en otro resultado integral</t>
  </si>
  <si>
    <t>02201124</t>
  </si>
  <si>
    <t>Activos financieros (no corrientes) al costo amortizado</t>
  </si>
  <si>
    <t>02201125</t>
  </si>
  <si>
    <t>Total activos financieros (no corrientes)</t>
  </si>
  <si>
    <t>02201126</t>
  </si>
  <si>
    <t>Categorías de activos financieros (corrientes) [resumen]</t>
  </si>
  <si>
    <t>02201127</t>
  </si>
  <si>
    <t>Activos financieros (corrientes) al valor razonable con cambios en resultados [resumen]</t>
  </si>
  <si>
    <t>02201128</t>
  </si>
  <si>
    <t>Instrumentos [resumen]</t>
  </si>
  <si>
    <t>02201129</t>
  </si>
  <si>
    <t>Instrumentos de Deuda</t>
  </si>
  <si>
    <t>Instrumentos de Patrimonio</t>
  </si>
  <si>
    <t>02201131</t>
  </si>
  <si>
    <t>Total Instrumentos</t>
  </si>
  <si>
    <t>02201132</t>
  </si>
  <si>
    <t>Instrumentos Financieros Derivados [resumen]</t>
  </si>
  <si>
    <t>02201133</t>
  </si>
  <si>
    <t>Contratos de Opciones</t>
  </si>
  <si>
    <t>02201134</t>
  </si>
  <si>
    <t>Contratos de Futuros</t>
  </si>
  <si>
    <t>02201135</t>
  </si>
  <si>
    <t>Contratos Swaps</t>
  </si>
  <si>
    <t>02201136</t>
  </si>
  <si>
    <t>Contratos Forwards</t>
  </si>
  <si>
    <t>02201137</t>
  </si>
  <si>
    <t>Total Instrumentos Financieros Derivados</t>
  </si>
  <si>
    <t>02201138</t>
  </si>
  <si>
    <t>Operaciones del Mercado Monetario [resumen]</t>
  </si>
  <si>
    <t>02201139</t>
  </si>
  <si>
    <t>Fondos Interbancarios o interasociados</t>
  </si>
  <si>
    <t>02201140</t>
  </si>
  <si>
    <t>Repos</t>
  </si>
  <si>
    <t>02201141</t>
  </si>
  <si>
    <t>Simultáneas</t>
  </si>
  <si>
    <t>02201142</t>
  </si>
  <si>
    <t>Transferencias Temporales de Valores</t>
  </si>
  <si>
    <t>02201143</t>
  </si>
  <si>
    <t>Total Operaciones del Mercado Monetario</t>
  </si>
  <si>
    <t>02201144</t>
  </si>
  <si>
    <t>Total activos financieros (corrientes) al valor razonable</t>
  </si>
  <si>
    <t>02201145</t>
  </si>
  <si>
    <t>Inversiones [resumen]</t>
  </si>
  <si>
    <t>02201146</t>
  </si>
  <si>
    <t>Negociables [resumen]</t>
  </si>
  <si>
    <t>02201147</t>
  </si>
  <si>
    <t>02201148</t>
  </si>
  <si>
    <t>02201149</t>
  </si>
  <si>
    <t>Total Inversiones Negociables</t>
  </si>
  <si>
    <t>02201150</t>
  </si>
  <si>
    <t>Disponibles para la venta [resumen]</t>
  </si>
  <si>
    <t>02201151</t>
  </si>
  <si>
    <t>02201152</t>
  </si>
  <si>
    <t>02201153</t>
  </si>
  <si>
    <t>Total Inversiones Disponibles para la venta</t>
  </si>
  <si>
    <t>02201154</t>
  </si>
  <si>
    <t>Inversiones hasta el vencimiento</t>
  </si>
  <si>
    <t>02201155</t>
  </si>
  <si>
    <t>Total de inversiones</t>
  </si>
  <si>
    <t>Préstamos y cuentas por cobrar (corrientes)</t>
  </si>
  <si>
    <t>02201157</t>
  </si>
  <si>
    <t>Activos financieros (corrientes) al valor razonable con cambios en otro resultado integral [sinopsis]</t>
  </si>
  <si>
    <t>02201158</t>
  </si>
  <si>
    <t>Inversiones Disponibles para la Venta en Tìtulos de Deuda</t>
  </si>
  <si>
    <t>02201159</t>
  </si>
  <si>
    <t>Inversiones Disponibles para la Venta en Títulos Participativos</t>
  </si>
  <si>
    <t>02201160</t>
  </si>
  <si>
    <t>Total activos financieros (corrientes) al valor razonable con cambios en otro resultado integral</t>
  </si>
  <si>
    <t>02201161</t>
  </si>
  <si>
    <t>Activos financieros (corrientes) al costo amortizado [sinopsis]</t>
  </si>
  <si>
    <t>02201162</t>
  </si>
  <si>
    <t>02201163</t>
  </si>
  <si>
    <t>02201164</t>
  </si>
  <si>
    <t>02201165</t>
  </si>
  <si>
    <t>02201166</t>
  </si>
  <si>
    <t>02201167</t>
  </si>
  <si>
    <t>02201168</t>
  </si>
  <si>
    <t>Inversiones mantenidas hasta el vencimiento</t>
  </si>
  <si>
    <t>02201169</t>
  </si>
  <si>
    <t>Total activos financieros al costo amortizado (corrientes)</t>
  </si>
  <si>
    <t>02201170</t>
  </si>
  <si>
    <t>Total activos financieros (corrientes)</t>
  </si>
  <si>
    <t>02201171</t>
  </si>
  <si>
    <t>Categorías de activos financieros [sinopsis]</t>
  </si>
  <si>
    <t>02201172</t>
  </si>
  <si>
    <t>02201173</t>
  </si>
  <si>
    <t>Préstamos concedidos y cuentas por cobrar</t>
  </si>
  <si>
    <t>02201174</t>
  </si>
  <si>
    <t>Activos financieros al valor razonable con cambios en otro resultado integral</t>
  </si>
  <si>
    <t>Otros activos financieros al costo amortizado</t>
  </si>
  <si>
    <t>02201176</t>
  </si>
  <si>
    <t>Total activos financieros</t>
  </si>
  <si>
    <t>02201177</t>
  </si>
  <si>
    <t>Reservas Técnicas Parte Reaseguradores</t>
  </si>
  <si>
    <t>02201178</t>
  </si>
  <si>
    <t>Clases de inventarios corrientes [resumen]</t>
  </si>
  <si>
    <t>02201179</t>
  </si>
  <si>
    <t>Materias primas corrientes</t>
  </si>
  <si>
    <t>02201180</t>
  </si>
  <si>
    <t>Mercancías corrientes</t>
  </si>
  <si>
    <t>02201181</t>
  </si>
  <si>
    <t>Suministros de producción corrientes</t>
  </si>
  <si>
    <t>02201182</t>
  </si>
  <si>
    <t>Productos en Proceso Trabajo en curso corriente</t>
  </si>
  <si>
    <t>02201183</t>
  </si>
  <si>
    <t>Productos terminados corrientes</t>
  </si>
  <si>
    <t>02201184</t>
  </si>
  <si>
    <t>02201185</t>
  </si>
  <si>
    <t>02201186</t>
  </si>
  <si>
    <t>Piezas de repuesto corrientes</t>
  </si>
  <si>
    <t>02201187</t>
  </si>
  <si>
    <t>Otros inventarios corrientes</t>
  </si>
  <si>
    <t>02201188</t>
  </si>
  <si>
    <t>Total inventarios corrientes</t>
  </si>
  <si>
    <t>02201189</t>
  </si>
  <si>
    <t>Inventarios no corrientes que surgen de actividades de extracción [resumen]</t>
  </si>
  <si>
    <t>02201190</t>
  </si>
  <si>
    <t>Reservas de mineral no corrientes</t>
  </si>
  <si>
    <t>02201191</t>
  </si>
  <si>
    <t>Inventarios corrientes que surgen de actividades de extracción [resumen]</t>
  </si>
  <si>
    <t>02201192</t>
  </si>
  <si>
    <t>Reservas de mineral corrientes</t>
  </si>
  <si>
    <t>02201193</t>
  </si>
  <si>
    <t>Petróleo crudo corriente</t>
  </si>
  <si>
    <t>02201194</t>
  </si>
  <si>
    <t>Petróleo y productos petroquímicos corrientes</t>
  </si>
  <si>
    <t>02201195</t>
  </si>
  <si>
    <t>Gas natural corriente</t>
  </si>
  <si>
    <t>02201196</t>
  </si>
  <si>
    <t>Activos no corrientes o grupo de activos para su disposición clasificados como mantenidos para la venta o como mantenidos para distribuir a los propietarios [resumen]</t>
  </si>
  <si>
    <t>02201197</t>
  </si>
  <si>
    <t>Activos no corrientes o grupos de activos para su disposición clasificados como mantenidos para la venta</t>
  </si>
  <si>
    <t>02201198</t>
  </si>
  <si>
    <t>Activos no corrientes o grupos de activos para su disposición clasificados como mantenidos para distribuir a los propietarios</t>
  </si>
  <si>
    <t>02201199</t>
  </si>
  <si>
    <t>Total activos no corrientes o grupo de activos para su disposición clasificados como mantenidos para la venta o como mantenidos para distribuir a los propietarios</t>
  </si>
  <si>
    <t>02201200</t>
  </si>
  <si>
    <t>Activos corrientes diversos [resumen]</t>
  </si>
  <si>
    <t>02201201</t>
  </si>
  <si>
    <t>Activos reconocidos corrientes, plan de beneficios definidos</t>
  </si>
  <si>
    <t>Efectivo y equivalentes al efectivo restringido corriente</t>
  </si>
  <si>
    <t>02201203</t>
  </si>
  <si>
    <t>Activos financieros derivados corrientes</t>
  </si>
  <si>
    <t>02201204</t>
  </si>
  <si>
    <t>Operaciones del Mercado Monetario</t>
  </si>
  <si>
    <t>02201205</t>
  </si>
  <si>
    <t>Intereses por cobrar corrientes</t>
  </si>
  <si>
    <t>02201206</t>
  </si>
  <si>
    <t>02201207</t>
  </si>
  <si>
    <t>Depósitos a corto plazo, no clasificados como equivalentes al efectivo</t>
  </si>
  <si>
    <t>Otros activos corrientes</t>
  </si>
  <si>
    <t>02201208_C02201001_1</t>
  </si>
  <si>
    <t>02201208_C02201002</t>
  </si>
  <si>
    <t>02201209</t>
  </si>
  <si>
    <t>Activos diversos [resumen]</t>
  </si>
  <si>
    <t>02201210</t>
  </si>
  <si>
    <t>Efectivo y equivalentes al efectivo restringidos</t>
  </si>
  <si>
    <t>02201211</t>
  </si>
  <si>
    <t>Activos financieros derivados</t>
  </si>
  <si>
    <t>02201212</t>
  </si>
  <si>
    <t>Intereses por cobrar</t>
  </si>
  <si>
    <t>02201213</t>
  </si>
  <si>
    <t>Inversiones distintas de las contabilizadas utilizando el método de la participación</t>
  </si>
  <si>
    <t>02201214</t>
  </si>
  <si>
    <t>Instrumentos de patrimonio mantenidos</t>
  </si>
  <si>
    <t>02201215</t>
  </si>
  <si>
    <t>Instrumentos de deuda mantenidos [resumen]</t>
  </si>
  <si>
    <t>02201216</t>
  </si>
  <si>
    <t>Instrumentos mantenidos de deuda bancaria</t>
  </si>
  <si>
    <t>02201217</t>
  </si>
  <si>
    <t>Instrumentos de deuda corporativos mantenidos</t>
  </si>
  <si>
    <t>02201218</t>
  </si>
  <si>
    <t>Instrumentos de deuda del gobierno mantenidos</t>
  </si>
  <si>
    <t>02201219</t>
  </si>
  <si>
    <t>Instrumentos de deuda mantenidos garantizados por activos</t>
  </si>
  <si>
    <t>02201220</t>
  </si>
  <si>
    <t>Otros instrumentos de deuda mantenidos</t>
  </si>
  <si>
    <t>02201221</t>
  </si>
  <si>
    <t>Total instrumentos de deuda mantenidos</t>
  </si>
  <si>
    <t>02201222</t>
  </si>
  <si>
    <t>Préstamos y anticipos a bancos</t>
  </si>
  <si>
    <t>02201223</t>
  </si>
  <si>
    <t>Préstamos y anticipos a clientes</t>
  </si>
  <si>
    <t>02201224</t>
  </si>
  <si>
    <t>Préstamos corporativos</t>
  </si>
  <si>
    <t>02201225</t>
  </si>
  <si>
    <t>Préstamos al consumo</t>
  </si>
  <si>
    <t>02201226</t>
  </si>
  <si>
    <t>Saldos en efectivo y bancarios en bancos centrales</t>
  </si>
  <si>
    <t>02201227</t>
  </si>
  <si>
    <t>Depósitos de reserva obligatorios en bancos centrales</t>
  </si>
  <si>
    <t>02201228</t>
  </si>
  <si>
    <t>Saldos bancarios en bancos centrales distintos de los depósitos de reserva obligatorios</t>
  </si>
  <si>
    <t>02201229</t>
  </si>
  <si>
    <t>Acuerdos de recompra inversa y garantías colaterales de efectivo sobre valores en préstamo</t>
  </si>
  <si>
    <t>02201230</t>
  </si>
  <si>
    <t>Inversiones para riesgo de asegurados</t>
  </si>
  <si>
    <t>02201231</t>
  </si>
  <si>
    <t>Partidas en proceso de recaudación de otros bancos</t>
  </si>
  <si>
    <t>02201232</t>
  </si>
  <si>
    <t>Otros activos</t>
  </si>
  <si>
    <t>02201233</t>
  </si>
  <si>
    <t>Cuentas por cobrar Actividad Aseguradora</t>
  </si>
  <si>
    <t>02201234</t>
  </si>
  <si>
    <t>Clases de otras provisiones [sinopsis]</t>
  </si>
  <si>
    <t>02201235</t>
  </si>
  <si>
    <t>Provisiones de garantías [sinopsis]</t>
  </si>
  <si>
    <t>02201236</t>
  </si>
  <si>
    <t>Provisión por garantías no corriente</t>
  </si>
  <si>
    <t>02201237</t>
  </si>
  <si>
    <t>Provisión de garantía corriente</t>
  </si>
  <si>
    <t>02201238</t>
  </si>
  <si>
    <t>Total de provisiones de garantías</t>
  </si>
  <si>
    <t>02201239</t>
  </si>
  <si>
    <t>Provisiones por reestructuración [sinopsis]</t>
  </si>
  <si>
    <t>02201240</t>
  </si>
  <si>
    <t>Provisión de reestructuración no corriente</t>
  </si>
  <si>
    <t>02201241</t>
  </si>
  <si>
    <t>Provisión por restructuración corriente</t>
  </si>
  <si>
    <t>02201242</t>
  </si>
  <si>
    <t>Total de otras provisiones de reestructuración</t>
  </si>
  <si>
    <t>02201243</t>
  </si>
  <si>
    <t>Provisiones por procesos legales [sinopsis]</t>
  </si>
  <si>
    <t>02201244</t>
  </si>
  <si>
    <t>Provisión por procesos legales no corriente</t>
  </si>
  <si>
    <t>02201245</t>
  </si>
  <si>
    <t>Provisión corriente por procesos legales</t>
  </si>
  <si>
    <t>02201246</t>
  </si>
  <si>
    <t>Total de provisiones por procesos legales</t>
  </si>
  <si>
    <t>02201247</t>
  </si>
  <si>
    <t>Provisión por reembolsos [resumen]</t>
  </si>
  <si>
    <t>02201248</t>
  </si>
  <si>
    <t>Provisión por reembolsos no corriente</t>
  </si>
  <si>
    <t>02201249</t>
  </si>
  <si>
    <t>Provisión por reembolsos corrientes</t>
  </si>
  <si>
    <t>02201250</t>
  </si>
  <si>
    <t>Total provisión por reembolso</t>
  </si>
  <si>
    <t>02201251</t>
  </si>
  <si>
    <t>Provisiones por contratos onerosos [sinopsis]</t>
  </si>
  <si>
    <t>02201252</t>
  </si>
  <si>
    <t>Provisión por contratos onerosos no corriente</t>
  </si>
  <si>
    <t>02201253</t>
  </si>
  <si>
    <t>Provisión corriente por contratos onerosos</t>
  </si>
  <si>
    <t>02201254</t>
  </si>
  <si>
    <t>Total de provisiones por contratos onerosos</t>
  </si>
  <si>
    <t>02201255</t>
  </si>
  <si>
    <t>Provisiones por costos de dejar fuera de servicio, restauración y rehabilitación [sinopsis]</t>
  </si>
  <si>
    <t>02201256</t>
  </si>
  <si>
    <t>Provisión no corriente para costos de desmantelamiento, restauración y rehabilitación</t>
  </si>
  <si>
    <t>02201257</t>
  </si>
  <si>
    <t>Provisión corriente para costos de desmantelamiento, restauración y rehabilitación</t>
  </si>
  <si>
    <t>02201258</t>
  </si>
  <si>
    <t>Total de provisiones por costos de dejar fuera de servicio, restauración y rehabilitación</t>
  </si>
  <si>
    <t>02201259</t>
  </si>
  <si>
    <t>Otras provisiones diversas [sinopsis]</t>
  </si>
  <si>
    <t>02201260</t>
  </si>
  <si>
    <t>Otras provisiones variadas no corrientes</t>
  </si>
  <si>
    <t>02201261</t>
  </si>
  <si>
    <t>Otras provisiones variadas corrientes</t>
  </si>
  <si>
    <t>02201262</t>
  </si>
  <si>
    <t>Total de otras provisiones diversas</t>
  </si>
  <si>
    <t>02201263</t>
  </si>
  <si>
    <t>Otras provisiones [sinopsis]</t>
  </si>
  <si>
    <t>02201266</t>
  </si>
  <si>
    <t>Total de otras provisiones</t>
  </si>
  <si>
    <t>02201267</t>
  </si>
  <si>
    <t>Préstamos tomados [sinopsis]</t>
  </si>
  <si>
    <t>Parte no corriente de préstamos no corrientes</t>
  </si>
  <si>
    <t>02201269</t>
  </si>
  <si>
    <t>Préstamos corrientes y parte corriente de préstamos no corrientes [resumen]</t>
  </si>
  <si>
    <t>Préstamos corrientes</t>
  </si>
  <si>
    <t>02201271</t>
  </si>
  <si>
    <t>Parte corriente de préstamos no corrientes</t>
  </si>
  <si>
    <t>02201272</t>
  </si>
  <si>
    <t>Total préstamos corrientes y parte corriente de préstamos no corrientes</t>
  </si>
  <si>
    <t>02201273</t>
  </si>
  <si>
    <t>Total préstamos</t>
  </si>
  <si>
    <t>02201274</t>
  </si>
  <si>
    <t>Parte no corriente de préstamos no corrientes, por tipo [resumen]</t>
  </si>
  <si>
    <t>02201275</t>
  </si>
  <si>
    <t>Parte no corriente de préstamos no corrientes recibidos</t>
  </si>
  <si>
    <t>02201276</t>
  </si>
  <si>
    <t>Parte no corriente de préstamos bancarios garantizados no corrientes recibidos</t>
  </si>
  <si>
    <t>Parte no corriente de préstamos bancarios no garantizados no corrientes recibidos</t>
  </si>
  <si>
    <t>02201278</t>
  </si>
  <si>
    <t>Parte no corriente de bonos no corrientes emitidos</t>
  </si>
  <si>
    <t>02201279</t>
  </si>
  <si>
    <t>Parte no corriente de obligaciones sin garantía y pagarés no corrientes emitidos</t>
  </si>
  <si>
    <t>02201280</t>
  </si>
  <si>
    <t>Parte no corriente del papel comercial no corriente emitido</t>
  </si>
  <si>
    <t>02201281</t>
  </si>
  <si>
    <t>Parte no corriente de otros préstamos no corrientes</t>
  </si>
  <si>
    <t>02201282</t>
  </si>
  <si>
    <t>Total parte no corriente de préstamos no corrientes</t>
  </si>
  <si>
    <t>02201283</t>
  </si>
  <si>
    <t>Préstamos corrientes y parte corriente de préstamos no corrientes, por tipo [resumen]</t>
  </si>
  <si>
    <t>02201284</t>
  </si>
  <si>
    <t>Préstamos corrientes recibidos y parte corriente de préstamos no corrientes recibidos</t>
  </si>
  <si>
    <t>02201285</t>
  </si>
  <si>
    <t>Préstamos bancarios garantizados corrientes recibidos y parte corriente de préstamos bancarios garantizados no corrientes recibidos</t>
  </si>
  <si>
    <t>Préstamos bancarios no garantizados corrientes recibidos y parte corriente de préstamos bancarios no garantizados no corrientes recibidos</t>
  </si>
  <si>
    <t>02201287</t>
  </si>
  <si>
    <t>Bonos corrientes emitidos y parte corriente de los bonos no corrientes emitidos</t>
  </si>
  <si>
    <t>02201288</t>
  </si>
  <si>
    <t>Obligaciones sin garantía y pagarés corrientes emitidos y parte corriente de obligaciones sin garantía y pagarés no corrientes emitidos</t>
  </si>
  <si>
    <t>02201289</t>
  </si>
  <si>
    <t>Papel comercial corriente emitido y parte corriente del papel comercial no corriente emitido</t>
  </si>
  <si>
    <t>Otros préstamos corrientes y parte corriente de otros préstamos no corrientes</t>
  </si>
  <si>
    <t>02201291</t>
  </si>
  <si>
    <t>02201292</t>
  </si>
  <si>
    <t>Préstamos, por tipo [resumen]</t>
  </si>
  <si>
    <t>02201293</t>
  </si>
  <si>
    <t>Préstamos recibidos</t>
  </si>
  <si>
    <t>02201294</t>
  </si>
  <si>
    <t>Préstamos bancarios garantizados recibidos</t>
  </si>
  <si>
    <t>02201295</t>
  </si>
  <si>
    <t>Préstamos bancarios no garantizados recibidos</t>
  </si>
  <si>
    <t>02201296</t>
  </si>
  <si>
    <t>Bonos emitidos</t>
  </si>
  <si>
    <t>02201297</t>
  </si>
  <si>
    <t>Obligaciones sin garantía y pagarés emitidos</t>
  </si>
  <si>
    <t>02201298</t>
  </si>
  <si>
    <t>Papel comercial emitido</t>
  </si>
  <si>
    <t>02201299</t>
  </si>
  <si>
    <t>Otros préstamos</t>
  </si>
  <si>
    <t>02201300</t>
  </si>
  <si>
    <t>02201301</t>
  </si>
  <si>
    <t>Cuentas comerciales por pagar y otras cuentas por pagar no corrientes [resumen]</t>
  </si>
  <si>
    <t>02201302</t>
  </si>
  <si>
    <t>Cuentas comerciales por pagar no corrientes</t>
  </si>
  <si>
    <t>02201303</t>
  </si>
  <si>
    <t>Cuentas por pagar no corrientes con partes relacionadas</t>
  </si>
  <si>
    <t>02201304</t>
  </si>
  <si>
    <t>Ingresos diferidos clasificados como no corrientes</t>
  </si>
  <si>
    <t>02201305</t>
  </si>
  <si>
    <t>Acumuladas (o devengadas) clasificadas como no corrientes</t>
  </si>
  <si>
    <t>02201306</t>
  </si>
  <si>
    <t>Cuentas por pagar no corrientes a la seguridad social e impuestos distintos de los impuestos a las ganancias</t>
  </si>
  <si>
    <t>02201307</t>
  </si>
  <si>
    <t>Impuesto al valor agregado por pagar no corriente</t>
  </si>
  <si>
    <t>Otras cuentas por pagar no corrientes</t>
  </si>
  <si>
    <t>02201309</t>
  </si>
  <si>
    <t>Total cuentas comerciales por pagar y otras cuentas por pagar no corrientes</t>
  </si>
  <si>
    <t>02201310</t>
  </si>
  <si>
    <t>Cuentas por pagar comerciales y otras cuentas por pagar corrientes [sinopsis]</t>
  </si>
  <si>
    <t>02201312</t>
  </si>
  <si>
    <t>Cuentas por pagar corrientes a partes relacionadas</t>
  </si>
  <si>
    <t>02201313</t>
  </si>
  <si>
    <t>Ingresos diferidos clasificados como corrientes</t>
  </si>
  <si>
    <t>02201314</t>
  </si>
  <si>
    <t>Acumuladas (o devengadas) clasificadas como corrientes</t>
  </si>
  <si>
    <t>02201315</t>
  </si>
  <si>
    <t>Beneficios a los empleados a corto plazo acumulados (o devengados)</t>
  </si>
  <si>
    <t>Cuentas por pagar corrientes de la seguridad social e impuestos distintos de los impuestos a las ganancias</t>
  </si>
  <si>
    <t>02201317</t>
  </si>
  <si>
    <t>Impuesto al valor agregado por pagar corriente</t>
  </si>
  <si>
    <t>Otras cuentas por pagar corrientes</t>
  </si>
  <si>
    <t>02201319</t>
  </si>
  <si>
    <t>Total cuentas comerciales por pagar y otras cuentas por pagar corrientes</t>
  </si>
  <si>
    <t>02201320</t>
  </si>
  <si>
    <t>Cuentas comerciales por pagar y otras cuentas por pagar [resumen]</t>
  </si>
  <si>
    <t>02201321</t>
  </si>
  <si>
    <t>Cuentas comerciales por pagar</t>
  </si>
  <si>
    <t>02201322</t>
  </si>
  <si>
    <t>Cuentas por pagar a partes relacionadas</t>
  </si>
  <si>
    <t>02201323</t>
  </si>
  <si>
    <t>Ingresos diferidos</t>
  </si>
  <si>
    <t>02201324</t>
  </si>
  <si>
    <t>Acumuladas (o devengadas)</t>
  </si>
  <si>
    <t>02201325</t>
  </si>
  <si>
    <t>Cuentas por pagar por la seguridad social e impuestos distintos de los impuestos a las ganancias</t>
  </si>
  <si>
    <t>02201326</t>
  </si>
  <si>
    <t>Cuentas por pagar por impuesto al valor agregado</t>
  </si>
  <si>
    <t>02201327</t>
  </si>
  <si>
    <t>Otras cuentas por pagar</t>
  </si>
  <si>
    <t>02201328</t>
  </si>
  <si>
    <t>Total cuentas comerciales por pagar y otras cuentas por pagar</t>
  </si>
  <si>
    <t>02201329</t>
  </si>
  <si>
    <t>Pasivos no corrientes diversos [resumen]</t>
  </si>
  <si>
    <t>02201330</t>
  </si>
  <si>
    <t>Pasivos no corrientes reconocidos, plan de beneficios definidos</t>
  </si>
  <si>
    <t>02201330_C02201001</t>
  </si>
  <si>
    <t>02201330_C02201001_1</t>
  </si>
  <si>
    <t>02201331</t>
  </si>
  <si>
    <t>Pasivos financieros derivados no corrientes</t>
  </si>
  <si>
    <t>02201332</t>
  </si>
  <si>
    <t>Subvenciones del gobierno no corrientes</t>
  </si>
  <si>
    <t>02201333</t>
  </si>
  <si>
    <t>Pasivos por arrendamientos financieros no corrientes</t>
  </si>
  <si>
    <t>02201334</t>
  </si>
  <si>
    <t>Anticipos no corrientes recibidos</t>
  </si>
  <si>
    <t>02201335</t>
  </si>
  <si>
    <t>Dividendos por pagar no corrientes</t>
  </si>
  <si>
    <t>02201336</t>
  </si>
  <si>
    <t>Intereses por pagar no corrientes</t>
  </si>
  <si>
    <t>02201337</t>
  </si>
  <si>
    <t>Otros pasivos no corrientes</t>
  </si>
  <si>
    <t>02201337_C02201001_1</t>
  </si>
  <si>
    <t>02201337_C02201001_2</t>
  </si>
  <si>
    <t>02201338</t>
  </si>
  <si>
    <t>Pasivos corrientes diversos [resumen]</t>
  </si>
  <si>
    <t>02201339</t>
  </si>
  <si>
    <t>Pasivos reconocidos corrientes, plan de beneficios definidos</t>
  </si>
  <si>
    <t>02201339_C02201001</t>
  </si>
  <si>
    <t>02201340</t>
  </si>
  <si>
    <t>Pasivos financieros derivados corrientes</t>
  </si>
  <si>
    <t>02201341</t>
  </si>
  <si>
    <t>Subvenciones del gobierno corrientes</t>
  </si>
  <si>
    <t>02201342</t>
  </si>
  <si>
    <t>Pasivos por arrendamientos financieros corrientes</t>
  </si>
  <si>
    <t>Anticipos recibidos corrientes</t>
  </si>
  <si>
    <t>Dividendos por pagar corrientes</t>
  </si>
  <si>
    <t>02201345</t>
  </si>
  <si>
    <t>Intereses por pagar corrientes</t>
  </si>
  <si>
    <t>02201346</t>
  </si>
  <si>
    <t>Gastos acumulados (o devengados) corrientes y otros pasivos corrientes</t>
  </si>
  <si>
    <t>02201347</t>
  </si>
  <si>
    <t>Otros pasivos corrientes</t>
  </si>
  <si>
    <t>02201348</t>
  </si>
  <si>
    <t>Pasivos diversos [resumen]</t>
  </si>
  <si>
    <t>02201349</t>
  </si>
  <si>
    <t>Derivados [resumen]</t>
  </si>
  <si>
    <t>02201350</t>
  </si>
  <si>
    <t>02201350_C02201001_1</t>
  </si>
  <si>
    <t>02201350_C02201001_2</t>
  </si>
  <si>
    <t>02201351</t>
  </si>
  <si>
    <t>02201351_C02201001_1</t>
  </si>
  <si>
    <t>02201351_C02201001_2</t>
  </si>
  <si>
    <t>02201352</t>
  </si>
  <si>
    <t>02201352_C02201001_1</t>
  </si>
  <si>
    <t>02201352_C02201001_2</t>
  </si>
  <si>
    <t>02201353</t>
  </si>
  <si>
    <t>02201353_C02201001_1</t>
  </si>
  <si>
    <t>02201353_C02201001_2</t>
  </si>
  <si>
    <t>02201354</t>
  </si>
  <si>
    <t>Total Derivados</t>
  </si>
  <si>
    <t>02201355</t>
  </si>
  <si>
    <t>02201356</t>
  </si>
  <si>
    <t>02201357</t>
  </si>
  <si>
    <t>02201358</t>
  </si>
  <si>
    <t>02201359</t>
  </si>
  <si>
    <t>02201360</t>
  </si>
  <si>
    <t>02201361</t>
  </si>
  <si>
    <t>Pasivos por arrendamientos financieros</t>
  </si>
  <si>
    <t>Anticipos recibidos</t>
  </si>
  <si>
    <t>02201362_C02201001_1</t>
  </si>
  <si>
    <t>02201362_C02201001_2</t>
  </si>
  <si>
    <t>02201363_C02201001_1</t>
  </si>
  <si>
    <t>02201363_C02201001_2</t>
  </si>
  <si>
    <t>02201364</t>
  </si>
  <si>
    <t>Intereses por pagar</t>
  </si>
  <si>
    <t>02201365</t>
  </si>
  <si>
    <t>Depósitos de bancos</t>
  </si>
  <si>
    <t>02201366</t>
  </si>
  <si>
    <t>Depósitos de clientes [resumen]</t>
  </si>
  <si>
    <t>02201367</t>
  </si>
  <si>
    <t>Saldos de depósitos a plazo de clientes</t>
  </si>
  <si>
    <t>02201368</t>
  </si>
  <si>
    <t>Saldos de depósitos a la vista de clientes</t>
  </si>
  <si>
    <t>02201369</t>
  </si>
  <si>
    <t>Saldos de cuentas corrientes de clientes</t>
  </si>
  <si>
    <t>02201370</t>
  </si>
  <si>
    <t>Saldos de otros depósitos de clientes</t>
  </si>
  <si>
    <t>02201371</t>
  </si>
  <si>
    <t>Total depósitos de clientes</t>
  </si>
  <si>
    <t>02201372</t>
  </si>
  <si>
    <t>Pasivos originados en bancos centrales</t>
  </si>
  <si>
    <t>02201373</t>
  </si>
  <si>
    <t>Pasivos subordinados [resumen]</t>
  </si>
  <si>
    <t>02201374</t>
  </si>
  <si>
    <t>Pasivo subordinado con vencimiento</t>
  </si>
  <si>
    <t>02201375</t>
  </si>
  <si>
    <t>Pasivos subordinados sin vencimiento</t>
  </si>
  <si>
    <t>02201376</t>
  </si>
  <si>
    <t>Total pasivos subordinados</t>
  </si>
  <si>
    <t>02201377</t>
  </si>
  <si>
    <t>Instrumentos de deuda emitidos</t>
  </si>
  <si>
    <t>02201378</t>
  </si>
  <si>
    <t>Acuerdos de recompra y garantías colaterales de efectivo sobre valores prestados</t>
  </si>
  <si>
    <t>02201379</t>
  </si>
  <si>
    <t>Pasivos por contratos de inversión</t>
  </si>
  <si>
    <t>02201380</t>
  </si>
  <si>
    <t>Partidas en proceso de transmisión a otros bancos</t>
  </si>
  <si>
    <t>02201381</t>
  </si>
  <si>
    <t>Otros pasivos</t>
  </si>
  <si>
    <t>02201382</t>
  </si>
  <si>
    <t>Cuentas por pagar Actividad Aseguradora</t>
  </si>
  <si>
    <t>02201383</t>
  </si>
  <si>
    <t>02201384</t>
  </si>
  <si>
    <t>Patrimonios diversos [resumen]</t>
  </si>
  <si>
    <t>02201385</t>
  </si>
  <si>
    <t>Reserva de capital</t>
  </si>
  <si>
    <t>02201386</t>
  </si>
  <si>
    <t>Capital adicional pagado</t>
  </si>
  <si>
    <t>02201387</t>
  </si>
  <si>
    <t>Otro resultado integral acumulado</t>
  </si>
  <si>
    <t>02201388</t>
  </si>
  <si>
    <t>Otras reservas [sinopsis]</t>
  </si>
  <si>
    <t>Superávit de revaluación</t>
  </si>
  <si>
    <t>Reserva de diferencias de cambio por conversión</t>
  </si>
  <si>
    <t>02201391</t>
  </si>
  <si>
    <t>Reserva de coberturas del flujo de efectivo</t>
  </si>
  <si>
    <t>Reserva de ganancias y pérdidas por nuevas mediciones de activos financieros disponibles para la venta</t>
  </si>
  <si>
    <t>02201393</t>
  </si>
  <si>
    <t>Reserva de pagos basados en acciones</t>
  </si>
  <si>
    <t>Reserva de nuevas mediciones de planes de beneficios definidos</t>
  </si>
  <si>
    <t>02201395</t>
  </si>
  <si>
    <t>Importes reconocidos en otro resultado integral y acumulados en el patrimonio relativos a activos no corrientes o grupos de activos para su disposición mantenidos para la venta</t>
  </si>
  <si>
    <t>02201396</t>
  </si>
  <si>
    <t>Reserva de ganancias y pérdidas por inversiones en instrumentos de patrimonio</t>
  </si>
  <si>
    <t>02201397</t>
  </si>
  <si>
    <t>Reserva de cambios en el valor razonable de pasivos financieros atribuibles a cambios en el riesgo de crédito del pasivo</t>
  </si>
  <si>
    <t>02201398</t>
  </si>
  <si>
    <t>Reserva para catástrofes</t>
  </si>
  <si>
    <t>02201399</t>
  </si>
  <si>
    <t>Reserva para estabilización</t>
  </si>
  <si>
    <t>02201400</t>
  </si>
  <si>
    <t>Reserva de componentes de participación discrecional</t>
  </si>
  <si>
    <t>02201401</t>
  </si>
  <si>
    <t>Reserva de componentes de patrimonio de instrumentos convertibles</t>
  </si>
  <si>
    <t>02201402</t>
  </si>
  <si>
    <t>Reservas para reembolsos de capital</t>
  </si>
  <si>
    <t>02201403</t>
  </si>
  <si>
    <t>Reserva de fusiones</t>
  </si>
  <si>
    <t>02201404</t>
  </si>
  <si>
    <t>02201405</t>
  </si>
  <si>
    <t>Reserva para Ampliación de Planta y Compra de Activos</t>
  </si>
  <si>
    <t>02201406</t>
  </si>
  <si>
    <t>Reserva Estatutaria</t>
  </si>
  <si>
    <t>02201407</t>
  </si>
  <si>
    <t>Total otras reservas</t>
  </si>
  <si>
    <t>02201408</t>
  </si>
  <si>
    <t>Activos (pasivos) netos [resumen]</t>
  </si>
  <si>
    <t>Activos</t>
  </si>
  <si>
    <t>Pasivos</t>
  </si>
  <si>
    <t>02201411</t>
  </si>
  <si>
    <t>Activos (pasivos) netos</t>
  </si>
  <si>
    <t>02201412</t>
  </si>
  <si>
    <t>Activos (pasivos) corrientes netos [resumen]</t>
  </si>
  <si>
    <t>Activos corrientes</t>
  </si>
  <si>
    <t>Pasivos corrientes</t>
  </si>
  <si>
    <t>02201415</t>
  </si>
  <si>
    <t>Activos (pasivos) corrientes netos</t>
  </si>
  <si>
    <t>02300000</t>
  </si>
  <si>
    <t>[800200] Notas - Análisis de ingresos y gastos</t>
  </si>
  <si>
    <t>02301001</t>
  </si>
  <si>
    <t>Análisis de ingresos y gastos [sinopsis]</t>
  </si>
  <si>
    <t>02301002</t>
  </si>
  <si>
    <t>Ingresos de actividades ordinarias [sinopsis]</t>
  </si>
  <si>
    <t>02301003</t>
  </si>
  <si>
    <t>Ingresos de actividades ordinarias procedentes de la venta de bienes</t>
  </si>
  <si>
    <t>02301004</t>
  </si>
  <si>
    <t>Ingresos de actividades ordinarias por venta de cobre</t>
  </si>
  <si>
    <t>02301005</t>
  </si>
  <si>
    <t>Ingresos de actividades ordinarias por venta de oro</t>
  </si>
  <si>
    <t>02301006</t>
  </si>
  <si>
    <t>Ingresos de actividades ordinarias por venta de plata</t>
  </si>
  <si>
    <t>02301007</t>
  </si>
  <si>
    <t>Ingresos de actividades ordinarias por venta de productos de petróleo y gas</t>
  </si>
  <si>
    <t>02301008</t>
  </si>
  <si>
    <t>Ingresos de actividades ordinarias por venta de petróleo crudo</t>
  </si>
  <si>
    <t>02301009</t>
  </si>
  <si>
    <t>Ingresos de actividades ordinarias por venta de gas natural</t>
  </si>
  <si>
    <t>02301010</t>
  </si>
  <si>
    <t>Ingresos de actividades ordinarias por venta de petróleo y productos petroquímicos</t>
  </si>
  <si>
    <t>Ingresos de actividades ordinarias industrial y de servicios</t>
  </si>
  <si>
    <t>02301012</t>
  </si>
  <si>
    <t>Ingresos por regalías</t>
  </si>
  <si>
    <t>02301013</t>
  </si>
  <si>
    <t>Ingresos por intereses</t>
  </si>
  <si>
    <t>02301014</t>
  </si>
  <si>
    <t>Ingresos por intereses por activos financieros disponibles para la venta</t>
  </si>
  <si>
    <t>02301015</t>
  </si>
  <si>
    <t>Ingresos por intereses por saldos bancarios y de efectivo en bancos centrales</t>
  </si>
  <si>
    <t>02301016</t>
  </si>
  <si>
    <t>Ingresos por intereses por efectivo y equivalentes al efectivo</t>
  </si>
  <si>
    <t>02301016_C02301001</t>
  </si>
  <si>
    <t>02301016_C02301001_1</t>
  </si>
  <si>
    <t>02301017</t>
  </si>
  <si>
    <t>Ingresos por intereses por instrumentos de deuda mantenidos</t>
  </si>
  <si>
    <t>02301018</t>
  </si>
  <si>
    <t>Ingresos por intereses por activos financieros designados al valor razonable con cambios en resultados</t>
  </si>
  <si>
    <t>02301019</t>
  </si>
  <si>
    <t>Ingresos por intereses por activos financieros mantenidos para negociar</t>
  </si>
  <si>
    <t>02301020</t>
  </si>
  <si>
    <t>Ingresos por intereses por inversiones mantenidas hasta el vencimiento</t>
  </si>
  <si>
    <t>02301021</t>
  </si>
  <si>
    <t>Ingresos por intereses por préstamos y anticipos a bancos</t>
  </si>
  <si>
    <t>02301022</t>
  </si>
  <si>
    <t>Ingresos por intereses por préstamos y anticipos a clientes</t>
  </si>
  <si>
    <t>02301023</t>
  </si>
  <si>
    <t>Ingresos por intereses por préstamos y cuentas por cobrar</t>
  </si>
  <si>
    <t>02301024</t>
  </si>
  <si>
    <t>Ingresos por intereses por cartera de créditos y operaciones de leasing financiero</t>
  </si>
  <si>
    <t>02301025</t>
  </si>
  <si>
    <t>Ingresos por intereses por otros activos financieros</t>
  </si>
  <si>
    <t>02301026</t>
  </si>
  <si>
    <t>Ingresos por intereses por acuerdos de recompra inversa y de garantía colateral de efectivo en valores en préstamo</t>
  </si>
  <si>
    <t>02301027</t>
  </si>
  <si>
    <t>Ingreso por dividendo</t>
  </si>
  <si>
    <t>02301028</t>
  </si>
  <si>
    <t>Otros ingresos de actividades ordinarias</t>
  </si>
  <si>
    <t>02301029</t>
  </si>
  <si>
    <t>Total de ingresos de actividades ordinarias</t>
  </si>
  <si>
    <t>02301030</t>
  </si>
  <si>
    <t>Ingresos de actividades ordinarias surgidos de intercambios de bienes o servicios [sinopsis]</t>
  </si>
  <si>
    <t>02301031</t>
  </si>
  <si>
    <t>Ingresos de actividades ordinarias surgidos de intercambios de bienes o servicios, venta de bienes</t>
  </si>
  <si>
    <t>Ingresos de actividades ordinarias surgidos de intercambios de bienes o servicios, prestación de servicios</t>
  </si>
  <si>
    <t>02301033</t>
  </si>
  <si>
    <t>Ingresos de actividades ordinarias surgidos de intercambios de bienes o servicios, contratos de construcción</t>
  </si>
  <si>
    <t>02301034</t>
  </si>
  <si>
    <t>Ingresos que surgen de intercambios de bienes o servicios, regalías</t>
  </si>
  <si>
    <t>02301035</t>
  </si>
  <si>
    <t>Ingresos que surgen de intercambios de bienes o servicios, intereses</t>
  </si>
  <si>
    <t>Ingresos que surgen de intercambios de bienes o servicios, dividendos</t>
  </si>
  <si>
    <t>Ingresos de actividades ordinarias surgidos de intercambios de bienes o servicios, otros ingresos de actividades ordinarias</t>
  </si>
  <si>
    <t>02301038</t>
  </si>
  <si>
    <t>Total de ingresos de actividades ordinarias surgidos de intercambios de bienes o servicios</t>
  </si>
  <si>
    <t>02301039</t>
  </si>
  <si>
    <t>Ingresos y gastos significativos [sinopsis]</t>
  </si>
  <si>
    <t>02301040</t>
  </si>
  <si>
    <t>Costo de Industria y Servicios [resumen]</t>
  </si>
  <si>
    <t>Costo de Ventas de bienes y servicios</t>
  </si>
  <si>
    <t>02301042</t>
  </si>
  <si>
    <t>Costo de Producción</t>
  </si>
  <si>
    <t>02301043</t>
  </si>
  <si>
    <t>Total costos de Industria y Servicios</t>
  </si>
  <si>
    <t>02301044</t>
  </si>
  <si>
    <t>Rebajas (reversiones de rebajas) de inventarios [resumen]</t>
  </si>
  <si>
    <t>02301045</t>
  </si>
  <si>
    <t>Rebaja del valor del inventario</t>
  </si>
  <si>
    <t>02301046</t>
  </si>
  <si>
    <t>Reversión de la rebaja del inventario</t>
  </si>
  <si>
    <t>02301047</t>
  </si>
  <si>
    <t>Rebajas netas (reversiones de rebajas) de inventarios</t>
  </si>
  <si>
    <t>02301048</t>
  </si>
  <si>
    <t>Rebajas (reversiones de rebajas) de propiedades, planta y equipo [resumen]</t>
  </si>
  <si>
    <t>02301049</t>
  </si>
  <si>
    <t>Pérdidas por deterioro de valor reconocidas en el resultado del periodo, propiedades, planta y equipo</t>
  </si>
  <si>
    <t>02301050</t>
  </si>
  <si>
    <t>Reversión de pérdidas por deterioro de valor reconocidas en el resultado del periodo, propiedades, planta y equipo</t>
  </si>
  <si>
    <t>02301051</t>
  </si>
  <si>
    <t>Rebajas netas (reversiones de rebajas) de propiedades, planta y equipo</t>
  </si>
  <si>
    <t>02301052</t>
  </si>
  <si>
    <t>Gastos de actividades de reestructuración</t>
  </si>
  <si>
    <t>02301053</t>
  </si>
  <si>
    <t>Reversión de provisiones para costos de reestructuración</t>
  </si>
  <si>
    <t>02301054</t>
  </si>
  <si>
    <t>Ganancias (pérdidas) por disposiciones de activos no corrientes [resumen]</t>
  </si>
  <si>
    <t>02301055</t>
  </si>
  <si>
    <t>Ganancias por disposiciones de activos no corrientes</t>
  </si>
  <si>
    <t>02301056</t>
  </si>
  <si>
    <t>Pérdidas por disposiciones de activos no corrientes</t>
  </si>
  <si>
    <t>02301057</t>
  </si>
  <si>
    <t>Ganancias (pérdidas) netas por disposiciones de activos no corrientes</t>
  </si>
  <si>
    <t>02301058</t>
  </si>
  <si>
    <t>Ganancias (pérdidas) en la disposición de propiedades, planta y equipo [resumen]</t>
  </si>
  <si>
    <t>Ganancias en la disposición de propiedades, planta y equipo</t>
  </si>
  <si>
    <t>Pérdidas por la disposición de propiedades, planta y equipo</t>
  </si>
  <si>
    <t>02301061</t>
  </si>
  <si>
    <t>Ganancias (pérdidas) netas en las disposiciones de propiedades, planta y equipo</t>
  </si>
  <si>
    <t>02301062</t>
  </si>
  <si>
    <t>Ganancias (pérdidas) en la disposición de inversiones [resumen]</t>
  </si>
  <si>
    <t>Ganancias en la disposición de inversiones</t>
  </si>
  <si>
    <t>02301063_C02301001_1</t>
  </si>
  <si>
    <t>02301063_C02301001_2</t>
  </si>
  <si>
    <t>02301064</t>
  </si>
  <si>
    <t>Pérdidas por la disposición de inversiones</t>
  </si>
  <si>
    <t>02301064_C02301001_1</t>
  </si>
  <si>
    <t>02301064_C02301001_2</t>
  </si>
  <si>
    <t>02301064_C02301001_3</t>
  </si>
  <si>
    <t>02301064_C02301001_4</t>
  </si>
  <si>
    <t>02301064_C02301001_5</t>
  </si>
  <si>
    <t>02301065</t>
  </si>
  <si>
    <t>Ganancias (pérdidas) netas en las disposiciones de inversiones</t>
  </si>
  <si>
    <t>02301066</t>
  </si>
  <si>
    <t>Otras reversiones de pérdidas por deterioro de valor (pérdidas por deterioro de valor) reconocidas en el resultado del periodo</t>
  </si>
  <si>
    <t>02301067</t>
  </si>
  <si>
    <t>Gastos por provisiones de cartera de créditos y operaciones de leasing financiero [resumen]</t>
  </si>
  <si>
    <t>02301068</t>
  </si>
  <si>
    <t>Gastos por provisiones de cartera de créditos y operaciones de leasing financiero</t>
  </si>
  <si>
    <t>02301069</t>
  </si>
  <si>
    <t>Ganancias (pérdidas) por disposiciones de otros activos no corrientes</t>
  </si>
  <si>
    <t>02301070</t>
  </si>
  <si>
    <t>Ganancias (pérdidas) que surgen de diferencias entre el importe en libros de pasivos financieros cancelados y la contraprestación pagada</t>
  </si>
  <si>
    <t>02301071</t>
  </si>
  <si>
    <t>Gastos (ingresos) por operaciones discontinuadas</t>
  </si>
  <si>
    <t>02301072</t>
  </si>
  <si>
    <t>Ganancias (pérdidas) en la liquidación de litigios [resumen]</t>
  </si>
  <si>
    <t>02301073</t>
  </si>
  <si>
    <t>Ganancias en las liquidaciones de litigios</t>
  </si>
  <si>
    <t>02301074</t>
  </si>
  <si>
    <t>Pérdidas por la liquidación de litigios</t>
  </si>
  <si>
    <t>02301075</t>
  </si>
  <si>
    <t>Ganancias (pérdidas) netas en la liquidación de litigios</t>
  </si>
  <si>
    <t>Multas, sanciones e indemnizaciones</t>
  </si>
  <si>
    <t>02301077</t>
  </si>
  <si>
    <t>Otras reversiones de provisiones</t>
  </si>
  <si>
    <t>Ingresos de operaciones continuadas atribuibles a los propietarios de la controladora</t>
  </si>
  <si>
    <t>02301079</t>
  </si>
  <si>
    <t>Ingresos de operaciones discontinuadas atribuibles a los propietarios de la controladora</t>
  </si>
  <si>
    <t>02301080</t>
  </si>
  <si>
    <t>Ganancia (pérdida) por operaciones continuadas atribuible a participaciones no controladoras</t>
  </si>
  <si>
    <t>02301081</t>
  </si>
  <si>
    <t>Ganancia (pérdida) por operaciones discontinuadas atribuible a participaciones no controladoras</t>
  </si>
  <si>
    <t>02301082</t>
  </si>
  <si>
    <t>Dividendos clasificados como gasto</t>
  </si>
  <si>
    <t>02301083</t>
  </si>
  <si>
    <t>Gasto por regalías</t>
  </si>
  <si>
    <t>02301084</t>
  </si>
  <si>
    <t>Gasto por investigación y desarrollo</t>
  </si>
  <si>
    <t>02301085</t>
  </si>
  <si>
    <t>Ingresos de inversión</t>
  </si>
  <si>
    <t>Ingresos financieros (costo)</t>
  </si>
  <si>
    <t>02301087</t>
  </si>
  <si>
    <t>Otros ingresos financieros (costos)</t>
  </si>
  <si>
    <t>Otros ingresos financieros</t>
  </si>
  <si>
    <t>Otros costos financieros</t>
  </si>
  <si>
    <t>02301090</t>
  </si>
  <si>
    <t>Gastos por intereses</t>
  </si>
  <si>
    <t>02301091</t>
  </si>
  <si>
    <t>Gastos por intereses de préstamos y sobregiros bancarios</t>
  </si>
  <si>
    <t>02301092</t>
  </si>
  <si>
    <t>Gastos por intereses de bonos</t>
  </si>
  <si>
    <t>Gastos por intereses de préstamos</t>
  </si>
  <si>
    <t>02301094</t>
  </si>
  <si>
    <t>Gastos por intereses de instrumentos de deuda emitidos</t>
  </si>
  <si>
    <t>02301095</t>
  </si>
  <si>
    <t>Gastos por intereses de depósitos de bancos</t>
  </si>
  <si>
    <t>02301096</t>
  </si>
  <si>
    <t>Gastos por intereses de depósitos de clientes</t>
  </si>
  <si>
    <t>02301097</t>
  </si>
  <si>
    <t>Gasto por intereses por pasivos originados en bancos centrales</t>
  </si>
  <si>
    <t>02301098</t>
  </si>
  <si>
    <t>Gastos por intereses por arrendamientos financieros</t>
  </si>
  <si>
    <t>02301099</t>
  </si>
  <si>
    <t>Gastos por intereses por pasivos financieros designados como al valor razonable con cambios en resultados</t>
  </si>
  <si>
    <t>02301100</t>
  </si>
  <si>
    <t>Gastos por intereses por pasivos financieros mantenidos para negociar</t>
  </si>
  <si>
    <t>02301101</t>
  </si>
  <si>
    <t>Gastos por intereses por otros pasivos financieros</t>
  </si>
  <si>
    <t>02301102</t>
  </si>
  <si>
    <t>Gastos por intereses por acuerdos de recompra y garantía colateral de efectivo sobre valores prestados</t>
  </si>
  <si>
    <t>02301103</t>
  </si>
  <si>
    <t>Gasto debido a la reversión del descuento sobre provisiones</t>
  </si>
  <si>
    <t>Gastos de reparación y mantenimiento</t>
  </si>
  <si>
    <t>Gasto en combustible y energía</t>
  </si>
  <si>
    <t>Otros ingresos (gastos) de operación</t>
  </si>
  <si>
    <t>Otros ingresos de operación diversos</t>
  </si>
  <si>
    <t>Otros gastos de operación diversos</t>
  </si>
  <si>
    <t>02301109</t>
  </si>
  <si>
    <t>Distribución de gastos de administración</t>
  </si>
  <si>
    <t>Gasto por remuneración de los directores</t>
  </si>
  <si>
    <t>Ingresos de actividades ordinarias y ganancia de operación</t>
  </si>
  <si>
    <t>02301112</t>
  </si>
  <si>
    <t>Ingresos por alquileres</t>
  </si>
  <si>
    <t>02301112_C02301001_1</t>
  </si>
  <si>
    <t>02301112_C02301001_2</t>
  </si>
  <si>
    <t>02301112_C02301001_3</t>
  </si>
  <si>
    <t>Gasto por alquiler</t>
  </si>
  <si>
    <t>02301113_C02301001_1</t>
  </si>
  <si>
    <t>02301113_C02301001_2</t>
  </si>
  <si>
    <t>02301113_C02301001_3</t>
  </si>
  <si>
    <t>02301114</t>
  </si>
  <si>
    <t>Ingresos procedentes de reembolsos de conformidad con pólizas de seguro</t>
  </si>
  <si>
    <t>Gastos de operación excluyendo el costo de ventas</t>
  </si>
  <si>
    <t>02301116</t>
  </si>
  <si>
    <t>Ventas y gastos de comercialización</t>
  </si>
  <si>
    <t>02301117</t>
  </si>
  <si>
    <t>Ganancia (pérdida) por cambios en el valor razonable de derivados [resumen]</t>
  </si>
  <si>
    <t>Ganancias por cambios en el valor razonable de derivados</t>
  </si>
  <si>
    <t>Pérdidas por cambio en el valor razonable de derivados</t>
  </si>
  <si>
    <t>02301120</t>
  </si>
  <si>
    <t>Ganancias (pérdidas) netas por el cambio en el valor razonable de derivados</t>
  </si>
  <si>
    <t>02301121</t>
  </si>
  <si>
    <t>Ingresos (gastos) por primas y comisiones [resumen]</t>
  </si>
  <si>
    <t>02301122</t>
  </si>
  <si>
    <t>Ingresos por primas y comisiones [resumen]</t>
  </si>
  <si>
    <t>02301123</t>
  </si>
  <si>
    <t>Ingresos por honorarios de intermediación</t>
  </si>
  <si>
    <t>02301124</t>
  </si>
  <si>
    <t>Ingresos por comisiones de gestión de cartera y por otras comisiones de gestión</t>
  </si>
  <si>
    <t>02301125</t>
  </si>
  <si>
    <t>Primas relacionadas con créditos e ingresos por comisiones</t>
  </si>
  <si>
    <t>02301126</t>
  </si>
  <si>
    <t>Otros Ingresos por primas y comisiones</t>
  </si>
  <si>
    <t>02301127</t>
  </si>
  <si>
    <t>Total ingresos por primas y comisiones</t>
  </si>
  <si>
    <t>02301128</t>
  </si>
  <si>
    <t>Gastos por primas y comisiones [resumen]</t>
  </si>
  <si>
    <t>02301129</t>
  </si>
  <si>
    <t>Gastos por honorarios de intermediación</t>
  </si>
  <si>
    <t>02301130</t>
  </si>
  <si>
    <t>Otros gastos por primas y comisiones</t>
  </si>
  <si>
    <t>02301131</t>
  </si>
  <si>
    <t>Total gastos por primas y comisiones</t>
  </si>
  <si>
    <t>02301132</t>
  </si>
  <si>
    <t>Ingresos (gastos) netos por primas y comisiones</t>
  </si>
  <si>
    <t>02301133</t>
  </si>
  <si>
    <t>Ingresos (gastos) comerciales [resumen]</t>
  </si>
  <si>
    <t>02301134</t>
  </si>
  <si>
    <t>Ingresos (gastos) comerciales por instrumentos de deuda</t>
  </si>
  <si>
    <t>02301135</t>
  </si>
  <si>
    <t>Ingresos (gastos) comerciales por instrumentos de patrimonio</t>
  </si>
  <si>
    <t>02301136</t>
  </si>
  <si>
    <t>Ingresos (gastos) comerciales por instrumentos financieros derivados</t>
  </si>
  <si>
    <t>02301137</t>
  </si>
  <si>
    <t>Ingresos (gastos) comerciales por contratos en moneda extranjera</t>
  </si>
  <si>
    <t>02301138</t>
  </si>
  <si>
    <t>Otros ingresos comerciales (gasto)</t>
  </si>
  <si>
    <t>02301139</t>
  </si>
  <si>
    <t>Total ingresos (gastos) comerciales</t>
  </si>
  <si>
    <t>02301140</t>
  </si>
  <si>
    <t>Primas emitidas netas</t>
  </si>
  <si>
    <t>02301141</t>
  </si>
  <si>
    <t>Reclamaciones y beneficios liquidados, netos de recuperaciones vía reaseguros</t>
  </si>
  <si>
    <t>02301142</t>
  </si>
  <si>
    <t>Incrementos (disminuciones) de reservas técnicas de seguros</t>
  </si>
  <si>
    <t>02301143</t>
  </si>
  <si>
    <t>Primas emitidas, netas de reaseguro</t>
  </si>
  <si>
    <t>02301144</t>
  </si>
  <si>
    <t>Adquisición y gastos de administración relacionados con contratos de seguro</t>
  </si>
  <si>
    <t>02301145</t>
  </si>
  <si>
    <t>Gastos por naturaleza [sinopsis]</t>
  </si>
  <si>
    <t>02301146</t>
  </si>
  <si>
    <t>Materias primas y consumibles utilizados</t>
  </si>
  <si>
    <t>02301147</t>
  </si>
  <si>
    <t>Gasto de servicios</t>
  </si>
  <si>
    <t>02301148</t>
  </si>
  <si>
    <t>Gastos de seguro</t>
  </si>
  <si>
    <t>02301149</t>
  </si>
  <si>
    <t>Gasto por honorarios profesionales</t>
  </si>
  <si>
    <t>02301150</t>
  </si>
  <si>
    <t>Gastos de transporte</t>
  </si>
  <si>
    <t>02301151</t>
  </si>
  <si>
    <t>Clases de gasto de beneficios a los empleados</t>
  </si>
  <si>
    <t>02301152</t>
  </si>
  <si>
    <t>Gastos por beneficios a los empleados a corto plazo [resumen]</t>
  </si>
  <si>
    <t>Sueldos y salarios</t>
  </si>
  <si>
    <t>Aportaciones a la seguridad social</t>
  </si>
  <si>
    <t>Otros beneficios a los empleados a corto plazo</t>
  </si>
  <si>
    <t>02301156</t>
  </si>
  <si>
    <t>Total gastos por beneficios a los empleados a corto plazo</t>
  </si>
  <si>
    <t>02301157</t>
  </si>
  <si>
    <t>Gastos por beneficios post-empleo, planes de aportaciones definidas</t>
  </si>
  <si>
    <t>02301158</t>
  </si>
  <si>
    <t>Gastos por beneficios post-empleo, planes de beneficios definidos</t>
  </si>
  <si>
    <t>Gastos por beneficios de terminación</t>
  </si>
  <si>
    <t>02301160</t>
  </si>
  <si>
    <t>02301161</t>
  </si>
  <si>
    <t>Otros gastos de personal</t>
  </si>
  <si>
    <t>02301162</t>
  </si>
  <si>
    <t>Total de gastos por beneficios a los empleados</t>
  </si>
  <si>
    <t>02301163</t>
  </si>
  <si>
    <t>Gastos por depreciación y amortización [resumen]</t>
  </si>
  <si>
    <t>Gastos por depreciación</t>
  </si>
  <si>
    <t>Gastos por amortización</t>
  </si>
  <si>
    <t>02301166</t>
  </si>
  <si>
    <t>Total gastos por depreciación y amortización</t>
  </si>
  <si>
    <t>Pérdidas por deterioro de valor (reversiones de pérdidas por deterioro de valor) reconocidas en el resultado del periodo</t>
  </si>
  <si>
    <t>02301168</t>
  </si>
  <si>
    <t>Gastos por impuestos distintos de gastos por impuestos a las ganancias</t>
  </si>
  <si>
    <t>02301169</t>
  </si>
  <si>
    <t>02301170</t>
  </si>
  <si>
    <t>Total gastos, por naturaleza</t>
  </si>
  <si>
    <t>02301171</t>
  </si>
  <si>
    <t>02301172</t>
  </si>
  <si>
    <t>Ganancias por acción básica y diluida [resumen]</t>
  </si>
  <si>
    <t>02301173</t>
  </si>
  <si>
    <t>Ganancia (pérdida) por acción básica y diluida procedente de operaciones continuadas</t>
  </si>
  <si>
    <t>02301174</t>
  </si>
  <si>
    <t>Ganancia (pérdida) por acción básica y diluida procedente de operaciones discontinuadas</t>
  </si>
  <si>
    <t>02301175</t>
  </si>
  <si>
    <t>Total ganancias (pérdidas) por acción básicas y diluidas</t>
  </si>
  <si>
    <t>02301176</t>
  </si>
  <si>
    <t>Otros resultados integrales diversos [resumen]</t>
  </si>
  <si>
    <t>02301177</t>
  </si>
  <si>
    <t>Incrementos (disminuciones) de impuestos diferidos acumulados reconocidos en otro resultado integral debido a cambios en la tasa impositiva</t>
  </si>
  <si>
    <t>Otro resultado integral, atribuible a los propietarios de la controladora</t>
  </si>
  <si>
    <t>02301179</t>
  </si>
  <si>
    <t>Otro resultado integral, atribuible a participaciones no controladoras</t>
  </si>
  <si>
    <t>02301180</t>
  </si>
  <si>
    <t>Otros componentes individualmente sin importancia relativa de otro resultado integral, netos de impuestos</t>
  </si>
  <si>
    <t>02301181</t>
  </si>
  <si>
    <t>Otros componentes individualmente sin importancia relativa de otro resultado integral, antes de impuestos</t>
  </si>
  <si>
    <t>02301182</t>
  </si>
  <si>
    <t>Impuesto a las ganancias relativo a componentes individualmente no significativos de otro resultado integral</t>
  </si>
  <si>
    <t>02301183</t>
  </si>
  <si>
    <t>Participación de otro resultado integral de asociadas y negocios conjuntos contabilizados utilizando el método de la participación, neto de impuestos [resumen]</t>
  </si>
  <si>
    <t>02301184</t>
  </si>
  <si>
    <t>02301185</t>
  </si>
  <si>
    <t>02301186</t>
  </si>
  <si>
    <t>Total participación en otro resultado integral de asociadas y negocios conjuntos contabilizados utilizando el método de la participación, neta de impuestos</t>
  </si>
  <si>
    <t>02301187</t>
  </si>
  <si>
    <t>Participación de otro resultado integral de asociadas y negocios conjuntos contabilizados utilizando el método de la participación, antes de impuestos [resumen]</t>
  </si>
  <si>
    <t>02301188</t>
  </si>
  <si>
    <t>02301189</t>
  </si>
  <si>
    <t>02301190</t>
  </si>
  <si>
    <t>Total participación en otro resultado integral de asociadas y negocios conjuntos contabilizados utilizando el método de la participación, antes de impuestos</t>
  </si>
  <si>
    <t>02301191</t>
  </si>
  <si>
    <t>Impuestos a las ganancias relativos a la participación de otro resultado integral de asociadas y negocios conjuntos contabilizados utilizando el método de la participación [resumen]</t>
  </si>
  <si>
    <t>02301192</t>
  </si>
  <si>
    <t>02301193</t>
  </si>
  <si>
    <t>02301194</t>
  </si>
  <si>
    <t>Impuestos a las ganancias acumulados relativos a la participación de otro resultado integral de asociadas y negocios conjuntos contabilizados utilizando el método de la participación</t>
  </si>
  <si>
    <t>02301195</t>
  </si>
  <si>
    <t>Impuesto a las ganancias relacionado con otro resultado integral [sinopsis]</t>
  </si>
  <si>
    <t>02301196</t>
  </si>
  <si>
    <t>Impuestos a las ganancias relativos a componentes de otro resultado integral que no se reclasificará al resultado del periodo</t>
  </si>
  <si>
    <t>02301197</t>
  </si>
  <si>
    <t>Impuestos a las ganancias relativos a componentes de otro resultado integral que se reclasificará al resultado del periodo</t>
  </si>
  <si>
    <t>02301198</t>
  </si>
  <si>
    <t>Suma de impuestos a las ganancias relacionados con componentes de otro resultado integral</t>
  </si>
  <si>
    <t>02400000</t>
  </si>
  <si>
    <t>[800300] Notas - Estado de flujos de efectivo, información a revelar adicional</t>
  </si>
  <si>
    <t>02401001</t>
  </si>
  <si>
    <t>02401002</t>
  </si>
  <si>
    <t>02401003</t>
  </si>
  <si>
    <t>02401004</t>
  </si>
  <si>
    <t>Pagos a suministradores de bienes y servicios y a los empleados y en nombre de éstos</t>
  </si>
  <si>
    <t>02401005</t>
  </si>
  <si>
    <t>Pagos por gastos de exploración y evaluación</t>
  </si>
  <si>
    <t>02401006</t>
  </si>
  <si>
    <t>Ajustes por gastos por intereses</t>
  </si>
  <si>
    <t>02401007</t>
  </si>
  <si>
    <t>Ajustes por ingresos por intereses</t>
  </si>
  <si>
    <t>02401008</t>
  </si>
  <si>
    <t>Ajustes por ingresos por dividendos</t>
  </si>
  <si>
    <t>02401009</t>
  </si>
  <si>
    <t>Ajustes por ingresos financieros</t>
  </si>
  <si>
    <t>02401010</t>
  </si>
  <si>
    <t>Ajustes por ingresos financieros (costo)</t>
  </si>
  <si>
    <t>02401011</t>
  </si>
  <si>
    <t>Ajustes a gastos por impuestos diferidos</t>
  </si>
  <si>
    <t>02401012</t>
  </si>
  <si>
    <t>Ajustes para conciliar ganancias (pérdidas) distintas de cambios en el capital de trabajo</t>
  </si>
  <si>
    <t>02401013</t>
  </si>
  <si>
    <t>Flujos de efectivos procedentes de (utilizados en ) operaciones anteriores a cambios en el capital de trabajo</t>
  </si>
  <si>
    <t>02401014</t>
  </si>
  <si>
    <t>Incrementos (disminuciones) del capital de trabajo</t>
  </si>
  <si>
    <t>02401015</t>
  </si>
  <si>
    <t>Ajustes por disminuciones (incrementos) en deudores comerciales y otras cuentas por cobrar</t>
  </si>
  <si>
    <t>02401016</t>
  </si>
  <si>
    <t>Ajustes por incrementos (disminuciones) en acreedores comerciales y otras cuentas por pagar</t>
  </si>
  <si>
    <t>02401017</t>
  </si>
  <si>
    <t>Ajustes por disminuciones (incrementos) en otros activos</t>
  </si>
  <si>
    <t>02401018</t>
  </si>
  <si>
    <t>Ajustes por incrementos (disminuciones) en otros pasivos</t>
  </si>
  <si>
    <t>02401019</t>
  </si>
  <si>
    <t>Ajustes por disminuciones (incrementos) en otros activos corrientes</t>
  </si>
  <si>
    <t>02401020</t>
  </si>
  <si>
    <t>Ajustes por incrementos (disminuciones) en otros pasivos corrientes</t>
  </si>
  <si>
    <t>02401021</t>
  </si>
  <si>
    <t>Ajustes por incrementos (disminuciones) en pasivos por beneficios a los empleados</t>
  </si>
  <si>
    <t>02401022</t>
  </si>
  <si>
    <t>Ajustes por disminución (aumento) en préstamos y anticipos a clientes</t>
  </si>
  <si>
    <t>02401023</t>
  </si>
  <si>
    <t>Ajustes por disminución (aumento) en préstamos y anticipos a bancos</t>
  </si>
  <si>
    <t>02401024</t>
  </si>
  <si>
    <t>Ajustes por aumento (disminución) en depósitos de clientes</t>
  </si>
  <si>
    <t>02401025</t>
  </si>
  <si>
    <t>Ajustes por aumento (disminución) en depósitos de bancos</t>
  </si>
  <si>
    <t>02401026</t>
  </si>
  <si>
    <t>Ajustes por aumento (disminución) de pasivos por contratos de seguro, reaseguro e inversión</t>
  </si>
  <si>
    <t>02401027</t>
  </si>
  <si>
    <t>Ajustes por aumento en otras provisiones que surgen por el paso del tiempo</t>
  </si>
  <si>
    <t>02401028</t>
  </si>
  <si>
    <t>Ajustes por gastos de depreciación y amortización y pérdidas por deterioro de valor (reversiones de pérdidas por deterioros de valor) reconocidos en el resultado del periodo</t>
  </si>
  <si>
    <t>02401029</t>
  </si>
  <si>
    <t>Ajustes por gastos de amortización</t>
  </si>
  <si>
    <t>02401030</t>
  </si>
  <si>
    <t>Ajustes por gastos de depreciación</t>
  </si>
  <si>
    <t>02401031</t>
  </si>
  <si>
    <t>Ajustes por pérdidas por deterioro de valor reconocidos en el resultado del periodo, plusvalía</t>
  </si>
  <si>
    <t>02401032</t>
  </si>
  <si>
    <t>Ajustes por pérdidas por deterioro de valor (reversión de pérdidas por deterioro de valor) reconocidos en el resultado del periodo, deudores comerciales y otras cuentas por cobrar</t>
  </si>
  <si>
    <t>02401033</t>
  </si>
  <si>
    <t>Ajustes por pérdidas por deterioro de valor (reversión de pérdidas por deterioro de valor) reconocidos en el resultado del periodo, inventarios</t>
  </si>
  <si>
    <t>02401034</t>
  </si>
  <si>
    <t>Ajustes por pérdidas por deterioro de valor (reversiones de pérdidas por deterioro de valor) reconocidas en el resultado del periodo, activos de exploración y evaluación</t>
  </si>
  <si>
    <t>02401035</t>
  </si>
  <si>
    <t>Ajustes por ganancias (pérdidas) por ajustes del valor razonable, propiedades de inversión</t>
  </si>
  <si>
    <t>02401036</t>
  </si>
  <si>
    <t>Ajustes por ganancias (pérdidas) por el cambio en el valor razonable de derivados</t>
  </si>
  <si>
    <t>02401037</t>
  </si>
  <si>
    <t>Ajustes por ganancias (pérdidas) por la disposición de propiedades, planta y equipo</t>
  </si>
  <si>
    <t>02401038</t>
  </si>
  <si>
    <t>Ajustes por ganancias (pérdidas) por la disposición de inversiones en subsidiarias, negocios conjuntos y asociadas</t>
  </si>
  <si>
    <t>02401039</t>
  </si>
  <si>
    <t>Ajustes por ganancias no distribuidas de inversiones contabilizadas utilizando el método de la participación</t>
  </si>
  <si>
    <t>02401040</t>
  </si>
  <si>
    <t>Ajustes por incrementos (disminuciones) en impuestos diferidos</t>
  </si>
  <si>
    <t>02401041</t>
  </si>
  <si>
    <t>Impuestos a las ganancias pagados, clasificados como actividades de operación</t>
  </si>
  <si>
    <t>02401042</t>
  </si>
  <si>
    <t>Impuestos a las ganancias recuperados, clasificados como actividades de operación</t>
  </si>
  <si>
    <t>02401043</t>
  </si>
  <si>
    <t>Costos financieros pagados, clasificados como actividades de operación</t>
  </si>
  <si>
    <t>02401044</t>
  </si>
  <si>
    <t>Ingresos financieros recibidos, clasificados como actividades de operación</t>
  </si>
  <si>
    <t>02401045</t>
  </si>
  <si>
    <t>02401046</t>
  </si>
  <si>
    <t>Flujos de efectivos procedentes de (utilizados en ) disminuciones (incrementos) en efectivo, o equivalentes al efectivo, restringido</t>
  </si>
  <si>
    <t>02401047</t>
  </si>
  <si>
    <t>Dividendos recibidos de inversiones contabilizadas utilizando el método de la participación, clasificados como actividades de inversión</t>
  </si>
  <si>
    <t>02401048</t>
  </si>
  <si>
    <t>Dividendos recibidos de asociadas, clasificados como actividades de inversión</t>
  </si>
  <si>
    <t>02401049</t>
  </si>
  <si>
    <t>Dividendos recibidos de negocios conjuntos, clasificados como actividades de inversión</t>
  </si>
  <si>
    <t>02401050</t>
  </si>
  <si>
    <t>Compra de participaciones en asociadas</t>
  </si>
  <si>
    <t>02401051</t>
  </si>
  <si>
    <t>Importes procedentes de ventas de participaciones en asociadas</t>
  </si>
  <si>
    <t>02401052</t>
  </si>
  <si>
    <t>Compra de participaciones en inversiones contabilizadas utilizando el método de la participación</t>
  </si>
  <si>
    <t>02401053</t>
  </si>
  <si>
    <t>Importes procedentes de ventas de inversiones contabilizadas utilizando el método de la participación</t>
  </si>
  <si>
    <t>02401054</t>
  </si>
  <si>
    <t>Anticipos de efectivo y préstamos realizados a partes relacionadas</t>
  </si>
  <si>
    <t>02401055</t>
  </si>
  <si>
    <t>Cobros procedentes de reembolsos de anticipos y préstamos realizados a partes relacionadas</t>
  </si>
  <si>
    <t>02401056</t>
  </si>
  <si>
    <t>Compra de propiedades de inversión</t>
  </si>
  <si>
    <t>02401057</t>
  </si>
  <si>
    <t>Importes procedentes de ventas de propiedades de inversión</t>
  </si>
  <si>
    <t>02401058</t>
  </si>
  <si>
    <t>Compra de activos biológicos</t>
  </si>
  <si>
    <t>02401059</t>
  </si>
  <si>
    <t>Importes procedentes de ventas de activos biológicos</t>
  </si>
  <si>
    <t>02401060</t>
  </si>
  <si>
    <t>Compra de activos de exploración y evaluación</t>
  </si>
  <si>
    <t>02401061</t>
  </si>
  <si>
    <t>Importes por la disposición de activos para exploración y evaluación</t>
  </si>
  <si>
    <t>02401062</t>
  </si>
  <si>
    <t>Compra de activos de minería</t>
  </si>
  <si>
    <t>02401063</t>
  </si>
  <si>
    <t>Importes por la disposición de activos de minería</t>
  </si>
  <si>
    <t>02401064</t>
  </si>
  <si>
    <t>Compra de activos de gas y petróleo</t>
  </si>
  <si>
    <t>02401065</t>
  </si>
  <si>
    <t>Importes por la disposición de activos de petróleo y gas</t>
  </si>
  <si>
    <t>02401066</t>
  </si>
  <si>
    <t>Importes procedentes de la disposición de activos no corrientes o grupos de activos para su disposición clasificados como mantenidos para la venta y operaciones discontinuadas</t>
  </si>
  <si>
    <t>02401067</t>
  </si>
  <si>
    <t>Compra de propiedades, planta y equipo, activos intangibles distintos de la plusvalía, propiedades de inversión y otros activos no corrientes</t>
  </si>
  <si>
    <t>02401068</t>
  </si>
  <si>
    <t>Importes procedentes de la disposición de propiedades, planta y equipo, activos intangibles distintos de la plusvalía, propiedades de inversión y otros activos no corrientes</t>
  </si>
  <si>
    <t>02401069</t>
  </si>
  <si>
    <t>Flujos de efectivo utilizados en actividades de exploración y desarrollo</t>
  </si>
  <si>
    <t>02401070</t>
  </si>
  <si>
    <t>Compra de inversiones distintas de las contabilizadas utilizando el método de la participación</t>
  </si>
  <si>
    <t>02401071</t>
  </si>
  <si>
    <t>Importes procedentes de ventas de inversiones distintas de las contabilizadas utilizando el método de la participación</t>
  </si>
  <si>
    <t>02401072</t>
  </si>
  <si>
    <t>Compra de instrumentos financieros, clasificados como actividades de inversión</t>
  </si>
  <si>
    <t>02401073</t>
  </si>
  <si>
    <t>Importes procedentes de ventas o vencimiento de instrumentos financieros, clasificados como actividades de inversión</t>
  </si>
  <si>
    <t>02401074</t>
  </si>
  <si>
    <t>Compra de activo financieros disponibles para la venta</t>
  </si>
  <si>
    <t>02401075</t>
  </si>
  <si>
    <t>Importes procedentes de la disposición o vencimiento de activos financieros disponibles para la venta</t>
  </si>
  <si>
    <t>02401076</t>
  </si>
  <si>
    <t>Flujos de efectivos procedentes de (utilizados en ) disminuciones (incrementos) en depósitos e inversiones a corto plazo</t>
  </si>
  <si>
    <t>02401077</t>
  </si>
  <si>
    <t>Entradas de efectivo por actividades de inversión</t>
  </si>
  <si>
    <t>02401078</t>
  </si>
  <si>
    <t>Salidas de efectivo por actividades de inversión</t>
  </si>
  <si>
    <t>02401079</t>
  </si>
  <si>
    <t>02401080</t>
  </si>
  <si>
    <t>Dividendos pagados a los tenedores de instrumentos de patrimonio de la controladora, clasificados como actividades de financiación</t>
  </si>
  <si>
    <t>02401081</t>
  </si>
  <si>
    <t>Dividendos pagados a participaciones no controladoras, clasificados como actividades de financiación</t>
  </si>
  <si>
    <t>02401082</t>
  </si>
  <si>
    <t>Importes procedentes de la venta o emisión de acciones propias</t>
  </si>
  <si>
    <t>02401083</t>
  </si>
  <si>
    <t>Importes procedentes del ejercicio de opciones</t>
  </si>
  <si>
    <t>02401084</t>
  </si>
  <si>
    <t>Importes procedentes de la emisión de acciones preferentes</t>
  </si>
  <si>
    <t>02401085</t>
  </si>
  <si>
    <t>Importes procedentes de préstamos no corrientes</t>
  </si>
  <si>
    <t>02401086</t>
  </si>
  <si>
    <t>Reembolsos de préstamos no corrientes</t>
  </si>
  <si>
    <t>02401087</t>
  </si>
  <si>
    <t>Importes procedentes de préstamos corrientes</t>
  </si>
  <si>
    <t>02401088</t>
  </si>
  <si>
    <t>Reembolsos de préstamos corrientes</t>
  </si>
  <si>
    <t>02401089</t>
  </si>
  <si>
    <t>Flujos de efectivos procedentes de (utilizados en) incrementos (disminuciones) de préstamos corrientes</t>
  </si>
  <si>
    <t>02401090</t>
  </si>
  <si>
    <t>Importes procedentes de la emisión de bonos, pagarés y obligaciones sin garantía</t>
  </si>
  <si>
    <t>02401091</t>
  </si>
  <si>
    <t>Reembolsos de bonos, pagarés y obligaciones sin garantía</t>
  </si>
  <si>
    <t>02401092</t>
  </si>
  <si>
    <t>Pagos por costos de emisión de acciones</t>
  </si>
  <si>
    <t>02401093</t>
  </si>
  <si>
    <t>Pagos por costos de emisión de deuda</t>
  </si>
  <si>
    <t>02401094</t>
  </si>
  <si>
    <t>Importes procedentes de aportaciones de participaciones no controladoras</t>
  </si>
  <si>
    <t>02401095</t>
  </si>
  <si>
    <t>Importes procedentes de la emisión de pasivos subordinados</t>
  </si>
  <si>
    <t>02401096</t>
  </si>
  <si>
    <t>Reembolsos de pasivos subordinados</t>
  </si>
  <si>
    <t>02500000</t>
  </si>
  <si>
    <t>[800400] Notas - Estado de cambios en el patrimonio, información a revelar adicional</t>
  </si>
  <si>
    <t>02501001</t>
  </si>
  <si>
    <t>02501002</t>
  </si>
  <si>
    <t>Dividendos reconocidos como distribuciones a los propietarios de la controladora, relativos a años anteriores</t>
  </si>
  <si>
    <t>02501004</t>
  </si>
  <si>
    <t>Dividendos reconocidos como distribuciones a los propietarios de la controladora, relativos al año corriente</t>
  </si>
  <si>
    <t>02501005</t>
  </si>
  <si>
    <t>Dividendos reconocidos como distribuciones a los propietarios de la controladora</t>
  </si>
  <si>
    <t>02501006</t>
  </si>
  <si>
    <t>Dividendos reconocidos como distribuciones a las participaciones no controladoras</t>
  </si>
  <si>
    <t>Incrementos (disminuciones) por cambios en el patrimonio de subsidiarias, patrimonio</t>
  </si>
  <si>
    <t>02501008</t>
  </si>
  <si>
    <t>Incrementos (disminuciones) por la adquisición de subsidiaria, patrimonio</t>
  </si>
  <si>
    <t>02501009</t>
  </si>
  <si>
    <t>Incrementos (disminuciones) por la disposición de subsidiarias, patrimonio</t>
  </si>
  <si>
    <t>02501010</t>
  </si>
  <si>
    <t>Incrementos (disminuciones) por transferencias entre superávit de revaluación y ganancias acumuladas, patrimonio</t>
  </si>
  <si>
    <t>Incrementos (disminuciones) por transferencias a reservas legales, patrimonio</t>
  </si>
  <si>
    <t>Incrementos (disminuciones) por distribuciones de ganancias acumuladas, patrimonio</t>
  </si>
  <si>
    <t>02501013</t>
  </si>
  <si>
    <t>Incrementos (disminuciones) por el ejercicio de opciones, patrimonio</t>
  </si>
  <si>
    <t>02501014</t>
  </si>
  <si>
    <t>Aumento (disminución) a través del ejercicio de los certificados de opción para la compra de acciones, patrimonio</t>
  </si>
  <si>
    <t>02501015</t>
  </si>
  <si>
    <t>Incrementos (disminuciones) por conversión de instrumentos convertibles, patrimonio</t>
  </si>
  <si>
    <t>02501016</t>
  </si>
  <si>
    <t>Emisión de instrumentos convertibles</t>
  </si>
  <si>
    <t>02501017</t>
  </si>
  <si>
    <t>Disminución (incremento) por impuestos sobre transacciones con pagos basados en acciones, patrimonio</t>
  </si>
  <si>
    <t>02501018</t>
  </si>
  <si>
    <t>Incrementos (disminuciones) por transacciones con los propietarios, patrimonio</t>
  </si>
  <si>
    <t>Compra de acciones propias</t>
  </si>
  <si>
    <t>02501020</t>
  </si>
  <si>
    <t>Venta o emisión de acciones propias</t>
  </si>
  <si>
    <t>02501021</t>
  </si>
  <si>
    <t>Cancelación de acciones propias</t>
  </si>
  <si>
    <t>02501022</t>
  </si>
  <si>
    <t>Reducción del capital emitido</t>
  </si>
  <si>
    <t>02501023</t>
  </si>
  <si>
    <t>Costo relacionado con la emisión de acciones</t>
  </si>
  <si>
    <t>02600000</t>
  </si>
  <si>
    <t>[800500] Notas - Lista de notas -</t>
  </si>
  <si>
    <t>02601002</t>
  </si>
  <si>
    <t>02601003</t>
  </si>
  <si>
    <t>Información a revelar sobre juicios y estimaciones contables [bloque de texto]</t>
  </si>
  <si>
    <t>02601004</t>
  </si>
  <si>
    <t>Información a revelar sobre gastos acumulados (o devengados) y otros pasivos [bloque de texto]</t>
  </si>
  <si>
    <t>02601005</t>
  </si>
  <si>
    <t>Información a revelar sobre correcciones de valor por pérdidas crediticias [bloque de texto]</t>
  </si>
  <si>
    <t>02601006</t>
  </si>
  <si>
    <t>Información a revelar sobre asociadas [bloque de texto]</t>
  </si>
  <si>
    <t>02601007</t>
  </si>
  <si>
    <t>Información a revelar sobre remuneración de los auditores [bloque de texto]</t>
  </si>
  <si>
    <t>02601008</t>
  </si>
  <si>
    <t>Información a revelar sobre la autorización de los estados financieros [bloque de texto]</t>
  </si>
  <si>
    <t>02601009</t>
  </si>
  <si>
    <t>Información a revelar sobre activos disponibles para la venta [bloque de texto]</t>
  </si>
  <si>
    <t>02601010</t>
  </si>
  <si>
    <t>Información a revelar sobre criterios de consolidación [bloque de texto]</t>
  </si>
  <si>
    <t>02601011</t>
  </si>
  <si>
    <t>Información a revelar sobre criterios de elaboración de los estados financieros [bloque de texto]</t>
  </si>
  <si>
    <t>02601012</t>
  </si>
  <si>
    <t>Información a revelar sobre activos biológicos, productos agrícolas en el punto de la cosecha o recolección y subvenciones gubernamentales relacionadas con activos biológicos [bloque de texto]</t>
  </si>
  <si>
    <t>02601013</t>
  </si>
  <si>
    <t>Información a revelar sobre préstamos [bloque de texto]</t>
  </si>
  <si>
    <t>02601014</t>
  </si>
  <si>
    <t>Información a revelar sobre combinaciones de negocios [bloque de texto]</t>
  </si>
  <si>
    <t>02601015</t>
  </si>
  <si>
    <t>Información a revelar sobre saldos bancarios y de efectivo en bancos centrales [bloque de texto]</t>
  </si>
  <si>
    <t>02601016</t>
  </si>
  <si>
    <t>Información a revelar sobre efectivo y equivalentes al efectivo [bloque de texto]</t>
  </si>
  <si>
    <t>02601017</t>
  </si>
  <si>
    <t>Información a revelar sobre el estado de flujos de efectivo [bloque de texto]</t>
  </si>
  <si>
    <t>02601018</t>
  </si>
  <si>
    <t>Información a revelar sobre cambios en las políticas contables [bloque de texto]</t>
  </si>
  <si>
    <t>02601019</t>
  </si>
  <si>
    <t>Información a revelar sobre cambios en políticas contables, estimaciones contables y errores [bloque de texto]</t>
  </si>
  <si>
    <t>02601020</t>
  </si>
  <si>
    <t>Información a revelar sobre garantías colaterales [bloque de texto]</t>
  </si>
  <si>
    <t>02601021</t>
  </si>
  <si>
    <t>Información a revelar sobre reclamaciones y beneficios pagados [bloque de texto]</t>
  </si>
  <si>
    <t>02601022</t>
  </si>
  <si>
    <t>Información a revelar sobre compromisos [bloque de texto]</t>
  </si>
  <si>
    <t>02601023</t>
  </si>
  <si>
    <t>Información a revelar sobre compromisos y pasivos contingentes [bloque de texto]</t>
  </si>
  <si>
    <t>02601024</t>
  </si>
  <si>
    <t>Información a revelar sobre pasivos contingentes [bloque de texto]</t>
  </si>
  <si>
    <t>02601025</t>
  </si>
  <si>
    <t>Información a revelar sobre costos de ventas [bloque de texto]</t>
  </si>
  <si>
    <t>02601026</t>
  </si>
  <si>
    <t>Información a revelar sobre riesgo de crédito [bloque de texto]</t>
  </si>
  <si>
    <t>02601027</t>
  </si>
  <si>
    <t>Información a revelar sobre instrumentos de deuda [bloque de texto]</t>
  </si>
  <si>
    <t>02601028</t>
  </si>
  <si>
    <t>Información a revelar sobre costos de adquisición diferidos que surgen de contratos de seguro [bloque de texto]</t>
  </si>
  <si>
    <t>02601029</t>
  </si>
  <si>
    <t>Información a revelar sobre ingresos diferidos [bloque de texto]</t>
  </si>
  <si>
    <t>02601030</t>
  </si>
  <si>
    <t>Información a revelar sobre impuestos diferidos [bloque de texto]</t>
  </si>
  <si>
    <t>02601031</t>
  </si>
  <si>
    <t>Información a revelar sobre depósitos de bancos [bloque de texto]</t>
  </si>
  <si>
    <t>02601032</t>
  </si>
  <si>
    <t>Información a revelar sobre depósitos de clientes [bloque de texto]</t>
  </si>
  <si>
    <t>02601033</t>
  </si>
  <si>
    <t>Información a revelar sobre gastos por depreciación y amortización [bloque de texto]</t>
  </si>
  <si>
    <t>02601034</t>
  </si>
  <si>
    <t>Información a revelar sobre instrumentos financieros derivados [bloque de texto]</t>
  </si>
  <si>
    <t>02601035</t>
  </si>
  <si>
    <t>Información a revelar sobre operaciones discontinuadas [bloque de texto]</t>
  </si>
  <si>
    <t>02601036</t>
  </si>
  <si>
    <t>Información a revelar sobre dividendos [bloque de texto]</t>
  </si>
  <si>
    <t>02601037</t>
  </si>
  <si>
    <t>Información a revelar sobre ganancias por acción [bloque de texto]</t>
  </si>
  <si>
    <t>02601038</t>
  </si>
  <si>
    <t>Información a revelar sobre el efecto de las variaciones en las tasas de cambio de la moneda extranjera [bloque de texto]</t>
  </si>
  <si>
    <t>02601039</t>
  </si>
  <si>
    <t>Información a revelar sobre beneficios a los empleados [bloque de texto]</t>
  </si>
  <si>
    <t>02601040</t>
  </si>
  <si>
    <t>Información a revelar sobre los segmentos de operación de la entidad [bloque de texto]</t>
  </si>
  <si>
    <t>02601041</t>
  </si>
  <si>
    <t>Información a revelar sobre hechos ocurridos después del periodo sobre el que se informa [bloque de texto]</t>
  </si>
  <si>
    <t>02601042</t>
  </si>
  <si>
    <t>Información a revelar sobre gastos [bloque de texto]</t>
  </si>
  <si>
    <t>02601043</t>
  </si>
  <si>
    <t>Información a revelar sobre gastos por naturaleza [bloque de texto]</t>
  </si>
  <si>
    <t>02601044</t>
  </si>
  <si>
    <t>Información a revelar sobre activos para exploración y evaluación [bloque de texto]</t>
  </si>
  <si>
    <t>02601045</t>
  </si>
  <si>
    <t>Información a revelar sobre medición del valor razonable [bloque de texto]</t>
  </si>
  <si>
    <t>02601046</t>
  </si>
  <si>
    <t>Información a revelar sobre el valor razonable de instrumentos financieros [bloque de texto]</t>
  </si>
  <si>
    <t>02601047</t>
  </si>
  <si>
    <t>Información a revelar sobre ingresos (gastos) por primas y comisiones [bloque de texto]</t>
  </si>
  <si>
    <t>02601048</t>
  </si>
  <si>
    <t>Información a revelar sobre costos financieros [bloque de texto]</t>
  </si>
  <si>
    <t>02601049</t>
  </si>
  <si>
    <t>Información a revelar sobre ingresos (gastos) financieros [bloque de texto]</t>
  </si>
  <si>
    <t>02601050</t>
  </si>
  <si>
    <t>Información a revelar sobre ingresos financieros [bloque de texto]</t>
  </si>
  <si>
    <t>02601051</t>
  </si>
  <si>
    <t>Información a revelar sobre activos financieros mantenidos para negociar [bloque de texto]</t>
  </si>
  <si>
    <t>02601052</t>
  </si>
  <si>
    <t>Información a revelar sobre instrumentos financieros [bloque de texto]</t>
  </si>
  <si>
    <t>02601053</t>
  </si>
  <si>
    <t>Información a revelar sobre instrumentos financieros a valor razonable con cambios en resultados [bloque de texto]</t>
  </si>
  <si>
    <t>02601054</t>
  </si>
  <si>
    <t>Información a revelar sobre instrumentos financieros designados como a valor razonable con cambios en resultados [bloque de texto]</t>
  </si>
  <si>
    <t>02601055</t>
  </si>
  <si>
    <t>Información a revelar sobre instrumentos financieros mantenidos para negociar [bloque de texto]</t>
  </si>
  <si>
    <t>02601056</t>
  </si>
  <si>
    <t>Información a revelar sobre pasivos financieros mantenidos para negociar [bloque de texto]</t>
  </si>
  <si>
    <t>02601057</t>
  </si>
  <si>
    <t>Información a revelar sobre gestión del riesgo financiero [bloque de texto]</t>
  </si>
  <si>
    <t>02601058</t>
  </si>
  <si>
    <t>02601059</t>
  </si>
  <si>
    <t>Información a revelar sobre gastos generales y administrativos [bloque de texto]</t>
  </si>
  <si>
    <t>02601060</t>
  </si>
  <si>
    <t>Información a revelar sobre el pago de intermediarios de las Administradoras de Riesgos Laborales [bloque de texto]</t>
  </si>
  <si>
    <t>02601061</t>
  </si>
  <si>
    <t>02601062</t>
  </si>
  <si>
    <t>Información a revelar sobre la hipótesis de negocio en marcha [bloque de texto]</t>
  </si>
  <si>
    <t>02601063</t>
  </si>
  <si>
    <t>Información a revelar sobre la plusvalía [bloque de texto]</t>
  </si>
  <si>
    <t>02601064</t>
  </si>
  <si>
    <t>Información a revelar sobre subvenciones del gobierno [bloque de texto]</t>
  </si>
  <si>
    <t>02601065</t>
  </si>
  <si>
    <t>Información a revelar sobre deterioro de valor de activos [bloque de texto]</t>
  </si>
  <si>
    <t>02601066</t>
  </si>
  <si>
    <t>Información a revelar sobre impuestos a las ganancias [bloque de texto]</t>
  </si>
  <si>
    <t>02601067</t>
  </si>
  <si>
    <t>Información a revelar sobre empleados [bloque de texto]</t>
  </si>
  <si>
    <t>02601068</t>
  </si>
  <si>
    <t>Información a revelar sobre personal clave de la gerencia [bloque de texto]</t>
  </si>
  <si>
    <t>02601069</t>
  </si>
  <si>
    <t>Información a revelar de contratos de seguro [bloque de texto]</t>
  </si>
  <si>
    <t>02601070</t>
  </si>
  <si>
    <t>Información a revelar sobre ingresos ordinarios por primas de seguro [bloque de texto]</t>
  </si>
  <si>
    <t>02601071</t>
  </si>
  <si>
    <t>Información a revelar sobre activos intangibles [bloque de texto]</t>
  </si>
  <si>
    <t>02601072</t>
  </si>
  <si>
    <t>Información a revelar sobre activos intangibles y plusvalía [bloque de texto]</t>
  </si>
  <si>
    <t>02601073</t>
  </si>
  <si>
    <t>Información a revelar sobre gastos por intereses [bloque de texto]</t>
  </si>
  <si>
    <t>02601074</t>
  </si>
  <si>
    <t>Información a revelar sobre ingresos por intereses [bloque de texto]</t>
  </si>
  <si>
    <t>02601075</t>
  </si>
  <si>
    <t>Información a revelar sobre ingresos (gastos) por intereses [bloque de texto]</t>
  </si>
  <si>
    <t>02601076</t>
  </si>
  <si>
    <t>Información a revelar sobre inventarios [bloque de texto]</t>
  </si>
  <si>
    <t>02601077</t>
  </si>
  <si>
    <t>Información a revelar sobre pasivos por contratos de inversión [bloque de texto]</t>
  </si>
  <si>
    <t>02601078</t>
  </si>
  <si>
    <t>Información a revelar sobre propiedades de inversión [bloque de texto]</t>
  </si>
  <si>
    <t>02601079</t>
  </si>
  <si>
    <t>Información a revelar sobre inversiones contabilizadas utilizando el método de la participación [bloque de texto]</t>
  </si>
  <si>
    <t>02601080</t>
  </si>
  <si>
    <t>Información a revelar sobre inversiones distintas de las contabilizadas utilizando el método de la participación [bloque de texto]</t>
  </si>
  <si>
    <t>02601081</t>
  </si>
  <si>
    <t>Información a revelar sobre capital emitido [bloque de texto]</t>
  </si>
  <si>
    <t>02601082</t>
  </si>
  <si>
    <t>Información a revelar sobre negocios conjuntos [bloque de texto]</t>
  </si>
  <si>
    <t>02601083</t>
  </si>
  <si>
    <t>Información a revelar anticipos por arrendamientos [bloque de texto]</t>
  </si>
  <si>
    <t>02601084</t>
  </si>
  <si>
    <t>Información a revelar sobre arrendamientos [bloque de texto]</t>
  </si>
  <si>
    <t>02601085</t>
  </si>
  <si>
    <t>Información a revelar sobre riesgo de liquidez [bloque de texto]</t>
  </si>
  <si>
    <t>02601086</t>
  </si>
  <si>
    <t>Información a revelar sobre préstamos y anticipos a bancos [bloque de texto]</t>
  </si>
  <si>
    <t>02601087</t>
  </si>
  <si>
    <t>Información a revelar sobre préstamos y anticipos a clientes [bloque de texto]</t>
  </si>
  <si>
    <t>02601088</t>
  </si>
  <si>
    <t>Información a revelar sobre riesgo de mercado [bloque de texto]</t>
  </si>
  <si>
    <t>02601089</t>
  </si>
  <si>
    <t>Información a revelar sobre el valor de los activos netos atribuibles a los tenedores de las unidades de inversión [bloque de texto]</t>
  </si>
  <si>
    <t>02601090</t>
  </si>
  <si>
    <t>Información a revelar sobre participaciones no controladoras [bloque de texto]</t>
  </si>
  <si>
    <t>02601091</t>
  </si>
  <si>
    <t>Información a revelar sobre activos no corrientes mantenidos para la venta y operaciones discontinuadas [bloque de texto]</t>
  </si>
  <si>
    <t>02601092</t>
  </si>
  <si>
    <t>Información a revelar sobre activos no corrientes o grupo de activos para su disposición clasificados como mantenidos para la venta [bloque de texto]</t>
  </si>
  <si>
    <t>02601093</t>
  </si>
  <si>
    <t>Información a revelar sobre objetivos, políticas y procesos para la gestión del capital [bloque de texto]</t>
  </si>
  <si>
    <t>02601094</t>
  </si>
  <si>
    <t>Información a revelar sobre otros activos [bloque de texto]</t>
  </si>
  <si>
    <t>02601095</t>
  </si>
  <si>
    <t>Información a revelar sobre otros activos corrientes [bloque de texto]</t>
  </si>
  <si>
    <t>02601096</t>
  </si>
  <si>
    <t>Información a revelar sobre otros pasivos corrientes [bloque de texto]</t>
  </si>
  <si>
    <t>02601097</t>
  </si>
  <si>
    <t>Información a revelar sobre otros pasivos [bloque de texto]</t>
  </si>
  <si>
    <t>02601098</t>
  </si>
  <si>
    <t>Información a revelar sobre otros activos no corrientes [bloque de texto]</t>
  </si>
  <si>
    <t>02601099</t>
  </si>
  <si>
    <t>Información a revelar sobre otros pasivos no corrientes [bloque de texto]</t>
  </si>
  <si>
    <t>02601100</t>
  </si>
  <si>
    <t>Información a revelar sobre otros gastos de operación [bloque de texto]</t>
  </si>
  <si>
    <t>02601101</t>
  </si>
  <si>
    <t>Información a revelar sobre otros ingresos (gastos) de operación [bloque de texto]</t>
  </si>
  <si>
    <t>02601102</t>
  </si>
  <si>
    <t>Información a revelar sobre otros resultados de operación [bloque de texto]</t>
  </si>
  <si>
    <t>02601103</t>
  </si>
  <si>
    <t>Información a revelar sobre anticipos y otros activos [bloque de texto]</t>
  </si>
  <si>
    <t>02601104</t>
  </si>
  <si>
    <t>Información a revelar sobre ganancias (pérdidas) por actividades de operación [bloque de texto]</t>
  </si>
  <si>
    <t>02601105</t>
  </si>
  <si>
    <t>Información a revelar sobre propiedades, planta y equipo [bloque de texto]</t>
  </si>
  <si>
    <t>02601106</t>
  </si>
  <si>
    <t>Información a revelar sobre provisiones [bloque de texto]</t>
  </si>
  <si>
    <t>02601107</t>
  </si>
  <si>
    <t>Información a revelar sobre la reclasificación de instrumentos financieros [bloque de texto]</t>
  </si>
  <si>
    <t>02601108</t>
  </si>
  <si>
    <t>Información a revelar sobre ingresos de actividades ordinarias reconocidos procedentes de contratos de construcción [bloque de texto]</t>
  </si>
  <si>
    <t>02601109</t>
  </si>
  <si>
    <t>Información a revelar sobre reaseguros [bloque de texto]</t>
  </si>
  <si>
    <t>02601110</t>
  </si>
  <si>
    <t>Información a revelar sobre partes relacionadas [bloque de texto]</t>
  </si>
  <si>
    <t>02601111</t>
  </si>
  <si>
    <t>Información a revelar sobre acuerdos de recompra y de recompra inversa [bloque de texto]</t>
  </si>
  <si>
    <t>02601112</t>
  </si>
  <si>
    <t>Información a revelar sobre gastos de investigación y desarrollo [bloque de texto]</t>
  </si>
  <si>
    <t>02601113</t>
  </si>
  <si>
    <t>Información a revelar sobre reservas dentro de patrimonio [bloque de texto]</t>
  </si>
  <si>
    <t>02601114</t>
  </si>
  <si>
    <t>Información a revelar sobre efectivo y equivalentes al efectivo restringidos [bloque de texto]</t>
  </si>
  <si>
    <t>02601115</t>
  </si>
  <si>
    <t>Información a revelar sobre ingresos de actividades ordinarias [bloque de texto]</t>
  </si>
  <si>
    <t>02601116</t>
  </si>
  <si>
    <t>Información a revelar sobre acuerdos de concesión de servicios [bloque de texto]</t>
  </si>
  <si>
    <t>02601117</t>
  </si>
  <si>
    <t>Información a revelar sobre capital en acciones, reservas y otras participaciones en el patrimonio [bloque de texto]</t>
  </si>
  <si>
    <t>02601118</t>
  </si>
  <si>
    <t>Información a revelar sobre acuerdos con pagos basados en acciones [bloque de texto]</t>
  </si>
  <si>
    <t>02601119</t>
  </si>
  <si>
    <t>Información a revelar sobre pasivos subordinados [bloque de texto]</t>
  </si>
  <si>
    <t>02601120</t>
  </si>
  <si>
    <t>Información a revelar sobre subsidiarias [bloque de texto]</t>
  </si>
  <si>
    <t>02601121</t>
  </si>
  <si>
    <t>02601122</t>
  </si>
  <si>
    <t>Información a revelar sobre cuentas por cobrar y por pagar por impuestos [bloque de texto]</t>
  </si>
  <si>
    <t>02601123</t>
  </si>
  <si>
    <t>Información a revelar sobre acreedores comerciales y otras cuentas por pagar [bloque de texto]</t>
  </si>
  <si>
    <t>02601124</t>
  </si>
  <si>
    <t>Información a revelar sobre deudores comerciales y otras cuentas por cobrar [bloque de texto]</t>
  </si>
  <si>
    <t>02601125</t>
  </si>
  <si>
    <t>Información a revelar sobre ingresos (gastos) comerciales [bloque de texto]</t>
  </si>
  <si>
    <t>02601126</t>
  </si>
  <si>
    <t>Información a revelar sobre acciones propias [bloque de texto]</t>
  </si>
  <si>
    <t>02700000</t>
  </si>
  <si>
    <t>[800600] Notas - Lista de políticas contables</t>
  </si>
  <si>
    <t>02701001</t>
  </si>
  <si>
    <t>02701002</t>
  </si>
  <si>
    <t>02701003</t>
  </si>
  <si>
    <t>Descripción de la política contable de activos financieros disponibles para la venta [bloque de texto]</t>
  </si>
  <si>
    <t>02701004</t>
  </si>
  <si>
    <t>Descripción de la política contable para activos biológicos [bloque de texto]</t>
  </si>
  <si>
    <t>02701005</t>
  </si>
  <si>
    <t>Descripción de la política contable para costos de préstamos [bloque de texto]</t>
  </si>
  <si>
    <t>02701006</t>
  </si>
  <si>
    <t>Descripción de la política contable para préstamos [bloque de texto]</t>
  </si>
  <si>
    <t>02701007</t>
  </si>
  <si>
    <t>Descripción de la política contable para combinaciones de negocios [bloque de texto]</t>
  </si>
  <si>
    <t>02701008</t>
  </si>
  <si>
    <t>Descripción de la política contable para combinaciones de negocios y plusvalía [bloque de texto]</t>
  </si>
  <si>
    <t>02701009</t>
  </si>
  <si>
    <t>Descripción de la política contable para flujos de efectivo [bloque de texto]</t>
  </si>
  <si>
    <t>02701010</t>
  </si>
  <si>
    <t>Descripción de la política contable para garantías colaterales [bloque de texto]</t>
  </si>
  <si>
    <t>02701011</t>
  </si>
  <si>
    <t>Descripción de la política contable para construcciones en proceso [bloque de texto]</t>
  </si>
  <si>
    <t>02701012</t>
  </si>
  <si>
    <t>Descripción de la política contable para provisiones para retiro del servicio, restauración y rehabilitación [bloque de texto]</t>
  </si>
  <si>
    <t>02701013</t>
  </si>
  <si>
    <t>Descripción de la política contable para costos de adquisición diferidos que surgen de contratos de seguro [bloque de texto]</t>
  </si>
  <si>
    <t>02701014</t>
  </si>
  <si>
    <t>Descripción de la política contable para gastos por depreciación [bloque de texto]</t>
  </si>
  <si>
    <t>02701015</t>
  </si>
  <si>
    <t>Descripción de la política contable para baja en cuentas de instrumentos financieros [bloque de texto]</t>
  </si>
  <si>
    <t>02701016</t>
  </si>
  <si>
    <t>Descripción de la política contable para instrumentos financieros derivados [bloque de texto]</t>
  </si>
  <si>
    <t>02701017</t>
  </si>
  <si>
    <t>Descripción de la política contable para instrumentos financieros derivados y coberturas [bloque de texto]</t>
  </si>
  <si>
    <t>02701018</t>
  </si>
  <si>
    <t>Descripción de la política contable para la determinación de los componentes del efectivo y equivalentes al efectivo [bloque de texto]</t>
  </si>
  <si>
    <t>02701019</t>
  </si>
  <si>
    <t>Descripción de la política contable para operaciones discontinuadas [bloque de texto]</t>
  </si>
  <si>
    <t>02701020</t>
  </si>
  <si>
    <t>Descripción de la política contable para dividendos [bloque de texto]</t>
  </si>
  <si>
    <t>02701021</t>
  </si>
  <si>
    <t>Descripción de la política contable para las ganancias por acción [bloque de texto]</t>
  </si>
  <si>
    <t>02701022</t>
  </si>
  <si>
    <t>Descripción de la política contable para beneficios a los empleados [bloque de texto]</t>
  </si>
  <si>
    <t>02701023</t>
  </si>
  <si>
    <t>Descripción de la política contable para gastos relacionados con el medioambiente [bloque de texto]</t>
  </si>
  <si>
    <t>02701024</t>
  </si>
  <si>
    <t>Descripción de la política contable para gastos [bloque de texto]</t>
  </si>
  <si>
    <t>02701025</t>
  </si>
  <si>
    <t>Descripción de las políticas contables para desembolsos de exploración y evaluación [bloque de texto]</t>
  </si>
  <si>
    <t>02701026</t>
  </si>
  <si>
    <t>Descripción de la política contable para mediciones al valor razonable [bloque de texto]</t>
  </si>
  <si>
    <t>02701027</t>
  </si>
  <si>
    <t>Descripción de la política contable para primas e ingresos y gastos por comisiones [bloque de texto]</t>
  </si>
  <si>
    <t>02701028</t>
  </si>
  <si>
    <t>Descripción de la polìtica contable para pago de intermediarios de las Administradoras de Riesgos Laborales [bloque de texto]</t>
  </si>
  <si>
    <t>02701029</t>
  </si>
  <si>
    <t>Descripción de la política contable para costos financieros [bloque de texto]</t>
  </si>
  <si>
    <t>02701030</t>
  </si>
  <si>
    <t>Descripción de la política contable para ingresos y costos financieros [bloque de texto]</t>
  </si>
  <si>
    <t>02701031</t>
  </si>
  <si>
    <t>Descripción de la política contable para activos financieros [bloque de texto]</t>
  </si>
  <si>
    <t>02701032</t>
  </si>
  <si>
    <t>Descripción de la política contable para garantías financieras [bloque de texto]</t>
  </si>
  <si>
    <t>02701033</t>
  </si>
  <si>
    <t>Descripción de la política contable para instrumentos financieros [bloque de texto]</t>
  </si>
  <si>
    <t>02701034</t>
  </si>
  <si>
    <t>Descripción de la política contable para instrumentos financieros a valor razonable con cambios en resultados [bloque de texto]</t>
  </si>
  <si>
    <t>02701035</t>
  </si>
  <si>
    <t>Descripción de la política contable para pasivos financieros [bloque de texto]</t>
  </si>
  <si>
    <t>02701036</t>
  </si>
  <si>
    <t>Descripción de la política contable para conversión de moneda extranjera [bloque de texto]</t>
  </si>
  <si>
    <t>02701037</t>
  </si>
  <si>
    <t>Descripción de la política contable para la moneda funcional [bloque de texto]</t>
  </si>
  <si>
    <t>02701038</t>
  </si>
  <si>
    <t>Descripción de la política contable para la plusvalía [bloque de texto]</t>
  </si>
  <si>
    <t>02701039</t>
  </si>
  <si>
    <t>Descripción de las políticas contables para subvenciones gubernamentales [bloque de texto]</t>
  </si>
  <si>
    <t>02701040</t>
  </si>
  <si>
    <t>Descripción de la política contable para coberturas [bloque de texto]</t>
  </si>
  <si>
    <t>02701041</t>
  </si>
  <si>
    <t>Descripción de la política contable para inversiones mantenidas hasta el vencimiento [bloque de texto]</t>
  </si>
  <si>
    <t>02701042</t>
  </si>
  <si>
    <t>Descripción de la política contable para deterioro del valor de activos [bloque de texto]</t>
  </si>
  <si>
    <t>02701043</t>
  </si>
  <si>
    <t>Descripción de la política contable para deterioro del valor de activos financieros [bloque de texto]</t>
  </si>
  <si>
    <t>02701044</t>
  </si>
  <si>
    <t>Descripción de la política contable para deterioro del valor de activos no financieros [bloque de texto]</t>
  </si>
  <si>
    <t>02701045</t>
  </si>
  <si>
    <t>Descripción de la política contable para impuestos a las ganancias [bloque de texto]</t>
  </si>
  <si>
    <t>02701046</t>
  </si>
  <si>
    <t>Descripción de las políticas contables de contratos de seguro y de los activos, pasivos, ingresos y gastos relacionados [bloque de texto]</t>
  </si>
  <si>
    <t>02701047</t>
  </si>
  <si>
    <t>Descripción de la política contable para activos intangibles y plusvalía [bloque de texto]</t>
  </si>
  <si>
    <t>02701048</t>
  </si>
  <si>
    <t>Descripción de la política contable para activos intangibles distintos a la plusvalía [bloque de texto]</t>
  </si>
  <si>
    <t>02701049</t>
  </si>
  <si>
    <t>Descripción de la política contable para ingresos y gastos por intereses [bloque de texto]</t>
  </si>
  <si>
    <t>02701050</t>
  </si>
  <si>
    <t>Descripción de las políticas contables para inversiones en asociadas [bloque de texto]</t>
  </si>
  <si>
    <t>02701051</t>
  </si>
  <si>
    <t>Descripción de la política contable para inversiones en asociadas y negocios conjuntos [bloque de texto]</t>
  </si>
  <si>
    <t>02701052</t>
  </si>
  <si>
    <t>Descripción de las políticas contables para inversiones en negocios conjuntos [bloque de texto]</t>
  </si>
  <si>
    <t>02701053</t>
  </si>
  <si>
    <t>Descripción de la política contable para propiedades de inversión [bloque de texto]</t>
  </si>
  <si>
    <t>02701054</t>
  </si>
  <si>
    <t>Descripción de la política contable para inversiones distintas de las inversiones contabilizadas utilizando el método de la participación [bloque de texto]</t>
  </si>
  <si>
    <t>02701055</t>
  </si>
  <si>
    <t>Descripción de la política contable para el capital emitido [bloque de texto]</t>
  </si>
  <si>
    <t>02701056</t>
  </si>
  <si>
    <t>Descripción de la política contable para arrendamientos [bloque de texto]</t>
  </si>
  <si>
    <t>02701057</t>
  </si>
  <si>
    <t>Descripción de la política contable para préstamos y cuentas por cobrar [bloque de texto]</t>
  </si>
  <si>
    <t>02701058</t>
  </si>
  <si>
    <t>Descripción de las políticas contables para la medición de inventarios [bloque de texto]</t>
  </si>
  <si>
    <t>02701059</t>
  </si>
  <si>
    <t>Descripción de la política contable para activos de minería [bloque de texto]</t>
  </si>
  <si>
    <t>02701060</t>
  </si>
  <si>
    <t>Descripción de la política contable para derechos de minería [bloque de texto]</t>
  </si>
  <si>
    <t>02701061</t>
  </si>
  <si>
    <t>Descripción de la política contable para activos no corrientes o grupos de activos para su disposición clasificados como mantenidos para la venta [bloque de texto]</t>
  </si>
  <si>
    <t>02701062</t>
  </si>
  <si>
    <t>Descripción de la política contable para activos no corrientes o grupos de activos para su disposición clasificados como mantenidos para la venta y operaciones discontinuadas [bloque de texto]</t>
  </si>
  <si>
    <t>02701063</t>
  </si>
  <si>
    <t>Descripción de la política contable para la compensación de instrumentos financieros [bloque de texto]</t>
  </si>
  <si>
    <t>02701064</t>
  </si>
  <si>
    <t>Descripción de la política contable para activos de petróleo y gas [bloque de texto]</t>
  </si>
  <si>
    <t>02701065</t>
  </si>
  <si>
    <t>Descripción de la política contable para propiedades, planta y equipo [bloque de texto]</t>
  </si>
  <si>
    <t>02701066</t>
  </si>
  <si>
    <t>Descripción de la política contable para provisiones [bloque de texto]</t>
  </si>
  <si>
    <t>02701067</t>
  </si>
  <si>
    <t>Descripción de la política contable para la reclasificación de instrumentos financieros [bloque de texto]</t>
  </si>
  <si>
    <t>02701068</t>
  </si>
  <si>
    <t>Descripción de la política contable para el reconocimiento en el resultado del periodo de la diferencia entre el valor razonable en el reconocimiento inicial y el precio de transacción [bloque de texto]</t>
  </si>
  <si>
    <t>02701069</t>
  </si>
  <si>
    <t>Descripción de las políticas contables para el reconocimiento de ingresos de actividades ordinarias [bloque de texto]</t>
  </si>
  <si>
    <t>02701070</t>
  </si>
  <si>
    <t>Descripción de la política contable para reaseguros [bloque de texto]</t>
  </si>
  <si>
    <t>02701071</t>
  </si>
  <si>
    <t>Descripción de la política contable para acuerdos de recompra y de recompra inversa [bloque de texto]</t>
  </si>
  <si>
    <t>02701072</t>
  </si>
  <si>
    <t>Descripción de la política contable para gastos de investigación y desarrollo [bloque de texto]</t>
  </si>
  <si>
    <t>02701073</t>
  </si>
  <si>
    <t>Descripción de la política contable para el efectivo y equivalentes al efectivo restringido [bloque de texto]</t>
  </si>
  <si>
    <t>02701074</t>
  </si>
  <si>
    <t>Descripción de la política contable para la información financiera por segmentos [bloque de texto]</t>
  </si>
  <si>
    <t>02701075</t>
  </si>
  <si>
    <t>Descripción de la política contable para las transacciones con pagos basados en acciones [bloque de texto]</t>
  </si>
  <si>
    <t>02701076</t>
  </si>
  <si>
    <t>Descripción de la política contable para costos de desmonte [bloque de texto]</t>
  </si>
  <si>
    <t>02701077</t>
  </si>
  <si>
    <t>Descripción de la política contable para subsidiarias [bloque de texto]</t>
  </si>
  <si>
    <t>02701078</t>
  </si>
  <si>
    <t>Descripción de las políticas contables para los beneficios por terminación [bloque de texto]</t>
  </si>
  <si>
    <t>02701079</t>
  </si>
  <si>
    <t>Descripción de la política contable para acreedores comerciales y otras cuentas por pagar [bloque de texto]</t>
  </si>
  <si>
    <t>02701080</t>
  </si>
  <si>
    <t>Descripción de la política contable para deudores comerciales y otras cuentas por cobrar [bloque de texto]</t>
  </si>
  <si>
    <t>02701081</t>
  </si>
  <si>
    <t>Descripción de la política contable para ingresos y gastos comerciales [bloque de texto]</t>
  </si>
  <si>
    <t>02701082</t>
  </si>
  <si>
    <t>Descripción de la política contable para transacciones con participaciones no controladoras [bloque de texto]</t>
  </si>
  <si>
    <t>02701083</t>
  </si>
  <si>
    <t>Descripción de la política contable para transacciones con partes relacionadas [bloque de texto]</t>
  </si>
  <si>
    <t>02701084</t>
  </si>
  <si>
    <t>Descripción de la política contable para acciones propias [bloque de texto]</t>
  </si>
  <si>
    <t>02701085</t>
  </si>
  <si>
    <t>02800000</t>
  </si>
  <si>
    <t>[811000] Notas - Políticas contables, cambios en las estimaciones contables y errores -</t>
  </si>
  <si>
    <t>02801002</t>
  </si>
  <si>
    <t>02801003</t>
  </si>
  <si>
    <t>Información a revelar sobre la aplicación inicial de normas o interpretaciones [bloque de texto]</t>
  </si>
  <si>
    <t>02802002</t>
  </si>
  <si>
    <t>Información a revelar sobre la aplicación inicial de normas o interpretaciones [resumen]</t>
  </si>
  <si>
    <t>02802003</t>
  </si>
  <si>
    <t>Información a revelar sobre la aplicación inicial de normas o interpretaciones [partidas]</t>
  </si>
  <si>
    <t>02802004</t>
  </si>
  <si>
    <t>Título de aplicación inicial de las NIIF</t>
  </si>
  <si>
    <t>02802005</t>
  </si>
  <si>
    <t>Descripción de si el cambio en la política contable se realiza de acuerdo con las disposiciones transitorias de las NIIF aplicadas inicialmente</t>
  </si>
  <si>
    <t>02802006</t>
  </si>
  <si>
    <t>Descripción de la naturaleza de cambio en política contable</t>
  </si>
  <si>
    <t>02802007</t>
  </si>
  <si>
    <t>Descripción de las disposiciones transitorias de las NIIF aplicadas inicialmente</t>
  </si>
  <si>
    <t>02802008</t>
  </si>
  <si>
    <t>Descripción de las disposiciones transitorias de las NIIF aplicadas inicialmente que pueden tener efecto sobre periodos futuros</t>
  </si>
  <si>
    <t>02803002</t>
  </si>
  <si>
    <t>Información a revelar sobre cambio voluntario en política contable [bloque de texto]</t>
  </si>
  <si>
    <t>02804002</t>
  </si>
  <si>
    <t>Información a revelar sobre cambio voluntario en política contable [resumen]</t>
  </si>
  <si>
    <t>02804003</t>
  </si>
  <si>
    <t>Información a revelar sobre cambio voluntario en política contable [partidas]</t>
  </si>
  <si>
    <t>02804004</t>
  </si>
  <si>
    <t>Descripción de la naturaleza de cambios voluntarios en políticas contables</t>
  </si>
  <si>
    <t>02804005</t>
  </si>
  <si>
    <t>Descripción de las razones por las que la aplicación de políticas contables nuevas suministra información más relevante y fiable</t>
  </si>
  <si>
    <t>02805002</t>
  </si>
  <si>
    <t>Explicación de las normas nuevas o interpretaciones no aplicables</t>
  </si>
  <si>
    <t>02805003</t>
  </si>
  <si>
    <t>Información a revelar sobre el impacto esperado de la aplicación inicial de nuevas normas o interpretaciones [bloque de texto]</t>
  </si>
  <si>
    <t>02806002</t>
  </si>
  <si>
    <t>Información a revelar sobre el impacto esperado de la aplicación inicial de nuevas normas o interpretaciones [resumen]</t>
  </si>
  <si>
    <t>02806003</t>
  </si>
  <si>
    <t>Información a revelar sobre el impacto esperado de la aplicación inicial de nuevas normas o interpretaciones [partidas]</t>
  </si>
  <si>
    <t>02806004</t>
  </si>
  <si>
    <t>Título de NIIF nuevas</t>
  </si>
  <si>
    <t>02806005</t>
  </si>
  <si>
    <t>Descripción de la naturaleza de un cambio inminente en una política contable</t>
  </si>
  <si>
    <t>02806006</t>
  </si>
  <si>
    <t>Fecha en la cual es obligatoria la aplicación de la nueva NIIF</t>
  </si>
  <si>
    <t>02806007</t>
  </si>
  <si>
    <t>Fecha en la cual la entidad prevé aplicar inicialmente la nueva NIIF</t>
  </si>
  <si>
    <t>02806008</t>
  </si>
  <si>
    <t>Discusión sobre el impacto que se espera que tenga la aplicación inicial de una NIIF nueva en los estados financieros</t>
  </si>
  <si>
    <t>02806009</t>
  </si>
  <si>
    <t>Descripción del hecho de que el impacto de la aplicación inicial de una NIIF nueva no se conoce o no es razonablemente estimable</t>
  </si>
  <si>
    <t>02807002</t>
  </si>
  <si>
    <t>Explicación de la razón por la que es impracticable determinar importes de ajustes relacionados con cambios en políticas contables</t>
  </si>
  <si>
    <t>02807003</t>
  </si>
  <si>
    <t>Información a revelar sobre cambios en las estimaciones contables [bloque de texto]</t>
  </si>
  <si>
    <t>02808002</t>
  </si>
  <si>
    <t>Información a revelar sobre cambios en las estimaciones contables [resumen]</t>
  </si>
  <si>
    <t>02808003</t>
  </si>
  <si>
    <t>Información a revelar sobre cambios en las estimaciones contables [partidas]</t>
  </si>
  <si>
    <t>02808004</t>
  </si>
  <si>
    <t>Descripción de la naturaleza de cambio en estimación contable [bloque de texto]</t>
  </si>
  <si>
    <t>02808005</t>
  </si>
  <si>
    <t>Incrementos (disminuciones) de estimaciones contables</t>
  </si>
  <si>
    <t>02808006</t>
  </si>
  <si>
    <t>Descripción del hecho de que el importe del cambio en una estimación contable es impracticable [bloque de texto]</t>
  </si>
  <si>
    <t>02809002</t>
  </si>
  <si>
    <t>Explicación de la razón por la que es impracticable determinar importes por correcciones relacionadas con errores de periodos anteriores</t>
  </si>
  <si>
    <t>02809003</t>
  </si>
  <si>
    <t>Descripción de la naturaleza de errores contables de periodos anteriores [bloque de texto]</t>
  </si>
  <si>
    <t>02900000</t>
  </si>
  <si>
    <t>[815000] Notas - Hechos ocurridos después del periodo sobre el que se informa</t>
  </si>
  <si>
    <t>02901002</t>
  </si>
  <si>
    <t>02901003</t>
  </si>
  <si>
    <t>Explicación del órgano de autorización</t>
  </si>
  <si>
    <t>Fecha de autorización para la publicación de los estados financieros</t>
  </si>
  <si>
    <t>02901005</t>
  </si>
  <si>
    <t>Explicación del hecho de que los propietarios de la entidad u otros tengan poder para modificar los estados financieros tras la publicación</t>
  </si>
  <si>
    <t>02901006</t>
  </si>
  <si>
    <t>Información a revelar sobre hechos ocurridos después del periodo sobre el que se informa que no implican ajuste [bloque de texto]</t>
  </si>
  <si>
    <t>02902002</t>
  </si>
  <si>
    <t>Información a revelar sobre hechos ocurridos después del periodo sobre el que se informa que no implican ajuste [sinopsis]</t>
  </si>
  <si>
    <t>02902003</t>
  </si>
  <si>
    <t>Información a revelar sobre hechos ocurridos después del periodo sobre el que se informa que no implican ajuste [partidas]</t>
  </si>
  <si>
    <t>02902004</t>
  </si>
  <si>
    <t>Descripción de la naturaleza de hechos ocurridos después del periodo sobre el que se informa que no implican ajuste</t>
  </si>
  <si>
    <t>02902005</t>
  </si>
  <si>
    <t>Explicación del efecto financiero de hechos ocurridos después del periodo sobre el que se informa que no implican ajuste [bloque de texto]</t>
  </si>
  <si>
    <t>02903002</t>
  </si>
  <si>
    <t>Información a revelar sobre hechos ocurridos después del periodo sobre el que se informa que implican ajuste [bloque de texto]</t>
  </si>
  <si>
    <t>02904002</t>
  </si>
  <si>
    <t>Información a revelar sobre hechos ocurridos después del periodo sobre el que se informa que implican ajuste [sinopsis]</t>
  </si>
  <si>
    <t>02904003</t>
  </si>
  <si>
    <t>Información a revelar sobre hechos ocurridos después del periodo sobre el que se informa que implican ajuste [partidas]</t>
  </si>
  <si>
    <t>02904004</t>
  </si>
  <si>
    <t>Descripción de la naturaleza de hechos ocurridos después del periodo sobre el que se informa que implican ajuste</t>
  </si>
  <si>
    <t>02904005</t>
  </si>
  <si>
    <t>Explicación del efecto financiero de hechos ocurridos después del periodo sobre el que se informa que implican ajuste [bloque de texto]</t>
  </si>
  <si>
    <t>02905002</t>
  </si>
  <si>
    <t>03000000</t>
  </si>
  <si>
    <t>[817000] Notas - Combinaciones de negocios</t>
  </si>
  <si>
    <t>03001002</t>
  </si>
  <si>
    <t>03001003</t>
  </si>
  <si>
    <t>Descripción de la naturaleza y efectos financieros de combinaciones de negocios durante el periodo</t>
  </si>
  <si>
    <t>03001004</t>
  </si>
  <si>
    <t>Descripción de la naturaleza y efectos financieros de combinaciones de negocios después del periodo sobre el que se informa y antes de la presentación de los estados de situación financiera</t>
  </si>
  <si>
    <t>03001005</t>
  </si>
  <si>
    <t>Explicación del efecto financiero de ajustes relativos a combinaciones de negocios</t>
  </si>
  <si>
    <t>03001006</t>
  </si>
  <si>
    <t>Información adicional sobre la naturaleza y efecto financiero de combinaciones de negocios</t>
  </si>
  <si>
    <t>03001007</t>
  </si>
  <si>
    <t>Información a revelar detallada sobre combinaciones de negocios [bloque de texto]</t>
  </si>
  <si>
    <t>03002002</t>
  </si>
  <si>
    <t>Información a revelar detallada sobre combinaciones de negocios [resumen]</t>
  </si>
  <si>
    <t>03002003</t>
  </si>
  <si>
    <t>Información a revelar detallada sobre combinaciones de negocios [partidas]</t>
  </si>
  <si>
    <t>03002004</t>
  </si>
  <si>
    <t>Nombre de la adquirida</t>
  </si>
  <si>
    <t>03002005</t>
  </si>
  <si>
    <t>Descripción de la adquirida</t>
  </si>
  <si>
    <t>03002006</t>
  </si>
  <si>
    <t>Fecha de adquisición</t>
  </si>
  <si>
    <t>03002007</t>
  </si>
  <si>
    <t>Porcentaje de participaciones en el patrimonio con derecho a voto adquiridas</t>
  </si>
  <si>
    <t>03002008</t>
  </si>
  <si>
    <t>Descripción de las razones principales para la combinación de negocios</t>
  </si>
  <si>
    <t>03002009</t>
  </si>
  <si>
    <t>Descripción de cómo la adquirente obtuvo el control de la adquirida</t>
  </si>
  <si>
    <t>03002010</t>
  </si>
  <si>
    <t>Descripción de los factores que constituyen la plusvalía reconocida</t>
  </si>
  <si>
    <t>03002011</t>
  </si>
  <si>
    <t>Valor razonable en la fecha de adquisición de la contraprestación total transferida [resumen]</t>
  </si>
  <si>
    <t>03002012</t>
  </si>
  <si>
    <t>Efectivo transferido</t>
  </si>
  <si>
    <t>03002013</t>
  </si>
  <si>
    <t>Otros activos tangibles o intangibles transferidos</t>
  </si>
  <si>
    <t>03002014</t>
  </si>
  <si>
    <t>Pasivos incurridos</t>
  </si>
  <si>
    <t>03002015</t>
  </si>
  <si>
    <t>Participaciones en el patrimonio de la adquirente</t>
  </si>
  <si>
    <t>03002016</t>
  </si>
  <si>
    <t>Número de instrumentos o participaciones emitidas o emitibles</t>
  </si>
  <si>
    <t>03002017</t>
  </si>
  <si>
    <t>Descripción del método de medir el valor razonable de instrumentos o participaciones</t>
  </si>
  <si>
    <t>03002018</t>
  </si>
  <si>
    <t>Contraprestación transferida, valor razonable en la fecha de adquisición</t>
  </si>
  <si>
    <t>03002019</t>
  </si>
  <si>
    <t>Acuerdos de contraprestación contingente y activos de indemnización reconocidos en la fecha de la adquisición</t>
  </si>
  <si>
    <t>03002020</t>
  </si>
  <si>
    <t>Descripción de los acuerdos por contraprestaciones contingentes y los activos de indemnización</t>
  </si>
  <si>
    <t>03002021</t>
  </si>
  <si>
    <t>Descripción de los criterios para determinar el importe de pagos por acuerdos de contraprestaciones contingentes y los activos de indemnización</t>
  </si>
  <si>
    <t>03002022</t>
  </si>
  <si>
    <t>Descripción de las estimaciones del rango de acontecimientos no descontados procedentes de acuerdos de contraprestación contingente y activos de indemnización</t>
  </si>
  <si>
    <t>03002023</t>
  </si>
  <si>
    <t>Descripción de la explicación de hechos y razones por las que no puede estimarse el rango de resultados procedentes de acuerdos de contraprestaciones contingentes y los activos de indemnización</t>
  </si>
  <si>
    <t>03002024</t>
  </si>
  <si>
    <t>Explicación del hecho de que el importe máximo de pagos por acuerdos de contraprestaciones contingentes y los activos de indemnización es ilimitado</t>
  </si>
  <si>
    <t>03002025</t>
  </si>
  <si>
    <t>Importes reconocidos a partir de la fecha de la adquisición para cada clase principal de activos adquiridos y pasivos asumidos [resumen]</t>
  </si>
  <si>
    <t>03002026</t>
  </si>
  <si>
    <t>Activos financieros reconocidos en la fecha de la adquisición</t>
  </si>
  <si>
    <t>03002027</t>
  </si>
  <si>
    <t>Inventario reconocido en la fecha de adquisición</t>
  </si>
  <si>
    <t>03002028</t>
  </si>
  <si>
    <t>Propiedades, planta y equipo reconocidos en la fecha de adquisición</t>
  </si>
  <si>
    <t>03002029</t>
  </si>
  <si>
    <t>Activos intangibles identificables reconocidos en la fecha de la adquisición</t>
  </si>
  <si>
    <t>03002030</t>
  </si>
  <si>
    <t>Pasivos financieros reconocidos en la fecha de la adquisición</t>
  </si>
  <si>
    <t>03002031</t>
  </si>
  <si>
    <t>Pasivos contingentes reconocidos en la fecha de la adquisición</t>
  </si>
  <si>
    <t>03002032</t>
  </si>
  <si>
    <t>Activos identificables adquiridos (pasivos asumidos)</t>
  </si>
  <si>
    <t>03002033</t>
  </si>
  <si>
    <t>Información a revelar adicional por importes reconocidos en la fecha de la adquisición para cada clase principal de activos adquiridos y pasivos asumidos [resumen]</t>
  </si>
  <si>
    <t>03002034</t>
  </si>
  <si>
    <t>Activos no corrientes reconocidos en la fecha de la adquisición</t>
  </si>
  <si>
    <t>03002035</t>
  </si>
  <si>
    <t>Activos corrientes reconocidos en la fecha de la adquisición</t>
  </si>
  <si>
    <t>03002036</t>
  </si>
  <si>
    <t>Pasivos no corrientes reconocidos en la fecha de la adquisición</t>
  </si>
  <si>
    <t>03002037</t>
  </si>
  <si>
    <t>Pasivos corrientes reconocidos en la fecha de la adquisición</t>
  </si>
  <si>
    <t>03002038</t>
  </si>
  <si>
    <t>Cuentas por pagar comerciales y otras cuentas por pagar reconocidas en la fecha de adquisición</t>
  </si>
  <si>
    <t>03002039</t>
  </si>
  <si>
    <t>Activos por impuestos diferidos reconocidos en la fecha de la adquisición</t>
  </si>
  <si>
    <t>03002040</t>
  </si>
  <si>
    <t>Pasivos por impuestos diferidos reconocidos en la fecha de la adquisición</t>
  </si>
  <si>
    <t>03002041</t>
  </si>
  <si>
    <t>Préstamos reconocidos en la fecha de la adquisición</t>
  </si>
  <si>
    <t>03002042</t>
  </si>
  <si>
    <t>Plusvalía que se espera que sea deducible a efectos fiscales</t>
  </si>
  <si>
    <t>03002043</t>
  </si>
  <si>
    <t>Ganancias reconocidas en transacciones de adquisición en condiciones muy ventajosas</t>
  </si>
  <si>
    <t>03002044</t>
  </si>
  <si>
    <t>Descripción de la partida en el estado del resultado integral en la que se reconocen las ganancias por transacciones en condiciones muy ventajosas</t>
  </si>
  <si>
    <t>03002045</t>
  </si>
  <si>
    <t>Descripción de las razones por las que una transacción en condiciones muy ventajosas dio lugar a una ganancia</t>
  </si>
  <si>
    <t>03002046</t>
  </si>
  <si>
    <t>Participaciones no controladoras en la adquirida reconocidas en la fecha de adquisición</t>
  </si>
  <si>
    <t>03002047</t>
  </si>
  <si>
    <t>Descripción de los criterios de medición de participaciones no controladoras en la adquirida reconocidas en la fecha de adquisición</t>
  </si>
  <si>
    <t>03002048</t>
  </si>
  <si>
    <t>Descripción de las técnicas de valoración y datos de entrada significativos utilizados para medir la participación no controladora en adquiridas medida al valor razonable</t>
  </si>
  <si>
    <t>03002049</t>
  </si>
  <si>
    <t>Valor razonable en la fecha de adquisición de las participaciones en el patrimonio de la adquirida mantenidas por la adquirente inmediatamente antes de la fecha de la adquisición</t>
  </si>
  <si>
    <t>03002050</t>
  </si>
  <si>
    <t>Ganancias (pérdidas) reconocidas como resultado de la nueva medición a valor razonable de participaciones en el patrimonio de adquiridas mantenidas por la adquirente antes de la combinación de negocios</t>
  </si>
  <si>
    <t>03002051</t>
  </si>
  <si>
    <t>Descripción de la partida en el estado del resultado integral en la que se reconoce la ganancia o pérdida como resultado de la nueva medición a valor razonable de la participación en el patrimonio</t>
  </si>
  <si>
    <t>03002052</t>
  </si>
  <si>
    <t>Ingresos de actividades ordinarias de entidades adquiridas desde la fecha de adquisición</t>
  </si>
  <si>
    <t>03002053</t>
  </si>
  <si>
    <t>Ganancia (pérdida) por entidades adquiridas desde la fecha de adquisición</t>
  </si>
  <si>
    <t>03002054</t>
  </si>
  <si>
    <t>Ingresos de actividades ordinarias por entidades combinadas como si la combinación hubiera tenido lugar al comienzo del periodo</t>
  </si>
  <si>
    <t>03002055</t>
  </si>
  <si>
    <t>Ganancia (pérdida) de entidades combinadas como si la combinación hubiera tenido lugar al comienzo del periodo</t>
  </si>
  <si>
    <t>03002056</t>
  </si>
  <si>
    <t>Explicación del hecho y del por qué es impracticable revelar información sobre ingresos de actividades ordinarias y sobre el resultado del periodo</t>
  </si>
  <si>
    <t>03002057</t>
  </si>
  <si>
    <t>Descripción de las razones por las que la contabilización inicial de la combinación de negocios está incompleta</t>
  </si>
  <si>
    <t>03002058</t>
  </si>
  <si>
    <t>Descripción de los activos, pasivos, participaciones en el patrimonio o partidas de contraprestación cuya contabilización inicial es incompleta</t>
  </si>
  <si>
    <t>03002059</t>
  </si>
  <si>
    <t>Descripción de la naturaleza de cualesquiera ajustes del periodo de medición reconocidos para activos, pasivos, participaciones no controladoras o partidas de contraprestación particulares</t>
  </si>
  <si>
    <t>03002060</t>
  </si>
  <si>
    <t>Ajustes del periodo de medición reconocidos para activos, pasivos, participaciones no controladoras o partidas de contraprestación particulares</t>
  </si>
  <si>
    <t>03002061</t>
  </si>
  <si>
    <t>Aumento (disminución) en activos (pasivos) de contraprestación contingente</t>
  </si>
  <si>
    <t>03002062</t>
  </si>
  <si>
    <t>Explicación de los cambios en importes reconocidos de contraprestaciones contingentes</t>
  </si>
  <si>
    <t>03002063</t>
  </si>
  <si>
    <t>Explicación de los cambios en el rango de resultados (no descontados) y las razones de esos cambios por contraprestaciones contingentes</t>
  </si>
  <si>
    <t>03002064</t>
  </si>
  <si>
    <t>Descripción de las técnicas de valoración y las variables del modelo claves utilizadas para medir la contraprestación contingente</t>
  </si>
  <si>
    <t>03003002</t>
  </si>
  <si>
    <t>Información a revelar sobre las transacciones reconocidas por separado por la adquisición de activos y asunción de pasivos en combinaciones de negocios [resumen]</t>
  </si>
  <si>
    <t>03003003</t>
  </si>
  <si>
    <t>Información a revelar sobre las transacciones reconocidas por separado por la adquisición de activos y asunción de pasivos en combinaciones de negocios [partidas]</t>
  </si>
  <si>
    <t>03003004</t>
  </si>
  <si>
    <t>Descripción de transacciones reconocidas por separado de la adquisición de activos y asunción de pasivos en combinaciones de negocios</t>
  </si>
  <si>
    <t>03003005</t>
  </si>
  <si>
    <t>Descripción de la contabilización de transacciones reconocidas por separado de la adquisición de activos y asunción de pasivos en combinación de negocios</t>
  </si>
  <si>
    <t>03003006</t>
  </si>
  <si>
    <t>Importes reconocidos para transacciones reconocidas de forma separada de la adquisición de activos y asunción de pasivos en combinaciones de negocios</t>
  </si>
  <si>
    <t>03003007</t>
  </si>
  <si>
    <t>Costos de adquisición relacionados para transacciones reconocidas de forma separada de la adquisición de activos y asunción de pasivos en combinaciones de negocios</t>
  </si>
  <si>
    <t>03003008</t>
  </si>
  <si>
    <t>Costos de adquisición relacionados reconocidos como gasto para transacciones reconocidas de forma separada de la adquisición de activos y asunción de pasivos en combinaciones de negocios</t>
  </si>
  <si>
    <t>03003009</t>
  </si>
  <si>
    <t>Costos de emisión no reconocidos como gasto para transacciones reconocidas de forma separada por la adquisición de activos y asunción de pasivos en combinaciones de negocios</t>
  </si>
  <si>
    <t>03003010</t>
  </si>
  <si>
    <t>Descripción de partidas en los estados financieros de importes reconocidos por transacciones registradas por separado procedentes de la adquisición de activos y asunción de pasivos en combinaciones de negocios</t>
  </si>
  <si>
    <t>03003012</t>
  </si>
  <si>
    <t>Método utilizado para determinar el importe de liquidación de relaciones existentes con anterioridad para transacciones reconocidas por separado por la adquisición de activos y asunción de pasivos en combinaciones de negocios</t>
  </si>
  <si>
    <t>03003013</t>
  </si>
  <si>
    <t>Descripción de la forma en que se reconocieron los costos de emisión no reconocidos como gasto para transacciones registradas de forma separada de la adquisición de activos y asunción de pasivos en combinaciones de negocios</t>
  </si>
  <si>
    <t>03004001</t>
  </si>
  <si>
    <t>Préstamos adquiridos en combinaciones de negocios [miembro]Arrendamientos financieros directos adquiridos en combinaciones de negocios [miembro]</t>
  </si>
  <si>
    <t>03004002</t>
  </si>
  <si>
    <t>Información a revelar sobre cuentas por cobrar adquiridas [resumen]</t>
  </si>
  <si>
    <t>03004003</t>
  </si>
  <si>
    <t>Información a revelar sobre cuentas por cobrar adquiridas [partidas]</t>
  </si>
  <si>
    <t>03004004</t>
  </si>
  <si>
    <t>Valor razonable de las cuentas por cobrar adquiridas</t>
  </si>
  <si>
    <t>03004005</t>
  </si>
  <si>
    <t>Importes contractuales brutos por cobrar por derechos por cobrar adquiridos</t>
  </si>
  <si>
    <t>03004006</t>
  </si>
  <si>
    <t>Mejor estimación en la fecha de adquisición de los flujos de efectivo contractuales que no se espera recaudar por las cuentas por cobrar de la adquirida</t>
  </si>
  <si>
    <t>03005002</t>
  </si>
  <si>
    <t>Información a revelar sobre pasivos contingentes en combinaciones de negocios [resumen]</t>
  </si>
  <si>
    <t>03005003</t>
  </si>
  <si>
    <t>Información a revelar sobre pasivos contingentes en combinaciones de negocios [partidas]</t>
  </si>
  <si>
    <t>03005004</t>
  </si>
  <si>
    <t>Descripción de la naturaleza de la obligación, pasivos contingentes en combinaciones de negocios</t>
  </si>
  <si>
    <t>03005005</t>
  </si>
  <si>
    <t>Descripción del calendario esperado de salidas de efectivo, pasivos contingentes en combinaciones de negocios</t>
  </si>
  <si>
    <t>03005006</t>
  </si>
  <si>
    <t>Indicación de incertidumbres del importe o calendario de salidas de recursos, pasivos contingentes en combinaciones de negocios</t>
  </si>
  <si>
    <t>03005007</t>
  </si>
  <si>
    <t>Descripción de suposiciones importantes realizadas sobre sucesos futuros, pasivos contingentes en combinaciones de negocios</t>
  </si>
  <si>
    <t>03005008</t>
  </si>
  <si>
    <t>Reembolso esperado, pasivos contingentes en combinaciones de negocios</t>
  </si>
  <si>
    <t>03005009</t>
  </si>
  <si>
    <t>Activo reconocido como reembolso esperado, pasivos contingentes en combinaciones de negocios</t>
  </si>
  <si>
    <t>03005010</t>
  </si>
  <si>
    <t>Explicación del efecto financiero estimado, pasivos contingentes en combinaciones de negocios</t>
  </si>
  <si>
    <t>03005011</t>
  </si>
  <si>
    <t>Efecto financiero estimado, pasivos contingentes en combinaciones de negocios</t>
  </si>
  <si>
    <t>03005012</t>
  </si>
  <si>
    <t>Explicación de la posibilidad de reembolso, pasivos contingentes en combinaciones de negocios</t>
  </si>
  <si>
    <t>03005013</t>
  </si>
  <si>
    <t>Descripción de las razones por las que el pasivo no puede medirse con fiabilidad</t>
  </si>
  <si>
    <t>03005014</t>
  </si>
  <si>
    <t>Conciliación de cambios en pasivos contingentes reconocidos en combinaciones de negocios [resumen]</t>
  </si>
  <si>
    <t>03005015</t>
  </si>
  <si>
    <t>Pasivos contingentes reconocidos en combinaciones de negocios al comienzo del periodo</t>
  </si>
  <si>
    <t>03005016</t>
  </si>
  <si>
    <t>Cambios en pasivos contingentes reconocidos en combinaciones de negocios [resumen]</t>
  </si>
  <si>
    <t>03005017</t>
  </si>
  <si>
    <t>Pasivos adicionales, pasivos contingentes reconocidos en combinaciones de negocios [resumen]</t>
  </si>
  <si>
    <t>03005018</t>
  </si>
  <si>
    <t>Pasivos nuevos, pasivos contingentes reconocidos en combinaciones de negocios</t>
  </si>
  <si>
    <t>03005019</t>
  </si>
  <si>
    <t>Incremento (disminución) de pasivos existentes, pasivos contingentes reconocidos en combinaciones de negocios</t>
  </si>
  <si>
    <t>03005020</t>
  </si>
  <si>
    <t>Pasivos adicionales, pasivos contingentes reconocidos en combinaciones de negocios</t>
  </si>
  <si>
    <t>03005021</t>
  </si>
  <si>
    <t>Pasivos liquidados, pasivos contingentes reconocidos en combinaciones de negocios</t>
  </si>
  <si>
    <t>03005022</t>
  </si>
  <si>
    <t>Pasivos no liquidados revertidos, pasivos contingentes reconocidos en combinaciones de negocios</t>
  </si>
  <si>
    <t>03005023</t>
  </si>
  <si>
    <t>Incremento por ajustes que surgen por el paso del tiempo, pasivos contingentes reconocidos en combinaciones de negocios</t>
  </si>
  <si>
    <t>03005024</t>
  </si>
  <si>
    <t>Incremento (disminución) por cambios en la tasa de descuento, pasivos contingentes reconocidos en combinaciones de negocios</t>
  </si>
  <si>
    <t>03005025</t>
  </si>
  <si>
    <t>Incremento (disminución) de pasivos contingentes reconocidos en combinaciones de negocios</t>
  </si>
  <si>
    <t>03005026</t>
  </si>
  <si>
    <t>Pasivos contingentes reconocidos en combinaciones de negocios</t>
  </si>
  <si>
    <t>03006002</t>
  </si>
  <si>
    <t>Información a revelar sobre conciliaciones o cambios en la plusvalía [resumen]</t>
  </si>
  <si>
    <t>03006003</t>
  </si>
  <si>
    <t>Información a revelar sobre conciliaciones o cambios en la plusvalía [partidas]</t>
  </si>
  <si>
    <t>03006004</t>
  </si>
  <si>
    <t>Conciliación de cambios en la plusvalía [sinopsis]</t>
  </si>
  <si>
    <t>03006005</t>
  </si>
  <si>
    <t>Plusvalía al comienzo del periodo</t>
  </si>
  <si>
    <t>03006006</t>
  </si>
  <si>
    <t>Cambios en la plusvalía [sinopsis]</t>
  </si>
  <si>
    <t>03006007</t>
  </si>
  <si>
    <t>Reconocimiento adicional, plusvalía</t>
  </si>
  <si>
    <t>03006008</t>
  </si>
  <si>
    <t>Reconocimiento posterior de activos por impuestos diferidos, plusvalía</t>
  </si>
  <si>
    <t>03006009</t>
  </si>
  <si>
    <t>Disminuciones por clasificar como mantenidos para la venta, plusvalía</t>
  </si>
  <si>
    <t>03006010</t>
  </si>
  <si>
    <t>Plusvalía dada de baja sin haber sido previamente incluida en grupos de activos para su disposición clasificados como mantenidos para la venta</t>
  </si>
  <si>
    <t>03006011</t>
  </si>
  <si>
    <t>Pérdidas por deterioro de valor reconocidas en el resultado del periodo, plusvalía</t>
  </si>
  <si>
    <t>03006012</t>
  </si>
  <si>
    <t>Incremento (disminución) por diferencias de cambio netas, plusvalía</t>
  </si>
  <si>
    <t>03006013</t>
  </si>
  <si>
    <t>Incremento (disminución) por otros cambios, plusvalía</t>
  </si>
  <si>
    <t>03006014</t>
  </si>
  <si>
    <t>Incremento (disminución) en la plusvalía</t>
  </si>
  <si>
    <t>03006015</t>
  </si>
  <si>
    <t>Plusvalía al final del periodo</t>
  </si>
  <si>
    <t>03100000</t>
  </si>
  <si>
    <t>[818000] Notas - Partes relacionadas -</t>
  </si>
  <si>
    <t>03101002</t>
  </si>
  <si>
    <t>03101003</t>
  </si>
  <si>
    <t>03101004</t>
  </si>
  <si>
    <t>03101005</t>
  </si>
  <si>
    <t>El nombre de la controladora intermedia más próxima que elabora estados financieros disponibles públicamente</t>
  </si>
  <si>
    <t>03101006</t>
  </si>
  <si>
    <t>Explicación de la relación entre controladoras y subsidiarias</t>
  </si>
  <si>
    <t>Remuneración al personal clave de la gerencia, beneficios a los empleados a corto plazo</t>
  </si>
  <si>
    <t>03101008</t>
  </si>
  <si>
    <t>Remuneración al personal clave de la gerencia, beneficios post-empleo</t>
  </si>
  <si>
    <t>03101009</t>
  </si>
  <si>
    <t>Compensación del personal clave de la gerencia, otros beneficios a los empleados a largo plazo</t>
  </si>
  <si>
    <t>03101010</t>
  </si>
  <si>
    <t>Remuneración al personal clave de la gerencia, beneficios por terminación</t>
  </si>
  <si>
    <t>03101011</t>
  </si>
  <si>
    <t>Remuneración al personal clave de la gerencia, pagos basados en acciones</t>
  </si>
  <si>
    <t>03101012</t>
  </si>
  <si>
    <t>Remuneración al personal clave de la gerencia</t>
  </si>
  <si>
    <t>03101013</t>
  </si>
  <si>
    <t>Información a revelar sobre transacciones entre partes relacionadas [bloque de texto]</t>
  </si>
  <si>
    <t>03102002</t>
  </si>
  <si>
    <t>Información a revelar sobre transacciones entre partes relacionadas [sinopsis]</t>
  </si>
  <si>
    <t>03102003</t>
  </si>
  <si>
    <t>Información a revelar sobre transacciones entre partes relacionadas [partidas]</t>
  </si>
  <si>
    <t>03102004</t>
  </si>
  <si>
    <t>Descripción de transacciones con partes relacionadas</t>
  </si>
  <si>
    <t>03102005</t>
  </si>
  <si>
    <t>Descripción de la naturaleza de la relación entre partes relacionadas</t>
  </si>
  <si>
    <t>03102006</t>
  </si>
  <si>
    <t>Transacciones con partes relacionadas [resumen]</t>
  </si>
  <si>
    <t>03102007</t>
  </si>
  <si>
    <t>Compras de bienes, transacciones con partes relacionadas</t>
  </si>
  <si>
    <t>03102008</t>
  </si>
  <si>
    <t>Ingresos de actividades ordinarias procedentes de la venta de bienes, transacciones con partes relacionadas</t>
  </si>
  <si>
    <t>03102009</t>
  </si>
  <si>
    <t>Compras de propiedad inmobiliaria y otros activos, transacciones con partes relacionadas</t>
  </si>
  <si>
    <t>Ventas de propiedad inmobiliaria y otros activos, transacciones con partes relacionadas</t>
  </si>
  <si>
    <t>Servicios recibidos, transacciones con partes relacionadas</t>
  </si>
  <si>
    <t>Ingresos de actividades ordinarias procedentes de la prestación de servicios, transacciones con partes relacionadas</t>
  </si>
  <si>
    <t>03102013</t>
  </si>
  <si>
    <t>Arrendamientos como arrendador, transacciones con partes relacionadas</t>
  </si>
  <si>
    <t>Arrendamientos como arrendatario, transacciones con partes relacionadas</t>
  </si>
  <si>
    <t>03102015</t>
  </si>
  <si>
    <t>Transferencia de investigación y desarrollo desde la entidad, transacciones con partes relacionadas</t>
  </si>
  <si>
    <t>03102016</t>
  </si>
  <si>
    <t>Transferencia de investigación y desarrollo a la entidad, transacciones con partes relacionadas</t>
  </si>
  <si>
    <t>03102017</t>
  </si>
  <si>
    <t>Transferencias según acuerdos de licencia desde la entidad, transacciones con partes relacionadas</t>
  </si>
  <si>
    <t>03102018</t>
  </si>
  <si>
    <t>Transferencias según acuerdos de licencia a la entidad, transacciones con partes relacionadas</t>
  </si>
  <si>
    <t>Transferencias según acuerdos financieros desde la entidad, transacciones con partes relacionadas</t>
  </si>
  <si>
    <t>Transferencias según acuerdos financieros a la entidad, transacciones con partes relacionadas</t>
  </si>
  <si>
    <t>03102021</t>
  </si>
  <si>
    <t>Provisión de garantías o garantías colaterales por la entidad, transacciones con partes relacionadas</t>
  </si>
  <si>
    <t>03102022</t>
  </si>
  <si>
    <t>Provisión de garantías o garantías colaterales a la entidad, transacciones con partes relacionadas</t>
  </si>
  <si>
    <t>03102023</t>
  </si>
  <si>
    <t>Compromisos realizados por la entidad, transacciones con partes relacionadas</t>
  </si>
  <si>
    <t>03102024</t>
  </si>
  <si>
    <t>Compromisos realizados en nombre de la entidad, transacciones con partes relacionadas</t>
  </si>
  <si>
    <t>Liquidación de pasivos por la entidad en nombre de una parte relacionada, transacciones con partes relacionadas</t>
  </si>
  <si>
    <t>Liquidación de pasivos en nombre de la entidad por una parte relacionada, transacciones con partes relacionadas</t>
  </si>
  <si>
    <t>03102027</t>
  </si>
  <si>
    <t>Participación en planes de beneficios definidos que comparten riesgos entre las entidades del grupo, transacciones con partes relacionadas</t>
  </si>
  <si>
    <t>03102028</t>
  </si>
  <si>
    <t>Saldos pendientes de transacciones con partes relacionadas [resumen]</t>
  </si>
  <si>
    <t>Cuentas por pagar, transacciones con partes relacionadas</t>
  </si>
  <si>
    <t>Cuentas por cobrar, transacciones con partes relacionadas</t>
  </si>
  <si>
    <t>03102031</t>
  </si>
  <si>
    <t>Compromisos pendientes realizados por la entidad, transacciones con partes relacionadas</t>
  </si>
  <si>
    <t>03102032</t>
  </si>
  <si>
    <t>Compromisos pendientes realizados en nombre de la entidad, transacciones con partes relacionadas</t>
  </si>
  <si>
    <t>03102033</t>
  </si>
  <si>
    <t>Explicación de los términos y condiciones de saldos existentes por transacciones entre partes relacionadas</t>
  </si>
  <si>
    <t>03102034</t>
  </si>
  <si>
    <t>Explicación de los detalles de garantías otorgadas o recibidas de saldos pendientes para transacciones con partes relacionadas</t>
  </si>
  <si>
    <t>03102035</t>
  </si>
  <si>
    <t>Provisiones por deudas de dudoso cobro relativas a saldos pendientes de transacciones con partes relacionadas</t>
  </si>
  <si>
    <t>03102036</t>
  </si>
  <si>
    <t>Gastos reconocidos durante el periodo por deudas de dudoso cobro para transacciones entre partes relacionadas</t>
  </si>
  <si>
    <t>03103003</t>
  </si>
  <si>
    <t>Explicación de si la entidad aplica la exención del NIC24.25</t>
  </si>
  <si>
    <t>03103004</t>
  </si>
  <si>
    <t>Nombre del gobierno y naturaleza de la relación con el gobierno</t>
  </si>
  <si>
    <t>03103005</t>
  </si>
  <si>
    <t>Explicación de la naturaleza e importe de transacciones significativas</t>
  </si>
  <si>
    <t>03103006</t>
  </si>
  <si>
    <t>Descripción de otras transacciones que son conjuntamente significativas</t>
  </si>
  <si>
    <t>03200000</t>
  </si>
  <si>
    <t>[822100] Notas - Propiedades planta y equipo -</t>
  </si>
  <si>
    <t>03201002</t>
  </si>
  <si>
    <t>03201003</t>
  </si>
  <si>
    <t>Información a revelar detallada sobre propiedades, planta y equipo [bloque de texto]</t>
  </si>
  <si>
    <t>03202002</t>
  </si>
  <si>
    <t>Información a revelar detallada sobre propiedades, planta y equipo [resumen]</t>
  </si>
  <si>
    <t>03202003</t>
  </si>
  <si>
    <t>Información a revelar detallada sobre propiedades, planta y equipo [partidas]</t>
  </si>
  <si>
    <t>03202004</t>
  </si>
  <si>
    <t>Bases de medición, propiedades, planta y equipo</t>
  </si>
  <si>
    <t>03202005</t>
  </si>
  <si>
    <t>Método de depreciación, propiedades, planta y equipo</t>
  </si>
  <si>
    <t>03202006</t>
  </si>
  <si>
    <t>Vidas útiles o tasas de depreciación, propiedades, planta y equipo</t>
  </si>
  <si>
    <t>Fechas de vigencia de revaluación, propiedades, planta y equipo</t>
  </si>
  <si>
    <t>03202008</t>
  </si>
  <si>
    <t>Explicación de la implicación del avaluador independiente en la revaluación, propiedades, planta y equipo</t>
  </si>
  <si>
    <t>03202009</t>
  </si>
  <si>
    <t>Explicación de los métodos de revaluación y suposiciones, propiedades, planta y equipo</t>
  </si>
  <si>
    <t>03202010</t>
  </si>
  <si>
    <t>Conciliación de cambios en propiedades, planta y equipo [sinopsis]</t>
  </si>
  <si>
    <t>Propiedades, planta y equipo al comienzo del periodo</t>
  </si>
  <si>
    <t>03202012</t>
  </si>
  <si>
    <t>Cambios en propiedades, planta y equipo [sinopsis]</t>
  </si>
  <si>
    <t>Incrementos distintos de los procedentes de combinaciones de negocios, propiedades, planta y equipo</t>
  </si>
  <si>
    <t>Adquisiciones realizadas mediante combinaciones de negocios, propiedades, planta y equipo</t>
  </si>
  <si>
    <t>03202015</t>
  </si>
  <si>
    <t>Incremento (disminución) por diferencias de cambio netas, propiedades, planta y equipo</t>
  </si>
  <si>
    <t>Depreciación, propiedades, planta y equipo</t>
  </si>
  <si>
    <t>03202017</t>
  </si>
  <si>
    <t>03202018</t>
  </si>
  <si>
    <t>Incrementos (disminuciones) de revaluaciones, propiedades, planta y equipo</t>
  </si>
  <si>
    <t>03202020</t>
  </si>
  <si>
    <t>Pérdidas por deterioro de valor reconocidas en otro resultado integral, propiedades, planta y equipo</t>
  </si>
  <si>
    <t>03202021</t>
  </si>
  <si>
    <t>Reversión de pérdidas por deterioro de valor reconocidas en otro resultado integral, propiedades, planta y equipo</t>
  </si>
  <si>
    <t>03202022</t>
  </si>
  <si>
    <t>Incrementos (disminuciones) por transferencias y otros cambios, propiedades, planta y equipo [resumen]</t>
  </si>
  <si>
    <t>03202023</t>
  </si>
  <si>
    <t>Incrementos (disminuciones) por transferencias, propiedades, planta y equipo</t>
  </si>
  <si>
    <t>03202024</t>
  </si>
  <si>
    <t>Incrementos (disminuciones) por transferencias desde (hacia) propiedades de inversión, propiedades, planta y equipo</t>
  </si>
  <si>
    <t>03202025</t>
  </si>
  <si>
    <t>Incrementos (disminuciones) por transferencias desde construcciones en proceso , propiedades, planta y equipo</t>
  </si>
  <si>
    <t>Incrementos (disminuciones) por otros cambios, propiedades, planta y equipo</t>
  </si>
  <si>
    <t>03202027</t>
  </si>
  <si>
    <t>Incremento (disminución) por transferencias y otros cambios, propiedades, planta y equipo</t>
  </si>
  <si>
    <t>03202028</t>
  </si>
  <si>
    <t>Disposiciones y retiros de servicio, propiedades, planta y equipo [resumen]</t>
  </si>
  <si>
    <t>03202029</t>
  </si>
  <si>
    <t>Disposiciones, propiedades, planta y equipo</t>
  </si>
  <si>
    <t>Retiros, propiedades, planta y equipo</t>
  </si>
  <si>
    <t>03202031</t>
  </si>
  <si>
    <t>Disposiciones y retiros de servicio, propiedades, planta y equipo</t>
  </si>
  <si>
    <t>03202032</t>
  </si>
  <si>
    <t>Disminuciones por clasificar como mantenidos para la venta, propiedades, planta y equipo</t>
  </si>
  <si>
    <t>03202033</t>
  </si>
  <si>
    <t>Disminución por la pérdida de control de una subsidiaria, propiedades, planta y equipo</t>
  </si>
  <si>
    <t>03202034</t>
  </si>
  <si>
    <t>Incremento (disminución) en propiedades, planta y equipo</t>
  </si>
  <si>
    <t>03202035</t>
  </si>
  <si>
    <t>Propiedades, planta y equipo al final del periodo</t>
  </si>
  <si>
    <t>03202036</t>
  </si>
  <si>
    <t>Información adicional [sinopsis]</t>
  </si>
  <si>
    <t>03202037</t>
  </si>
  <si>
    <t>Propiedades, planta y equipo, desembolsos reconocidos en el curso de su construcción</t>
  </si>
  <si>
    <t>03202038</t>
  </si>
  <si>
    <t>Propiedades, planta y equipo, ociosos temporalmente</t>
  </si>
  <si>
    <t>03202039</t>
  </si>
  <si>
    <t>Propiedades, planta y equipo, importe en libros en términos brutos de los activos depreciados en su totalidad todavía en uso</t>
  </si>
  <si>
    <t>03202040</t>
  </si>
  <si>
    <t>Propiedades, planta y equipo, activos retirados del uso activo y no clasificados como mantenidos para la venta</t>
  </si>
  <si>
    <t>03202041</t>
  </si>
  <si>
    <t>Propiedades, planta y equipo, revaluación [sinopsis]</t>
  </si>
  <si>
    <t>Propiedades, planta y equipo, activos revaluados</t>
  </si>
  <si>
    <t>Propiedades, planta y equipo, activos revaluados, al costo</t>
  </si>
  <si>
    <t>Propiedades, planta y equipo, superávit de revaluación</t>
  </si>
  <si>
    <t>03202045</t>
  </si>
  <si>
    <t>Descripción de restricciones sobre la distribución del superávit de revaluación a los accionistas, propiedades, planta y equipo</t>
  </si>
  <si>
    <t>03203002</t>
  </si>
  <si>
    <t>Propiedades, planta y equipo, restricciones en la titularidad</t>
  </si>
  <si>
    <t>03203003</t>
  </si>
  <si>
    <t>Descripción de la existencia de restricciones en la titularidad, propiedades, planta y equipo</t>
  </si>
  <si>
    <t>03203004</t>
  </si>
  <si>
    <t>Propiedades, planta y equipo, pignoradas como garantía</t>
  </si>
  <si>
    <t>03203005</t>
  </si>
  <si>
    <t>Compromisos contractuales para la adquisición de propiedades, planta y equipo</t>
  </si>
  <si>
    <t>03203006</t>
  </si>
  <si>
    <t>Compensación por parte de terceros por partidas de propiedades, planta y equipo que estaban deteriorados de valor, perdidos o abandonados</t>
  </si>
  <si>
    <t>03203007</t>
  </si>
  <si>
    <t>Valor razonable de propiedades, planta y equipo significativamente diferente del importe en libros</t>
  </si>
  <si>
    <t>03300000</t>
  </si>
  <si>
    <t>[822200] Notas - Exploración y evaluación de recursos minerales</t>
  </si>
  <si>
    <t>03301002</t>
  </si>
  <si>
    <t>03301003</t>
  </si>
  <si>
    <t>03301004</t>
  </si>
  <si>
    <t>Activos que surgen de exploración y evaluación de recursos minerales</t>
  </si>
  <si>
    <t>03301005</t>
  </si>
  <si>
    <t>Pasivos que surgen de exploración y evaluación de recursos minerales</t>
  </si>
  <si>
    <t>03301006</t>
  </si>
  <si>
    <t>Ingresos que surgen de la exploración y evaluación de recursos minerales</t>
  </si>
  <si>
    <t>03301007</t>
  </si>
  <si>
    <t>Gastos que surgen de la exploración y evaluación de recursos minerales</t>
  </si>
  <si>
    <t>03301008</t>
  </si>
  <si>
    <t>Flujos de efectivo procedentes de (utilizados en) exploración y evaluación de recursos minerales, clasificados como actividades de operación</t>
  </si>
  <si>
    <t>03301009</t>
  </si>
  <si>
    <t>Flujos de efectivo procedentes de (utilizados en) exploración y evaluación de recursos minerales, clasificados como actividades de inversión</t>
  </si>
  <si>
    <t>03400000</t>
  </si>
  <si>
    <t>[822390-1] Notas - Instrumentos financieros: Información a revelar sobre activos financieros -</t>
  </si>
  <si>
    <t>03401001</t>
  </si>
  <si>
    <t>Información a revelar sobre activos financieros, por clases [sinopsis]</t>
  </si>
  <si>
    <t>03401002</t>
  </si>
  <si>
    <t>Información a revelar sobre activos financieros [partidas]</t>
  </si>
  <si>
    <t>Saldo antes de cuentas correctoras</t>
  </si>
  <si>
    <t>Saldo después de cuentas correctoras</t>
  </si>
  <si>
    <t>03401004_C03401011</t>
  </si>
  <si>
    <t>03401004_C03401011_1</t>
  </si>
  <si>
    <t>03401004_C03401012</t>
  </si>
  <si>
    <t>03401004_C03401012_1</t>
  </si>
  <si>
    <t>03401004_C03401015_1</t>
  </si>
  <si>
    <t>03401005</t>
  </si>
  <si>
    <t>Conciliación de cambios en cuentas correctoras para pérdidas crediticias de activos financieros [resumen]</t>
  </si>
  <si>
    <t>03401006</t>
  </si>
  <si>
    <t>Cambios en cuentas correctoras para pérdidas crediticias de activos financieros [resumen]</t>
  </si>
  <si>
    <t>03401007</t>
  </si>
  <si>
    <t>Correcciones valorativas adicionales reconocidas en el resultado del periodo.</t>
  </si>
  <si>
    <t>03401008</t>
  </si>
  <si>
    <t>Utilización</t>
  </si>
  <si>
    <t>03401009</t>
  </si>
  <si>
    <t>Reversión</t>
  </si>
  <si>
    <t>03401010</t>
  </si>
  <si>
    <t>Incremento</t>
  </si>
  <si>
    <t>03401011</t>
  </si>
  <si>
    <t>Cuentas correctoras para pérdidas crediticias de activos financieros</t>
  </si>
  <si>
    <t>03401012</t>
  </si>
  <si>
    <t>Pérdidas por deterioro de valor, activos financieros</t>
  </si>
  <si>
    <t>03401013</t>
  </si>
  <si>
    <t>Información sobre la calidad del crédito de activos financieros que no están en mora o con deterioro de valor [bloque de texto]</t>
  </si>
  <si>
    <t>03401014</t>
  </si>
  <si>
    <t>Análisis de exposiciones de crédito que utilizan un sistema de graduación crediticia externo [bloque de texto]</t>
  </si>
  <si>
    <t>03401015</t>
  </si>
  <si>
    <t>Descripción de las agencias de calificación crediticia utilizadas</t>
  </si>
  <si>
    <t>03401016</t>
  </si>
  <si>
    <t>Exposiciones de crédito calificadas</t>
  </si>
  <si>
    <t>03401017</t>
  </si>
  <si>
    <t>Exposiciones de crédito no calificadas</t>
  </si>
  <si>
    <t>03401018</t>
  </si>
  <si>
    <t>Descripción de la relación entre calificaciones crediticias internas y externas</t>
  </si>
  <si>
    <t>03401019</t>
  </si>
  <si>
    <t>Análisis de exposiciones de crédito que utilizan un sistema de graduación crediticia interno [bloque de texto]</t>
  </si>
  <si>
    <t>03401020</t>
  </si>
  <si>
    <t>Descripción del proceso interno de calificación crediticia</t>
  </si>
  <si>
    <t>03401021</t>
  </si>
  <si>
    <t>Descripción de la naturaleza de la contraparte</t>
  </si>
  <si>
    <t>03401022</t>
  </si>
  <si>
    <t>Descripción de cualquier otra información utilizada para evaluar la calidad crediticia</t>
  </si>
  <si>
    <t>03402002</t>
  </si>
  <si>
    <t>Información a revelar sobre activos financieros, por categorías [sinopsis]</t>
  </si>
  <si>
    <t>03402003</t>
  </si>
  <si>
    <t>Activos financieros</t>
  </si>
  <si>
    <t>Activos financieros, al valor razonable</t>
  </si>
  <si>
    <t>03402006</t>
  </si>
  <si>
    <t>Importe nocional</t>
  </si>
  <si>
    <t>03402007</t>
  </si>
  <si>
    <t>03402008</t>
  </si>
  <si>
    <t>03402009</t>
  </si>
  <si>
    <t>Correcciones valorativas adicionales reconocidas en el resultado del periodo, cuentas correctoras por pérdidas crediticias de activos financieros</t>
  </si>
  <si>
    <t>03402010</t>
  </si>
  <si>
    <t>Utilización, cuentas correctoras por pérdidas crediticias de activos financieros</t>
  </si>
  <si>
    <t>03402011</t>
  </si>
  <si>
    <t>Reversión, cuentas correctoras por pérdidas crediticias de activos financieros</t>
  </si>
  <si>
    <t>03402012</t>
  </si>
  <si>
    <t>Incrementos (disminuciones) por diferencias de cambio netas, cuentas correctoras por pérdidas crediticias de activos financieros</t>
  </si>
  <si>
    <t>03402013</t>
  </si>
  <si>
    <t>Incrementos (disminuciones) por ajustes que surgen del paso del tiempo, cuentas correctoras por pérdidas crediticias de activos financieros</t>
  </si>
  <si>
    <t>03402014</t>
  </si>
  <si>
    <t>Incrementos (disminuciones) por otros cambios, cuentas correctoras por pérdidas crediticias de activos financieros</t>
  </si>
  <si>
    <t>03402015</t>
  </si>
  <si>
    <t>Incremento (disminución) de la cuenta correctora para pérdidas crediticias de activos financieros</t>
  </si>
  <si>
    <t>03402016</t>
  </si>
  <si>
    <t>03402017</t>
  </si>
  <si>
    <t>03402018</t>
  </si>
  <si>
    <t>03402019</t>
  </si>
  <si>
    <t>03402020</t>
  </si>
  <si>
    <t>03402021</t>
  </si>
  <si>
    <t>03402022</t>
  </si>
  <si>
    <t>03402023</t>
  </si>
  <si>
    <t>03402024</t>
  </si>
  <si>
    <t>03402025</t>
  </si>
  <si>
    <t>03402026</t>
  </si>
  <si>
    <t>03402027</t>
  </si>
  <si>
    <t>03402028</t>
  </si>
  <si>
    <t>Descripción de información histórica acerca de las tasas de incumplimiento de la contraparte</t>
  </si>
  <si>
    <t>03402029</t>
  </si>
  <si>
    <t>03403002</t>
  </si>
  <si>
    <t>Información a revelar de activos financieros [bloque de texto]</t>
  </si>
  <si>
    <t>03500000</t>
  </si>
  <si>
    <t>[822390-2] Notas - Instrumentos financieros: Información a revelar sobre pasivos financieros -</t>
  </si>
  <si>
    <t>03501002</t>
  </si>
  <si>
    <t>Información a revelar sobre pasivos financieros [sinopsis]</t>
  </si>
  <si>
    <t>03501003</t>
  </si>
  <si>
    <t>Información a revelar sobre pasivos financieros [partidas]</t>
  </si>
  <si>
    <t>Pasivos financieros</t>
  </si>
  <si>
    <t>03502002</t>
  </si>
  <si>
    <t>Información a revelar sobre pasivos financieros [bloque de texto]</t>
  </si>
  <si>
    <t>03600000</t>
  </si>
  <si>
    <t>[822390-3] Notas - Instrumentos financieros: Información a revelar sobre activos financieros transferidos que no se dan de baja en cuentas en su totalidad</t>
  </si>
  <si>
    <t>03601002</t>
  </si>
  <si>
    <t>Información a revelar sobre activos financieros transferidos que no se dan de baja en cuentas en su totalidad [bloque de texto]</t>
  </si>
  <si>
    <t>03602002</t>
  </si>
  <si>
    <t>Información a revelar sobre activos financieros transferidos que no se dan de baja en cuentas en su totalidad [resumen]</t>
  </si>
  <si>
    <t>03602003</t>
  </si>
  <si>
    <t>Información a revelar sobre activos financieros transferidos que no se dan de baja en cuentas en su totalidad [partidas]</t>
  </si>
  <si>
    <t>03602004</t>
  </si>
  <si>
    <t>Descripción de la naturaleza de activos financieros transferidos que no se dan de baja en cuentas en su totalidad</t>
  </si>
  <si>
    <t>03602005</t>
  </si>
  <si>
    <t>Descripción de la naturaleza de los riesgos y ventajas inherentes a la propiedad a los que la entidad está expuesta</t>
  </si>
  <si>
    <t>03602006</t>
  </si>
  <si>
    <t>Descripción de la naturaleza de la relación entre los activos financieros transferidos que no se dan de baja en su totalidad y los pasivos asociados</t>
  </si>
  <si>
    <t>03602007</t>
  </si>
  <si>
    <t>Valor razonable de activos financieros transferidos (pasivos financieros asociados) que no se han dado de baja en cuentas en su totalidad [resumen]</t>
  </si>
  <si>
    <t>03602008</t>
  </si>
  <si>
    <t>Valor razonable de activos financieros transferidos que no se han dado de baja en cuentas en su totalidad</t>
  </si>
  <si>
    <t>03602009</t>
  </si>
  <si>
    <t>Valor razonable de los pasivos financieros asociados</t>
  </si>
  <si>
    <t>03602010</t>
  </si>
  <si>
    <t>Valor razonable de activos financieros transferidos (pasivos financieros asociados) que no se han dado de baja en cuentas en su totalidad</t>
  </si>
  <si>
    <t>03602011</t>
  </si>
  <si>
    <t>Activos que la entidad continúa reconociendo</t>
  </si>
  <si>
    <t>03602012</t>
  </si>
  <si>
    <t>Pasivos asociados que la entidad continúa reconociendo</t>
  </si>
  <si>
    <t>03602013</t>
  </si>
  <si>
    <t>Activos originales antes de transferencias</t>
  </si>
  <si>
    <t>03602014</t>
  </si>
  <si>
    <t>Activos que la entidad continúa reconociendo en la medida de su implicación continuada</t>
  </si>
  <si>
    <t>03602015</t>
  </si>
  <si>
    <t>Pasivos asociados que la entidad continúa reconociendo en la medida de su implicación continuada</t>
  </si>
  <si>
    <t>03700000</t>
  </si>
  <si>
    <t>[822390-5] Notas - Instrumentos financieros: Información a revelar sobre activos financieros en mora o deteriorados</t>
  </si>
  <si>
    <t>03701002</t>
  </si>
  <si>
    <t>Información a revelar sobre activos financieros en mora o deteriorados [sinopsis]</t>
  </si>
  <si>
    <t>03701003</t>
  </si>
  <si>
    <t>Información a revelar sobre activos financieros en mora o deteriorados [partidas]</t>
  </si>
  <si>
    <t>03701005</t>
  </si>
  <si>
    <t>Análisis de la edad de los activos financieros que están en mora pero no con el valor deteriorado [bloque de texto]</t>
  </si>
  <si>
    <t>03701006</t>
  </si>
  <si>
    <t>Análisis de activos financieros que se hayan determinado de forma individual como deteriorados de valor [bloque de texto]</t>
  </si>
  <si>
    <t>03701007</t>
  </si>
  <si>
    <t>Descripción de garantías colaterales mantenidas y otras mejoras en la calidad de los créditos, activos financieros que se han determinado individualmente como deteriorados de valor</t>
  </si>
  <si>
    <t>03701008</t>
  </si>
  <si>
    <t>Activos financieros que son determinados individualmente como con su valor deteriorado, valor razonable de garantías colaterales mantenidas y otras mejoras en la calidad del crédito</t>
  </si>
  <si>
    <t>03702002</t>
  </si>
  <si>
    <t>03702003</t>
  </si>
  <si>
    <t>03702004</t>
  </si>
  <si>
    <t>03702005</t>
  </si>
  <si>
    <t>03702006</t>
  </si>
  <si>
    <t>03702007</t>
  </si>
  <si>
    <t>03702008</t>
  </si>
  <si>
    <t>03703002</t>
  </si>
  <si>
    <t>03703003</t>
  </si>
  <si>
    <t>03703004</t>
  </si>
  <si>
    <t>03703005</t>
  </si>
  <si>
    <t>03703006</t>
  </si>
  <si>
    <t>03703007</t>
  </si>
  <si>
    <t>03703008</t>
  </si>
  <si>
    <t>03704002</t>
  </si>
  <si>
    <t>03704003</t>
  </si>
  <si>
    <t>03704004</t>
  </si>
  <si>
    <t>03704005</t>
  </si>
  <si>
    <t>03704006</t>
  </si>
  <si>
    <t>03704007</t>
  </si>
  <si>
    <t>03704008</t>
  </si>
  <si>
    <t>03705002</t>
  </si>
  <si>
    <t>03705003</t>
  </si>
  <si>
    <t>03705004</t>
  </si>
  <si>
    <t>03705005</t>
  </si>
  <si>
    <t>03705006</t>
  </si>
  <si>
    <t>03705007</t>
  </si>
  <si>
    <t>03705008</t>
  </si>
  <si>
    <t>03706002</t>
  </si>
  <si>
    <t>Información a revelar sobre activos financieros en mora o deteriorados [bloque de texto]</t>
  </si>
  <si>
    <t>03801002</t>
  </si>
  <si>
    <t>Información a revelar detallada sobre coberturas [bloque de texto]</t>
  </si>
  <si>
    <t>03802002</t>
  </si>
  <si>
    <t>Información a revelar detallada sobre coberturas [resumen]</t>
  </si>
  <si>
    <t>03802003</t>
  </si>
  <si>
    <t>Información a revelar detallada sobre coberturas [partidas]</t>
  </si>
  <si>
    <t>03802004</t>
  </si>
  <si>
    <t>Descripción del tipo de cobertura</t>
  </si>
  <si>
    <t>03802005</t>
  </si>
  <si>
    <t>Descripción de instrumentos financieros designados como instrumentos de cobertura</t>
  </si>
  <si>
    <t>03802006</t>
  </si>
  <si>
    <t>Instrumentos financieros designados como instrumentos de cobertura, al valor razonable</t>
  </si>
  <si>
    <t>03802007</t>
  </si>
  <si>
    <t>Descripción de la naturaleza de los riesgos que han sido cubiertos</t>
  </si>
  <si>
    <t>03900000</t>
  </si>
  <si>
    <t>[822390-7] Notas - Instrumentos financieros: Información a revelar sobre la naturaleza y alcance de los riesgos que surgen de instrumentos financieros -</t>
  </si>
  <si>
    <t>03901002</t>
  </si>
  <si>
    <t>Información a revelar sobre la naturaleza y alcance de los riesgos que surgen de instrumentos financieros [sinopsis]</t>
  </si>
  <si>
    <t>03901003</t>
  </si>
  <si>
    <t>Información a revelar sobre la naturaleza y alcance de los riesgos que surgen de instrumentos financieros [partidas]</t>
  </si>
  <si>
    <t>03901004</t>
  </si>
  <si>
    <t>Descripción de la exposición al riesgo</t>
  </si>
  <si>
    <t>03901005</t>
  </si>
  <si>
    <t>Descripción de objetivos, políticas y procesos para la gestión del riesgo</t>
  </si>
  <si>
    <t>03901006</t>
  </si>
  <si>
    <t>Métodos utilizados para medir el riesgo</t>
  </si>
  <si>
    <t>03901007</t>
  </si>
  <si>
    <t>Descripción de los cambios en la exposición al riesgo</t>
  </si>
  <si>
    <t>03901008</t>
  </si>
  <si>
    <t>Descripción de los cambios en objetivos, políticas y procesos para gestionar el riesgo</t>
  </si>
  <si>
    <t>03901009</t>
  </si>
  <si>
    <t>Descripción de los cambios en los métodos utilizados para medir el riesgo</t>
  </si>
  <si>
    <t>03901010</t>
  </si>
  <si>
    <t>Resumen de datos cuantitativos sobre exposición al riesgo de la entidad [bloque de texto]</t>
  </si>
  <si>
    <t>03901011</t>
  </si>
  <si>
    <t>Descripción de concentraciones de riesgo</t>
  </si>
  <si>
    <t>03901012</t>
  </si>
  <si>
    <t>Descripción de la forma en que la gerencia determina las concentraciones</t>
  </si>
  <si>
    <t>03901013</t>
  </si>
  <si>
    <t>Descripción de las características comunes para la concentración</t>
  </si>
  <si>
    <t>03901014</t>
  </si>
  <si>
    <t>Exposición al riesgo asociado con instrumentos que comparten características</t>
  </si>
  <si>
    <t>03901015</t>
  </si>
  <si>
    <t>Información adicional sobre exposición de entidad al riesgo</t>
  </si>
  <si>
    <t>03901016</t>
  </si>
  <si>
    <t>Análisis de sensibilidad para tipos de riesgo de mercado [bloque de texto]</t>
  </si>
  <si>
    <t>03902002</t>
  </si>
  <si>
    <t>Información a revelar sobre la naturaleza y alcance de los riesgos que surgen de instrumentos financieros [bloque de texto]</t>
  </si>
  <si>
    <t>04000000</t>
  </si>
  <si>
    <t>[822390-8] Notas - Instrumentos financieros: Información a revelar sobre la implicación continuada en activos financieros dados de baja en cuentas</t>
  </si>
  <si>
    <t>04001002</t>
  </si>
  <si>
    <t>Notas - Instrumentos financieros: Información a revelar sobre la implicación continuada en activos financieros dados de baja en cuentas</t>
  </si>
  <si>
    <t>04002002</t>
  </si>
  <si>
    <t>Información a revelar sobre la implicación continuada en activos financieros dados de baja en cuentas [resumen]</t>
  </si>
  <si>
    <t>04002003</t>
  </si>
  <si>
    <t>Información a revelar sobre si ha retenido o no los riesgos en activos financieros dados de baja en cuentas [partidas]</t>
  </si>
  <si>
    <t>04002004</t>
  </si>
  <si>
    <t>Activos reconocidos que representan riesgos en activos financieros dados de baja en cuentas</t>
  </si>
  <si>
    <t>04002005</t>
  </si>
  <si>
    <t>Pasivos reconocidos que representan riesgos en activos financieros dados de baja en cuentas</t>
  </si>
  <si>
    <t>04002006</t>
  </si>
  <si>
    <t>Descripción de las partidas de activos y pasivos reconocidos que representan riesgos en activos financieros dados de baja en cuentas</t>
  </si>
  <si>
    <t>04002007</t>
  </si>
  <si>
    <t>Valor razonable de activos que representan riesgos en los activos financieros dados de baja en cuentas</t>
  </si>
  <si>
    <t>04002008</t>
  </si>
  <si>
    <t>Valor razonable de pasivos que representan riesgos en activos financieros dados de baja en cuentas</t>
  </si>
  <si>
    <t>04002009</t>
  </si>
  <si>
    <t>Exposición máxima a pérdidas por Riesgos</t>
  </si>
  <si>
    <t>04002010</t>
  </si>
  <si>
    <t>Información sobre la forma en que se determina la exposición máxima a pérdidas por la exposiciòn a Riesgos.</t>
  </si>
  <si>
    <t>04002011</t>
  </si>
  <si>
    <t>Salidas de efectivo sin descuento requeridas para recomprar activos financieros dados de baja en cuentas</t>
  </si>
  <si>
    <t>04002012</t>
  </si>
  <si>
    <t>Otros importes por pagar al receptor de la transferencia con respecto a los activos transferidos</t>
  </si>
  <si>
    <t>04002013</t>
  </si>
  <si>
    <t>Información cualitativa sobre la implicación de los riesgos en activos financieros dados de baja en cuentas</t>
  </si>
  <si>
    <t>04002014</t>
  </si>
  <si>
    <t>Ganancias (pérdidas) de activos financieros dados de baja en cuentas en la fecha de la transferencia</t>
  </si>
  <si>
    <t>04002015</t>
  </si>
  <si>
    <t>Ingresos por implicación de riesgos en activos financieros dados de baja en cuentas reconocidos de forma acumulada</t>
  </si>
  <si>
    <t>04002016</t>
  </si>
  <si>
    <t>Gasto por implicación de riesgos en activos financieros dados de baja en cuentas</t>
  </si>
  <si>
    <t>04002017</t>
  </si>
  <si>
    <t>Gasto por implicación de riesgos en activos financieros dados de baja en cuentas reconocido de forma acumulada</t>
  </si>
  <si>
    <t>04002018</t>
  </si>
  <si>
    <t>Gasto por implicación continuada en activos financieros dados de baja en cuentas reconocido de forma acumulada</t>
  </si>
  <si>
    <t>04002019</t>
  </si>
  <si>
    <t>Explicación de cuándo tiene lugar la actividad de transferencia más importante</t>
  </si>
  <si>
    <t>04002020</t>
  </si>
  <si>
    <t>Ganancias (pérdidas) de actividades de transferencia durante el periodo que representan la actividad de transferencia más importante</t>
  </si>
  <si>
    <t>04002021</t>
  </si>
  <si>
    <t>Recursos por actividades de transferencia durante el periodo que representan la actividad de transferencia más importante</t>
  </si>
  <si>
    <t>04100000</t>
  </si>
  <si>
    <t>[822390-9] Notas - Instrumentos financieros: Información a revelar sobre el análisis de vencimientos de pasivos financieros que no son derivados</t>
  </si>
  <si>
    <t>04101002</t>
  </si>
  <si>
    <t>Información a revelar sobre el análisis de vencimientos de pasivos financieros que no son derivados [bloque de texto]</t>
  </si>
  <si>
    <t>04102002</t>
  </si>
  <si>
    <t>Información a revelar sobre el análisis de vencimientos de pasivos financieros que no son derivados [resumen]</t>
  </si>
  <si>
    <t>04102003</t>
  </si>
  <si>
    <t>Información a revelar sobre el análisis de vencimientos de pasivos financieros que no son derivados [partidas]</t>
  </si>
  <si>
    <t>04102004</t>
  </si>
  <si>
    <t>Pasivos financieros que no son derivados, flujos de efectivo no descontados</t>
  </si>
  <si>
    <t>04102005</t>
  </si>
  <si>
    <t>Obligaciones por arrendamiento financiero en términos brutos</t>
  </si>
  <si>
    <t>04102006</t>
  </si>
  <si>
    <t>Certificados Depósito a Término</t>
  </si>
  <si>
    <t>04102007</t>
  </si>
  <si>
    <t>Bonos y Títulos en Circulación</t>
  </si>
  <si>
    <t>Otros pasivos contractuales relevantes</t>
  </si>
  <si>
    <t>04102009</t>
  </si>
  <si>
    <t>04200000</t>
  </si>
  <si>
    <t>[822390-10] Notas - Instrumentos financieros: Información a revelar sobre el análisis de vencimientos de pasivos financieros derivados</t>
  </si>
  <si>
    <t>04201002</t>
  </si>
  <si>
    <t>Información a revelar sobre el análisis de vencimientos de pasivos financieros derivados [bloque de texto]</t>
  </si>
  <si>
    <t>04202002</t>
  </si>
  <si>
    <t>Información a revelar sobre el análisis de vencimientos de instrumentos financieros derivados [resumen]</t>
  </si>
  <si>
    <t>04202003</t>
  </si>
  <si>
    <t>Información a revelar sobre el análisis de vencimientos de instrumentos financieros derivados [partidas]</t>
  </si>
  <si>
    <t>04202004</t>
  </si>
  <si>
    <t>Instrumentos financieros derivados, flujos de efectivo no descontados</t>
  </si>
  <si>
    <t>04202005</t>
  </si>
  <si>
    <t>Precios especificados en los contratos Forwards para comprar activos financieros en efectivo</t>
  </si>
  <si>
    <t>04202006</t>
  </si>
  <si>
    <t>Precios especificados en los contratos Forwards para vender activos financieros en efectivo</t>
  </si>
  <si>
    <t>04202007</t>
  </si>
  <si>
    <t>Importes netos de los swaps con tasa de interés que paga variable (y recibe fija) por las que se intercambian flujos de efectivo netos</t>
  </si>
  <si>
    <t>04202008</t>
  </si>
  <si>
    <t>Importes contractuales a intercambiar en instrumentos financieros derivados para los que se intercambian los flujos de efectivo en términos brutos</t>
  </si>
  <si>
    <t>04300000</t>
  </si>
  <si>
    <t>[822390-12] Notas - Instrumentos financieros: Información a revelar sobre el análisis de vencimientos de activos financieros mantenidos para gestionar el riesgo de liquidez</t>
  </si>
  <si>
    <t>04301002</t>
  </si>
  <si>
    <t>Información a revelar sobre la forma en que la entidad gestiona el riesgo de liquidez [bloque de texto]</t>
  </si>
  <si>
    <t>04302002</t>
  </si>
  <si>
    <t>Información a revelar sobre el análisis de vencimientos de activos financieros mantenidos para gestionar el riesgo de liquidez [resumen]</t>
  </si>
  <si>
    <t>04302003</t>
  </si>
  <si>
    <t>Información a revelar sobre el análisis de vencimientos de activos financieros mantenidos para gestionar el riesgo de liquidez [partidas]</t>
  </si>
  <si>
    <t>Activos financieros mantenidos para gestionar el riesgo de liquidez</t>
  </si>
  <si>
    <t>04400000</t>
  </si>
  <si>
    <t>[822390-14] Notas - Instrumentos financieros: Información a revelar sobre categorías crediticias internas</t>
  </si>
  <si>
    <t>04400002</t>
  </si>
  <si>
    <t>Información a revelar sobre categorías crediticias internas [bloque de texto]</t>
  </si>
  <si>
    <t>04402002</t>
  </si>
  <si>
    <t>Información a revelar sobre categorías crediticias internas, por graduación [resumen]</t>
  </si>
  <si>
    <t>04402003</t>
  </si>
  <si>
    <t>Información a revelar sobre categorías crediticias internas [partidas]</t>
  </si>
  <si>
    <t>04402004</t>
  </si>
  <si>
    <t>Exposición de crédito</t>
  </si>
  <si>
    <t>04403002</t>
  </si>
  <si>
    <t>Información a revelar sobre categorías crediticias internas, por clase [resumen]</t>
  </si>
  <si>
    <t>04403003</t>
  </si>
  <si>
    <t>04501002</t>
  </si>
  <si>
    <t>Información a revelar sobre compensación de activos financieros [bloque de texto]</t>
  </si>
  <si>
    <t>04502002</t>
  </si>
  <si>
    <t>Información a revelar sobre compensación de activos financieros [resumen]</t>
  </si>
  <si>
    <t>04502003</t>
  </si>
  <si>
    <t>Información a revelar sobre compensación de activos financieros [partidas]</t>
  </si>
  <si>
    <t>04502004</t>
  </si>
  <si>
    <t>Activos financieros netos sujetos a compensación, acuerdos maestros de compensación exigibles o acuerdos similares [resumen]</t>
  </si>
  <si>
    <t>04502005</t>
  </si>
  <si>
    <t>Activos financieros netos sujetos a compensación, acuerdos maestros de compensación exigibles o acuerdos similares en el estado de situación financiera [resumen]</t>
  </si>
  <si>
    <t>04502006</t>
  </si>
  <si>
    <t>Activos financieros brutos sujetos a compensación, acuerdos maestros de compensación exigibles o acuerdos similares</t>
  </si>
  <si>
    <t>04502007</t>
  </si>
  <si>
    <t>Pasivos financieros brutos compensados contra activos financieros sujetos a compensación, acuerdos maestros de compensación exigibles o acuerdos similares</t>
  </si>
  <si>
    <t>04502008</t>
  </si>
  <si>
    <t>Activos financieros netos sujetos a compensación, acuerdos maestros de compensación exigibles o acuerdos similares en el estado de situación financiera</t>
  </si>
  <si>
    <t>04502009</t>
  </si>
  <si>
    <t>Importes sujetos a acuerdos maestros de compensación exigibles o acuerdos similares no compensados contra activos financieros [resumen]</t>
  </si>
  <si>
    <t>04502010</t>
  </si>
  <si>
    <t>Instrumentos financieros sujetos a acuerdos maestros de compensación exigibles o acuerdos similares no compensados contra activos financieros</t>
  </si>
  <si>
    <t>04502011</t>
  </si>
  <si>
    <t>Garantías colaterales de efectivo recibidas sujetas a acuerdos maestros de compensación exigibles o acuerdos similares no compensados contra activos financieros</t>
  </si>
  <si>
    <t>04502012</t>
  </si>
  <si>
    <t>Total importes sujetos a acuerdos maestros de compensación exigibles o acuerdos similares no compensados contra activos financieros</t>
  </si>
  <si>
    <t>04502013</t>
  </si>
  <si>
    <t>Activos financieros netos sujetos a compensación, acuerdos maestros de compensación exigibles o acuerdos similares</t>
  </si>
  <si>
    <t>04601002</t>
  </si>
  <si>
    <t>Información a revelar sobre compensación de pasivos financieros [bloque de texto]</t>
  </si>
  <si>
    <t>04602002</t>
  </si>
  <si>
    <t>Información a revelar sobre compensación de pasivos financieros [resumen]</t>
  </si>
  <si>
    <t>04602003</t>
  </si>
  <si>
    <t>Información a revelar sobre compensación de pasivos financieros [partidas]</t>
  </si>
  <si>
    <t>04602004</t>
  </si>
  <si>
    <t>Pasivos financieros netos sujetos a compensación, acuerdos maestros de compensación exigibles o acuerdos similares [resumen]</t>
  </si>
  <si>
    <t>04602005</t>
  </si>
  <si>
    <t>Pasivos financieros netos sujetos a compensación, acuerdos maestros de compensación exigibles o acuerdos similares en el estado de situación financiera [resumen]</t>
  </si>
  <si>
    <t>04602006</t>
  </si>
  <si>
    <t>Pasivos financieros brutos sujetos a compensación, acuerdos maestros de compensación exigibles o acuerdos similares</t>
  </si>
  <si>
    <t>04602007</t>
  </si>
  <si>
    <t>Activos financieros brutos compensados contra pasivos financieros sujetos a compensación, acuerdos maestros de compensación exigibles o acuerdos similares</t>
  </si>
  <si>
    <t>04602008</t>
  </si>
  <si>
    <t>Pasivos financieros netos sujetos a compensación, acuerdos maestros de compensación exigibles o acuerdos similares en el estado de situación financiera</t>
  </si>
  <si>
    <t>04602009</t>
  </si>
  <si>
    <t>Importes sujetos a acuerdos maestros de compensación exigibles o acuerdos similares no compensados contra pasivos financieros [resumen]</t>
  </si>
  <si>
    <t>04602010</t>
  </si>
  <si>
    <t>Instrumentos financieros sujetos a acuerdos maestros de compensación exigibles o acuerdos similares no compensados contra pasivos financieros</t>
  </si>
  <si>
    <t>04602011</t>
  </si>
  <si>
    <t>Garantías colaterales de efectivo pignoradas sujetas a acuerdos maestros de compensación exigibles o acuerdos similares no compensados contra pasivos financieros</t>
  </si>
  <si>
    <t>04602012</t>
  </si>
  <si>
    <t>Total importes sujetos a acuerdos maestros de compensación exigibles o acuerdos similares no compensados contra pasivos financieros</t>
  </si>
  <si>
    <t>04602013</t>
  </si>
  <si>
    <t>Pasivos financieros netos sujetos a compensación, acuerdos maestros de compensación exigibles o acuerdos similares</t>
  </si>
  <si>
    <t>04700000</t>
  </si>
  <si>
    <t>[822390-17] Notas - Instrumentos financieros: Información a revelar de instrumentos financieros por tipo de tasa de interés</t>
  </si>
  <si>
    <t>04701002</t>
  </si>
  <si>
    <t>Información a revelar de instrumentos financieros por tipo de tasa de interés [bloque de texto]</t>
  </si>
  <si>
    <t>04702002</t>
  </si>
  <si>
    <t>Información a revelar de instrumentos financieros por tipo de tasa de interés [resumen]</t>
  </si>
  <si>
    <t>04702003</t>
  </si>
  <si>
    <t>Información a revelar de instrumentos financieros por tipo de tasa de interés [partidas]</t>
  </si>
  <si>
    <t>04801001</t>
  </si>
  <si>
    <t>Información a revelar sobre reclasificación de inversiones durante el período [resumen]</t>
  </si>
  <si>
    <t>04801002</t>
  </si>
  <si>
    <t>04801003</t>
  </si>
  <si>
    <t>Información a revelar sobre reclasificación de inversiones [partidas]</t>
  </si>
  <si>
    <t>04801004</t>
  </si>
  <si>
    <t>Descripción de las reclasificaciones efectuadas (incluye montos, fechas y clases de títulos involucrados)</t>
  </si>
  <si>
    <t>04801005</t>
  </si>
  <si>
    <t>Justificación detallada de cada una de las reclasificaciones efectuadas</t>
  </si>
  <si>
    <t>04801006</t>
  </si>
  <si>
    <t>Impacto en el estado de resultados y otro resultado integral de cada una de las reclasificaciones</t>
  </si>
  <si>
    <t>04801007</t>
  </si>
  <si>
    <t>Porcentaje de portafolio objeto de cada reclasificación</t>
  </si>
  <si>
    <t>04802001</t>
  </si>
  <si>
    <t>Información a revelar sobre reclasificación de inversiones durante el período</t>
  </si>
  <si>
    <t>04802002</t>
  </si>
  <si>
    <t>04900000</t>
  </si>
  <si>
    <t>[822390-20] Notas - Instrumentos financieros: Políticas Cartera de Crédito y Operaciones de Leasing</t>
  </si>
  <si>
    <t>04901002</t>
  </si>
  <si>
    <t>04901003</t>
  </si>
  <si>
    <t>Descripción de los principales criterios de evaluación para medir el riesgo crediticio según la metodología fijada por los organismos de dirección de la entidad; así mismo deberá informar si como mínimo se siguen los</t>
  </si>
  <si>
    <t>04901004</t>
  </si>
  <si>
    <t>Descripcion de las políticas y criterios definidos por la entidad en materia de garantías</t>
  </si>
  <si>
    <t>05000000</t>
  </si>
  <si>
    <t>[822390-21] Notas - Instrumentos financieros: Cartera de Créditos</t>
  </si>
  <si>
    <t>05001002</t>
  </si>
  <si>
    <t>Información a revelar que describa la composición de la cartera por modalidades de crédito [bloque de texto]</t>
  </si>
  <si>
    <t>05002002</t>
  </si>
  <si>
    <t>Información a revelar que describa la composición de la cartera por modalidades de crédito [resumen]</t>
  </si>
  <si>
    <t>05002003</t>
  </si>
  <si>
    <t>Información a revelar que describa la composición de la cartera por modalidades de crédito [partidas]</t>
  </si>
  <si>
    <t>05002004</t>
  </si>
  <si>
    <t>Capital</t>
  </si>
  <si>
    <t>05002005</t>
  </si>
  <si>
    <t>Intereses</t>
  </si>
  <si>
    <t>05002006</t>
  </si>
  <si>
    <t>Otros conceptos</t>
  </si>
  <si>
    <t>05002007</t>
  </si>
  <si>
    <t>05002008</t>
  </si>
  <si>
    <t>Garantías</t>
  </si>
  <si>
    <t>05003002</t>
  </si>
  <si>
    <t>Información a revelar que describa la composición de las operaciones de leasing financiero por calificación [bloque de texto]</t>
  </si>
  <si>
    <t>05004002</t>
  </si>
  <si>
    <t>Información a revelar que describa la composición de la cartera por calificación y otra información explicativa [resumen]</t>
  </si>
  <si>
    <t>05004003</t>
  </si>
  <si>
    <t>Información a revelar que describa la composición de la cartera por calificación y otra información explicativa [partidas]</t>
  </si>
  <si>
    <t>05004004</t>
  </si>
  <si>
    <t>Categoría A - Riesgo Normal</t>
  </si>
  <si>
    <t>05004005</t>
  </si>
  <si>
    <t>05004006</t>
  </si>
  <si>
    <t>05004007</t>
  </si>
  <si>
    <t>Otros Conceptos</t>
  </si>
  <si>
    <t>05004008</t>
  </si>
  <si>
    <t>Provisión capital</t>
  </si>
  <si>
    <t>05004009</t>
  </si>
  <si>
    <t>Provisión intereses</t>
  </si>
  <si>
    <t>05004010</t>
  </si>
  <si>
    <t>Provisión Otros conceptos</t>
  </si>
  <si>
    <t>05004011</t>
  </si>
  <si>
    <t>Categoría B - Riesgo Aceptable</t>
  </si>
  <si>
    <t>05004012</t>
  </si>
  <si>
    <t>05004013</t>
  </si>
  <si>
    <t>05004014</t>
  </si>
  <si>
    <t>05004015</t>
  </si>
  <si>
    <t>05004016</t>
  </si>
  <si>
    <t>05004017</t>
  </si>
  <si>
    <t>05004018</t>
  </si>
  <si>
    <t>Categoría C - Riesgo Apreciable</t>
  </si>
  <si>
    <t>05004019</t>
  </si>
  <si>
    <t>05004020</t>
  </si>
  <si>
    <t>05004021</t>
  </si>
  <si>
    <t>05004022</t>
  </si>
  <si>
    <t>05004023</t>
  </si>
  <si>
    <t>05004024</t>
  </si>
  <si>
    <t>05004025</t>
  </si>
  <si>
    <t>Categoría D - Riesgo Significativo</t>
  </si>
  <si>
    <t>05004026</t>
  </si>
  <si>
    <t>05004027</t>
  </si>
  <si>
    <t>05004028</t>
  </si>
  <si>
    <t>05004029</t>
  </si>
  <si>
    <t>05004030</t>
  </si>
  <si>
    <t>05004031</t>
  </si>
  <si>
    <t>05004032</t>
  </si>
  <si>
    <t>Categoría E - Riesgo de Incobrabilidad</t>
  </si>
  <si>
    <t>05004033</t>
  </si>
  <si>
    <t>05004034</t>
  </si>
  <si>
    <t>05004035</t>
  </si>
  <si>
    <t>05004036</t>
  </si>
  <si>
    <t>05004037</t>
  </si>
  <si>
    <t>05004038</t>
  </si>
  <si>
    <t>05005002</t>
  </si>
  <si>
    <t>Información a revelar que describa la composición de la cartera por sector económico y otra información explicativa [bloque de texto]</t>
  </si>
  <si>
    <t>05006002</t>
  </si>
  <si>
    <t>Información a revelar que describa la composición de la cartera por sector económico y otra información explicativa [resumen]</t>
  </si>
  <si>
    <t>05006003</t>
  </si>
  <si>
    <t>Información a revelar que describa la composición de la cartera por sector económico y otra información explicativa [partidas]</t>
  </si>
  <si>
    <t>05006004</t>
  </si>
  <si>
    <t>Consumo - Garantía Idónea</t>
  </si>
  <si>
    <t>05006005</t>
  </si>
  <si>
    <t>05006006</t>
  </si>
  <si>
    <t>05006007</t>
  </si>
  <si>
    <t>05006008</t>
  </si>
  <si>
    <t>05006009</t>
  </si>
  <si>
    <t>05006010</t>
  </si>
  <si>
    <t>05006011</t>
  </si>
  <si>
    <t>Consumo - Otras garantías</t>
  </si>
  <si>
    <t>05006012</t>
  </si>
  <si>
    <t>05006013</t>
  </si>
  <si>
    <t>05006014</t>
  </si>
  <si>
    <t>05006015</t>
  </si>
  <si>
    <t>05006016</t>
  </si>
  <si>
    <t>05006017</t>
  </si>
  <si>
    <t>05006018</t>
  </si>
  <si>
    <t>Comercial - Garantía idónea</t>
  </si>
  <si>
    <t>05006019</t>
  </si>
  <si>
    <t>05006020</t>
  </si>
  <si>
    <t>05006021</t>
  </si>
  <si>
    <t>05006022</t>
  </si>
  <si>
    <t>05006023</t>
  </si>
  <si>
    <t>05006024</t>
  </si>
  <si>
    <t>05006025</t>
  </si>
  <si>
    <t>Comercial - Otras garantías</t>
  </si>
  <si>
    <t>05006026</t>
  </si>
  <si>
    <t>05006027</t>
  </si>
  <si>
    <t>05006028</t>
  </si>
  <si>
    <t>05006029</t>
  </si>
  <si>
    <t>05006030</t>
  </si>
  <si>
    <t>05006031</t>
  </si>
  <si>
    <t>05006032</t>
  </si>
  <si>
    <t>Microcrédito - Garantía idónea</t>
  </si>
  <si>
    <t>05006033</t>
  </si>
  <si>
    <t>05006034</t>
  </si>
  <si>
    <t>05006035</t>
  </si>
  <si>
    <t>05006036</t>
  </si>
  <si>
    <t>05006037</t>
  </si>
  <si>
    <t>05006038</t>
  </si>
  <si>
    <t>05006039</t>
  </si>
  <si>
    <t>Microcrédito - Otras garantías</t>
  </si>
  <si>
    <t>05006040</t>
  </si>
  <si>
    <t>05006041</t>
  </si>
  <si>
    <t>05006042</t>
  </si>
  <si>
    <t>05006043</t>
  </si>
  <si>
    <t>05006044</t>
  </si>
  <si>
    <t>05006045</t>
  </si>
  <si>
    <t>05006046</t>
  </si>
  <si>
    <t>Leasing Habitacional - Garantía idónea</t>
  </si>
  <si>
    <t>05006047</t>
  </si>
  <si>
    <t>05006048</t>
  </si>
  <si>
    <t>05006049</t>
  </si>
  <si>
    <t>05006050</t>
  </si>
  <si>
    <t>05006051</t>
  </si>
  <si>
    <t>05006052</t>
  </si>
  <si>
    <t>05007002</t>
  </si>
  <si>
    <t>Información explicativa de la composición de la cartera por zona geográfica, y revelacion de la clasificación interna de la entidad</t>
  </si>
  <si>
    <t>05008002</t>
  </si>
  <si>
    <t>Información explicativa de la composición de la cartera por zona geográfica, y revelacion de la clasificación interna de la entidad [resumen]</t>
  </si>
  <si>
    <t>05008003</t>
  </si>
  <si>
    <t>Información explicativa de la composición de la cartera por zona geográfica, y revelacion de la clasificación interna de la entidad [partidas]</t>
  </si>
  <si>
    <t>05008004</t>
  </si>
  <si>
    <t>05008005</t>
  </si>
  <si>
    <t>05008006</t>
  </si>
  <si>
    <t>05008007</t>
  </si>
  <si>
    <t>05008008</t>
  </si>
  <si>
    <t>05008009</t>
  </si>
  <si>
    <t>05008010</t>
  </si>
  <si>
    <t>05008011</t>
  </si>
  <si>
    <t>05008012</t>
  </si>
  <si>
    <t>05008013</t>
  </si>
  <si>
    <t>05008014</t>
  </si>
  <si>
    <t>05008015</t>
  </si>
  <si>
    <t>05008016</t>
  </si>
  <si>
    <t>05008017</t>
  </si>
  <si>
    <t>05008018</t>
  </si>
  <si>
    <t>05008019</t>
  </si>
  <si>
    <t>05008020</t>
  </si>
  <si>
    <t>05008021</t>
  </si>
  <si>
    <t>05008022</t>
  </si>
  <si>
    <t>05008023</t>
  </si>
  <si>
    <t>05008024</t>
  </si>
  <si>
    <t>05008025</t>
  </si>
  <si>
    <t>05008026</t>
  </si>
  <si>
    <t>05008027</t>
  </si>
  <si>
    <t>05008028</t>
  </si>
  <si>
    <t>05008029</t>
  </si>
  <si>
    <t>05008030</t>
  </si>
  <si>
    <t>05008031</t>
  </si>
  <si>
    <t>05008032</t>
  </si>
  <si>
    <t>05008033</t>
  </si>
  <si>
    <t>05008034</t>
  </si>
  <si>
    <t>05008035</t>
  </si>
  <si>
    <t>05008036</t>
  </si>
  <si>
    <t>05008037</t>
  </si>
  <si>
    <t>05008038</t>
  </si>
  <si>
    <t>05008039</t>
  </si>
  <si>
    <t>05008040</t>
  </si>
  <si>
    <t>05008041</t>
  </si>
  <si>
    <t>05008042</t>
  </si>
  <si>
    <t>05008043</t>
  </si>
  <si>
    <t>05008044</t>
  </si>
  <si>
    <t>05008045</t>
  </si>
  <si>
    <t>05008046</t>
  </si>
  <si>
    <t>Vivienda - Garantía idónea</t>
  </si>
  <si>
    <t>05008047</t>
  </si>
  <si>
    <t>05008048</t>
  </si>
  <si>
    <t>05008049</t>
  </si>
  <si>
    <t>05008050</t>
  </si>
  <si>
    <t>05008051</t>
  </si>
  <si>
    <t>05008052</t>
  </si>
  <si>
    <t>05009002</t>
  </si>
  <si>
    <t>Información a revelar que describa la cartera por unidades monetarias [bloque de texto]</t>
  </si>
  <si>
    <t>05010002</t>
  </si>
  <si>
    <t>Información a revelar que describa la cartera por unidades monetarias [resumen]</t>
  </si>
  <si>
    <t>05010003</t>
  </si>
  <si>
    <t>Información a revelar que describa la cartera por unidades monetarias [partidas]</t>
  </si>
  <si>
    <t>05010004</t>
  </si>
  <si>
    <t>Saldos</t>
  </si>
  <si>
    <t>05010005</t>
  </si>
  <si>
    <t>Moneda Legal</t>
  </si>
  <si>
    <t>05010006</t>
  </si>
  <si>
    <t>Moneda Extranjera</t>
  </si>
  <si>
    <t>05010007</t>
  </si>
  <si>
    <t>UVR</t>
  </si>
  <si>
    <t>05011002</t>
  </si>
  <si>
    <t>Información a revelar que describa la composición de la cartera por tipo de reestructuración [bloque de texto]</t>
  </si>
  <si>
    <t>05012002</t>
  </si>
  <si>
    <t>Información a revelar que describa la composición de la cartera por tipo de reestructuración [resumen]</t>
  </si>
  <si>
    <t>05012003</t>
  </si>
  <si>
    <t>Información a revelar que describa la composición de la cartera por tipo de reestructuración [partidas]</t>
  </si>
  <si>
    <t>05012004</t>
  </si>
  <si>
    <t>05012005</t>
  </si>
  <si>
    <t>05012006</t>
  </si>
  <si>
    <t>05012007</t>
  </si>
  <si>
    <t>05012008</t>
  </si>
  <si>
    <t>05012009</t>
  </si>
  <si>
    <t>05012010</t>
  </si>
  <si>
    <t>05013002</t>
  </si>
  <si>
    <t>Información a revelar que describa la composición de la cartera reestructurada por calificación y otra información explicativa [bloque de texto]</t>
  </si>
  <si>
    <t>05014002</t>
  </si>
  <si>
    <t>Información a revelar que describa la composición de la cartera reestructurada por calificación y otra información explicativa [resumen]</t>
  </si>
  <si>
    <t>05014003</t>
  </si>
  <si>
    <t>Información a revelar que describa la composición de la cartera reestructurada por calificación y otra información explicativa [partidas]</t>
  </si>
  <si>
    <t>05014004</t>
  </si>
  <si>
    <t>05014005</t>
  </si>
  <si>
    <t>No. Créditos</t>
  </si>
  <si>
    <t>05014006</t>
  </si>
  <si>
    <t>05014007</t>
  </si>
  <si>
    <t>05014008</t>
  </si>
  <si>
    <t>05014009</t>
  </si>
  <si>
    <t>05014010</t>
  </si>
  <si>
    <t>05014011</t>
  </si>
  <si>
    <t>05014012</t>
  </si>
  <si>
    <t>05014013</t>
  </si>
  <si>
    <t>05014014</t>
  </si>
  <si>
    <t>05014015</t>
  </si>
  <si>
    <t>05014016</t>
  </si>
  <si>
    <t>05014017</t>
  </si>
  <si>
    <t>05014018</t>
  </si>
  <si>
    <t>05014019</t>
  </si>
  <si>
    <t>05014020</t>
  </si>
  <si>
    <t>05014021</t>
  </si>
  <si>
    <t>05014022</t>
  </si>
  <si>
    <t>05014023</t>
  </si>
  <si>
    <t>05014024</t>
  </si>
  <si>
    <t>05014025</t>
  </si>
  <si>
    <t>05014026</t>
  </si>
  <si>
    <t>05014027</t>
  </si>
  <si>
    <t>05014028</t>
  </si>
  <si>
    <t>05014029</t>
  </si>
  <si>
    <t>05014030</t>
  </si>
  <si>
    <t>05014031</t>
  </si>
  <si>
    <t>05014032</t>
  </si>
  <si>
    <t>05014033</t>
  </si>
  <si>
    <t>05014034</t>
  </si>
  <si>
    <t>05014035</t>
  </si>
  <si>
    <t>05014036</t>
  </si>
  <si>
    <t>05014037</t>
  </si>
  <si>
    <t>05014038</t>
  </si>
  <si>
    <t>05014039</t>
  </si>
  <si>
    <t>05014040</t>
  </si>
  <si>
    <t>05014041</t>
  </si>
  <si>
    <t>05014042</t>
  </si>
  <si>
    <t>05014043</t>
  </si>
  <si>
    <t>05015002</t>
  </si>
  <si>
    <t>Información a revelar que describa la composición de la cartera reestructurada por sector económico y otra información explicativa [bloque de texto]</t>
  </si>
  <si>
    <t>05016002</t>
  </si>
  <si>
    <t>Información a revelar que describa la composición de la cartera reestructurada por sector económico y otra información explicativa [resumen]</t>
  </si>
  <si>
    <t>05016003</t>
  </si>
  <si>
    <t>Información a revelar que describa la composición de la cartera reestructurada por sector económico y otra información explicativa [partidas]</t>
  </si>
  <si>
    <t>05016004</t>
  </si>
  <si>
    <t>Cartera de consumo - Garantía Idónea</t>
  </si>
  <si>
    <t>05016005</t>
  </si>
  <si>
    <t>05016006</t>
  </si>
  <si>
    <t>05016007</t>
  </si>
  <si>
    <t>05016008</t>
  </si>
  <si>
    <t>05016009</t>
  </si>
  <si>
    <t>05016010</t>
  </si>
  <si>
    <t>05016011</t>
  </si>
  <si>
    <t>Cartera de consumo - Otras garantías</t>
  </si>
  <si>
    <t>05016012</t>
  </si>
  <si>
    <t>05016013</t>
  </si>
  <si>
    <t>05016014</t>
  </si>
  <si>
    <t>05016015</t>
  </si>
  <si>
    <t>05016016</t>
  </si>
  <si>
    <t>05016017</t>
  </si>
  <si>
    <t>05016018</t>
  </si>
  <si>
    <t>Cartera comercial - Garantía idónea</t>
  </si>
  <si>
    <t>05016019</t>
  </si>
  <si>
    <t>05016020</t>
  </si>
  <si>
    <t>05016021</t>
  </si>
  <si>
    <t>05016022</t>
  </si>
  <si>
    <t>05016023</t>
  </si>
  <si>
    <t>05016024</t>
  </si>
  <si>
    <t>05016025</t>
  </si>
  <si>
    <t>Cartera comercial - Otras garantías</t>
  </si>
  <si>
    <t>05016026</t>
  </si>
  <si>
    <t>05016027</t>
  </si>
  <si>
    <t>05016028</t>
  </si>
  <si>
    <t>05016029</t>
  </si>
  <si>
    <t>05016030</t>
  </si>
  <si>
    <t>05016031</t>
  </si>
  <si>
    <t>05016032</t>
  </si>
  <si>
    <t>Cartera de microcrédito - Garantía idónea</t>
  </si>
  <si>
    <t>05016033</t>
  </si>
  <si>
    <t>05016034</t>
  </si>
  <si>
    <t>05016035</t>
  </si>
  <si>
    <t>05016036</t>
  </si>
  <si>
    <t>05016037</t>
  </si>
  <si>
    <t>05016038</t>
  </si>
  <si>
    <t>05016039</t>
  </si>
  <si>
    <t>Cartera de microcrédito - Otras garantías</t>
  </si>
  <si>
    <t>05016040</t>
  </si>
  <si>
    <t>05016041</t>
  </si>
  <si>
    <t>05016042</t>
  </si>
  <si>
    <t>05016043</t>
  </si>
  <si>
    <t>05016044</t>
  </si>
  <si>
    <t>05016045</t>
  </si>
  <si>
    <t>05017002</t>
  </si>
  <si>
    <t>Información explicativa de la composición de la cartera reestructurada por zona geográfica [bloque de texto]</t>
  </si>
  <si>
    <t>05018002</t>
  </si>
  <si>
    <t>Información explicativa de la composición de la cartera reestructurada por zona geográfica [resumen]</t>
  </si>
  <si>
    <t>05018003</t>
  </si>
  <si>
    <t>Información explicativa de la composición de la cartera reestructurada por zona geográfica [partidas]</t>
  </si>
  <si>
    <t>05018004</t>
  </si>
  <si>
    <t>05018005</t>
  </si>
  <si>
    <t>05018006</t>
  </si>
  <si>
    <t>05018007</t>
  </si>
  <si>
    <t>05018008</t>
  </si>
  <si>
    <t>05018009</t>
  </si>
  <si>
    <t>05018010</t>
  </si>
  <si>
    <t>05018011</t>
  </si>
  <si>
    <t>05018012</t>
  </si>
  <si>
    <t>05018013</t>
  </si>
  <si>
    <t>05018014</t>
  </si>
  <si>
    <t>05018015</t>
  </si>
  <si>
    <t>05018016</t>
  </si>
  <si>
    <t>05018017</t>
  </si>
  <si>
    <t>05018018</t>
  </si>
  <si>
    <t>05018019</t>
  </si>
  <si>
    <t>05018020</t>
  </si>
  <si>
    <t>05018021</t>
  </si>
  <si>
    <t>05018022</t>
  </si>
  <si>
    <t>05018023</t>
  </si>
  <si>
    <t>05018024</t>
  </si>
  <si>
    <t>05018025</t>
  </si>
  <si>
    <t>05018026</t>
  </si>
  <si>
    <t>05018027</t>
  </si>
  <si>
    <t>05018028</t>
  </si>
  <si>
    <t>05018029</t>
  </si>
  <si>
    <t>05018030</t>
  </si>
  <si>
    <t>05018031</t>
  </si>
  <si>
    <t>05018032</t>
  </si>
  <si>
    <t>05018033</t>
  </si>
  <si>
    <t>05018034</t>
  </si>
  <si>
    <t>05018035</t>
  </si>
  <si>
    <t>05018036</t>
  </si>
  <si>
    <t>05018037</t>
  </si>
  <si>
    <t>05018038</t>
  </si>
  <si>
    <t>05018039</t>
  </si>
  <si>
    <t>05018040</t>
  </si>
  <si>
    <t>05018041</t>
  </si>
  <si>
    <t>05018042</t>
  </si>
  <si>
    <t>05018043</t>
  </si>
  <si>
    <t>05018044</t>
  </si>
  <si>
    <t>05018045</t>
  </si>
  <si>
    <t>05019002</t>
  </si>
  <si>
    <t>Información a revelar de los castigos de cartera de crédtio efectuadas durante el período por modalidad de crédito y otra información explicativa [bloque de texto]</t>
  </si>
  <si>
    <t>05020002</t>
  </si>
  <si>
    <t>Información a revelar de los castigos de cartera de crédtio efectuadas durante el período por modalidad de crédito y otra información explicativa [resumen]</t>
  </si>
  <si>
    <t>05020003</t>
  </si>
  <si>
    <t>Información a revelar de los castigos de cartera de crédtio efectuadas durante el período por modalidad de crédito y otra información explicativa [partidas]</t>
  </si>
  <si>
    <t>05020004</t>
  </si>
  <si>
    <t>05020005</t>
  </si>
  <si>
    <t>05020006</t>
  </si>
  <si>
    <t>05020007</t>
  </si>
  <si>
    <t>05020008</t>
  </si>
  <si>
    <t>05021002</t>
  </si>
  <si>
    <t>Información a revelar de la cartera de crédito por maduración [bloque de texto]</t>
  </si>
  <si>
    <t>05022002</t>
  </si>
  <si>
    <t>Información a revelar de la cartera de crédito por maduración [resumen]</t>
  </si>
  <si>
    <t>05022003</t>
  </si>
  <si>
    <t>Información a revelar de la cartera de crédito por maduración [partidas]</t>
  </si>
  <si>
    <t>05022004</t>
  </si>
  <si>
    <t>0 a 1 año</t>
  </si>
  <si>
    <t>05022005</t>
  </si>
  <si>
    <t>1 a 5 años</t>
  </si>
  <si>
    <t>05022006</t>
  </si>
  <si>
    <t>5 a 10 años</t>
  </si>
  <si>
    <t>05022007</t>
  </si>
  <si>
    <t>Más de 10 años</t>
  </si>
  <si>
    <t>05023002</t>
  </si>
  <si>
    <t>Información a revelar del movimiento de la cartera de créditos durante el ejercicio [bloque de texto]</t>
  </si>
  <si>
    <t>05024002</t>
  </si>
  <si>
    <t>Información a revelar del movimiento de la cartera de créditos durante el ejercicio [resumen]</t>
  </si>
  <si>
    <t>05024003</t>
  </si>
  <si>
    <t>Información a revelar del movimiento de la cartera de créditos durante el ejercicio[partidas]</t>
  </si>
  <si>
    <t>05024004</t>
  </si>
  <si>
    <t>Consumo</t>
  </si>
  <si>
    <t>05024005</t>
  </si>
  <si>
    <t>Comercial</t>
  </si>
  <si>
    <t>05024006</t>
  </si>
  <si>
    <t>Leasing Habitacional</t>
  </si>
  <si>
    <t>05024007</t>
  </si>
  <si>
    <t>Microcrédito</t>
  </si>
  <si>
    <t>05025002</t>
  </si>
  <si>
    <t>Información explicativa de las ventas y/o compras de cartera de crédito efectuadas durante el periodo indicando entre otros, los montos y condiciones de la (s) operación (es)</t>
  </si>
  <si>
    <t>05026002</t>
  </si>
  <si>
    <t>05026003</t>
  </si>
  <si>
    <t>05026004</t>
  </si>
  <si>
    <t>05026005</t>
  </si>
  <si>
    <t>Ventas</t>
  </si>
  <si>
    <t>05027002</t>
  </si>
  <si>
    <t>Información explicativa sobre la naturaleza y cuantía por reintegro de provisiones de la cartera de crédito indicando las circunstancias específicas que permitieron registrar el correspondiente ingreso [bloque de texto]</t>
  </si>
  <si>
    <t>05028002</t>
  </si>
  <si>
    <t>Información explicativa sobre la naturaleza y cuantía por reintegro de provisiones de la cartera de crédito indicando las circunstancias específicas que permitieron registrar el correspondiente ingreso [resumen]</t>
  </si>
  <si>
    <t>05028003</t>
  </si>
  <si>
    <t>Información explicativa sobre la naturaleza y cuantía por reintegro de provisiones de la cartera de crédito indicando las circunstancias específicas que permitieron registrar el correspondiente ingreso [partidas]</t>
  </si>
  <si>
    <t>05028004</t>
  </si>
  <si>
    <t>Recuperación cartera castigada</t>
  </si>
  <si>
    <t>05028005</t>
  </si>
  <si>
    <t>Reintegro de provisiones</t>
  </si>
  <si>
    <t>05029002</t>
  </si>
  <si>
    <t>Información a revelar sobre titularzación de cartera de crédito: Condiciones básicas de cada operación, identificando por lo menos: originador, objeto, activo titularizado, monto d</t>
  </si>
  <si>
    <t>05100000</t>
  </si>
  <si>
    <t>[822390-22] Notas - Instrumentos financieros: Operaciones de Leasing Financiero</t>
  </si>
  <si>
    <t>05101002</t>
  </si>
  <si>
    <t>Información a revelar que describa la composición de las operaciones de leasing por modalidades de crédito [resumen]</t>
  </si>
  <si>
    <t>05102002</t>
  </si>
  <si>
    <t>05102003</t>
  </si>
  <si>
    <t>Información a revelar que describa la composición de las operaciones de leasing por modalidades de crédito [partidas]</t>
  </si>
  <si>
    <t>05102004</t>
  </si>
  <si>
    <t>05102005</t>
  </si>
  <si>
    <t>05102006</t>
  </si>
  <si>
    <t>05102007</t>
  </si>
  <si>
    <t>05102008</t>
  </si>
  <si>
    <t>05103002</t>
  </si>
  <si>
    <t>05104002</t>
  </si>
  <si>
    <t>Información a revelar que describa la composición de las operaciones de leasing financiero por calificación [resumen]</t>
  </si>
  <si>
    <t>05104003</t>
  </si>
  <si>
    <t>Información a revelar que describa la composición de las operaciones de leasing financiero por calificación [partidas]</t>
  </si>
  <si>
    <t>05104004</t>
  </si>
  <si>
    <t>05104005</t>
  </si>
  <si>
    <t>05104006</t>
  </si>
  <si>
    <t>05104007</t>
  </si>
  <si>
    <t>05104008</t>
  </si>
  <si>
    <t>05104009</t>
  </si>
  <si>
    <t>05104010</t>
  </si>
  <si>
    <t>05104011</t>
  </si>
  <si>
    <t>05104012</t>
  </si>
  <si>
    <t>05104013</t>
  </si>
  <si>
    <t>05104014</t>
  </si>
  <si>
    <t>05104015</t>
  </si>
  <si>
    <t>05104016</t>
  </si>
  <si>
    <t>05104017</t>
  </si>
  <si>
    <t>05104018</t>
  </si>
  <si>
    <t>05104019</t>
  </si>
  <si>
    <t>05104020</t>
  </si>
  <si>
    <t>05104021</t>
  </si>
  <si>
    <t>05104022</t>
  </si>
  <si>
    <t>05104023</t>
  </si>
  <si>
    <t>05104024</t>
  </si>
  <si>
    <t>05104025</t>
  </si>
  <si>
    <t>05104026</t>
  </si>
  <si>
    <t>05104027</t>
  </si>
  <si>
    <t>05104028</t>
  </si>
  <si>
    <t>05104029</t>
  </si>
  <si>
    <t>05104030</t>
  </si>
  <si>
    <t>05104031</t>
  </si>
  <si>
    <t>05104032</t>
  </si>
  <si>
    <t>05104033</t>
  </si>
  <si>
    <t>05104034</t>
  </si>
  <si>
    <t>05104035</t>
  </si>
  <si>
    <t>05104036</t>
  </si>
  <si>
    <t>05104037</t>
  </si>
  <si>
    <t>05104038</t>
  </si>
  <si>
    <t>05105002</t>
  </si>
  <si>
    <t>Información a revelar que describa la composición de las operaciones de leasing financiero por sector económico y otra información explicativa [bloque de texto]</t>
  </si>
  <si>
    <t>05106002</t>
  </si>
  <si>
    <t>Información a revelar que describa la composición de las operaciones de leasing financiero por sector económico y otra información explicativa [resumen]</t>
  </si>
  <si>
    <t>05106003</t>
  </si>
  <si>
    <t>Información a revelar que describa la composición de las operaciones de leasing financiero por sector económico y otra información explicativa [partidas]</t>
  </si>
  <si>
    <t>05106004</t>
  </si>
  <si>
    <t>05106005</t>
  </si>
  <si>
    <t>05106006</t>
  </si>
  <si>
    <t>05106007</t>
  </si>
  <si>
    <t>05106008</t>
  </si>
  <si>
    <t>05106009</t>
  </si>
  <si>
    <t>05106010</t>
  </si>
  <si>
    <t>05106011</t>
  </si>
  <si>
    <t>05106012</t>
  </si>
  <si>
    <t>05106013</t>
  </si>
  <si>
    <t>05106014</t>
  </si>
  <si>
    <t>05106015</t>
  </si>
  <si>
    <t>05106016</t>
  </si>
  <si>
    <t>05106017</t>
  </si>
  <si>
    <t>05106018</t>
  </si>
  <si>
    <t>05106019</t>
  </si>
  <si>
    <t>05106020</t>
  </si>
  <si>
    <t>05106021</t>
  </si>
  <si>
    <t>05106022</t>
  </si>
  <si>
    <t>05106023</t>
  </si>
  <si>
    <t>05106024</t>
  </si>
  <si>
    <t>05106025</t>
  </si>
  <si>
    <t>05106026</t>
  </si>
  <si>
    <t>05106027</t>
  </si>
  <si>
    <t>05106028</t>
  </si>
  <si>
    <t>05106029</t>
  </si>
  <si>
    <t>05106030</t>
  </si>
  <si>
    <t>05106031</t>
  </si>
  <si>
    <t>05106032</t>
  </si>
  <si>
    <t>05106033</t>
  </si>
  <si>
    <t>05106034</t>
  </si>
  <si>
    <t>05106035</t>
  </si>
  <si>
    <t>05106036</t>
  </si>
  <si>
    <t>05106037</t>
  </si>
  <si>
    <t>05106038</t>
  </si>
  <si>
    <t>05106039</t>
  </si>
  <si>
    <t>05106040</t>
  </si>
  <si>
    <t>05106041</t>
  </si>
  <si>
    <t>05106042</t>
  </si>
  <si>
    <t>05106043</t>
  </si>
  <si>
    <t>05106044</t>
  </si>
  <si>
    <t>05106045</t>
  </si>
  <si>
    <t>05106046</t>
  </si>
  <si>
    <t>05106047</t>
  </si>
  <si>
    <t>05106048</t>
  </si>
  <si>
    <t>05106049</t>
  </si>
  <si>
    <t>05106050</t>
  </si>
  <si>
    <t>05106051</t>
  </si>
  <si>
    <t>05106052</t>
  </si>
  <si>
    <t>05107002</t>
  </si>
  <si>
    <t>Información explicativa de la composición de las operaciones de leasing financiero por zona geográfica, y revelacion de la clasificación interna de la entidad [bloque de texto]</t>
  </si>
  <si>
    <t>05108002</t>
  </si>
  <si>
    <t>Información explicativa de la composición de las operaciones de leasing financiero por zona geográfica, y revelacion de la clasificación interna de la entidad [resumen]</t>
  </si>
  <si>
    <t>05108003</t>
  </si>
  <si>
    <t>Información explicativa de la composición de las operaciones de leasing financiero por zona geográfica, y revelacion de la clasificación interna de la entidad [partidas]</t>
  </si>
  <si>
    <t>05108004</t>
  </si>
  <si>
    <t>05108005</t>
  </si>
  <si>
    <t>05108006</t>
  </si>
  <si>
    <t>05108007</t>
  </si>
  <si>
    <t>05108008</t>
  </si>
  <si>
    <t>05108009</t>
  </si>
  <si>
    <t>05108010</t>
  </si>
  <si>
    <t>05108011</t>
  </si>
  <si>
    <t>05108012</t>
  </si>
  <si>
    <t>05108013</t>
  </si>
  <si>
    <t>05108014</t>
  </si>
  <si>
    <t>05108015</t>
  </si>
  <si>
    <t>05108016</t>
  </si>
  <si>
    <t>05108017</t>
  </si>
  <si>
    <t>05108018</t>
  </si>
  <si>
    <t>05108019</t>
  </si>
  <si>
    <t>05108020</t>
  </si>
  <si>
    <t>05108021</t>
  </si>
  <si>
    <t>05108022</t>
  </si>
  <si>
    <t>05108023</t>
  </si>
  <si>
    <t>05108024</t>
  </si>
  <si>
    <t>05108025</t>
  </si>
  <si>
    <t>05108026</t>
  </si>
  <si>
    <t>05108027</t>
  </si>
  <si>
    <t>05108028</t>
  </si>
  <si>
    <t>05108029</t>
  </si>
  <si>
    <t>05108030</t>
  </si>
  <si>
    <t>05108031</t>
  </si>
  <si>
    <t>05108032</t>
  </si>
  <si>
    <t>05108033</t>
  </si>
  <si>
    <t>05108034</t>
  </si>
  <si>
    <t>05108035</t>
  </si>
  <si>
    <t>05108036</t>
  </si>
  <si>
    <t>05108037</t>
  </si>
  <si>
    <t>05108038</t>
  </si>
  <si>
    <t>05108039</t>
  </si>
  <si>
    <t>05108040</t>
  </si>
  <si>
    <t>05108041</t>
  </si>
  <si>
    <t>05108042</t>
  </si>
  <si>
    <t>05108043</t>
  </si>
  <si>
    <t>05108044</t>
  </si>
  <si>
    <t>05108045</t>
  </si>
  <si>
    <t>05108046</t>
  </si>
  <si>
    <t>05108047</t>
  </si>
  <si>
    <t>05108048</t>
  </si>
  <si>
    <t>05108049</t>
  </si>
  <si>
    <t>05108050</t>
  </si>
  <si>
    <t>05108051</t>
  </si>
  <si>
    <t>05108052</t>
  </si>
  <si>
    <t>05109002</t>
  </si>
  <si>
    <t>Información a revelar que describa las operaciones de leasing financiero por unidades monetarias [bloque de texto]</t>
  </si>
  <si>
    <t>05110002</t>
  </si>
  <si>
    <t>05110003</t>
  </si>
  <si>
    <t>05110004</t>
  </si>
  <si>
    <t>05110005</t>
  </si>
  <si>
    <t>05110006</t>
  </si>
  <si>
    <t>05110007</t>
  </si>
  <si>
    <t>05111002</t>
  </si>
  <si>
    <t>Información a revelar que describa la composición de las operaciones de leasing financiero por tipo de reestructuración [bloque de texto]</t>
  </si>
  <si>
    <t>05112002</t>
  </si>
  <si>
    <t>Información a revelar que describa la composición de las operaciones de leasing financiero por tipo de reestructuración [resumen]</t>
  </si>
  <si>
    <t>05112003</t>
  </si>
  <si>
    <t>Información a revelar que describa la composición de las operaciones de leasing financiero por tipo de reestructuración [partidas]</t>
  </si>
  <si>
    <t>05112004</t>
  </si>
  <si>
    <t>05112005</t>
  </si>
  <si>
    <t>05112006</t>
  </si>
  <si>
    <t>05112007</t>
  </si>
  <si>
    <t>05112008</t>
  </si>
  <si>
    <t>05112009</t>
  </si>
  <si>
    <t>05112010</t>
  </si>
  <si>
    <t>05113002</t>
  </si>
  <si>
    <t>Información a revelar que describa la composición de las operaciones de leasing financiero reestructuradas por calificación y otra información explicativa [bloque de texto]</t>
  </si>
  <si>
    <t>05114002</t>
  </si>
  <si>
    <t>Información a revelar que describa la composición de las operaciones de leasing financiero reestructuradas por calificación y otra información explicativa [resumen]</t>
  </si>
  <si>
    <t>05114003</t>
  </si>
  <si>
    <t>Información a revelar que describa la composición de las operaciones de leasing financiero reestructuradas por calificación y otra información explicativa [partidas]</t>
  </si>
  <si>
    <t>05114004</t>
  </si>
  <si>
    <t>05114005</t>
  </si>
  <si>
    <t>05114006</t>
  </si>
  <si>
    <t>05114007</t>
  </si>
  <si>
    <t>05114008</t>
  </si>
  <si>
    <t>05114009</t>
  </si>
  <si>
    <t>05114010</t>
  </si>
  <si>
    <t>05114011</t>
  </si>
  <si>
    <t>05114012</t>
  </si>
  <si>
    <t>05114013</t>
  </si>
  <si>
    <t>05114014</t>
  </si>
  <si>
    <t>05114015</t>
  </si>
  <si>
    <t>05114016</t>
  </si>
  <si>
    <t>05114017</t>
  </si>
  <si>
    <t>05114018</t>
  </si>
  <si>
    <t>05114019</t>
  </si>
  <si>
    <t>05114020</t>
  </si>
  <si>
    <t>05114021</t>
  </si>
  <si>
    <t>05114022</t>
  </si>
  <si>
    <t>05114023</t>
  </si>
  <si>
    <t>05114024</t>
  </si>
  <si>
    <t>05114025</t>
  </si>
  <si>
    <t>05114026</t>
  </si>
  <si>
    <t>05114027</t>
  </si>
  <si>
    <t>05114028</t>
  </si>
  <si>
    <t>05114029</t>
  </si>
  <si>
    <t>05114030</t>
  </si>
  <si>
    <t>05114031</t>
  </si>
  <si>
    <t>05114032</t>
  </si>
  <si>
    <t>05114033</t>
  </si>
  <si>
    <t>05114034</t>
  </si>
  <si>
    <t>05114035</t>
  </si>
  <si>
    <t>05114036</t>
  </si>
  <si>
    <t>05114037</t>
  </si>
  <si>
    <t>05114038</t>
  </si>
  <si>
    <t>05114039</t>
  </si>
  <si>
    <t>05114040</t>
  </si>
  <si>
    <t>05114041</t>
  </si>
  <si>
    <t>05114042</t>
  </si>
  <si>
    <t>05114043</t>
  </si>
  <si>
    <t>05115002</t>
  </si>
  <si>
    <t>Información a revelar que describa la composición de las operaciones de leasing financiero reestructuradas por sector económico [bloque de texto]</t>
  </si>
  <si>
    <t>05116002</t>
  </si>
  <si>
    <t>Información a revelar que describa la composición de las operaciones de leasing financiero reestructuradas por sector económico [resumen]</t>
  </si>
  <si>
    <t>05116003</t>
  </si>
  <si>
    <t>Información a revelar que describa la composición de las operaciones de leasing financiero reestructuradas por sector económico [partidas]</t>
  </si>
  <si>
    <t>05116004</t>
  </si>
  <si>
    <t>05116005</t>
  </si>
  <si>
    <t>05116006</t>
  </si>
  <si>
    <t>05116007</t>
  </si>
  <si>
    <t>05116008</t>
  </si>
  <si>
    <t>05116009</t>
  </si>
  <si>
    <t>05116010</t>
  </si>
  <si>
    <t>05116011</t>
  </si>
  <si>
    <t>05116012</t>
  </si>
  <si>
    <t>05116013</t>
  </si>
  <si>
    <t>05116014</t>
  </si>
  <si>
    <t>05116015</t>
  </si>
  <si>
    <t>05116016</t>
  </si>
  <si>
    <t>05116017</t>
  </si>
  <si>
    <t>05116018</t>
  </si>
  <si>
    <t>05116019</t>
  </si>
  <si>
    <t>05116020</t>
  </si>
  <si>
    <t>05116021</t>
  </si>
  <si>
    <t>05116022</t>
  </si>
  <si>
    <t>05116023</t>
  </si>
  <si>
    <t>05116024</t>
  </si>
  <si>
    <t>05116025</t>
  </si>
  <si>
    <t>05116026</t>
  </si>
  <si>
    <t>05116027</t>
  </si>
  <si>
    <t>05116028</t>
  </si>
  <si>
    <t>05116029</t>
  </si>
  <si>
    <t>05116030</t>
  </si>
  <si>
    <t>05116031</t>
  </si>
  <si>
    <t>05116032</t>
  </si>
  <si>
    <t>05116033</t>
  </si>
  <si>
    <t>05116034</t>
  </si>
  <si>
    <t>05116035</t>
  </si>
  <si>
    <t>05116036</t>
  </si>
  <si>
    <t>05116037</t>
  </si>
  <si>
    <t>05116038</t>
  </si>
  <si>
    <t>05116039</t>
  </si>
  <si>
    <t>05116040</t>
  </si>
  <si>
    <t>05116041</t>
  </si>
  <si>
    <t>05116042</t>
  </si>
  <si>
    <t>05116043</t>
  </si>
  <si>
    <t>05116044</t>
  </si>
  <si>
    <t>05116045</t>
  </si>
  <si>
    <t>05117002</t>
  </si>
  <si>
    <t>Información a revelar que describa la composición de las operaciones de leasing financiero reestructuradas por zona geográfica [bloque de texto]</t>
  </si>
  <si>
    <t>05118002</t>
  </si>
  <si>
    <t>Información a revelar que describa la composición de las operaciones de leasing financiero reestructuradas por zona geográfica [resumen]</t>
  </si>
  <si>
    <t>05118003</t>
  </si>
  <si>
    <t>Información a revelar que describa la composición de las operaciones de leasing financiero reestructuradas por zona geográfica [partidas]</t>
  </si>
  <si>
    <t>05118004</t>
  </si>
  <si>
    <t>05118005</t>
  </si>
  <si>
    <t>05118006</t>
  </si>
  <si>
    <t>05118007</t>
  </si>
  <si>
    <t>05118008</t>
  </si>
  <si>
    <t>05118009</t>
  </si>
  <si>
    <t>05118010</t>
  </si>
  <si>
    <t>05118011</t>
  </si>
  <si>
    <t>05118012</t>
  </si>
  <si>
    <t>05118013</t>
  </si>
  <si>
    <t>05118014</t>
  </si>
  <si>
    <t>05118015</t>
  </si>
  <si>
    <t>05118016</t>
  </si>
  <si>
    <t>05118017</t>
  </si>
  <si>
    <t>05118018</t>
  </si>
  <si>
    <t>05118019</t>
  </si>
  <si>
    <t>05118020</t>
  </si>
  <si>
    <t>05118021</t>
  </si>
  <si>
    <t>05118022</t>
  </si>
  <si>
    <t>05118023</t>
  </si>
  <si>
    <t>05118024</t>
  </si>
  <si>
    <t>05118025</t>
  </si>
  <si>
    <t>05118026</t>
  </si>
  <si>
    <t>05118027</t>
  </si>
  <si>
    <t>05118028</t>
  </si>
  <si>
    <t>05118029</t>
  </si>
  <si>
    <t>05118030</t>
  </si>
  <si>
    <t>05118031</t>
  </si>
  <si>
    <t>05118032</t>
  </si>
  <si>
    <t>05118033</t>
  </si>
  <si>
    <t>05118034</t>
  </si>
  <si>
    <t>05118035</t>
  </si>
  <si>
    <t>05118036</t>
  </si>
  <si>
    <t>05118037</t>
  </si>
  <si>
    <t>05118038</t>
  </si>
  <si>
    <t>05118039</t>
  </si>
  <si>
    <t>05118040</t>
  </si>
  <si>
    <t>05118041</t>
  </si>
  <si>
    <t>05118042</t>
  </si>
  <si>
    <t>05118043</t>
  </si>
  <si>
    <t>05118044</t>
  </si>
  <si>
    <t>05118045</t>
  </si>
  <si>
    <t>05119002</t>
  </si>
  <si>
    <t>Información a revelar de los castigos de operaciones de leasing financiero efectuadas durante el período por modalidad de crédito y otra información explicativa [bloque de texto]</t>
  </si>
  <si>
    <t>05120002</t>
  </si>
  <si>
    <t>Información a revelar de los castigos de operaciones de leasing financiero efectuadas durante el período por modalidad de crédito y otra información explicativa [resumen]</t>
  </si>
  <si>
    <t>05120003</t>
  </si>
  <si>
    <t>Información a revelar de los castigos de operaciones de leasing financiero efectuadas durante el período por modalidad de crédito y otra información explicativa [partidas]</t>
  </si>
  <si>
    <t>05120004</t>
  </si>
  <si>
    <t>05120005</t>
  </si>
  <si>
    <t>05120006</t>
  </si>
  <si>
    <t>05120007</t>
  </si>
  <si>
    <t>05120008</t>
  </si>
  <si>
    <t>05121002</t>
  </si>
  <si>
    <t>Información a revelar de operaciones de leasing financiero por maduración [bloque de texto]</t>
  </si>
  <si>
    <t>05122002</t>
  </si>
  <si>
    <t>Información a revelar de operaciones de leasing financiero por maduración [resumen]</t>
  </si>
  <si>
    <t>05122003</t>
  </si>
  <si>
    <t>Información a revelar de operaciones de leasing financiero por maduración [partidas]</t>
  </si>
  <si>
    <t>05122004</t>
  </si>
  <si>
    <t>05122005</t>
  </si>
  <si>
    <t>05122006</t>
  </si>
  <si>
    <t>05122007</t>
  </si>
  <si>
    <t>05123002</t>
  </si>
  <si>
    <t>Información a revelar del movimiento de las operaciones de leasing financiero durante el ejercicico [bloque de texto]</t>
  </si>
  <si>
    <t>05124002</t>
  </si>
  <si>
    <t>Información a revelar del movimiento de las operaciones de leasing financiero durante el ejercicico [resumen]</t>
  </si>
  <si>
    <t>05124003</t>
  </si>
  <si>
    <t>Información a revelar del movimiento de las operaciones de leasing financiero durante el ejercicico [partidas]</t>
  </si>
  <si>
    <t>05124004</t>
  </si>
  <si>
    <t>05124005</t>
  </si>
  <si>
    <t>05124006</t>
  </si>
  <si>
    <t>05124007</t>
  </si>
  <si>
    <t>05125002</t>
  </si>
  <si>
    <t>Información explicativa sobre la naturaleza y cuantía por reintegro de provisiones de las operaciones de leasing financiero indicando las circunstancias específicas que permitieron registrar el correspondiente ingreso [bloque de texto]</t>
  </si>
  <si>
    <t>05126002</t>
  </si>
  <si>
    <t>Información explicativa de las ventas y/o compras de operaciones de leasing financiero efectuadas durante el periodo indicando entre otros, los montos y condiciones de la (s) operación (es)</t>
  </si>
  <si>
    <t>05126003</t>
  </si>
  <si>
    <t>05126004</t>
  </si>
  <si>
    <t>05126005</t>
  </si>
  <si>
    <t>05127002</t>
  </si>
  <si>
    <t>05128002</t>
  </si>
  <si>
    <t>Información explicativa sobre la naturaleza y cuantía por reintegro de provisiones de las operaciones de leasing financiero indicando las circunstancias específicas que permitieron registrar el correspondiente ingreso [resumen]</t>
  </si>
  <si>
    <t>05128003</t>
  </si>
  <si>
    <t>Información explicativa sobre la naturaleza y cuantía por reintegro de provisiones de las operaciones de leasing financiero indicando las circunstancias específicas que permitieron registrar el correspondiente ingreso [partidas]</t>
  </si>
  <si>
    <t>05128004</t>
  </si>
  <si>
    <t>05128005</t>
  </si>
  <si>
    <t>05129002</t>
  </si>
  <si>
    <t>Información a revelar sobre titularzación de operaciones de leasing financiero: Condiciones básicas de cada operación, identificando por lo menos: originador, objeto, activo titula</t>
  </si>
  <si>
    <t>05201002</t>
  </si>
  <si>
    <t>Información a revelar detallada sobre coberturas Filiales en el Exterior [bloque de texto]</t>
  </si>
  <si>
    <t>05202002</t>
  </si>
  <si>
    <t>Información a revelar detallada sobre coberturas Filiales en el Exterior [resumen]</t>
  </si>
  <si>
    <t>05202003</t>
  </si>
  <si>
    <t>Información a revelar detallada sobre coberturas Filiales en el Exterior [partidas]</t>
  </si>
  <si>
    <t>05202004</t>
  </si>
  <si>
    <t>05202005</t>
  </si>
  <si>
    <t>05202006</t>
  </si>
  <si>
    <t>05202007</t>
  </si>
  <si>
    <t>05301002</t>
  </si>
  <si>
    <t>Información a revelar de la Posición Abierta en Instrumentos Financieros Derivados de las Filiales en el Exterior [bloque de texto]</t>
  </si>
  <si>
    <t>05302002</t>
  </si>
  <si>
    <t>Información a revelar de la Posición Abierta en Instrumentos Financieros Derivados de las Filiales en el Exterior [resumen]</t>
  </si>
  <si>
    <t>05302003</t>
  </si>
  <si>
    <t>Información a revelar sobre el detalle de la posición abierta en Instrumentos Financieros Derivados de las Filiales en el Exterior [partidas]</t>
  </si>
  <si>
    <t>05302004</t>
  </si>
  <si>
    <t>Forward Moneda Local-Dólar</t>
  </si>
  <si>
    <t>05302005</t>
  </si>
  <si>
    <t>05302006</t>
  </si>
  <si>
    <t>05302007</t>
  </si>
  <si>
    <t>Call- Moneda Local- Dólar</t>
  </si>
  <si>
    <t>05302008</t>
  </si>
  <si>
    <t>05302009</t>
  </si>
  <si>
    <t>05302010</t>
  </si>
  <si>
    <t>Put-Moneda Local-Dólar</t>
  </si>
  <si>
    <t>05302011</t>
  </si>
  <si>
    <t>05302012</t>
  </si>
  <si>
    <t>05302013</t>
  </si>
  <si>
    <t>Forward Euro-Dólar</t>
  </si>
  <si>
    <t>05302014</t>
  </si>
  <si>
    <t>05302015</t>
  </si>
  <si>
    <t>05302016</t>
  </si>
  <si>
    <t>Forward Moneda Local-Euro</t>
  </si>
  <si>
    <t>05302017</t>
  </si>
  <si>
    <t>05302018</t>
  </si>
  <si>
    <t>05302019</t>
  </si>
  <si>
    <t>Forward sobre títulos</t>
  </si>
  <si>
    <t>05302020</t>
  </si>
  <si>
    <t>05302021</t>
  </si>
  <si>
    <t>05302022</t>
  </si>
  <si>
    <t>Swaps</t>
  </si>
  <si>
    <t>05303002</t>
  </si>
  <si>
    <t>Información a revelar de la Posición Abierta en Futuros y Opciones del Mercado Estandarizado (transado en Bolsas de Valores) de las Filiales en el Exterior [bloque de texto]</t>
  </si>
  <si>
    <t>05304002</t>
  </si>
  <si>
    <t>Información a revelar de la Posición Abierta en Futuros y Opciones del Mercado Estandarizado (transado en Bolsas de Valores) de las Filiales en el Exterior [sinopsis]</t>
  </si>
  <si>
    <t>05304003</t>
  </si>
  <si>
    <t>Información a revelar sobre el detalle de la posición abierta en Posición Abierta en Futuros y Opciones del Mercado Estandarizado (transado en Bolsas de Valores) de las Filiales en el Exterior [partidas]</t>
  </si>
  <si>
    <t>05304004</t>
  </si>
  <si>
    <t>Futuros de Monedas (pesos)</t>
  </si>
  <si>
    <t>05304005</t>
  </si>
  <si>
    <t>Futuros de Monedas (dólares)</t>
  </si>
  <si>
    <t>05304006</t>
  </si>
  <si>
    <t>Futuros de Títulos (pesos)</t>
  </si>
  <si>
    <t>05304007</t>
  </si>
  <si>
    <t>Futuros de Títulos (dólares)</t>
  </si>
  <si>
    <t>05304008</t>
  </si>
  <si>
    <t>Futuros de Tasas de Interés (pesos)</t>
  </si>
  <si>
    <t>05304009</t>
  </si>
  <si>
    <t>Futuros de Tasas de Interés (dólares)</t>
  </si>
  <si>
    <t>05304010</t>
  </si>
  <si>
    <t>Opciones de Índices (pesos)</t>
  </si>
  <si>
    <t>05400000</t>
  </si>
  <si>
    <t>[823000] Notas - Medición del valor razonable</t>
  </si>
  <si>
    <t>05401002</t>
  </si>
  <si>
    <t>05401003</t>
  </si>
  <si>
    <t>Información a revelar sobre datos de entrada no observables significativos utilizados en la medición del valor razonable de pasivos [bloque de texto]</t>
  </si>
  <si>
    <t>05402002</t>
  </si>
  <si>
    <t>Información a revelar sobre datos de entrada no observables significativos utilizados en la medición del valor razonable de pasivos [resumen]</t>
  </si>
  <si>
    <t>05402003</t>
  </si>
  <si>
    <t>Información a revelar sobre datos de entrada no observables significativos utilizados en la medición del valor razonable de pasivos [partidas]</t>
  </si>
  <si>
    <t>05402004</t>
  </si>
  <si>
    <t>Tasa de interés, datos de entrada no observables significativos, pasivos</t>
  </si>
  <si>
    <t>05402005</t>
  </si>
  <si>
    <t>Volatilidad histórica de las acciones, datos de entrada no observables significativos, pasivos</t>
  </si>
  <si>
    <t>05402006</t>
  </si>
  <si>
    <t>Ajustes al precio acordado de mercado medio, datos de entrada no observables significativos, pasivos</t>
  </si>
  <si>
    <t>05402007</t>
  </si>
  <si>
    <t>Estimación corriente de salidas de efectivo futuras a pagar para cumplir con obligaciones, datos de entrada no observables significativos, pasivos</t>
  </si>
  <si>
    <t>05402008</t>
  </si>
  <si>
    <t>Previsiones financieras del resultado del periodo para unidades generadoras de efectivo, datos de entrada no observables significativas, pasivos</t>
  </si>
  <si>
    <t>05402009</t>
  </si>
  <si>
    <t>Previsiones financieras de flujos de efectivo para unidades generadoras de efectivo, datos de entrada no observables significativas, pasivos</t>
  </si>
  <si>
    <t>05402010</t>
  </si>
  <si>
    <t>Costo promedio ponderado del capital, datos de entrada no observables significativos, pasivos</t>
  </si>
  <si>
    <t>05402011</t>
  </si>
  <si>
    <t>Múltiplo de ingresos de actividades ordinarias, datos de entrada no observables significativos, pasivos</t>
  </si>
  <si>
    <t>05402012</t>
  </si>
  <si>
    <t>Tasa de pago anticipado constante, datos de entrada no observables significativos, pasivos</t>
  </si>
  <si>
    <t>05402013</t>
  </si>
  <si>
    <t>Probabilidad de incumplimiento, datos de entrada no observables significativos, pasivos</t>
  </si>
  <si>
    <t>05403002</t>
  </si>
  <si>
    <t>Información a revelar sobre datos de entrada no observables significativos utilizados en la medición del valor razonable del patrimonio [bloque de texto]</t>
  </si>
  <si>
    <t>05404002</t>
  </si>
  <si>
    <t>Información a revelar sobre datos de entrada no observables significativos utilizados en la medición del valor razonable del patrimonio [resumen]</t>
  </si>
  <si>
    <t>05404003</t>
  </si>
  <si>
    <t>Información a revelar sobre datos de entrada no observables significativos utilizados en la medición del valor razonable del patrimonio [partidas]</t>
  </si>
  <si>
    <t>05404004</t>
  </si>
  <si>
    <t>Tasa de interés, datos de entrada no observables significativos, instrumentos de patrimonio propio de la entidad</t>
  </si>
  <si>
    <t>05404005</t>
  </si>
  <si>
    <t>Volatilidad histórica de las acciones, datos de entrada no observables significativos, instrumentos de patrimonio propio de la entidad</t>
  </si>
  <si>
    <t>05404006</t>
  </si>
  <si>
    <t>Ajustes al precio acordado de mercado medio, datos de entrada no observables significativos, instrumentos de patrimonio propio de la entidad</t>
  </si>
  <si>
    <t>05404007</t>
  </si>
  <si>
    <t>Estimación corriente de salidas de efectivo futuras a pagar para cumplir con obligaciones, datos de entrada no observables significativos, instrumentos de patrimonio propio de la entidad</t>
  </si>
  <si>
    <t>05404008</t>
  </si>
  <si>
    <t>Previsiones financieras del resultado del periodo para unidades generadoras de efectivo, datos de entrada no observables significativas, instrumentos de patrimonio propio de la entidad</t>
  </si>
  <si>
    <t>05404009</t>
  </si>
  <si>
    <t>Previsiones financieras de flujos de efectivo para unidades generadoras de efectivo, datos de entrada no observables significativas, instrumentos de patrimonio propio de la entidad</t>
  </si>
  <si>
    <t>05404010</t>
  </si>
  <si>
    <t>Costo promedio ponderado del capital, datos de entrada no observables significativos, instrumentos de patrimonio propio de la entidad</t>
  </si>
  <si>
    <t>05404011</t>
  </si>
  <si>
    <t>Múltiplo de ingresos de actividades ordinarias, datos de entrada no observables significativos, instrumentos de patrimonio propio de la entidad</t>
  </si>
  <si>
    <t>05404012</t>
  </si>
  <si>
    <t>Tasa de pago anticipado constante, datos de entrada no observables significativos, instrumentos de patrimonio propio de la entidad</t>
  </si>
  <si>
    <t>05404013</t>
  </si>
  <si>
    <t>Probabilidad de incumplimiento, datos de entrada no observables significativos, instrumentos de patrimonio propio de la entidad</t>
  </si>
  <si>
    <t>05405002</t>
  </si>
  <si>
    <t>Información a revelar sobre pasivos medidos al valor razonable y emitidos con inseparables mejoras crediticias de terceros [bloque de texto]</t>
  </si>
  <si>
    <t>05406002</t>
  </si>
  <si>
    <t>Información a revelar sobre pasivos medidos al valor razonable y emitidos con inseparables mejoras crediticias de terceros [resumen]</t>
  </si>
  <si>
    <t>05406003</t>
  </si>
  <si>
    <t>Información a revelar sobre pasivos medidos al valor razonable y emitidos con inseparables mejoras crediticias de terceros [partidas]</t>
  </si>
  <si>
    <t>05406004</t>
  </si>
  <si>
    <t>Descripción de la existencia de la mejora crediticia de terceros</t>
  </si>
  <si>
    <t>05406005</t>
  </si>
  <si>
    <t>Descripción de si las mejoras crediticias de terceros se reflejan en la medición del valor razonable</t>
  </si>
  <si>
    <t>05500000</t>
  </si>
  <si>
    <t>[823180] Notas - Activos intangibles</t>
  </si>
  <si>
    <t>05501002</t>
  </si>
  <si>
    <t>05501003</t>
  </si>
  <si>
    <t>Información a revelar detallada sobre activos intangibles [bloque de texto]</t>
  </si>
  <si>
    <t>05502002</t>
  </si>
  <si>
    <t>Información a revelar detallada sobre activos intangibles [resumen]</t>
  </si>
  <si>
    <t>05502003</t>
  </si>
  <si>
    <t>Información a revelar detallada sobre activos intangibles [partidas]</t>
  </si>
  <si>
    <t>05502004</t>
  </si>
  <si>
    <t>Descripción de la partida o partidas, del estado de resultado integral en las que está incluida la amortización de los activos intangibles</t>
  </si>
  <si>
    <t>05502005</t>
  </si>
  <si>
    <t>Método de amortización, activos intangibles distintos de la plusvalía</t>
  </si>
  <si>
    <t>05502006</t>
  </si>
  <si>
    <t>Vidas útiles o tasas de amortización, activos intangibles distintos de la plusvalía</t>
  </si>
  <si>
    <t>Fechas de vigencia de revaluación, activos intangibles distintos de la plusvalía</t>
  </si>
  <si>
    <t>05502008</t>
  </si>
  <si>
    <t>Conciliación de cambios en activos intangibles distintos de la plusvalía [sinopsis]</t>
  </si>
  <si>
    <t>Activos intangibles distintos de la plusvalía al comienzo del periodo</t>
  </si>
  <si>
    <t>05502010</t>
  </si>
  <si>
    <t>Cambios en activos intangibles distintos de la plusvalía [sinopsis]</t>
  </si>
  <si>
    <t>Incrementos distintos de los procedentes de combinaciones de negocios, activos intangibles distintos de la plusvalía</t>
  </si>
  <si>
    <t>05502012</t>
  </si>
  <si>
    <t>Adquisiciones realizadas mediante combinaciones de negocios, activos intangibles distintos a la plusvalía</t>
  </si>
  <si>
    <t>05502013</t>
  </si>
  <si>
    <t>Incremento (disminución) por diferencias de cambio netas, activos intangibles distintos de la plusvalía</t>
  </si>
  <si>
    <t>Amortización, activos intangibles distintos de la plusvalía</t>
  </si>
  <si>
    <t>05502015</t>
  </si>
  <si>
    <t>Pérdidas por deterioro de valor reconocidas en el resultado del periodo, activos intangibles distintos de la plusvalía</t>
  </si>
  <si>
    <t>05502016</t>
  </si>
  <si>
    <t>Reversión de pérdidas por deterioro de valor reconocidas en el resultado del periodo, activos intangibles distintos de la plusvalía</t>
  </si>
  <si>
    <t>05502017</t>
  </si>
  <si>
    <t>Incrementos (disminuciones) de revaluaciones, activos intangibles distintos de la plusvalía</t>
  </si>
  <si>
    <t>05502018</t>
  </si>
  <si>
    <t>Pérdidas por deterioro de valor reconocidas en otro resultado integral, activos intangibles distintos de la plusvalía</t>
  </si>
  <si>
    <t>05502019</t>
  </si>
  <si>
    <t>Reversión de pérdidas por deterioro de valor reconocidas en otro resultado integral, activos intangibles distintos de la plusvalía</t>
  </si>
  <si>
    <t>05502020</t>
  </si>
  <si>
    <t>Incrementos (disminuciones) por transferencias y otros cambios, activos intangibles distintos de la plusvalía [resumen]</t>
  </si>
  <si>
    <t>Incrementos (disminuciones) por transferencias, activos intangibles distintas de la plusvalía</t>
  </si>
  <si>
    <t>05502022</t>
  </si>
  <si>
    <t>Incrementos (disminuciones) por otros cambios, activos intangibles distintos de la plusvalía</t>
  </si>
  <si>
    <t>05502023</t>
  </si>
  <si>
    <t>Incremento (disminución) por transferencias y otros cambios, activos intangibles distintos de la plusvalía</t>
  </si>
  <si>
    <t>05502024</t>
  </si>
  <si>
    <t>Disposiciones y retiros de servicio, activos intangibles distintos de la plusvalía [resumen]</t>
  </si>
  <si>
    <t>05502025</t>
  </si>
  <si>
    <t>Disposiciones, activos intangibles distintos de la plusvalía</t>
  </si>
  <si>
    <t>05502026</t>
  </si>
  <si>
    <t>Retiros de servicio, activos intangibles distintos de la plusvalía</t>
  </si>
  <si>
    <t>05502027</t>
  </si>
  <si>
    <t>Disposiciones y retiros de servicio, activos intangibles distintos de la plusvalía</t>
  </si>
  <si>
    <t>05502028</t>
  </si>
  <si>
    <t>Disminuciones por clasificar como mantenidos para la venta, activos intangibles distintos de la plusvalía</t>
  </si>
  <si>
    <t>05502029</t>
  </si>
  <si>
    <t>Disminución por la pérdida de control de una subsidiaria, activos intangibles distintos de la plusvalía</t>
  </si>
  <si>
    <t>05502030</t>
  </si>
  <si>
    <t>Incremento (disminución) en activos intangibles distintos de la plusvalía</t>
  </si>
  <si>
    <t>05502031</t>
  </si>
  <si>
    <t>Activos intangibles distintos de la plusvalía al final del periodo</t>
  </si>
  <si>
    <t>05502032</t>
  </si>
  <si>
    <t>Revaluación de activos intangibles [sinopsis]</t>
  </si>
  <si>
    <t>05502033</t>
  </si>
  <si>
    <t>Activos intangibles distintos de la plusvalía, activos revaluados</t>
  </si>
  <si>
    <t>05502034</t>
  </si>
  <si>
    <t>Activos intangibles distintos de la plusvalía, activos revaluados, al costo</t>
  </si>
  <si>
    <t>05502035</t>
  </si>
  <si>
    <t>Activos intangibles distintos de la plusvalía, superávit de revaluación</t>
  </si>
  <si>
    <t>05503002</t>
  </si>
  <si>
    <t>Información a revelar sobre activos intangibles con vidas útiles indefinidas [bloque de texto]</t>
  </si>
  <si>
    <t>05504001</t>
  </si>
  <si>
    <t>Activos intangibles con vidas útiles indefinidas [miembro]</t>
  </si>
  <si>
    <t>05504002</t>
  </si>
  <si>
    <t>Información a revelar sobre activos intangibles con vidas útiles indefinidas [resumen]</t>
  </si>
  <si>
    <t>05504003</t>
  </si>
  <si>
    <t>Información a revelar sobre activos intangibles con vidas útiles indefinidas [partidas]</t>
  </si>
  <si>
    <t>05504004</t>
  </si>
  <si>
    <t>Activos intangibles con vidas útiles indefinidas</t>
  </si>
  <si>
    <t>05504005</t>
  </si>
  <si>
    <t>Descripción de los activos intangibles con vida útil indefinida que soportan la evaluación de vida útil indefinida</t>
  </si>
  <si>
    <t>05505002</t>
  </si>
  <si>
    <t>Información a revelar sobre activos intangibles significativos para la entidad [bloque de texto]</t>
  </si>
  <si>
    <t>05506001</t>
  </si>
  <si>
    <t>Activos intangibles significativos para la entidad [miembro]</t>
  </si>
  <si>
    <t>05506002</t>
  </si>
  <si>
    <t>Información a revelar sobre activos intangibles significativos para la entidad [resumen]</t>
  </si>
  <si>
    <t>05506003</t>
  </si>
  <si>
    <t>Información a revelar sobre activos intangibles significativos para la entidad [partidas]</t>
  </si>
  <si>
    <t>05506004</t>
  </si>
  <si>
    <t>Descripción de los activos intangibles de importancia relativa para la entidad</t>
  </si>
  <si>
    <t>05506005</t>
  </si>
  <si>
    <t>Activos intangibles materiales (con importancia relativa) para la entidad</t>
  </si>
  <si>
    <t>05506006</t>
  </si>
  <si>
    <t>Periodo de amortización restante de activos intangibles significativos para la entidad</t>
  </si>
  <si>
    <t>05507002</t>
  </si>
  <si>
    <t>Activos intangibles adquiridos mediante subvenciones del gobierno, valor razonable reconocido inicialmente</t>
  </si>
  <si>
    <t>05507003</t>
  </si>
  <si>
    <t>Activos intangibles adquiridos mediante subvenciones del gobierno</t>
  </si>
  <si>
    <t>05507004</t>
  </si>
  <si>
    <t>Explicación de activos adquiridos mediante una subvención del gobierno y reconocidos inicialmente por su valor razonable</t>
  </si>
  <si>
    <t>05507005</t>
  </si>
  <si>
    <t>Activos intangibles cuya titularidad está restringida</t>
  </si>
  <si>
    <t>05507006</t>
  </si>
  <si>
    <t>Activos intangibles pignorados como garantía al cumplimiento de deudas</t>
  </si>
  <si>
    <t>05507007</t>
  </si>
  <si>
    <t>Compromisos contractuales para la adquisición de activos intangibles</t>
  </si>
  <si>
    <t>05507008</t>
  </si>
  <si>
    <t>Descripción de los activos intangibles totalmente amortizados</t>
  </si>
  <si>
    <t>05507009</t>
  </si>
  <si>
    <t>Descripción de activos intangibles significativos controlados por la entidad pero no reconocidos</t>
  </si>
  <si>
    <t>05507010</t>
  </si>
  <si>
    <t>Explicación de restricciones sobre la distribución de superávit de revaluación por activos intangibles</t>
  </si>
  <si>
    <t>05507011</t>
  </si>
  <si>
    <t>05508002</t>
  </si>
  <si>
    <t>Información a revelar sobre la conciliación de cambios en activos intangibles y plusvalía [resumen]</t>
  </si>
  <si>
    <t>05508003</t>
  </si>
  <si>
    <t>Información a revelar sobre la conciliación de cambios en activos intangibles y plusvalía [partidas]</t>
  </si>
  <si>
    <t>05508004</t>
  </si>
  <si>
    <t>Conciliación de los cambios en activos intangibles y plusvalía [resumen]</t>
  </si>
  <si>
    <t>Activos intangibles y plusvalía al comienzo del periodo</t>
  </si>
  <si>
    <t>05508006</t>
  </si>
  <si>
    <t>Cambios en activos intangibles y plusvalía [resumen]</t>
  </si>
  <si>
    <t>05508008</t>
  </si>
  <si>
    <t>Adquisiciones a través de combinaciones de negocios, activos intangibles y plusvalía</t>
  </si>
  <si>
    <t>05508009</t>
  </si>
  <si>
    <t>Incrementos (disminuciones) por diferencias de cambio netas, activos intangibles y plusvalía</t>
  </si>
  <si>
    <t>05508011</t>
  </si>
  <si>
    <t>Pérdida por deterioro de valor reconocida en el resultado del periodo, activos intangibles y plusvalía</t>
  </si>
  <si>
    <t>05508012</t>
  </si>
  <si>
    <t>05508013</t>
  </si>
  <si>
    <t>05508014</t>
  </si>
  <si>
    <t>05508015</t>
  </si>
  <si>
    <t>05508016</t>
  </si>
  <si>
    <t>Incrementos (disminuciones) por transferencias y otros cambios, activos intangibles y plusvalía [resumen]</t>
  </si>
  <si>
    <t>05508017</t>
  </si>
  <si>
    <t>Incrementos (disminuciones) por transferencias, activos intangibles y plusvalía</t>
  </si>
  <si>
    <t>Incrementos (disminuciones) por otros cambios, activos intangibles y plusvalía</t>
  </si>
  <si>
    <t>05508019</t>
  </si>
  <si>
    <t>Incrementos (disminuciones) por transferencias y otros cambios, activos intangibles y plusvalía</t>
  </si>
  <si>
    <t>05508020</t>
  </si>
  <si>
    <t>Disposiciones y retiros de servicio, activos intangibles y plusvalía [resumen]</t>
  </si>
  <si>
    <t>05508021</t>
  </si>
  <si>
    <t>Disposiciones, activos intangibles y plusvalía</t>
  </si>
  <si>
    <t>05508022</t>
  </si>
  <si>
    <t>Retiros de servicio, activos intangibles y plusvalía</t>
  </si>
  <si>
    <t>05508023</t>
  </si>
  <si>
    <t>Disposiciones y retiros de servicio, activos intangibles y plusvalía</t>
  </si>
  <si>
    <t>05508024</t>
  </si>
  <si>
    <t>Disminuciones por clasificar como mantenidos para la venta, activos intangibles y plusvalía</t>
  </si>
  <si>
    <t>05508025</t>
  </si>
  <si>
    <t>Disminución por la pérdida de control de una subsidiaria, activos intangibles y plusvalía</t>
  </si>
  <si>
    <t>05508026</t>
  </si>
  <si>
    <t>05508027</t>
  </si>
  <si>
    <t>Incrementos (disminuciones) de activos intangibles y plusvalía</t>
  </si>
  <si>
    <t>05508028</t>
  </si>
  <si>
    <t>Activos intangibles y plusvalía al final del periodo</t>
  </si>
  <si>
    <t>05600000</t>
  </si>
  <si>
    <t>[824180] Notas - Activos Biológicos</t>
  </si>
  <si>
    <t>05601002</t>
  </si>
  <si>
    <t>05601003</t>
  </si>
  <si>
    <t>Ganancias (pérdidas) en el reconocimiento inicial de activos biológicos y productos agrícolas del periodo actual</t>
  </si>
  <si>
    <t>05601004</t>
  </si>
  <si>
    <t>Ganancias (pérdidas) por cambios en el valor razonable menos los costos de venta de activos biológicos en el periodo actual</t>
  </si>
  <si>
    <t>05601005</t>
  </si>
  <si>
    <t>Descripción de activos biológicos</t>
  </si>
  <si>
    <t>05601006</t>
  </si>
  <si>
    <t>Descripción de la naturaleza de actividades de activos biológicos</t>
  </si>
  <si>
    <t>05601007</t>
  </si>
  <si>
    <t>Descripción de medidas o estimaciones no financieras de cantidades físicas de activos biológicos y producción de productos agrícolas</t>
  </si>
  <si>
    <t>05601008</t>
  </si>
  <si>
    <t>Activos biológicos cuya titularidad tiene alguna restricción</t>
  </si>
  <si>
    <t>05601009</t>
  </si>
  <si>
    <t>Activos biológicos pignorados como garantía al cumplimiento de deudas</t>
  </si>
  <si>
    <t>05601010</t>
  </si>
  <si>
    <t>Compromisos para el desarrollo o adquisición de activos biológicos</t>
  </si>
  <si>
    <t>05601011</t>
  </si>
  <si>
    <t>Descripción de la gestión del riesgo financiero relacionado con la actividad agrícola</t>
  </si>
  <si>
    <t>05601012</t>
  </si>
  <si>
    <t>Información a revelar sobre conciliaciones de cambios en activos biológicos [bloque de texto]</t>
  </si>
  <si>
    <t>05602002</t>
  </si>
  <si>
    <t>Información a revelar sobre conciliaciones de cambios en activos biológicos [sinopsis]</t>
  </si>
  <si>
    <t>05602003</t>
  </si>
  <si>
    <t>Información a revelar sobre conciliaciones de cambios en activos biológicos [partidas]</t>
  </si>
  <si>
    <t>05602004</t>
  </si>
  <si>
    <t>Activos biológicos al comienzo del periodo</t>
  </si>
  <si>
    <t>05602005</t>
  </si>
  <si>
    <t>Conciliación de cambios en activos biológicos [sinopsis]</t>
  </si>
  <si>
    <t>05602006</t>
  </si>
  <si>
    <t>Cambios en activos biológicos [sinopsis]</t>
  </si>
  <si>
    <t>05602007</t>
  </si>
  <si>
    <t>Incrementos distintos de los procedentes de combinaciones de negocios, activos biológicos</t>
  </si>
  <si>
    <t>05602008</t>
  </si>
  <si>
    <t>Adquisiciones realizadas mediante combinaciones de negocios, activos biológicos</t>
  </si>
  <si>
    <t>05602009</t>
  </si>
  <si>
    <t>Incremento (disminución) por diferencias de cambio netas, activos biológicos</t>
  </si>
  <si>
    <t>05602010</t>
  </si>
  <si>
    <t>Depreciación, activos biológicos</t>
  </si>
  <si>
    <t>05602011</t>
  </si>
  <si>
    <t>Pérdidas por deterioro de valor reconocidas en el resultado del periodo, activos biológicos</t>
  </si>
  <si>
    <t>05602012</t>
  </si>
  <si>
    <t>Reversión de pérdidas por deterioro de valor reconocidas en el resultado del periodo, activos biológicos</t>
  </si>
  <si>
    <t>05602013</t>
  </si>
  <si>
    <t>Ganancias (pérdidas) en ajustes del valor razonable, activos biológicos [resumen]</t>
  </si>
  <si>
    <t>05602014</t>
  </si>
  <si>
    <t>Ganancias (pérdidas) en ajustes del valor razonable atribuibles a cambios físicos, activos biológicos</t>
  </si>
  <si>
    <t>05602015</t>
  </si>
  <si>
    <t>Ganancias (pérdidas) en ajustes del valor razonable atribuibles a cambios de precios, activos biológicos</t>
  </si>
  <si>
    <t>05602016</t>
  </si>
  <si>
    <t>Total ganancias (pérdidas) en ajustes del valor razonable, activos biológicos</t>
  </si>
  <si>
    <t>05602017</t>
  </si>
  <si>
    <t>Incremento (disminución) por otros cambios, activos biológicos</t>
  </si>
  <si>
    <t>05602018</t>
  </si>
  <si>
    <t>Disposiciones, activos biológicos</t>
  </si>
  <si>
    <t>05602019</t>
  </si>
  <si>
    <t>Disminuciones debidas a la cosecha o recolección, activos biológicos</t>
  </si>
  <si>
    <t>05602020</t>
  </si>
  <si>
    <t>Disminuciones por clasificar como mantenidos para la venta, activos biológicos</t>
  </si>
  <si>
    <t>05602021</t>
  </si>
  <si>
    <t>Incremento (disminución) en activos biológicos</t>
  </si>
  <si>
    <t>05602022</t>
  </si>
  <si>
    <t>(+)Activos biológicos al final del periodo</t>
  </si>
  <si>
    <t>05603002</t>
  </si>
  <si>
    <t>Descripción de los activos biológicos en los que la información sobre el valor razonable es poco fiable</t>
  </si>
  <si>
    <t>05603003</t>
  </si>
  <si>
    <t>Explicación de porqué el valor razonable no puede a ser medido con fiabilidad para activos biológicos, al costo</t>
  </si>
  <si>
    <t>05603004</t>
  </si>
  <si>
    <t>Rango de estimaciones dentro de las que es probable que se encuentre el valor razonable para activos biológicos, al costo</t>
  </si>
  <si>
    <t>05603005</t>
  </si>
  <si>
    <t>Método de depreciación, activos biológicos, al costo</t>
  </si>
  <si>
    <t>05603006</t>
  </si>
  <si>
    <t>Vidas útiles o tasas de depreciación, activos biológicos, al costo</t>
  </si>
  <si>
    <t>05603007</t>
  </si>
  <si>
    <t>Descripción de los activos biológicos anteriormente medidos al costo</t>
  </si>
  <si>
    <t>05603008</t>
  </si>
  <si>
    <t>Explicación de porqué el valor razonable pasa a ser fiable para activos biológicos anteriormente medidos al costo</t>
  </si>
  <si>
    <t>05603009</t>
  </si>
  <si>
    <t>Explicación del efecto de cambios por activos biológicos para los que el valor razonable puede medirse con fiabilidad</t>
  </si>
  <si>
    <t>05603010</t>
  </si>
  <si>
    <t>Descripción de la naturaleza y alcance de las subvenciones del gobierno por actividades agrícolas reconocidas en los estados financieros</t>
  </si>
  <si>
    <t>05603011</t>
  </si>
  <si>
    <t>Descripción de las condiciones no cumplidas y otras contingencias anexas a las subvenciones del gobierno para actividades agrícolas</t>
  </si>
  <si>
    <t>05603012</t>
  </si>
  <si>
    <t>Explicación de las disminuciones significativas en el nivel de subvenciones del gobierno para actividades agrícolas</t>
  </si>
  <si>
    <t>05700000</t>
  </si>
  <si>
    <t>[825100] Notas - Propiedades de inversión</t>
  </si>
  <si>
    <t>05701002</t>
  </si>
  <si>
    <t>05701003</t>
  </si>
  <si>
    <t>Información a revelar detallada sobre propiedades de inversión [bloque de texto]</t>
  </si>
  <si>
    <t>05702002</t>
  </si>
  <si>
    <t>Información a revelar detallada sobre propiedades de inversión [resumen]</t>
  </si>
  <si>
    <t>05702003</t>
  </si>
  <si>
    <t>Información a revelar detallada sobre propiedades de inversión [partidas]</t>
  </si>
  <si>
    <t>05702004</t>
  </si>
  <si>
    <t>Conciliación por cambios en propiedades de inversión [sinopsis]</t>
  </si>
  <si>
    <t>05702005</t>
  </si>
  <si>
    <t>Propiedades de inversión al comienzo del periodo</t>
  </si>
  <si>
    <t>05702006</t>
  </si>
  <si>
    <t>Cambios en propiedades de inversión [sinopsis]</t>
  </si>
  <si>
    <t>05702007</t>
  </si>
  <si>
    <t>Adiciones, propiedades de inversión [sinopsis]</t>
  </si>
  <si>
    <t>05702008</t>
  </si>
  <si>
    <t>Adiciones derivadas de desembolsos posteriores reconocidos como activos, propiedades de inversión</t>
  </si>
  <si>
    <t>05702009</t>
  </si>
  <si>
    <t>Adiciones derivadas de adquisiciones, propiedades de inversión</t>
  </si>
  <si>
    <t>05702010</t>
  </si>
  <si>
    <t>Adiciones distintas de las de combinaciones de negocios, propiedades de inversión</t>
  </si>
  <si>
    <t>05702011</t>
  </si>
  <si>
    <t>Adquisiciones realizadas mediante combinaciones de negocios, propiedades de inversión</t>
  </si>
  <si>
    <t>05702012</t>
  </si>
  <si>
    <t>Incremento (disminución) por diferencias de cambio netas, propiedades de inversión</t>
  </si>
  <si>
    <t>05702013</t>
  </si>
  <si>
    <t>Depreciación, propiedades de inversión</t>
  </si>
  <si>
    <t>05702014</t>
  </si>
  <si>
    <t>Pérdidas por deterioro de valor reconocida en resultados, propiedades de inversión</t>
  </si>
  <si>
    <t>05702015</t>
  </si>
  <si>
    <t>Reversión de deterioro de valor reconocida en resultados, propiedades de inversión</t>
  </si>
  <si>
    <t>05702016</t>
  </si>
  <si>
    <t>Ganancias (pérdidas) por ajustes del valor razonable, propiedades de inversión</t>
  </si>
  <si>
    <t>05702017</t>
  </si>
  <si>
    <t>Transferencias de (a) inventarios y bienes inmuebles ocupados por el propietario, propiedades de inversión</t>
  </si>
  <si>
    <t>05702018</t>
  </si>
  <si>
    <t>Disposiciones, propiedades de inversión</t>
  </si>
  <si>
    <t>05702019</t>
  </si>
  <si>
    <t>Disminuciones mediante la clasificación de mantenidos para la venta, propiedades de inversión</t>
  </si>
  <si>
    <t>05702020</t>
  </si>
  <si>
    <t>Incremento (disminución) por otros cambios, propiedades de inversión</t>
  </si>
  <si>
    <t>05702021</t>
  </si>
  <si>
    <t>Incremento (disminución) en propiedades de inversión</t>
  </si>
  <si>
    <t>05702022</t>
  </si>
  <si>
    <t>Propiedades de inversión al final del periodo</t>
  </si>
  <si>
    <t>05703002</t>
  </si>
  <si>
    <t>Explicación de si la entidad aplicaba el modelo del valor razonable o el modelo del costo para medir las propiedades de inversión</t>
  </si>
  <si>
    <t>05703003</t>
  </si>
  <si>
    <t>Explicación de las circunstancias conforme a las que los arrendamientos operativos se clasifican como propiedades de inversión</t>
  </si>
  <si>
    <t>05703004</t>
  </si>
  <si>
    <t>Descripción de los criterios utilizados para distinguir entre propiedades de inversión de las propiedades ocupadas por el propietario y de las propiedades mantenidas para la venta en el curso ordinario del negocio</t>
  </si>
  <si>
    <t>05703005</t>
  </si>
  <si>
    <t>Descripción de la medida en que el valor razonable de las propiedades de inversión se basan en la valoración por un tasador independiente</t>
  </si>
  <si>
    <t>05703006</t>
  </si>
  <si>
    <t>Ingresos derivados de rentas provenientes de las propiedades de inversión</t>
  </si>
  <si>
    <t>05703007</t>
  </si>
  <si>
    <t>Gastos de operación directos procedentes de propiedades de inversión generadoras de ingresos por arrendamientos</t>
  </si>
  <si>
    <t>05703008</t>
  </si>
  <si>
    <t>Gastos de operación directos procedentes de propiedades de inversión no generadoras de ingresos por arrendamientos</t>
  </si>
  <si>
    <t>05703009</t>
  </si>
  <si>
    <t>Cambio acumulado en el valor razonable reconocido en el resultado del periodo por la venta de propiedades de inversión entre conjuntos de activos medidos usando diferentes modelos</t>
  </si>
  <si>
    <t>05703010</t>
  </si>
  <si>
    <t>Explicación de las restricciones sobre la realización de las propiedades de inversión o remisión de los ingresos y recursos obtenidos por su disposición</t>
  </si>
  <si>
    <t>05703011</t>
  </si>
  <si>
    <t>Restricciones sobre la realización de propiedades de inversión o la remisión de ingresos e importes obtenidos por su disposición</t>
  </si>
  <si>
    <t>05703012</t>
  </si>
  <si>
    <t>Explicación de obligaciones contractuales para adquisición, construcción o desarrollo de propiedades de inversión o por reparaciones, mantenimiento o mejoras</t>
  </si>
  <si>
    <t>05703013</t>
  </si>
  <si>
    <t>Información a revelar sobre ajustes significativos a la valoración obtenida [bloque de texto]</t>
  </si>
  <si>
    <t>05703014</t>
  </si>
  <si>
    <t>Descripción de propiedades de inversión, al costo dentro del modelo del valor razonable</t>
  </si>
  <si>
    <t>05703015</t>
  </si>
  <si>
    <t>Explicación de porqué el valor razonable no puede ser medido con fiabilidad para propiedades de inversión, al costo dentro del modelo del valor razonable</t>
  </si>
  <si>
    <t>05703016</t>
  </si>
  <si>
    <t>Rango de estimaciones dentro de las que es probable que se encuentre el valor razonable para propiedades de inversión, al costo dentro del modelo del valor razonable</t>
  </si>
  <si>
    <t>05703017</t>
  </si>
  <si>
    <t>Explicación de disposiciones de propiedades de inversión, al costo dentro del modelo del valor razonable</t>
  </si>
  <si>
    <t>05703018</t>
  </si>
  <si>
    <t>Propiedades de inversión contabilizadas al costo dentro del modelo del valor razonable, en el momento de la venta</t>
  </si>
  <si>
    <t>05703019</t>
  </si>
  <si>
    <t>Ganancias (pérdidas) por disposiciones de propiedades de inversión, contabilizadas al costo dentro del modelo del valor razonable</t>
  </si>
  <si>
    <t>05703020</t>
  </si>
  <si>
    <t>Método de depreciación, propiedades de inversión, modelo del costo</t>
  </si>
  <si>
    <t>05703021</t>
  </si>
  <si>
    <t>Vidas útiles o tasas de depreciación, propiedades de inversión, modelo del costo</t>
  </si>
  <si>
    <t>05703022</t>
  </si>
  <si>
    <t>Descripción de propiedades de inversión en los que la información sobre el valor razonable es poco fiable, modelo del costo</t>
  </si>
  <si>
    <t>05703023</t>
  </si>
  <si>
    <t>Explicación de porqué el valor razonable no puede a ser medido con fiabilidad para propiedades de inversión, modelo del costo</t>
  </si>
  <si>
    <t>05703024</t>
  </si>
  <si>
    <t>Rango de estimaciones dentro de las que es probable que se encuentre el valor razonable para propiedades de inversión, modelo del costo</t>
  </si>
  <si>
    <t>05800000</t>
  </si>
  <si>
    <t>[825480] Notas - Estados financieros separados</t>
  </si>
  <si>
    <t>05801002</t>
  </si>
  <si>
    <t>Información a revelar sobre estados financieros separados [bloque de texto]</t>
  </si>
  <si>
    <t>05801003</t>
  </si>
  <si>
    <t>05801004</t>
  </si>
  <si>
    <t>Descripción del hecho de que se haya utilizado la exención de consolidar</t>
  </si>
  <si>
    <t>05801005</t>
  </si>
  <si>
    <t>Descripción de las razones por las que se preparan estados financieros separados si no se requiere por estatutos</t>
  </si>
  <si>
    <t>05801006</t>
  </si>
  <si>
    <t>Nombre de la entidad cuyos estados financieros consolidados se han elaborado para uso público</t>
  </si>
  <si>
    <t>05801007</t>
  </si>
  <si>
    <t>Domicilio principal de la entidad cuyos estados financieros consolidados se han elaborado para uso público</t>
  </si>
  <si>
    <t>05801008</t>
  </si>
  <si>
    <t>País de incorporación de la entidad cuyos estados financieros consolidados se han elaborado para uso público</t>
  </si>
  <si>
    <t>05801009</t>
  </si>
  <si>
    <t>Dirección de donde pueden obtenerse los estados financieros consolidados</t>
  </si>
  <si>
    <t>05801010</t>
  </si>
  <si>
    <t>Información a revelar sobre participaciones en subsidiarias [bloque de texto]</t>
  </si>
  <si>
    <t>05801011</t>
  </si>
  <si>
    <t>Descripción de los juicios significativos y suposiciones realizadas para determinar que la entidad no controla otra entidad aun cuando mantenga más de la mitad de los derechos de voto</t>
  </si>
  <si>
    <t>05801012</t>
  </si>
  <si>
    <t>Descripción de los juicios significativos y suposiciones realizadas para determinar que la entidad controla otra entidad aun cuando mantenga menos de la mitad de los derechos de voto</t>
  </si>
  <si>
    <t>05801013</t>
  </si>
  <si>
    <t>Información a revelar sobre la forma en que la entidad acumuló sus participaciones en entidades subsidiarias</t>
  </si>
  <si>
    <t>05801014</t>
  </si>
  <si>
    <t>Información a revelar sobre la composición del grupo [bloque de texto]</t>
  </si>
  <si>
    <t>05801015</t>
  </si>
  <si>
    <t>05802001</t>
  </si>
  <si>
    <t>Subsidiarias [miembro]</t>
  </si>
  <si>
    <t>05802002</t>
  </si>
  <si>
    <t>Información a revelar sobre subsidiarias [resumen]</t>
  </si>
  <si>
    <t>05802003</t>
  </si>
  <si>
    <t>Información a revelar sobre subsidiarias [partidas]</t>
  </si>
  <si>
    <t>05802004</t>
  </si>
  <si>
    <t>Nombre de la subsidiaria</t>
  </si>
  <si>
    <t>05802005</t>
  </si>
  <si>
    <t>Domicilio principal de la subsidiaria</t>
  </si>
  <si>
    <t>05802006</t>
  </si>
  <si>
    <t>País donde está constituida la subsidiaria</t>
  </si>
  <si>
    <t>05802007</t>
  </si>
  <si>
    <t>Proporción de participaciones en la propiedad en subsidiarias</t>
  </si>
  <si>
    <t>05802008</t>
  </si>
  <si>
    <t>Proporción de derechos de voto mantenidos en subsidiarias</t>
  </si>
  <si>
    <t>05802009</t>
  </si>
  <si>
    <t>Ganancia (pérdida), atribuible a participaciones controladoras</t>
  </si>
  <si>
    <t>05802010</t>
  </si>
  <si>
    <t>Dividendos pagados a participaciones de otros</t>
  </si>
  <si>
    <t>Activos no corrientes</t>
  </si>
  <si>
    <t>Pasivos no corrientes</t>
  </si>
  <si>
    <t>05802017</t>
  </si>
  <si>
    <t>Fecha de terminación del periodo sobre el que se informa de los estados financieros de la subsidiaria</t>
  </si>
  <si>
    <t>05802019</t>
  </si>
  <si>
    <t>Descripción de las razones de utilizar diferentes fechas de presentación o periodos sobre los que se informa para subsidiarias</t>
  </si>
  <si>
    <t>05803002</t>
  </si>
  <si>
    <t>Descripción de restricciones significativas sobre la capacidad de la entidad para acceder o utilizar activos y liquidar pasivos del grupo</t>
  </si>
  <si>
    <t>05803003</t>
  </si>
  <si>
    <t>Activos a los que se aplican restricciones significativas</t>
  </si>
  <si>
    <t>05803004</t>
  </si>
  <si>
    <t>Pasivo al que se aplican restricciones significativas</t>
  </si>
  <si>
    <t>05803005</t>
  </si>
  <si>
    <t>Información a revelar sobre entidades estructuradas consolidadas</t>
  </si>
  <si>
    <t>05803006</t>
  </si>
  <si>
    <t>Descripción del hecho de que una asociada no se ha contabilizado aplicando el método de la participación</t>
  </si>
  <si>
    <t>05804002</t>
  </si>
  <si>
    <t>05805001</t>
  </si>
  <si>
    <t>Negocios conjuntos [miembro]</t>
  </si>
  <si>
    <t>05805002</t>
  </si>
  <si>
    <t>Información a revelar sobre negocios conjuntos [resumen]</t>
  </si>
  <si>
    <t>05805003</t>
  </si>
  <si>
    <t>Información a revelar sobre negocios conjuntos [partidas]</t>
  </si>
  <si>
    <t>05805004</t>
  </si>
  <si>
    <t>Nombre del negocio conjunto</t>
  </si>
  <si>
    <t>05805005</t>
  </si>
  <si>
    <t>Domicilio principal del negocio conjunto</t>
  </si>
  <si>
    <t>05805006</t>
  </si>
  <si>
    <t>País donde está constituido el negocio conjunto</t>
  </si>
  <si>
    <t>05805007</t>
  </si>
  <si>
    <t>Proporción de participaciones en la propiedad de negocios conjuntos</t>
  </si>
  <si>
    <t>05805008</t>
  </si>
  <si>
    <t>Proporción de derechos de voto mantenidos en negocios conjuntos</t>
  </si>
  <si>
    <t>05806001</t>
  </si>
  <si>
    <t>Información a revelar sobre inversiones significativas en en</t>
  </si>
  <si>
    <t>05806002</t>
  </si>
  <si>
    <t>Información a revelar sobre inversiones significativas en entidades controladas de forma conjunta [bloque de texto]</t>
  </si>
  <si>
    <t>05807001</t>
  </si>
  <si>
    <t>Entidades controladas de forma conjunta [miembro]</t>
  </si>
  <si>
    <t>05807002</t>
  </si>
  <si>
    <t>Información a revelar sobre inversiones significativas en entidades controladas de forma conjunta [sinopsis]</t>
  </si>
  <si>
    <t>05807003</t>
  </si>
  <si>
    <t>Información a revelar sobre inversiones significativas en entidades controladas de forma conjunta [partidas]</t>
  </si>
  <si>
    <t>05807004</t>
  </si>
  <si>
    <t>Nombre de la entidad controlada de forma conjunta</t>
  </si>
  <si>
    <t>05807005</t>
  </si>
  <si>
    <t>País de incorporación o residencia de la entidad controlada de forma conjunta</t>
  </si>
  <si>
    <t>05807006</t>
  </si>
  <si>
    <t>Proporción de participaciones en la propiedad en entidades controladas de forma conjunta</t>
  </si>
  <si>
    <t>05807007</t>
  </si>
  <si>
    <t>Proporción de poder de voto mantenido en entidades controladas de forma conjunta</t>
  </si>
  <si>
    <t>05808002</t>
  </si>
  <si>
    <t>05809001</t>
  </si>
  <si>
    <t>Asociadas [miembro]</t>
  </si>
  <si>
    <t>05809002</t>
  </si>
  <si>
    <t>Información a revelar sobre asociadas [resumen]</t>
  </si>
  <si>
    <t>05809003</t>
  </si>
  <si>
    <t>Información a revelar sobre asociadas [partidas]</t>
  </si>
  <si>
    <t>05809004</t>
  </si>
  <si>
    <t>Nombre de la asociada</t>
  </si>
  <si>
    <t>05809005</t>
  </si>
  <si>
    <t>Domicilio principal de la asociada</t>
  </si>
  <si>
    <t>05809006</t>
  </si>
  <si>
    <t>País donde está constituida la asociada</t>
  </si>
  <si>
    <t>05809007</t>
  </si>
  <si>
    <t>Proporción de participaciones en la propiedad en asociadas</t>
  </si>
  <si>
    <t>05809008</t>
  </si>
  <si>
    <t>Proporción de derechos de voto mantenidos en asociadas</t>
  </si>
  <si>
    <t>05810002</t>
  </si>
  <si>
    <t>Método utilizado para contabilizar las inversiones en subsidiarias</t>
  </si>
  <si>
    <t>05810003</t>
  </si>
  <si>
    <t>Método utilizado para contabilizar inversiones en negocios conjuntos</t>
  </si>
  <si>
    <t>05810004</t>
  </si>
  <si>
    <t>Método utilizado para contabilizar las inversiones en asociadas</t>
  </si>
  <si>
    <t>05810005</t>
  </si>
  <si>
    <t>Declaración de que una entidad de inversión prepara estados financieros separados como sus únicos estados financieros</t>
  </si>
  <si>
    <t>05810006</t>
  </si>
  <si>
    <t>Descripción de la identificación de los estados financieros con los que se relacionan los estados financieros separados</t>
  </si>
  <si>
    <t>05810007</t>
  </si>
  <si>
    <t>Identificación de información comparativa no ajustada</t>
  </si>
  <si>
    <t>05810008</t>
  </si>
  <si>
    <t>Declaración de que se ha preparado información comparativa sin ajustar sobre una base diferente</t>
  </si>
  <si>
    <t>05810009</t>
  </si>
  <si>
    <t>Explicación de la base de preparación de información comparativa no ajustada</t>
  </si>
  <si>
    <t>05900000</t>
  </si>
  <si>
    <t>[825500] Notas - Participaciones en negocios conjuntos</t>
  </si>
  <si>
    <t>05901002</t>
  </si>
  <si>
    <t>Información a revelar sobre participaciones en negocios conjuntos [bloque de texto]</t>
  </si>
  <si>
    <t>05901003</t>
  </si>
  <si>
    <t>Activos vinculados a negocios conjuntos [sinopsis]</t>
  </si>
  <si>
    <t>05901004</t>
  </si>
  <si>
    <t>Activos incurridos por el participante en relación con participaciones en negocios conjuntos</t>
  </si>
  <si>
    <t>05901005</t>
  </si>
  <si>
    <t>Participación en activos contingentes incurridos de forma conjunta con otros partícipes</t>
  </si>
  <si>
    <t>05901006</t>
  </si>
  <si>
    <t>Participación en activos contingentes de los propios negocios conjuntos</t>
  </si>
  <si>
    <t>05901007</t>
  </si>
  <si>
    <t>Activos contingentes para los que el participante tenga responsabilidad por los activos de los otros participantes</t>
  </si>
  <si>
    <t>05901008</t>
  </si>
  <si>
    <t>Otros activos vinculados a negocios conjuntos</t>
  </si>
  <si>
    <t>05901009</t>
  </si>
  <si>
    <t>Total activos vinculados a negocios conjuntos</t>
  </si>
  <si>
    <t>05901010</t>
  </si>
  <si>
    <t>Pasivos vinculados a negocios conjuntos [sinopsis]</t>
  </si>
  <si>
    <t>05901011</t>
  </si>
  <si>
    <t>Pasivos incurridos por el participante en relación con participaciones en negocios conjuntos</t>
  </si>
  <si>
    <t>05901012</t>
  </si>
  <si>
    <t>Participación en pasivos incurridos de forma conjunta con otros partícipes</t>
  </si>
  <si>
    <t>05901013</t>
  </si>
  <si>
    <t>Participación en pasivos de los propios negocios conjuntos</t>
  </si>
  <si>
    <t>05901014</t>
  </si>
  <si>
    <t>Pasivos para los que el participante tenga responsabilidad por los pasivos de los otros participantes</t>
  </si>
  <si>
    <t>05901015</t>
  </si>
  <si>
    <t>Otros pasivos vinculados a negocios conjuntos</t>
  </si>
  <si>
    <t>05901016</t>
  </si>
  <si>
    <t>Total pasivos vinculados a negocios conjuntos</t>
  </si>
  <si>
    <t>05901017</t>
  </si>
  <si>
    <t>Compromisos de capital de partícipes en relación a participaciones en negocios conjuntos</t>
  </si>
  <si>
    <t>05901018</t>
  </si>
  <si>
    <t>Porción de compromiso de inversión de capital incurrido conjuntamente con otros participantes</t>
  </si>
  <si>
    <t>05901019</t>
  </si>
  <si>
    <t>Compromisos de participación en el capital de negocios conjuntos en sí mismos</t>
  </si>
  <si>
    <t>05901020</t>
  </si>
  <si>
    <t>Información a revelar sobre participaciones en negocios conjuntos significativos [bloque de texto]</t>
  </si>
  <si>
    <t>05902002</t>
  </si>
  <si>
    <t>Información a revelar sobre negocios conjuntos [sinopsis]</t>
  </si>
  <si>
    <t>05902003</t>
  </si>
  <si>
    <t>05902004</t>
  </si>
  <si>
    <t>05902005</t>
  </si>
  <si>
    <t>Descripción de la naturaleza de la relación de la entidad con un negocio conjunto</t>
  </si>
  <si>
    <t>05902006</t>
  </si>
  <si>
    <t>05902007</t>
  </si>
  <si>
    <t>05902008</t>
  </si>
  <si>
    <t>05902009</t>
  </si>
  <si>
    <t>05902010</t>
  </si>
  <si>
    <t>Descripción de si las inversiones en negocios conjuntos se miden utilizando el método de la participación o al valor razonable</t>
  </si>
  <si>
    <t>05902011</t>
  </si>
  <si>
    <t>Descripción de la base de preparación de la información financiera resumida de negocios conjuntos</t>
  </si>
  <si>
    <t>05902012</t>
  </si>
  <si>
    <t>05902013</t>
  </si>
  <si>
    <t>05902014</t>
  </si>
  <si>
    <t>05902015</t>
  </si>
  <si>
    <t>05902016</t>
  </si>
  <si>
    <t>05902017</t>
  </si>
  <si>
    <t>05902018</t>
  </si>
  <si>
    <t>05902019</t>
  </si>
  <si>
    <t>05902020</t>
  </si>
  <si>
    <t>05902021</t>
  </si>
  <si>
    <t>05902022</t>
  </si>
  <si>
    <t>05902023</t>
  </si>
  <si>
    <t>05902024</t>
  </si>
  <si>
    <t>05902025</t>
  </si>
  <si>
    <t>Gasto por depreciación y amortización</t>
  </si>
  <si>
    <t>05902026</t>
  </si>
  <si>
    <t>05902027</t>
  </si>
  <si>
    <t>05902028</t>
  </si>
  <si>
    <t>Gasto (ingreso) por impuestos, operaciones continuadas</t>
  </si>
  <si>
    <t>05902029</t>
  </si>
  <si>
    <t>Valor razonable de inversiones en negocios conjuntos para las que existen precios de mercado cotizados</t>
  </si>
  <si>
    <t>05902030</t>
  </si>
  <si>
    <t>05902031</t>
  </si>
  <si>
    <t>Participación en las ganancias (pérdidas) de operaciones continuadas de asociadas y negocios conjuntos contabilizados utilizando el método de la participación</t>
  </si>
  <si>
    <t>05902032</t>
  </si>
  <si>
    <t>Participación en las ganancias (pérdidas) de operaciones discontinuadas de asociadas y negocios conjuntos contabilizados utilizando el método de la participación</t>
  </si>
  <si>
    <t>05902033</t>
  </si>
  <si>
    <t>Participación en otro resultado integral de asociadas y negocios conjuntos que se contabilicen utilizando el método de la participación, neto de impuestos</t>
  </si>
  <si>
    <t>05902034</t>
  </si>
  <si>
    <t>Participación en el resultado integral total de asociadas y negocios conjuntos contabilizados utilizando el método de la participación</t>
  </si>
  <si>
    <t>05902035</t>
  </si>
  <si>
    <t>Información a revelar sobre la conciliación de la información financiera resumida de negocios conjuntos contabilizados utilizando el método de la participación con el importe en libros de la participación en el negocio conjunto [bloque de texto]</t>
  </si>
  <si>
    <t>05902036</t>
  </si>
  <si>
    <t>Descripción de la naturaleza y alcance de restricciones significativas sobre transferencia de fondos a la entidad</t>
  </si>
  <si>
    <t>Fecha al final del periodo sobre el que se informa de los estados financieros del negocio conjunto</t>
  </si>
  <si>
    <t>05902038</t>
  </si>
  <si>
    <t>Descripción de la razón por la que se utiliza una fecha de presentación o un periodo sobre el que se informa diferente para negocios conjuntos</t>
  </si>
  <si>
    <t>05902039</t>
  </si>
  <si>
    <t>Participación en pérdidas de negocios conjuntos no reconocidas</t>
  </si>
  <si>
    <t>05902040</t>
  </si>
  <si>
    <t>Participación no reconocida acumulada en pérdidas de negocios conjuntos</t>
  </si>
  <si>
    <t>05902041</t>
  </si>
  <si>
    <t>Compromisos en relación con negocios conjuntos</t>
  </si>
  <si>
    <t>05902042</t>
  </si>
  <si>
    <t>Pasivos contingentes incurridos por el participante en relación con participaciones en negocios conjuntos</t>
  </si>
  <si>
    <t>05902043</t>
  </si>
  <si>
    <t>Participación en pasivos contingentes incurridos de forma conjunta con otros partícipes</t>
  </si>
  <si>
    <t>05903002</t>
  </si>
  <si>
    <t>Métodos utilizados para reconocer la participación en entidades controladas de forma conjunta</t>
  </si>
  <si>
    <t>06000000</t>
  </si>
  <si>
    <t>[825600] Notas - Inversiones en asociadas</t>
  </si>
  <si>
    <t>06001002</t>
  </si>
  <si>
    <t>Información a revelar sobre inversiones en asociadas [bloque de texto]</t>
  </si>
  <si>
    <t>06001003</t>
  </si>
  <si>
    <t>Valor razonable de inversiones en asociadas para las que existen precios de mercado cotizados</t>
  </si>
  <si>
    <t>06001004</t>
  </si>
  <si>
    <t>Descripción de la información de asociadas [bloque de texto]</t>
  </si>
  <si>
    <t>06002002</t>
  </si>
  <si>
    <t>Descripción de la información de asociadas [resumen]</t>
  </si>
  <si>
    <t>06002003</t>
  </si>
  <si>
    <t>Descripción de la información de asociadas [partidas]</t>
  </si>
  <si>
    <t>06002008</t>
  </si>
  <si>
    <t>Descripción de las razones por las que se rechaza la presunción de que un inversor no tiene influencia significativa cuando su participación en la entidad participada es inferior al veinte por ciento</t>
  </si>
  <si>
    <t>06002009</t>
  </si>
  <si>
    <t>Descripción de las razones por las que se rechaza la presunción de que un inversor no tiene influencia significativa cuando su participación en la entidad participada es superior al veinte por ciento</t>
  </si>
  <si>
    <t>Fecha de terminación del periodo sobre el que se informa de los estados financieros de la asociada</t>
  </si>
  <si>
    <t>06002011</t>
  </si>
  <si>
    <t>Descripción de la razón para utilizar una fecha sobre la que se informa o un periodo diferente para una asociada</t>
  </si>
  <si>
    <t>06002012</t>
  </si>
  <si>
    <t>Descripción de la naturaleza y alcance de restricciones significativas sobre la capacidad de la asociada para transferir fondos a inversionistas en forma de dividendos en efectivo, reembolsos de préstamos o anticipos</t>
  </si>
  <si>
    <t>06002013</t>
  </si>
  <si>
    <t>Porción de pérdidas de asociadas no reconocidas</t>
  </si>
  <si>
    <t>06002014</t>
  </si>
  <si>
    <t>Porción de pérdidas de la asociada acumuladas no reconocidas</t>
  </si>
  <si>
    <t>06002015</t>
  </si>
  <si>
    <t>06002016</t>
  </si>
  <si>
    <t>Participación en pasivos contingentes de asociadas incurridos de forma conjunta con otros inversores</t>
  </si>
  <si>
    <t>06002017</t>
  </si>
  <si>
    <t>Pasivos contingentes de asociadas para los que la entidad es responsable de forma solidaria</t>
  </si>
  <si>
    <t>06003002</t>
  </si>
  <si>
    <t>Participación en ganancias (pérdidas) de operaciones discontinuadas de asociadas contabilizadas utilizando el método de la participación</t>
  </si>
  <si>
    <t>Participación en ganancias (pérdidas) de asociadas contabilizadas utilizando el método de la participación</t>
  </si>
  <si>
    <t>06100000</t>
  </si>
  <si>
    <t>[825700] Notas - Participaciones en otras entidades</t>
  </si>
  <si>
    <t>06101002</t>
  </si>
  <si>
    <t>Información a revelar sobre participaciones en otras entidades [bloque de texto]</t>
  </si>
  <si>
    <t>06101003</t>
  </si>
  <si>
    <t>Información a revelar sobre juicios y suposiciones significativos realizados en relación a participaciones en otras entidades [bloque de texto]</t>
  </si>
  <si>
    <t>06101004</t>
  </si>
  <si>
    <t>06101005</t>
  </si>
  <si>
    <t>06101006</t>
  </si>
  <si>
    <t>Descripción de juicios y suposiciones significativas realizadas para determinar que la entidad es un agente o un principal</t>
  </si>
  <si>
    <t>06101007</t>
  </si>
  <si>
    <t>06101008</t>
  </si>
  <si>
    <t>06101009</t>
  </si>
  <si>
    <t>Información a revelar sobre la forma en que la entidad acumuló sus participaciones en entidades similares [bloque de texto]</t>
  </si>
  <si>
    <t>06102002</t>
  </si>
  <si>
    <t>Información a revelar sobre subsidiarias con participaciones no controladoras [resumen]</t>
  </si>
  <si>
    <t>06102003</t>
  </si>
  <si>
    <t>Información a revelar sobre subsidiarias no controladoras [partidas]</t>
  </si>
  <si>
    <t>06102004</t>
  </si>
  <si>
    <t>06102005</t>
  </si>
  <si>
    <t>06102006</t>
  </si>
  <si>
    <t>06102007</t>
  </si>
  <si>
    <t>Proporción de participaciones en la propiedad mantenidas por las participaciones no controladoras.</t>
  </si>
  <si>
    <t>06102008</t>
  </si>
  <si>
    <t>Proporción de derechos de voto mantenidos por las participaciones no controladoras</t>
  </si>
  <si>
    <t>06102009</t>
  </si>
  <si>
    <t>06102010</t>
  </si>
  <si>
    <t>06102011</t>
  </si>
  <si>
    <t>Dividendos pagados a participaciones no controladoras</t>
  </si>
  <si>
    <t>06102012</t>
  </si>
  <si>
    <t>06102013</t>
  </si>
  <si>
    <t>06102014</t>
  </si>
  <si>
    <t>06102015</t>
  </si>
  <si>
    <t>06102016</t>
  </si>
  <si>
    <t>06102017</t>
  </si>
  <si>
    <t>06102018</t>
  </si>
  <si>
    <t>06102019</t>
  </si>
  <si>
    <t>06102020</t>
  </si>
  <si>
    <t>06103002</t>
  </si>
  <si>
    <t>06103003</t>
  </si>
  <si>
    <t>Descripción de la naturaleza y medida en que derechos protectores de participaciones no controladoras pueden restringir de forma significativa la capacidad de la entidad para acceder o utilizar activos y liquidar pasivos del grupo</t>
  </si>
  <si>
    <t>06103004</t>
  </si>
  <si>
    <t>06103005</t>
  </si>
  <si>
    <t>06103006</t>
  </si>
  <si>
    <t>Información a revelar sobre entidades estructuradas consolidadas [bloque de texto]</t>
  </si>
  <si>
    <t>06104002</t>
  </si>
  <si>
    <t>Información a revelar sobre entidades estructuradas consolidadas [resumen]</t>
  </si>
  <si>
    <t>06104003</t>
  </si>
  <si>
    <t>Información a revelar sobre entidades estructuradas consolidadas [partidas]</t>
  </si>
  <si>
    <t>06104004</t>
  </si>
  <si>
    <t>Descripción de las condiciones de acuerdos contractuales que podrían requerir que la controladora o subsidiarias proporcionen respaldo financiero a entidades estructuradas</t>
  </si>
  <si>
    <t>06104005</t>
  </si>
  <si>
    <t>Descripción del tipo de respaldo proporcionado a entidades estructuradas sin tener una obligación contractual para hacerlo</t>
  </si>
  <si>
    <t>06104006</t>
  </si>
  <si>
    <t>Respaldo proporcionado a entidades estructuradas sin tener obligación contractual de hacerlo</t>
  </si>
  <si>
    <t>06104007</t>
  </si>
  <si>
    <t>Descripción de las razones para respaldar entidades estructuradas sin tener una obligación contractual para hacerlo</t>
  </si>
  <si>
    <t>06104008</t>
  </si>
  <si>
    <t>Explicación de los factores para alcanzar la decisión de proporcionar apoyo a entidades estructuradas no consolidadas con anterioridad que resulten en la obtención de control</t>
  </si>
  <si>
    <t>06104009</t>
  </si>
  <si>
    <t>Descripción de las intenciones de proporcionar apoyo a una entidad estructurada</t>
  </si>
  <si>
    <t>06105003</t>
  </si>
  <si>
    <t>Incrementos (disminuciones) por cambios las participaciones en la propiedad de subsidiarias que no dan lugar a pérdida de control, patrimonio atribuible a los propietarios de la controladora</t>
  </si>
  <si>
    <t>06105004</t>
  </si>
  <si>
    <t>Ganancias (pérdidas) reconocidas cuando se pierde el control de una subsidiaria</t>
  </si>
  <si>
    <t>06105005</t>
  </si>
  <si>
    <t>Parte de las ganancias (pérdidas) reconocidas cuando se pierde el control de una subsidiaria, atribuible al reconocer inversiones conservadas en subsidiarias anteriores</t>
  </si>
  <si>
    <t>06105006</t>
  </si>
  <si>
    <t>Descripción de la partida o partidas del resultado del periodo en la que se reconoce la ganancia (pérdida) cuando se pierde el control de la subsidiaria</t>
  </si>
  <si>
    <t>06105007</t>
  </si>
  <si>
    <t>Información a revelar sobre participaciones en asociadas [bloque de texto]</t>
  </si>
  <si>
    <t>06105008</t>
  </si>
  <si>
    <t>06106002</t>
  </si>
  <si>
    <t>Información a revelar sobre asociadas que no son significativas [resumen]</t>
  </si>
  <si>
    <t>06106003</t>
  </si>
  <si>
    <t>Información a revelar sobre asociadas que nos son significativas [partidas]</t>
  </si>
  <si>
    <t>06106004</t>
  </si>
  <si>
    <t>06106005</t>
  </si>
  <si>
    <t>Descripción de la naturaleza de la relación de la entidad con una asociada</t>
  </si>
  <si>
    <t>06106006</t>
  </si>
  <si>
    <t>06106007</t>
  </si>
  <si>
    <t>06106008</t>
  </si>
  <si>
    <t>06106009</t>
  </si>
  <si>
    <t>06106010</t>
  </si>
  <si>
    <t>Descripción de si las inversiones en asociadas se miden utilizando el método de la participación o al valor razonable</t>
  </si>
  <si>
    <t>06106011</t>
  </si>
  <si>
    <t>Descripción de la base de preparación de la información financiera resumida de asociadas</t>
  </si>
  <si>
    <t>06106012</t>
  </si>
  <si>
    <t>06106013</t>
  </si>
  <si>
    <t>06106014</t>
  </si>
  <si>
    <t>06106015</t>
  </si>
  <si>
    <t>06106016</t>
  </si>
  <si>
    <t>06106017</t>
  </si>
  <si>
    <t>06106018</t>
  </si>
  <si>
    <t>06106019</t>
  </si>
  <si>
    <t>06106020</t>
  </si>
  <si>
    <t>06106021</t>
  </si>
  <si>
    <t>06106022</t>
  </si>
  <si>
    <t>06106023</t>
  </si>
  <si>
    <t>06106024</t>
  </si>
  <si>
    <t>Parte de la ganancia (pérdida) por operaciones continuadas de asociadas y negocios conjuntos que se contabilicen utilizando el método de la participación</t>
  </si>
  <si>
    <t>06106025</t>
  </si>
  <si>
    <t>Parte de la ganancia (pérdida) después de impuestos por operaciones discontinuadas de asociadas y negocios conjuntos que se contabilicen utilizando el método de la participación</t>
  </si>
  <si>
    <t>06106026</t>
  </si>
  <si>
    <t>06106027</t>
  </si>
  <si>
    <t>06106028</t>
  </si>
  <si>
    <t>Información a revelar sobre la conciliación de la información financiera resumida de asociadas contabilizadas utilizando el método de la participación con el importe en libros de la participación en la asociada [bloque de texto]</t>
  </si>
  <si>
    <t>06106029</t>
  </si>
  <si>
    <t>06106030</t>
  </si>
  <si>
    <t>06106031</t>
  </si>
  <si>
    <t>06106032</t>
  </si>
  <si>
    <t>06106033</t>
  </si>
  <si>
    <t>06106034</t>
  </si>
  <si>
    <t>Pasivos contingentes incurridos en relación con participaciones en asociadas</t>
  </si>
  <si>
    <t>06106035</t>
  </si>
  <si>
    <t>06107002</t>
  </si>
  <si>
    <t>Información a revelar sobre participaciones en acuerdos conjuntos [bloque de texto]</t>
  </si>
  <si>
    <t>06107003</t>
  </si>
  <si>
    <t>Información a revelar sobre operaciones conjuntas [bloque de texto]</t>
  </si>
  <si>
    <t>06108002</t>
  </si>
  <si>
    <t>Información a revelar sobre operaciones conjuntas [resumen]</t>
  </si>
  <si>
    <t>06108003</t>
  </si>
  <si>
    <t>Información a revelar sobre operaciones conjuntas [partidas]</t>
  </si>
  <si>
    <t>06108004</t>
  </si>
  <si>
    <t>Nombre de la operación conjunta</t>
  </si>
  <si>
    <t>06108005</t>
  </si>
  <si>
    <t>Descripción de la naturaleza de la relación de la entidad con una operación conjunta</t>
  </si>
  <si>
    <t>06108006</t>
  </si>
  <si>
    <t>Domicilio principal de la operación conjunta</t>
  </si>
  <si>
    <t>06108007</t>
  </si>
  <si>
    <t>País donde está constituida la operación conjunta</t>
  </si>
  <si>
    <t>06108008</t>
  </si>
  <si>
    <t>Proporción de participaciones en la propiedad de operaciones conjuntas</t>
  </si>
  <si>
    <t>06108009</t>
  </si>
  <si>
    <t>Descripción de si las inversiones en operaciones conjuntas se miden utilizando el método de la participación o al valor razonable</t>
  </si>
  <si>
    <t>06108010</t>
  </si>
  <si>
    <t>Descripción de la base de preparación de la información financiera resumida de operaciones conjuntas</t>
  </si>
  <si>
    <t>06108011</t>
  </si>
  <si>
    <t>06108012</t>
  </si>
  <si>
    <t>06108013</t>
  </si>
  <si>
    <t>06108014</t>
  </si>
  <si>
    <t>06108015</t>
  </si>
  <si>
    <t>06108016</t>
  </si>
  <si>
    <t>06108017</t>
  </si>
  <si>
    <t>06108018</t>
  </si>
  <si>
    <t>06108019</t>
  </si>
  <si>
    <t>06108020</t>
  </si>
  <si>
    <t>06108021</t>
  </si>
  <si>
    <t>06108022</t>
  </si>
  <si>
    <t>06108023</t>
  </si>
  <si>
    <t>06108024</t>
  </si>
  <si>
    <t>06108025</t>
  </si>
  <si>
    <t>06108026</t>
  </si>
  <si>
    <t>06108027</t>
  </si>
  <si>
    <t>06109002</t>
  </si>
  <si>
    <t>06111002</t>
  </si>
  <si>
    <t>Información a revelar sobre negocios conjuntos que no son significativas [resumen]</t>
  </si>
  <si>
    <t>06111003</t>
  </si>
  <si>
    <t>Información a revelar sobre negocios conjuntos no significativos [partidas]</t>
  </si>
  <si>
    <t>06111004</t>
  </si>
  <si>
    <t>06111005</t>
  </si>
  <si>
    <t>06111006</t>
  </si>
  <si>
    <t>06111007</t>
  </si>
  <si>
    <t>06111008</t>
  </si>
  <si>
    <t>06111009</t>
  </si>
  <si>
    <t>06111010</t>
  </si>
  <si>
    <t>06111011</t>
  </si>
  <si>
    <t>06111012</t>
  </si>
  <si>
    <t>06111013</t>
  </si>
  <si>
    <t>06111014</t>
  </si>
  <si>
    <t>06111015</t>
  </si>
  <si>
    <t>06111016</t>
  </si>
  <si>
    <t>06111017</t>
  </si>
  <si>
    <t>06111018</t>
  </si>
  <si>
    <t>06111019</t>
  </si>
  <si>
    <t>06111020</t>
  </si>
  <si>
    <t>06111021</t>
  </si>
  <si>
    <t>06111022</t>
  </si>
  <si>
    <t>06111023</t>
  </si>
  <si>
    <t>06111024</t>
  </si>
  <si>
    <t>06111025</t>
  </si>
  <si>
    <t>06111026</t>
  </si>
  <si>
    <t>06111027</t>
  </si>
  <si>
    <t>06111028</t>
  </si>
  <si>
    <t>06111029</t>
  </si>
  <si>
    <t>06111030</t>
  </si>
  <si>
    <t>06111031</t>
  </si>
  <si>
    <t>06111032</t>
  </si>
  <si>
    <t>06111033</t>
  </si>
  <si>
    <t>06111034</t>
  </si>
  <si>
    <t>06111035</t>
  </si>
  <si>
    <t>06111036</t>
  </si>
  <si>
    <t>06111037</t>
  </si>
  <si>
    <t>06111038</t>
  </si>
  <si>
    <t>06111039</t>
  </si>
  <si>
    <t>06111040</t>
  </si>
  <si>
    <t>06111041</t>
  </si>
  <si>
    <t>06111042</t>
  </si>
  <si>
    <t>Pasivos contingentes incurridos en relación con participaciones en negocios conjuntos</t>
  </si>
  <si>
    <t>06111043</t>
  </si>
  <si>
    <t>Parte de pasivos contingentes de negocios conjuntos incurridos de forma conjunta con otros inversores</t>
  </si>
  <si>
    <t>06112002</t>
  </si>
  <si>
    <t>Información a revelar sobre participaciones en entidades estructuradas no consolidadas [bloque de texto]</t>
  </si>
  <si>
    <t>06112003</t>
  </si>
  <si>
    <t>Información a revelar sobre entidades estructuradas no consolidadas [bloque de texto]</t>
  </si>
  <si>
    <t>06113002</t>
  </si>
  <si>
    <t>Información a revelar sobre entidades estructuradas no consolidadas [resumen]</t>
  </si>
  <si>
    <t>06113003</t>
  </si>
  <si>
    <t>Información a revelar sobre entidades estructuradas no consolidadas [partidas]</t>
  </si>
  <si>
    <t>06113004</t>
  </si>
  <si>
    <t>Información a revelar sobre participaciones en entidad estructurada [bloque de texto]</t>
  </si>
  <si>
    <t>06113005</t>
  </si>
  <si>
    <t>Descripción de la forma en que la entidad determinó qué entidades estructuradas respaldó</t>
  </si>
  <si>
    <t>06113006</t>
  </si>
  <si>
    <t>Ingresos procedentes de entidades estructuradas</t>
  </si>
  <si>
    <t>06113007</t>
  </si>
  <si>
    <t>Descripción de los tipos de ingreso procedentes de entidades estructuradas</t>
  </si>
  <si>
    <t>06113008</t>
  </si>
  <si>
    <t>Activos transferidos a entidades estructuradas, en el momento de la transferencia</t>
  </si>
  <si>
    <t>06113009</t>
  </si>
  <si>
    <t>Activos reconocidos en los estados financieros de la entidad en relación con entidades estructuradas</t>
  </si>
  <si>
    <t>06113010</t>
  </si>
  <si>
    <t>Pasivo reconocido en los estados financieros de la entidad en relación con entidades estructuradas</t>
  </si>
  <si>
    <t>06113011</t>
  </si>
  <si>
    <t>Descripción de las partidas del estado de situación financiera en las que se reconocen los activos y pasivos reconocidos en relación con las entidades estructuradas</t>
  </si>
  <si>
    <t>06113012</t>
  </si>
  <si>
    <t>Máxima exposición a pérdidas por intereses en entidades estructuradas</t>
  </si>
  <si>
    <t>06113013</t>
  </si>
  <si>
    <t>Información sobre la forma en que se determina la exposición máxima a pérdidas por participaciones en entidades estructuradas</t>
  </si>
  <si>
    <t>06113014</t>
  </si>
  <si>
    <t>Descripción del hecho y razón por la que la exposición máxima a pérdidas procedentes de participaciones en entidades estructuradas no puede cuantificarse</t>
  </si>
  <si>
    <t>06113015</t>
  </si>
  <si>
    <t>Descripción de la comparación entre activos y pasivos reconocidos en relación con entidades estructuradas y la exposición máxima a pérdidas por participaciones en entidades estructuradas</t>
  </si>
  <si>
    <t>06113016</t>
  </si>
  <si>
    <t>06113017</t>
  </si>
  <si>
    <t>06113018</t>
  </si>
  <si>
    <t>06113019</t>
  </si>
  <si>
    <t>06113020</t>
  </si>
  <si>
    <t>Información adicional sobre la naturaleza de los riesgos asociados con participaciones en entidades estructuradas y cambios en dichos riesgos [bloque de texto]</t>
  </si>
  <si>
    <t>06113021</t>
  </si>
  <si>
    <t>06113022</t>
  </si>
  <si>
    <t>Pérdidas incurridas en relación a participaciones en entidades estructuradas</t>
  </si>
  <si>
    <t>06113023</t>
  </si>
  <si>
    <t>Descripción de si se requiere que la entidad absorba pérdidas de entidades estructuradas antes que otras partes</t>
  </si>
  <si>
    <t>06113024</t>
  </si>
  <si>
    <t>Límite máximo de pérdidas de entidades estructuradas que se requiere que la entidad absorba antes que otras partes</t>
  </si>
  <si>
    <t>06113025</t>
  </si>
  <si>
    <t>Información a revelar sobre la prioridad e importes de las pérdidas potenciales en entidades estructuradas soportadas por las partes cuyas participaciones están priorizadas por debajo de las participaciones de la entidad [bloque de texto]</t>
  </si>
  <si>
    <t>06113026</t>
  </si>
  <si>
    <t>Información a revelar sobre acuerdos de liquidez, garantías u otros compromisos con terceros que pueden afectar al valor razonable o riesgo de las participaciones en entidades estructuradas [bloque de texto]</t>
  </si>
  <si>
    <t>06113027</t>
  </si>
  <si>
    <t>Descripción de dificultades experimentadas por entidades estructuradas en la financiación de sus actividades</t>
  </si>
  <si>
    <t>06113028</t>
  </si>
  <si>
    <t>Información a revelar sobre las forma de financiación de entidades estructuradas y su promedio ponderado de vida [bloque de texto]</t>
  </si>
  <si>
    <t>06114002</t>
  </si>
  <si>
    <t>Información a revelar sobre entidades de inversión [bloque de texto]</t>
  </si>
  <si>
    <t>06114003</t>
  </si>
  <si>
    <t>Información sobre juicios significativos y suposiciones realizadas para determinar que esa entidad es entidad de inversión</t>
  </si>
  <si>
    <t>06114004</t>
  </si>
  <si>
    <t>Descripción de las razones para concluir que la entidad es una entidad de inversión si no tiene una o más características típicas</t>
  </si>
  <si>
    <t>06114005</t>
  </si>
  <si>
    <t>Descripción de cambios en el estatus de la entidad de inversión</t>
  </si>
  <si>
    <t>06114006</t>
  </si>
  <si>
    <t>Descripción de las razones de cambios en el estatus de la entidad de inversión</t>
  </si>
  <si>
    <t>06114007</t>
  </si>
  <si>
    <t>Información a revelar del efecto del cambio de estatus de una entidad de inversión sobre los estados financieros [bloque de texto]</t>
  </si>
  <si>
    <t>06114008</t>
  </si>
  <si>
    <t>Valor razonable de subsidiarias que dejan de consolidarse en la fecha del cambio de estatus de entidad de inversión</t>
  </si>
  <si>
    <t>06114009</t>
  </si>
  <si>
    <t>Ganancia (pérdida) por cese de consolidación de subsidiarias debido al cambio de estatus de entidad de inversión</t>
  </si>
  <si>
    <t>06114010</t>
  </si>
  <si>
    <t>Descripción de las partidas del resultado en las que se reconoce la ganancia (pérdida) por el cese de consolidación de subsidiarias</t>
  </si>
  <si>
    <t>06114011</t>
  </si>
  <si>
    <t>Declaración de que se requiere que una entidad de inversión aplique una excepción de consolidación</t>
  </si>
  <si>
    <t>06114012</t>
  </si>
  <si>
    <t>Información a revelar sobre subsidiarias no consolidadas [bloque de texto]</t>
  </si>
  <si>
    <t>06115002</t>
  </si>
  <si>
    <t>Información a revelar sobre subsidiarias no consolidadas [resumen]</t>
  </si>
  <si>
    <t>06115003</t>
  </si>
  <si>
    <t>Información a revelar sobre subsidiarias no consolidadas [partidas]</t>
  </si>
  <si>
    <t>06115004</t>
  </si>
  <si>
    <t>06115005</t>
  </si>
  <si>
    <t>06115006</t>
  </si>
  <si>
    <t>06115007</t>
  </si>
  <si>
    <t>06115008</t>
  </si>
  <si>
    <t>06115009</t>
  </si>
  <si>
    <t>06115010</t>
  </si>
  <si>
    <t>Descripción de los compromisos actuales o intenciones de proporcionar apoyo a una subsidiaria</t>
  </si>
  <si>
    <t>06115011</t>
  </si>
  <si>
    <t>Descripción del tipo de apoyo proporcionado a una subsidiaria por la entidad de inversión o sus subsidiarias sin tener obligación contractual de hacerlo</t>
  </si>
  <si>
    <t>06115012</t>
  </si>
  <si>
    <t>Apoyo proporcionado a una subsidiaria por la entidad de inversión o sus subsidiarias sin tener obligación contractual de hacerlo</t>
  </si>
  <si>
    <t>06115013</t>
  </si>
  <si>
    <t>Descripción de las razones para proporcionar apoyo a una subsidiaria por una entidad de inversión o sus subsidiarias sin tener obligación contractual de hacerlo</t>
  </si>
  <si>
    <t>06116002</t>
  </si>
  <si>
    <t>Información a revelar sobre entidades estructuradas no consolidadas controladas por una entidad de inversión [bloque de texto]</t>
  </si>
  <si>
    <t>06117002</t>
  </si>
  <si>
    <t>Información a revelar sobre entidades estructuradas no consolidadas controladas por una entidad de inversión [resumen]</t>
  </si>
  <si>
    <t>06117003</t>
  </si>
  <si>
    <t>Información a revelar sobre entidades estructuradas no consolidadas controladas por una entidad de inversión [partidas]</t>
  </si>
  <si>
    <t>06117004</t>
  </si>
  <si>
    <t>Descripción de los términos de acuerdos contractuales que podrían requerir que una entidad de inversión o sus subsidiarias proporcione apoyo financiero a una entidad estructurada no consolidada controlada por la entidad de inversión</t>
  </si>
  <si>
    <t>06117005</t>
  </si>
  <si>
    <t>Explicación de los factores relevantes para alcanzar la decisión de proporcionar apoyo que dio lugar al control de una entidad estructurada no consolidada</t>
  </si>
  <si>
    <t>06118002</t>
  </si>
  <si>
    <t>Descripción del hecho de que la entidad no tiene obligación legal o implícita sobre activos netos negativos, transición de la consolidación proporcional al método de la participación</t>
  </si>
  <si>
    <t>06118003</t>
  </si>
  <si>
    <t>Participación no reconocida acumulada en pérdidas de negocios conjuntos, transición de la consolidación proporcional al método de la participación</t>
  </si>
  <si>
    <t>06118004</t>
  </si>
  <si>
    <t>Información a revelar sobre el desglose de los activos y pasivos acumulados en una sola partida del saldo de inversión, transición de la consolidación proporcional al método de la participación [bloque de texto]</t>
  </si>
  <si>
    <t>06118005</t>
  </si>
  <si>
    <t>Información a revelar sobre la conciliación entre inversiones dadas de baja en cuentas y activos y pasivos reconocidos, transición del método de la participación a la contabilización de activos y pasivos [bloque de texto]</t>
  </si>
  <si>
    <t>06118007</t>
  </si>
  <si>
    <t>06118008</t>
  </si>
  <si>
    <t>06118009</t>
  </si>
  <si>
    <t>06200000</t>
  </si>
  <si>
    <t>[825900] Notas - Activos no corrientes mantenidos para la venta y operaciones discontinuadas</t>
  </si>
  <si>
    <t>06201002</t>
  </si>
  <si>
    <t>06201003</t>
  </si>
  <si>
    <t>Ingresos de actividades ordinarias, operaciones discontinuadas</t>
  </si>
  <si>
    <t>06201004</t>
  </si>
  <si>
    <t>Gastos, operaciones discontinuadas</t>
  </si>
  <si>
    <t>06201005</t>
  </si>
  <si>
    <t>Ganancia (pérdida) antes de impuestos, operaciones discontinuadas</t>
  </si>
  <si>
    <t>06201006</t>
  </si>
  <si>
    <t>Gasto por impuestos relacionado con ganancias (pérdidas) procedentes de actividades ordinarias de operaciones discontinuadas</t>
  </si>
  <si>
    <t>06201007</t>
  </si>
  <si>
    <t>Ganancias (pérdidas) reconocidas por la medición a valor razonable menos los costos de venta o en la disposición de activos o grupos de activos para su disposición que constituyen operaciones discontinuadas</t>
  </si>
  <si>
    <t>06201008</t>
  </si>
  <si>
    <t>Gasto por impuestos relacionado con ganancias (pérdidas) derivadas de la discontinuación</t>
  </si>
  <si>
    <t>06201009</t>
  </si>
  <si>
    <t>Flujos de efectivo procedentes de operaciones continuadas y discontinuadas [sinopsis]</t>
  </si>
  <si>
    <t>06201010</t>
  </si>
  <si>
    <t>Flujos de efectivo netos procedentes de (utilizados en) actividades de operación, operaciones continuadas</t>
  </si>
  <si>
    <t>06201012</t>
  </si>
  <si>
    <t>Flujos de efectivo netos procedentes de (utilizados en) actividades de operación, operaciones discontinuadas</t>
  </si>
  <si>
    <t>06201013</t>
  </si>
  <si>
    <t>06201014</t>
  </si>
  <si>
    <t>Flujos de efectivo netos procedentes de (utilizados en) actividades de inversión, operaciones continuadas</t>
  </si>
  <si>
    <t>06201016</t>
  </si>
  <si>
    <t>Flujos de efectivo netos procedentes de (utilizados en) actividades de inversión, operaciones discontinuadas</t>
  </si>
  <si>
    <t>06201017</t>
  </si>
  <si>
    <t>06201018</t>
  </si>
  <si>
    <t>Flujos de efectivo netos procedentes de (utilizados en) actividades de financiación, operaciones continuadas</t>
  </si>
  <si>
    <t>06201020</t>
  </si>
  <si>
    <t>Flujos de efectivo netos procedentes de (utilizados en) actividades de financiación, operaciones discontinuadas</t>
  </si>
  <si>
    <t>06201021</t>
  </si>
  <si>
    <t>06201022</t>
  </si>
  <si>
    <t>Incrementos (disminuciones) del efectivo y equivalentes al efectivo, operaciones discontinuadas</t>
  </si>
  <si>
    <t>06201024</t>
  </si>
  <si>
    <t>06201025</t>
  </si>
  <si>
    <t>06201026</t>
  </si>
  <si>
    <t>06201027</t>
  </si>
  <si>
    <t>Explicación de la naturaleza y ajustes a importes anteriormente presentados en operaciones discontinuadas</t>
  </si>
  <si>
    <t>06201028</t>
  </si>
  <si>
    <t>Descripción de los activos no corrientes o grupos de activos para su disposición mantenidos para la venta</t>
  </si>
  <si>
    <t>06201029</t>
  </si>
  <si>
    <t>Descripción de los activos no corrientes o grupos de activos para su disposición mantenidos para la venta que fueron vendido o reclasificados</t>
  </si>
  <si>
    <t>06201030</t>
  </si>
  <si>
    <t>Monto de los BRDP superiores a dos años</t>
  </si>
  <si>
    <t>06201031</t>
  </si>
  <si>
    <t>Explicación de hechos y circunstancias de venta o reclasificación y disposiciones esperadas, forma y plazos</t>
  </si>
  <si>
    <t>06201032</t>
  </si>
  <si>
    <t>Ganancias (pérdidas) por incrementos posteriores en el valor razonable menos los costos de venta que no exceden las pérdidas por deterioro del valor acumulado reconocidas o disminuciones del valor razonable menos los costos de venta</t>
  </si>
  <si>
    <t>06201033</t>
  </si>
  <si>
    <t>Descripción del segmento en el que se presenta el activo no corriente o grupos de activos para su disposición mantenidos para la venta</t>
  </si>
  <si>
    <t>06201034</t>
  </si>
  <si>
    <t>Explicación del efecto de cambios en el plan de venta de activos no corrientes o grupos de activos para su disposición mantenidos para la venta en los resultados de las operaciones del periodo corriente</t>
  </si>
  <si>
    <t>06201035</t>
  </si>
  <si>
    <t>Explicación del efecto de cambios en el plan de venta de activos no corrientes o grupos de activos para su disposición mantenidos para la venta en los resultados de las operaciones de periodos anteriores</t>
  </si>
  <si>
    <t>06201036</t>
  </si>
  <si>
    <t>Descripción de cambios en el plan de venta de activos no corrientes o grupos de activos para su disposición mantenidos para la venta</t>
  </si>
  <si>
    <t>06300000</t>
  </si>
  <si>
    <t>[826380] Notas - Inventarios -</t>
  </si>
  <si>
    <t>06300002</t>
  </si>
  <si>
    <t>06300003</t>
  </si>
  <si>
    <t>06300004</t>
  </si>
  <si>
    <t>Descripción de las fórmulas del costo de inventario</t>
  </si>
  <si>
    <t>06300005</t>
  </si>
  <si>
    <t>Inventarios al valor razonable menos los costos de venta</t>
  </si>
  <si>
    <t>06300006</t>
  </si>
  <si>
    <t>06300007</t>
  </si>
  <si>
    <t>06300008</t>
  </si>
  <si>
    <t>Descripción de las circunstancias que conducen a reversiones de rebajas de inventarios</t>
  </si>
  <si>
    <t>06300009</t>
  </si>
  <si>
    <t>Costo de inventarios reconocidos como gasto durante el periodo</t>
  </si>
  <si>
    <t>06300010</t>
  </si>
  <si>
    <t>Inventarios pignorados como garantía de pasivos</t>
  </si>
  <si>
    <t>06400000</t>
  </si>
  <si>
    <t>[827570] Notas - Otras provisiones, pasivos contingentes y activos contingentes -</t>
  </si>
  <si>
    <t>06401002</t>
  </si>
  <si>
    <t>Información a revelar sobre otras provisiones, pasivos contingentes y activos contingentes [bloque de texto]</t>
  </si>
  <si>
    <t>06401003</t>
  </si>
  <si>
    <t>Información a revelar sobre otras provisiones [bloque de texto]</t>
  </si>
  <si>
    <t>06402002</t>
  </si>
  <si>
    <t>Información a revelar sobre otras provisiones [sinopsis]</t>
  </si>
  <si>
    <t>06402003</t>
  </si>
  <si>
    <t>Información a revelar sobre otras provisiones [partidas]</t>
  </si>
  <si>
    <t>06402004</t>
  </si>
  <si>
    <t>Conciliación de cambios en otras provisiones [sinopsis]</t>
  </si>
  <si>
    <t>Otras provisiones al comienzo del periodo</t>
  </si>
  <si>
    <t>06402006</t>
  </si>
  <si>
    <t>Cambios en otras provisiones [sinopsis]</t>
  </si>
  <si>
    <t>06402007</t>
  </si>
  <si>
    <t>Provisiones adicionales, otras provisiones [resumen]</t>
  </si>
  <si>
    <t>Provisiones nuevas, otras provisiones</t>
  </si>
  <si>
    <t>Incremento (disminución) en provisiones existentes, otras provisiones</t>
  </si>
  <si>
    <t>06402010</t>
  </si>
  <si>
    <t>Total provisiones adicionales, otras provisiones</t>
  </si>
  <si>
    <t>06402011</t>
  </si>
  <si>
    <t>Adquisiciones realizadas mediante combinaciones de negocios, otras provisiones</t>
  </si>
  <si>
    <t>Provisiones utilizadas, otras provisiones</t>
  </si>
  <si>
    <t>Provisiones revertidas no utilizadas, otras provisiones</t>
  </si>
  <si>
    <t>06402014</t>
  </si>
  <si>
    <t>Incremento por ajustes que surgen por el paso del tiempo, otras provisiones</t>
  </si>
  <si>
    <t>06402015</t>
  </si>
  <si>
    <t>Incremento (disminución) por cambios en la tasa de descuento, otras provisiones</t>
  </si>
  <si>
    <t>06402016</t>
  </si>
  <si>
    <t>Incremento (disminución) por diferencias de cambio netas, otras provisiones</t>
  </si>
  <si>
    <t>06402017</t>
  </si>
  <si>
    <t>Disminución por la pérdida de control de una subsidiaria, otras provisiones</t>
  </si>
  <si>
    <t>06402018</t>
  </si>
  <si>
    <t>Incremento (disminución) por transferencias y otros cambios, otras provisiones</t>
  </si>
  <si>
    <t>06402019</t>
  </si>
  <si>
    <t>Disminución por transferencias a pasivos incluidos en grupos de activos para su disposición clasificados como mantenidos para la venta, otras provisiones</t>
  </si>
  <si>
    <t>06402020</t>
  </si>
  <si>
    <t>Total incremento (disminución) en otras provisiones</t>
  </si>
  <si>
    <t>06402021</t>
  </si>
  <si>
    <t>Otras provisiones al final del periodo</t>
  </si>
  <si>
    <t>06402022</t>
  </si>
  <si>
    <t>Descripción de la naturaleza de obligaciones, otras provisiones</t>
  </si>
  <si>
    <t>06402023</t>
  </si>
  <si>
    <t>Descripción del calendario esperado de flujos de salida, otras provisiones</t>
  </si>
  <si>
    <t>06402024</t>
  </si>
  <si>
    <t>Indicación de incertidumbres de importes o calendario de salidas, otras provisiones</t>
  </si>
  <si>
    <t>06402025</t>
  </si>
  <si>
    <t>Descripción de las hipótesis más importantes realizadas sobre eventos futuros, otras provisiones</t>
  </si>
  <si>
    <t>06402026</t>
  </si>
  <si>
    <t>Activo reconocido por reembolsos esperados, otras provisiones</t>
  </si>
  <si>
    <t>06402027</t>
  </si>
  <si>
    <t>Reembolso esperado, otras provisiones</t>
  </si>
  <si>
    <t>06403001</t>
  </si>
  <si>
    <t>Información a revelar sobre pasivos contingentes [bloque de texto] -</t>
  </si>
  <si>
    <t>06404002</t>
  </si>
  <si>
    <t>Información a revelar sobre pasivos contingentes [sinopsis]</t>
  </si>
  <si>
    <t>06404003</t>
  </si>
  <si>
    <t>Información a revelar sobre pasivos contingentes [partidas]</t>
  </si>
  <si>
    <t>06404004</t>
  </si>
  <si>
    <t>Descripción de la naturaleza de obligaciones, pasivos contingentes</t>
  </si>
  <si>
    <t>06404005</t>
  </si>
  <si>
    <t>Explicación del efecto financiero estimado de los pasivos contingentes</t>
  </si>
  <si>
    <t>06404006</t>
  </si>
  <si>
    <t>Efecto financiero esperado de pasivos contingentes</t>
  </si>
  <si>
    <t>06404007</t>
  </si>
  <si>
    <t>Explicación de la posibilidad de reembolso, pasivos contingentes</t>
  </si>
  <si>
    <t>06404008</t>
  </si>
  <si>
    <t>Indicación de incertidumbres de importes o calendario de salidas, pasivos contingentes</t>
  </si>
  <si>
    <t>06405002</t>
  </si>
  <si>
    <t>Descripción de la naturaleza de activos contingentes</t>
  </si>
  <si>
    <t>06405003</t>
  </si>
  <si>
    <t>Explicación del efecto financiero estimado de activos contingentes</t>
  </si>
  <si>
    <t>06405004</t>
  </si>
  <si>
    <t>Efecto financiero esperado de activos contingentes</t>
  </si>
  <si>
    <t>06405005</t>
  </si>
  <si>
    <t>Información sobre activos contingentes cuya información a revelar no es practicable</t>
  </si>
  <si>
    <t>06405006</t>
  </si>
  <si>
    <t>Información sobre pasivos contingentes cuya información a revelar no es practicable</t>
  </si>
  <si>
    <t>06405007</t>
  </si>
  <si>
    <t>Explicación de la naturaleza general del conflicto y de la razón para no revelar información con respecto a provisiones</t>
  </si>
  <si>
    <t>06405008</t>
  </si>
  <si>
    <t>Explicación de la naturaleza general del conflicto y de la razón para no revelar información con respecto a pasivos contingentes</t>
  </si>
  <si>
    <t>06405009</t>
  </si>
  <si>
    <t>Explicación de la naturaleza general del conflicto y de la razón para no revelar información con respecto a activos contingentes</t>
  </si>
  <si>
    <t>06501002</t>
  </si>
  <si>
    <t>06501003</t>
  </si>
  <si>
    <t>06600000</t>
  </si>
  <si>
    <t>[831710] Notas - Contratos de construcción</t>
  </si>
  <si>
    <t>06601002</t>
  </si>
  <si>
    <t>06601003</t>
  </si>
  <si>
    <t>Detalle y valor de los ingresos de actividades ordinarias procedentes de contratos de construcción</t>
  </si>
  <si>
    <t>06601004</t>
  </si>
  <si>
    <t>Métodos utilizados para determinar los ingresos de actividades ordinarias por contratos de construcción reconocidos</t>
  </si>
  <si>
    <t>06601005</t>
  </si>
  <si>
    <t>Métodos utilizados para determinar el grado de avance de construcciones en curso</t>
  </si>
  <si>
    <t>06601006</t>
  </si>
  <si>
    <t>Costos incurridos y ganancias reconocidas (menos pérdidas reconocidas)</t>
  </si>
  <si>
    <t>06601007</t>
  </si>
  <si>
    <t>Anticipos recibidos por contratos en curso</t>
  </si>
  <si>
    <t>06601008</t>
  </si>
  <si>
    <t>Retenciones por contratos en curso</t>
  </si>
  <si>
    <t>06601009</t>
  </si>
  <si>
    <t>Valores bruto pendiente por cobrar a los clientes por contratos de construcción como activo</t>
  </si>
  <si>
    <t>06601010</t>
  </si>
  <si>
    <t>Valores brutos por pagar a los clientes por contratos de construcción como pasivo</t>
  </si>
  <si>
    <t>06601011</t>
  </si>
  <si>
    <t>Facturaciones por avance de obra</t>
  </si>
  <si>
    <t>06700000</t>
  </si>
  <si>
    <t>[832410] Notas - Deterioro del valor de activos -</t>
  </si>
  <si>
    <t>06701002</t>
  </si>
  <si>
    <t>06701003</t>
  </si>
  <si>
    <t>Información a revelar sobre pérdidas por deterioro del valor y reversión de las pérdidas por deterioro del valor [bloque de texto]</t>
  </si>
  <si>
    <t>06702002</t>
  </si>
  <si>
    <t>Información a revelar sobre pérdidas por deterioro del valor y reversión de las pérdidas por deterioro del valor [sinopsis]</t>
  </si>
  <si>
    <t>06702003</t>
  </si>
  <si>
    <t>Información a revelar sobre pérdidas por deterioro del valor y reversión de las pérdidas por deterioro del valor [partidas]</t>
  </si>
  <si>
    <t>Pérdidas por deterioro de valor reconocidas en el resultado del periodo</t>
  </si>
  <si>
    <t>06702005</t>
  </si>
  <si>
    <t>Descripción de la partida o partidas del estado del resultado integral en las que se incluyen las pérdidas por deterioro de valor reconocidas en el resultado del periodo</t>
  </si>
  <si>
    <t>06702006</t>
  </si>
  <si>
    <t>Reversión de pérdidas por deterioro de valor reconocidas en el resultado del periodo</t>
  </si>
  <si>
    <t>06702007</t>
  </si>
  <si>
    <t>Descripción de la partida o partidas del estado del resultado integral en las que se revierten las pérdidas por deterioro de valor reconocidas en el resultado del periodo</t>
  </si>
  <si>
    <t>06702008</t>
  </si>
  <si>
    <t>Pérdidas por deterioro de valor reconocidas en otro resultado integral</t>
  </si>
  <si>
    <t>06702009</t>
  </si>
  <si>
    <t>Descripción de la partida o partidas en las que se incluyen las pérdidas por deterioro de valor reconocidas en el otro resultado integral del periodo</t>
  </si>
  <si>
    <t>06702010</t>
  </si>
  <si>
    <t>Reversión de pérdidas por deterioro de valor reconocidas en otro resultado integral</t>
  </si>
  <si>
    <t>06702011</t>
  </si>
  <si>
    <t>Descripción de la partida o partidas en las que se revierten las pérdidas por deterioro de valor reconocidas en el otro resultado integral del periodo</t>
  </si>
  <si>
    <t>06703002</t>
  </si>
  <si>
    <t>Información a revelar para cada pérdida por deterioro de valor significativa reconocida o que haya revertido para activos individuales o unidades generadoras de efectivo [sinopsis]</t>
  </si>
  <si>
    <t>06703003</t>
  </si>
  <si>
    <t>Información a revelar para cada pérdida por deterioro de valor significativa reconocida o que haya revertido para activos individuales o unidades generadoras de efectivo [partidas]</t>
  </si>
  <si>
    <t>06703004</t>
  </si>
  <si>
    <t>Explicación de los principales eventos y circunstancias que han llevado al reconocimiento de pérdidas por deterioro del valor y reversiones de pérdidas por deterioro del valor</t>
  </si>
  <si>
    <t>Pérdidas por deterioro de valor</t>
  </si>
  <si>
    <t>06703006</t>
  </si>
  <si>
    <t>Reversión de la pérdida por deterioro de valor</t>
  </si>
  <si>
    <t>06703007</t>
  </si>
  <si>
    <t>Descripción de la naturaleza de activos individuales</t>
  </si>
  <si>
    <t>06703008</t>
  </si>
  <si>
    <t>Descripción del segmento sobre el que se debe informar al que pertenece el activo individual</t>
  </si>
  <si>
    <t>06703009</t>
  </si>
  <si>
    <t>Descripción de la unidad generadora de efectivo</t>
  </si>
  <si>
    <t>06703010</t>
  </si>
  <si>
    <t>Descripción de las formas actuales y anteriores de agregar activos</t>
  </si>
  <si>
    <t>06703011</t>
  </si>
  <si>
    <t>Descripción de las razones para cambiar la forma en que se identifica la unidad generadora de efectivo</t>
  </si>
  <si>
    <t>06703012</t>
  </si>
  <si>
    <t>Información de si el importe recuperable del activo es el valor razonable menos los costos de disposición o el valor en uso</t>
  </si>
  <si>
    <t>06703013</t>
  </si>
  <si>
    <t>Descripción de la base utilizada para medir el valor razonable menos los costos de disposición</t>
  </si>
  <si>
    <t>06703014</t>
  </si>
  <si>
    <t>Tasa de descuento utilizada en estimaciones actuales del valor en uso</t>
  </si>
  <si>
    <t>06703015</t>
  </si>
  <si>
    <t>Tasa de descuento utilizada en estimaciones anteriores del valor en uso</t>
  </si>
  <si>
    <t>06704002</t>
  </si>
  <si>
    <t>Información a revelar sobre pérdidas por deterioro de valor reconocidas o revertidas [resumen]</t>
  </si>
  <si>
    <t>06704003</t>
  </si>
  <si>
    <t>Información a revelar sobre pérdidas por deterioro de valor reconocidas o revertidas [partidas]</t>
  </si>
  <si>
    <t>06704004</t>
  </si>
  <si>
    <t>06704005</t>
  </si>
  <si>
    <t>06705002</t>
  </si>
  <si>
    <t>06705003</t>
  </si>
  <si>
    <t>Explicación de las principales clases de activos afectados por pérdidas por deterioro de valor o reversiones de pérdidas por deterioros de valor</t>
  </si>
  <si>
    <t>06705004</t>
  </si>
  <si>
    <t>Plusvalía no distribuida</t>
  </si>
  <si>
    <t>06705005</t>
  </si>
  <si>
    <t>Explicación de la plusvalía no asignada a la unidad generadora de efectivo</t>
  </si>
  <si>
    <t>06705006</t>
  </si>
  <si>
    <t>Explicación del hecho de que la suma del importe en libros de la plusvalía o de los activos intangibles con vidas útiles indefinidas no es significativa</t>
  </si>
  <si>
    <t>06705007</t>
  </si>
  <si>
    <t>Explicación del hecho de que el total del importe en libros agregado de la plusvalía o activos intangibles con vidas útiles indefinidas atribuidas a unidades generadoras de efectivo es significativo</t>
  </si>
  <si>
    <t>06706001</t>
  </si>
  <si>
    <t>Información a revelar sobre las unidades generadoras de efectivo [bloque de texto]</t>
  </si>
  <si>
    <t>06707002</t>
  </si>
  <si>
    <t>Información a revelar sobre las unidades generadoras de efectivo [partidas]</t>
  </si>
  <si>
    <t>06707003</t>
  </si>
  <si>
    <t>06707004</t>
  </si>
  <si>
    <t>06707005</t>
  </si>
  <si>
    <t>Importe recuperable de unidades o grupo de unidades</t>
  </si>
  <si>
    <t>06707006</t>
  </si>
  <si>
    <t>Descripción de la base sobre la que se ha determinado el importe recuperable de la unidad</t>
  </si>
  <si>
    <t>06707007</t>
  </si>
  <si>
    <t>Descripción de las hipótesis clave sobre las que la gerencia ha basado las proyecciones de flujos de efectivo</t>
  </si>
  <si>
    <t>06707008</t>
  </si>
  <si>
    <t>Descripción de las técnicas de valoración utilizadas para medir el valor razonable menos los costos de disposición</t>
  </si>
  <si>
    <t>06707009</t>
  </si>
  <si>
    <t>Descripción de las suposiciones clave sobre las cuales la gerencia ha basado la determinación del valor razonable menos los costos de disposición</t>
  </si>
  <si>
    <t>06707010</t>
  </si>
  <si>
    <t>Descripción del enfoque de la gerencia para determinar los valores asignados a las hipótesis clave</t>
  </si>
  <si>
    <t>06707011</t>
  </si>
  <si>
    <t>Descripción del nivel de la jerarquía del valor razonable dentro del que se clasifica la medición del valor razonable</t>
  </si>
  <si>
    <t>06707012</t>
  </si>
  <si>
    <t>Descripción del cambio en la técnica de valoración utilizada para la medición del valor razonable, activos</t>
  </si>
  <si>
    <t>06707013</t>
  </si>
  <si>
    <t>Descripción de las razones del cambio en una técnica de valoración utilizada para la medición del valor razonable, activos</t>
  </si>
  <si>
    <t>06707014</t>
  </si>
  <si>
    <t>Explicación del periodo en el que la gerencia ha proyectado los flujos de efectivo</t>
  </si>
  <si>
    <t>06707015</t>
  </si>
  <si>
    <t>La tasa de crecimiento utilizada para extrapolar las proyecciones de flujo de efectivo.</t>
  </si>
  <si>
    <t>06707016</t>
  </si>
  <si>
    <t>Descripción de la justificación de utilizar una tasa de crecimiento que excede la tasa de crecimiento promedio a largo plazo</t>
  </si>
  <si>
    <t>06707017</t>
  </si>
  <si>
    <t>Tasa de descuento aplicada a proyecciones de flujos de efectivo</t>
  </si>
  <si>
    <t>06707018</t>
  </si>
  <si>
    <t>Cantidad en la que el importe recuperable de la unidad excede su valor en libros</t>
  </si>
  <si>
    <t>06707019</t>
  </si>
  <si>
    <t>Explicación del valor asignado a las hipótesis clave</t>
  </si>
  <si>
    <t>06707020</t>
  </si>
  <si>
    <t>Importe en que debe cambiar el valor asignado a las hipótesis clave para que el importe recuperable de la unidad sea igual al importe en libros</t>
  </si>
  <si>
    <t>06708002</t>
  </si>
  <si>
    <t>Información a revelar para cada pérdida por deterioro de valor significativa reconocida o que haya revertido para activos individuales o unidades generadoras de efectivo [bloque de texto]</t>
  </si>
  <si>
    <t>06709002</t>
  </si>
  <si>
    <t>Explicación sobre pérdidas por deterioros de valor reconocidos o revertidos [bloque de texto]</t>
  </si>
  <si>
    <t>06800000</t>
  </si>
  <si>
    <t>[832600] Notas - Arrendamientos</t>
  </si>
  <si>
    <t>06801002</t>
  </si>
  <si>
    <t>06801003</t>
  </si>
  <si>
    <t>Información a revelar por el arrendatario sobre arrendamientos financieros reconocidos como activos [bloque de texto]</t>
  </si>
  <si>
    <t>06802002</t>
  </si>
  <si>
    <t>Información a revelar por el arrendatario sobre arrendamientos financieros reconocidos como activos [sinopsis]</t>
  </si>
  <si>
    <t>06802003</t>
  </si>
  <si>
    <t>Información a revelar por el arrendatario sobre arrendamientos financieros reconocidos como activos [partidas]</t>
  </si>
  <si>
    <t>06802004</t>
  </si>
  <si>
    <t>Arrendamientos financieros reconocidos como activos</t>
  </si>
  <si>
    <t>06803002</t>
  </si>
  <si>
    <t>Información a revelar por el arrendatario sobre arrendamientos financieros y operativos [bloque de texto]</t>
  </si>
  <si>
    <t>06804002</t>
  </si>
  <si>
    <t>Información a revelar por el arrendatario sobre arrendamientos financieros y operativos [sinopsis]</t>
  </si>
  <si>
    <t>06804003</t>
  </si>
  <si>
    <t>Información a revelar por el arrendatario sobre arrendamientos financieros y operativos [partidas]</t>
  </si>
  <si>
    <t>06804004</t>
  </si>
  <si>
    <t>Pagos mínimos de arrendamientos financieros por pagar</t>
  </si>
  <si>
    <t>06804005</t>
  </si>
  <si>
    <t>Pagos mínimos de arrendamientos financieros por pagar, al valor presente</t>
  </si>
  <si>
    <t>06804006</t>
  </si>
  <si>
    <t>Carga financiera futura en arrendamiento financiero</t>
  </si>
  <si>
    <t>Pagos mínimos de arrendamientos por pagar bajo arrendamientos operativos no cancelables</t>
  </si>
  <si>
    <t>06804008</t>
  </si>
  <si>
    <t>Pagos mínimos por arrendamiento de acuerdos que incluyen pagos por elementos no arrendados</t>
  </si>
  <si>
    <t>06804009</t>
  </si>
  <si>
    <t>Pagos mínimos por arrendamiento de otros acuerdos que no incluyen pagos por elementos que no son arrendamientos</t>
  </si>
  <si>
    <t>06805002</t>
  </si>
  <si>
    <t>Pagos de arriendos y subarriendos reconocidos como gasto [sinopsis]</t>
  </si>
  <si>
    <t>06805003</t>
  </si>
  <si>
    <t>Cuotas contingentes reconocidas como gasto, clasificadas como arrendamiento financiero</t>
  </si>
  <si>
    <t>06805004</t>
  </si>
  <si>
    <t>Cuotas contingentes reconocidas como gasto, clasificadas como arrendamiento operativo</t>
  </si>
  <si>
    <t>06805005</t>
  </si>
  <si>
    <t>Total de cuotas contingentes reconocidas como gasto</t>
  </si>
  <si>
    <t>06805006</t>
  </si>
  <si>
    <t>Pagos de subarriendos reconocidos como gasto</t>
  </si>
  <si>
    <t>06805007</t>
  </si>
  <si>
    <t>Pagos por arrendamientos operativos mínimos reconocidos como gasto</t>
  </si>
  <si>
    <t>06805008</t>
  </si>
  <si>
    <t>Total de pagos de arriendos y subarriendos reconocidos como gasto</t>
  </si>
  <si>
    <t>06805009</t>
  </si>
  <si>
    <t>Pagos futuros mínimos esperados por subarriendo que se espera recibir bajo subarriendos no cancelables, clasificados como arrendamientos financieros</t>
  </si>
  <si>
    <t>06805010</t>
  </si>
  <si>
    <t>Pagos futuros mínimos por subarriendo que se espera recibir bajo subarriendos no cancelables, clasificado como arrendamiento operativo</t>
  </si>
  <si>
    <t>06805011</t>
  </si>
  <si>
    <t>Descripción de los acuerdos de arrendamiento significativos clasificados por los arrendatarios como arrendamientos financieros</t>
  </si>
  <si>
    <t>06805012</t>
  </si>
  <si>
    <t>Descripción de los acuerdos de arrendamiento significativos clasificados por los arrendatarios como arrendamientos operativos</t>
  </si>
  <si>
    <t>06806002</t>
  </si>
  <si>
    <t>Información a revelar por el arrendador sobre arrendamientos financieros y operativos [bloque de texto]</t>
  </si>
  <si>
    <t>06807002</t>
  </si>
  <si>
    <t>Información a revelar por el arrendador sobre arrendamientos financieros y operativos[sinopsis]</t>
  </si>
  <si>
    <t>06807003</t>
  </si>
  <si>
    <t>Información a revelar por el arrendador sobre arrendamientos financieros y operativos [partidas]</t>
  </si>
  <si>
    <t>06807004</t>
  </si>
  <si>
    <t>Inversión bruta en arrendamientos financieros</t>
  </si>
  <si>
    <t>06807005</t>
  </si>
  <si>
    <t>Ingresos financieros no devengados por arrendamientos financieros</t>
  </si>
  <si>
    <t>06807006</t>
  </si>
  <si>
    <t>Pagos mínimos de arrendamientos financieros por cobrar, al valor presente</t>
  </si>
  <si>
    <t>06807007</t>
  </si>
  <si>
    <t>Pagos mínimos de arrendamientos por cobrar bajo arrendamientos operativos no cancelables</t>
  </si>
  <si>
    <t>06808002</t>
  </si>
  <si>
    <t>Cuotas contingentes reconocidas como ingreso [sinopsis]</t>
  </si>
  <si>
    <t>06808003</t>
  </si>
  <si>
    <t>Cuotas contingentes reconocidas como ingreso, clasificadas como arrendamiento financiero</t>
  </si>
  <si>
    <t>06808004</t>
  </si>
  <si>
    <t>Cuotas contingentes reconocidas como ingreso, clasificadas como arrendamiento operativo</t>
  </si>
  <si>
    <t>06808005</t>
  </si>
  <si>
    <t>Total de cuotas contingentes reconocidas como ingreso</t>
  </si>
  <si>
    <t>06809002</t>
  </si>
  <si>
    <t>Explicación de los valores residuales no garantizados reconocidos a favor del arrendador</t>
  </si>
  <si>
    <t>06809003</t>
  </si>
  <si>
    <t>Correcciones de valor acumuladas que cubran insolvencias relativas a los pagos mínimos por el arrendamiento pendientes de cobro</t>
  </si>
  <si>
    <t>06809004</t>
  </si>
  <si>
    <t>Descripción de los acuerdos de arrendamiento significativos clasificados por los arrendadores como arrendamientos financieros</t>
  </si>
  <si>
    <t>06809005</t>
  </si>
  <si>
    <t>Descripción de los acuerdos de arrendamiento significativos clasificados por los arrendadores como arrendamientos operativos</t>
  </si>
  <si>
    <t>06900000</t>
  </si>
  <si>
    <t>[834120] Notas - Acuerdos con pagos basados en acciones</t>
  </si>
  <si>
    <t>06901002</t>
  </si>
  <si>
    <t>06901003</t>
  </si>
  <si>
    <t>Información a revelar sobre los plazos y condiciones de acuerdos con pagos basados en acciones [bloque de texto]</t>
  </si>
  <si>
    <t>06902002</t>
  </si>
  <si>
    <t>Información a revelar sobre los plazos y condiciones de acuerdos con pagos basados en acciones [resumen]</t>
  </si>
  <si>
    <t>06902003</t>
  </si>
  <si>
    <t>Información a revelar sobre los plazos y condiciones de acuerdos con pagos basados en acciones [partidas]</t>
  </si>
  <si>
    <t>06902004</t>
  </si>
  <si>
    <t>Descripción de acuerdos con pagos basados en acciones</t>
  </si>
  <si>
    <t>06902005</t>
  </si>
  <si>
    <t>Descripción de los requerimientos de consolidación (irrevocabilidad) de acuerdos con pagos basados en acciones</t>
  </si>
  <si>
    <t>06902006</t>
  </si>
  <si>
    <t>Descripción del plazo máximo de opciones concedidas para acuerdos con pagos basados en acciones</t>
  </si>
  <si>
    <t>06902007</t>
  </si>
  <si>
    <t>Descripción del método de liquidación de acuerdos con pagos basados en acciones</t>
  </si>
  <si>
    <t>06902008</t>
  </si>
  <si>
    <t>Fecha de la concesión de acuerdos con pagos basados en acciones</t>
  </si>
  <si>
    <t>06902009</t>
  </si>
  <si>
    <t>Número de instrumentos otorgados en acuerdos con pagos basados en acciones</t>
  </si>
  <si>
    <t>06903002</t>
  </si>
  <si>
    <t>Información a revelar del número y media ponderada de los precios de ejercicio de las opciones sobre acciones [bloque de texto]</t>
  </si>
  <si>
    <t>06903003</t>
  </si>
  <si>
    <t>Número de opciones sobre acciones en circulación en acuerdos con pagos basados en acciones al comienzo del periodo</t>
  </si>
  <si>
    <t>06903004</t>
  </si>
  <si>
    <t>Número de opciones sobre acciones concedidas en acuerdos con pagos basados en acciones</t>
  </si>
  <si>
    <t>06903005</t>
  </si>
  <si>
    <t>Número de opciones sobre acciones anuladas en acuerdos con pagos basados en acciones</t>
  </si>
  <si>
    <t>06903006</t>
  </si>
  <si>
    <t>Número de opciones sobre acciones ejercidas en acuerdos con pagos basados en acciones</t>
  </si>
  <si>
    <t>06903007</t>
  </si>
  <si>
    <t>Número de opciones sobre acciones expiradas en acuerdos con pagos basados en acciones</t>
  </si>
  <si>
    <t>06903008</t>
  </si>
  <si>
    <t>Número de opciones sobre acciones en circulación en acuerdos con pagos basados en acciones al final del periodo</t>
  </si>
  <si>
    <t>06903009</t>
  </si>
  <si>
    <t>Número de opciones sobre acciones ejercitables en acuerdos con pagos basados en acciones</t>
  </si>
  <si>
    <t>06903010</t>
  </si>
  <si>
    <t>Promedio ponderado del precio de ejercicio de opciones sobre acciones en circulación en acuerdos con pagos basados en acciones, al comienzo del periodo</t>
  </si>
  <si>
    <t>06903011</t>
  </si>
  <si>
    <t>Promedio ponderado del precio de ejercicio de opciones sobre acciones concedidas en acuerdos con pagos basados en acciones</t>
  </si>
  <si>
    <t>06903012</t>
  </si>
  <si>
    <t>Promedio ponderado del precio de ejercicio de opciones sobre acciones anuladas en acuerdos con pagos basados en acciones</t>
  </si>
  <si>
    <t>06903013</t>
  </si>
  <si>
    <t>Promedio ponderado del precio de ejercicio de opciones sobre acciones ejercidas en acuerdos con pagos basados en acciones</t>
  </si>
  <si>
    <t>06903014</t>
  </si>
  <si>
    <t>Promedio ponderado del precio de ejercicio de opciones sobre acciones expiradas en acuerdos con pagos basados en acciones</t>
  </si>
  <si>
    <t>06903015</t>
  </si>
  <si>
    <t>Promedio ponderado del precio de ejercicio de opciones sobre acciones en circulación en acuerdos con pagos basados en acciones, al final del periodo</t>
  </si>
  <si>
    <t>06903016</t>
  </si>
  <si>
    <t>Promedio ponderado del precio de ejercicio de opciones sobre acciones ejercitables en acuerdos con pagos basados en acciones</t>
  </si>
  <si>
    <t>06903017</t>
  </si>
  <si>
    <t>Promedio ponderado del precio de la acción para opciones sobre acciones en acuerdos con pagos basados en acciones ejercidos durante el periodo en la fecha de ejercicio</t>
  </si>
  <si>
    <t>06903018</t>
  </si>
  <si>
    <t>Precio promedio ponderado de las acciones</t>
  </si>
  <si>
    <t>06903019</t>
  </si>
  <si>
    <t>Información a revelar sobre el rango de precios a ejercer de opciones sobre acciones existentes [bloque de texto]</t>
  </si>
  <si>
    <t>06904002</t>
  </si>
  <si>
    <t>Información a revelar sobre el número y promedio ponderado de la vida contractual restante de opciones sobre acciones en circulación [resumen]</t>
  </si>
  <si>
    <t>06904003</t>
  </si>
  <si>
    <t>Información a revelar sobre el número y promedio ponderado de la vida contractual restante de opciones sobre acciones en circulación [partidas]</t>
  </si>
  <si>
    <t>06904004</t>
  </si>
  <si>
    <t>Número de opciones sobre acciones en circulación en acuerdos con pagos basados en acciones</t>
  </si>
  <si>
    <t>06904005</t>
  </si>
  <si>
    <t>Promedio ponderado de la vida contractual restante de opciones sobre acciones en circulación</t>
  </si>
  <si>
    <t>06905002</t>
  </si>
  <si>
    <t>Información a revelar sobre el número y promedio ponderado de la vida contractual restante de opciones sobre acciones en circulación [bloque de texto]</t>
  </si>
  <si>
    <t>06906002</t>
  </si>
  <si>
    <t>Información a revelar sobre el rango de precios a ejercer de opciones sobre acciones existentes [resumen]</t>
  </si>
  <si>
    <t>06906003</t>
  </si>
  <si>
    <t>Información a revelar sobre el rango de precios a ejercer de opciones sobre acciones existentes [partidas]</t>
  </si>
  <si>
    <t>06906004</t>
  </si>
  <si>
    <t>Precio a ejercer de opciones sobre acciones existentes</t>
  </si>
  <si>
    <t>06907002</t>
  </si>
  <si>
    <t>Información a revelar sobre el número y promedio ponderado de los precios a ejercer de otros instrumentos de patrimonio [bloque de texto]</t>
  </si>
  <si>
    <t>06907003</t>
  </si>
  <si>
    <t>Número de otros instrumentos de patrimonio en circulación en acuerdos con pagos basados en acciones al comienzo del periodo</t>
  </si>
  <si>
    <t>06907004</t>
  </si>
  <si>
    <t>Número de otros instrumentos de patrimonio concedidos en acuerdos con pagos basados en acciones</t>
  </si>
  <si>
    <t>06907005</t>
  </si>
  <si>
    <t>Número de otros instrumentos de patrimonio anulados en acuerdos con pagos basados en acciones</t>
  </si>
  <si>
    <t>06907006</t>
  </si>
  <si>
    <t>Número de otros instrumentos de patrimonio ejercidos o que son irrevocables (consolidados) en acuerdos con pagos basados en acciones</t>
  </si>
  <si>
    <t>06907007</t>
  </si>
  <si>
    <t>Número de otros instrumentos de patrimonio expirados en acuerdos con pagos basados en acciones</t>
  </si>
  <si>
    <t>06907008</t>
  </si>
  <si>
    <t>Número de otros instrumentos de patrimonio en circulación en acuerdos con pagos basados en acciones al final del periodo</t>
  </si>
  <si>
    <t>06907009</t>
  </si>
  <si>
    <t>Número de otros instrumentos de patrimonio ejercitables en acuerdos con pagos basados en acciones</t>
  </si>
  <si>
    <t>06907010</t>
  </si>
  <si>
    <t>Promedio ponderado del precio de ejercicio de otros instrumentos de patrimonio en circulación en acuerdos con pagos basados en acciones al comienzo del periodo</t>
  </si>
  <si>
    <t>06907011</t>
  </si>
  <si>
    <t>Promedio ponderado del precio de ejercicio de otros instrumentos de patrimonio concedidos en acuerdos con pagos basados en acciones</t>
  </si>
  <si>
    <t>06907012</t>
  </si>
  <si>
    <t>Promedio ponderado del precio de ejercicio de otros instrumentos de patrimonio anulados en acuerdos con pagos basados en acciones</t>
  </si>
  <si>
    <t>06907013</t>
  </si>
  <si>
    <t>Promedio ponderado del precio de ejercicio de otros instrumentos de patrimonio ejercidos o que son irrevocables (están consolidados) en acuerdos con pagos basados en acciones</t>
  </si>
  <si>
    <t>06907014</t>
  </si>
  <si>
    <t>Promedio ponderado del precio de ejercicio de otros instrumentos de patrimonio expirados en acuerdos con pagos basados en acciones</t>
  </si>
  <si>
    <t>06907015</t>
  </si>
  <si>
    <t>Promedio ponderado del precio de ejercicio de otros instrumentos de patrimonio en circulación en acuerdos con pagos basados en acciones al final del periodo</t>
  </si>
  <si>
    <t>06907016</t>
  </si>
  <si>
    <t>Promedio ponderado del precio de ejercicio de otros instrumentos de patrimonio ejercitables en acuerdos con pagos basados en acciones</t>
  </si>
  <si>
    <t>06907017</t>
  </si>
  <si>
    <t>Explicación de la determinación del valor razonable de bienes o servicios recibidos o valor razonable de instrumentos de patrimonio otorgados en pagos basados en acciones</t>
  </si>
  <si>
    <t>06907018</t>
  </si>
  <si>
    <t>Información a revelar sobre mediciones indirectas del valor razonable de bienes o servicios recibidos, opciones sobre acciones concedidas durante el periodo [bloque de texto]</t>
  </si>
  <si>
    <t>06907019</t>
  </si>
  <si>
    <t>Promedio ponderado del valor razonable en la fecha de la medición, opciones sobre acciones otorgadas</t>
  </si>
  <si>
    <t>06907020</t>
  </si>
  <si>
    <t>Información sobre la forma en que se ha medido el valor razonable, opciones sobre acciones otorgadas</t>
  </si>
  <si>
    <t>06907021</t>
  </si>
  <si>
    <t>Descripción del modelo de valoración de opciones, opciones sobre acciones concedidas</t>
  </si>
  <si>
    <t>06907022</t>
  </si>
  <si>
    <t>Descripción de los datos de entrada del modelo de valoración de opciones, opciones sobre acciones otorgadas</t>
  </si>
  <si>
    <t>06907023</t>
  </si>
  <si>
    <t>Promedio ponderado del precio de la acción, opciones sobre acciones otorgadas</t>
  </si>
  <si>
    <t>06907024</t>
  </si>
  <si>
    <t>Precio de ejercicio, opciones sobre acciones otorgadas</t>
  </si>
  <si>
    <t>06907025</t>
  </si>
  <si>
    <t>Volatilidad esperada, opciones sobre acciones concedidas</t>
  </si>
  <si>
    <t>06907026</t>
  </si>
  <si>
    <t>Vida de la opción, opciones de acciones concedidas</t>
  </si>
  <si>
    <t>06907027</t>
  </si>
  <si>
    <t>Dividendo esperado, opciones sobre acciones otorgadas</t>
  </si>
  <si>
    <t>06907028</t>
  </si>
  <si>
    <t>Dividendo esperado como porcentaje, opciones sobre acciones concedidas</t>
  </si>
  <si>
    <t>06907029</t>
  </si>
  <si>
    <t>Tasa de interés libre de riesgo, opciones sobre acciones concedidas</t>
  </si>
  <si>
    <t>06907030</t>
  </si>
  <si>
    <t>Descripción de otros datos de entrada del modelo de valoración de opciones, opciones sobre acciones concedidas</t>
  </si>
  <si>
    <t>06907031</t>
  </si>
  <si>
    <t>Descripción del método utilizado y suposiciones realizadas para incorporar los efectos del primer ejercicio esperado, opciones sobre acciones otorgadas</t>
  </si>
  <si>
    <t>06907032</t>
  </si>
  <si>
    <t>Información sobre la forma en que se determinó la volatilidad esperada, opciones sobre acciones concedidas</t>
  </si>
  <si>
    <t>06907033</t>
  </si>
  <si>
    <t>Información sobre si y cómo se incorporaron otras características en la medición del valor razonable, opciones sobre acciones otorgados</t>
  </si>
  <si>
    <t>06907034</t>
  </si>
  <si>
    <t>Información a revelar sobre mediciones indirectas del valor razonable de bienes o servicios recibidos, otros instrumentos de patrimonio concedidos durante el periodo [bloque de texto]</t>
  </si>
  <si>
    <t>06907035</t>
  </si>
  <si>
    <t>06907036</t>
  </si>
  <si>
    <t>Promedio ponderado del valor razonable en la fecha de la medición, otros instrumentos de patrimonio otorgados</t>
  </si>
  <si>
    <t>06907037</t>
  </si>
  <si>
    <t>Información sobre la forma en que se midió el valor razonable, otros instrumentos de patrimonio otorgados</t>
  </si>
  <si>
    <t>06907038</t>
  </si>
  <si>
    <t>Información sobre la fidelidad con que se determinó si no se hizo sobre una base de mercado observable, otros instrumentos de patrimonio otorgados</t>
  </si>
  <si>
    <t>06907039</t>
  </si>
  <si>
    <t>Información sobre si y cómo se incorporaron los dividendos esperados en la medición del valor razonable, otros instrumentos de patrimonio otorgados</t>
  </si>
  <si>
    <t>06907040</t>
  </si>
  <si>
    <t>Información sobre si y cómo se incorporaron otras características en la medición del valor razonable, otros instrumentos de patrimonio otorgados</t>
  </si>
  <si>
    <t>06907041</t>
  </si>
  <si>
    <t>Información a revelar sobre mediciones indirectas del valor razonable de bienes o servicios recibidos, acuerdos con pagos basados en acciones modificados durante el periodo [bloque de texto]</t>
  </si>
  <si>
    <t>06907042</t>
  </si>
  <si>
    <t>Explicación de modificaciones, acuerdos con pagos basados en acciones modificados</t>
  </si>
  <si>
    <t>06907043</t>
  </si>
  <si>
    <t>Incremento del valor razonable concedido, acuerdos con pagos basados en acciones modificado</t>
  </si>
  <si>
    <t>06907044</t>
  </si>
  <si>
    <t>Información sobre la forma en que se midió el incremento del valor razonable concedido, acuerdos con pagos basados en acciones modificados</t>
  </si>
  <si>
    <t>06907045</t>
  </si>
  <si>
    <t>Explicación de mediciones directas del valor razonable de bienes o servicios recibidos</t>
  </si>
  <si>
    <t>06907046</t>
  </si>
  <si>
    <t>Descripción de la razón por la que el valor razonable de bienes o servicios recibidos no pueden ser estimados de forma fiable</t>
  </si>
  <si>
    <t>06907047</t>
  </si>
  <si>
    <t>Explicación del efecto de los pagos basados en acciones sobre el resultado del periodo de la entidad [bloque de texto]</t>
  </si>
  <si>
    <t>06907048</t>
  </si>
  <si>
    <t>Gasto procedente de transacciones con pagos basados en acciones en las que los bienes o servicios recibidos no cumplen los requisitos para su reconocimiento como activos [resumen]</t>
  </si>
  <si>
    <t>06907049</t>
  </si>
  <si>
    <t>Gasto por transacciones con pagos basados en acciones liquidados en instrumentos de patrimonio en los que los bienes o servicios recibidos no cumplían los requisitos para su reconocimiento como activos</t>
  </si>
  <si>
    <t>06907050</t>
  </si>
  <si>
    <t>Gasto procedente de transacciones con pagos basados en acciones liquidadas en efectivo en las que los bienes o servicios recibidos no cumplen los requisitos para su reconocimiento como activos</t>
  </si>
  <si>
    <t>06907051</t>
  </si>
  <si>
    <t>Total gastos procedentes de transacciones con pagos basados en acciones en las que los bienes o servicios recibidos no cumplen los requisitos para su reconocimiento como activos</t>
  </si>
  <si>
    <t>06907052</t>
  </si>
  <si>
    <t>Gasto procedente de transacciones con pagos basados en acciones con empleados</t>
  </si>
  <si>
    <t>06907053</t>
  </si>
  <si>
    <t>Explicación del efecto de los pagos basados en acciones sobre la posición financiera de la entidad [bloque de texto]</t>
  </si>
  <si>
    <t>06907054</t>
  </si>
  <si>
    <t>Pasivos procedentes de transacciones con pagos basados en acciones</t>
  </si>
  <si>
    <t>06907055</t>
  </si>
  <si>
    <t>Valor intrínseco de pasivos procedentes de transacciones con pagos basados en acciones para los cuales el derecho de la otra parte a recibir efectivo u otros activos se ha consolidado (es irrevocable)</t>
  </si>
  <si>
    <t>06907056</t>
  </si>
  <si>
    <t>Información adicional sobre acuerdos con pagos basados en acciones [bloque de texto]</t>
  </si>
  <si>
    <t>07000000</t>
  </si>
  <si>
    <t>[834480] Notas - Beneficios a los empleados</t>
  </si>
  <si>
    <t>07001002</t>
  </si>
  <si>
    <t>07001003</t>
  </si>
  <si>
    <t>Información a revelar sobre planes de beneficios definidos [bloque de texto]</t>
  </si>
  <si>
    <t>07002002</t>
  </si>
  <si>
    <t>Información a revelar sobre planes de beneficios definidos [sinopsis]</t>
  </si>
  <si>
    <t>07002003</t>
  </si>
  <si>
    <t>Información a revelar sobre planes de beneficios definidos [partidas]</t>
  </si>
  <si>
    <t>07002004</t>
  </si>
  <si>
    <t>Descripción del tipo de plan</t>
  </si>
  <si>
    <t>07002005</t>
  </si>
  <si>
    <t>Descripción de la naturaleza de los beneficios proporcionados por el plan</t>
  </si>
  <si>
    <t>07002006</t>
  </si>
  <si>
    <t>Descripción del marco de regulación en que opera el plan</t>
  </si>
  <si>
    <t>07002007</t>
  </si>
  <si>
    <t>Descripción del efecto del marco de regulación del plan</t>
  </si>
  <si>
    <t>07002008</t>
  </si>
  <si>
    <t>Descripción de cualquier otra responsabilidad de la entidad sobre el gobierno del plan</t>
  </si>
  <si>
    <t>07002009</t>
  </si>
  <si>
    <t>Descripción de los riesgos a los que el plan expone a la entidad</t>
  </si>
  <si>
    <t>07002010</t>
  </si>
  <si>
    <t>Descripción de concentraciones significativas de riesgo relacionado con el plan</t>
  </si>
  <si>
    <t>07002011</t>
  </si>
  <si>
    <t>Descripción de modificaciones, reducciones y liquidaciones del plan</t>
  </si>
  <si>
    <t>07002012</t>
  </si>
  <si>
    <t>Activos y pasivos reconocidos de planes de beneficios definidos [sinopsis]</t>
  </si>
  <si>
    <t>07002013</t>
  </si>
  <si>
    <t>Pasivos reconocidos, plan de beneficios definidos</t>
  </si>
  <si>
    <t>07002014</t>
  </si>
  <si>
    <t>Activos reconocidos, plan de beneficios definidos</t>
  </si>
  <si>
    <t>07002015</t>
  </si>
  <si>
    <t>Pasivos (activos) por beneficios definidos netos</t>
  </si>
  <si>
    <t>07002016</t>
  </si>
  <si>
    <t>Superávit (déficit) en plan [resumen]</t>
  </si>
  <si>
    <t>07002017</t>
  </si>
  <si>
    <t>Obligación por beneficios definidos, al valor presente</t>
  </si>
  <si>
    <t>07002018</t>
  </si>
  <si>
    <t>Activos del plan, al valor razonable</t>
  </si>
  <si>
    <t>07002019</t>
  </si>
  <si>
    <t>Superávit (déficit) en el plan</t>
  </si>
  <si>
    <t>07002020</t>
  </si>
  <si>
    <t>Descripción del vínculo entre los derechos de reembolso y las obligaciones relacionadas</t>
  </si>
  <si>
    <t>07002021</t>
  </si>
  <si>
    <t>Descripción de la forma en que la entidad determinó el beneficio económico máximo disponible</t>
  </si>
  <si>
    <t>07002022</t>
  </si>
  <si>
    <t>Instrumentos financieros propios de la entidad incluidos en el valor razonable de los activos del plan</t>
  </si>
  <si>
    <t>07002023</t>
  </si>
  <si>
    <t>Propiedad inmobiliaria ocupada por la entidad incluida en el valor razonable de los activos del plan</t>
  </si>
  <si>
    <t>07002024</t>
  </si>
  <si>
    <t>Otros activos utilizados por la entidad incluidos en el valor razonable de los activos del plan</t>
  </si>
  <si>
    <t>07002025</t>
  </si>
  <si>
    <t>Suposiciones actuariales de tasas de descuento</t>
  </si>
  <si>
    <t>07002026</t>
  </si>
  <si>
    <t>Suposiciones actuariales de tasas esperadas de incrementos de salarios</t>
  </si>
  <si>
    <t>07002027</t>
  </si>
  <si>
    <t>Suposiciones actuariales de la tendencia en la variación de los costos de atención sanitaria</t>
  </si>
  <si>
    <t>07002028</t>
  </si>
  <si>
    <t>Suposiciones actuariales sobre tasas esperadas de incrementos de pensiones</t>
  </si>
  <si>
    <t>07002029</t>
  </si>
  <si>
    <t>Suposiciones actuariales sobre tasas esperadas de inflación</t>
  </si>
  <si>
    <t>07002030</t>
  </si>
  <si>
    <t>Otras suposiciones actuariales significativas</t>
  </si>
  <si>
    <t>07002031</t>
  </si>
  <si>
    <t>Descripción de las estrategias de equiparación activo-pasivo utilizadas por el plan o la entidad para gestionar el riesgo</t>
  </si>
  <si>
    <t>07002032</t>
  </si>
  <si>
    <t>Descripción de los acuerdos de financiación y política de financiación que afecte a aportaciones futuras</t>
  </si>
  <si>
    <t>07002033</t>
  </si>
  <si>
    <t>Estimación de las aportaciones que se espera pagar al plan en el próximo periodo anual sobre el que se informa</t>
  </si>
  <si>
    <t>07002034</t>
  </si>
  <si>
    <t>Información a revelar sobre el perfil de vencimientos de obligaciones por beneficios definidos [bloque de texto]</t>
  </si>
  <si>
    <t>07002035</t>
  </si>
  <si>
    <t>Promedio ponderado de la duración de obligaciones por beneficios definidos</t>
  </si>
  <si>
    <t>07002036</t>
  </si>
  <si>
    <t>Descripción de la medida en que la entidad puede ser responsable del plan del gobierno o multi-patronal para obligaciones de otras entidades</t>
  </si>
  <si>
    <t>07002037</t>
  </si>
  <si>
    <t>Descripción de la asignación acordada del déficit o superávit de planes del gobierno o multi-patronales en el momento de la liquidación del plan</t>
  </si>
  <si>
    <t>07002038</t>
  </si>
  <si>
    <t>Descripción de la asignación acordada del déficit o superávit de planes del gobierno o multi-patronales en el momento de la retirada de entidades del plan</t>
  </si>
  <si>
    <t>07002039</t>
  </si>
  <si>
    <t>Descripción del hecho de que el plan de gobierno o multi-patronal es un plan de beneficios definidos</t>
  </si>
  <si>
    <t>07002040</t>
  </si>
  <si>
    <t>Descripción de la razón por la que no se encuentra disponible información suficiente para contabilizar planes del gobierno o multi-patronales como planes de beneficios definidos</t>
  </si>
  <si>
    <t>07002041</t>
  </si>
  <si>
    <t>Descripción de la información sobre el superávit o déficit de planes del gobierno o multi-patronales</t>
  </si>
  <si>
    <t>07002042</t>
  </si>
  <si>
    <t>Descripción de la base utilizada para determinar el superávit o déficit de planes del gobierno o multi-patronales</t>
  </si>
  <si>
    <t>07002043</t>
  </si>
  <si>
    <t>Descripción de las implicaciones del superávit o déficit de planes del gobierno o multi-patronales para la entidad</t>
  </si>
  <si>
    <t>07002044</t>
  </si>
  <si>
    <t>Nivel de participación de la entidad comparado con otras entidades participantes</t>
  </si>
  <si>
    <t>07002045</t>
  </si>
  <si>
    <t>Descripción del acuerdo contractual o política establecida para cargar el costo por beneficios definidos netos</t>
  </si>
  <si>
    <t>07002046</t>
  </si>
  <si>
    <t>Descripción de la política para determinar la aportación a planes de beneficios definidos que comparten riesgos entre entidades bajo control común [bloque de texto]</t>
  </si>
  <si>
    <t>07002047</t>
  </si>
  <si>
    <t>Descripción de las referencias cruzadas sobre información a revelar sobre planes que comparten riesgos entre entidades bajo control común en los estados financieros de otra entidad del grupo</t>
  </si>
  <si>
    <t>07003002</t>
  </si>
  <si>
    <t>Información a revelar sobre pasivos (activos) por beneficios definidos netos [bloque de texto]</t>
  </si>
  <si>
    <t>07004001</t>
  </si>
  <si>
    <t>Valor presente de obligaciones por beneficios definidos [miembro]</t>
  </si>
  <si>
    <t>07004002</t>
  </si>
  <si>
    <t>Información a revelar sobre pasivos (activos) por beneficios definidos netos [resumen]</t>
  </si>
  <si>
    <t>07004003</t>
  </si>
  <si>
    <t>Información a revelar sobre pasivos (activos) por beneficios definidos netos [partidas]</t>
  </si>
  <si>
    <t>07004004</t>
  </si>
  <si>
    <t>Cambios en pasivos (activos) por beneficios definidos netos [resumen]</t>
  </si>
  <si>
    <t>07004005</t>
  </si>
  <si>
    <t>Costo del servicio corriente, pasivos (activos) por beneficios definidos netos</t>
  </si>
  <si>
    <t>07004006</t>
  </si>
  <si>
    <t>Gastos (ingresos) por intereses, pasivos (activos) por beneficios definidos netos</t>
  </si>
  <si>
    <t>07004007</t>
  </si>
  <si>
    <t>Ganancias (pérdidas) por nuevas mediciones, pasivos (activos) por beneficios definidos netos [resumen]</t>
  </si>
  <si>
    <t>07004008</t>
  </si>
  <si>
    <t>Rendimiento de los activos del plan, pasivo (activo) por beneficios definidos netos</t>
  </si>
  <si>
    <t>07004009</t>
  </si>
  <si>
    <t>Ganancias (pérdidas) actuariales que surgen de cambios en suposiciones demográficas, pasivos (activos) por beneficios definidos netos</t>
  </si>
  <si>
    <t>07004010</t>
  </si>
  <si>
    <t>Ganancias (pérdidas) actuariales que surgen de cambios en suposiciones financieras, pasivos (activos) por beneficios definidos netos</t>
  </si>
  <si>
    <t>07004011</t>
  </si>
  <si>
    <t>Ganancias (pérdidas) por cambios en el efecto de limitar activos de beneficios definidos al techo del activo, pasivos (activos) por beneficios definidos</t>
  </si>
  <si>
    <t>07004012</t>
  </si>
  <si>
    <t>Ganancias (pérdidas) por nuevas mediciones, pasivos (activos) por beneficios definidos netos</t>
  </si>
  <si>
    <t>07004013</t>
  </si>
  <si>
    <t>Costo de servicios pasados y ganancias (pérdidas) que surgen por liquidaciones, pasivos (activos) por beneficios definidos netos [resumen]</t>
  </si>
  <si>
    <t>07004014</t>
  </si>
  <si>
    <t>Costo de servicios pasados, pasivos (activos) por beneficios definidos netos</t>
  </si>
  <si>
    <t>07004015</t>
  </si>
  <si>
    <t>Ganancias (pérdidas) surgidas de liquidaciones, pasivos (activos) por beneficios definidos netos</t>
  </si>
  <si>
    <t>07004016</t>
  </si>
  <si>
    <t>Costo de servicios pasados y ganancias (pérdidas) que surgen por liquidaciones, pasivos (activos) por beneficios definidos netos</t>
  </si>
  <si>
    <t>07004017</t>
  </si>
  <si>
    <t>Incrementos (disminuciones) por cambios en las tasas de cambio de moneda extranjera, pasivos (activos) por beneficios definidos netos</t>
  </si>
  <si>
    <t>07004018</t>
  </si>
  <si>
    <t>Aportaciones al plan, pasivo (activo) por beneficios definidos netos [resumen]</t>
  </si>
  <si>
    <t>07004019</t>
  </si>
  <si>
    <t>Aportaciones al plan por el empleador, pasivo (activo) por beneficios definidos netos</t>
  </si>
  <si>
    <t>07004020</t>
  </si>
  <si>
    <t>Aportaciones al plan por los participantes, pasivo (activo) por beneficios definidos netos</t>
  </si>
  <si>
    <t>07004021</t>
  </si>
  <si>
    <t>Aportaciones al plan, pasivo (activo) por beneficios definidos netos</t>
  </si>
  <si>
    <t>07004022</t>
  </si>
  <si>
    <t>Pagos procedentes del plan, pasivos (activos) por beneficios definidos netos</t>
  </si>
  <si>
    <t>07004023</t>
  </si>
  <si>
    <t>Pagos con respecto a liquidaciones, pasivos (activos) por beneficios definidos netos</t>
  </si>
  <si>
    <t>07004024</t>
  </si>
  <si>
    <t>Incrementos (disminuciones) por combinaciones de negocios y disposiciones, pasivos (activos) por beneficios definidos netos</t>
  </si>
  <si>
    <t>07004025</t>
  </si>
  <si>
    <t>Incrementos (disminuciones) por otros cambios, pasivos (activos) por beneficios definidos netos</t>
  </si>
  <si>
    <t>07004026</t>
  </si>
  <si>
    <t>Incrementos (disminuciones) de pasivos (activos) por beneficios definidos netos</t>
  </si>
  <si>
    <t>07004027</t>
  </si>
  <si>
    <t>07005001</t>
  </si>
  <si>
    <t>Planes de beneficios definidos del extranjero [miembro]</t>
  </si>
  <si>
    <t>07005002</t>
  </si>
  <si>
    <t>Información a revelar sobre derechos de reembolso [resumen]</t>
  </si>
  <si>
    <t>07005003</t>
  </si>
  <si>
    <t>Información a revelar sobre derechos de reembolso [partidas]</t>
  </si>
  <si>
    <t>07005004</t>
  </si>
  <si>
    <t>Cambios en derechos de reembolso [resumen]</t>
  </si>
  <si>
    <t>07005005</t>
  </si>
  <si>
    <t>Ingresos por intereses, derechos de reembolso</t>
  </si>
  <si>
    <t>07005006</t>
  </si>
  <si>
    <t>Ganancias (pérdidas) por nuevas mediciones, derechos de reembolso [resumen]</t>
  </si>
  <si>
    <t>07005007</t>
  </si>
  <si>
    <t>Rendimiento de los derechos de reembolso</t>
  </si>
  <si>
    <t>07005008</t>
  </si>
  <si>
    <t>Ganancias (pérdidas) por cambios en el efecto de limitar derechos de reembolso al techo del activo, derechos de reembolso</t>
  </si>
  <si>
    <t>07005009</t>
  </si>
  <si>
    <t>Ganancias (pérdidas) por nuevas mediciones, derechos de reembolso</t>
  </si>
  <si>
    <t>07005010</t>
  </si>
  <si>
    <t>Incremento (disminución) por diferencias de cambio netas, derechos de reembolso, al valor razonable</t>
  </si>
  <si>
    <t>07005011</t>
  </si>
  <si>
    <t>Disminuciones por beneficios pagados, derechos de reembolso, al valor razonable</t>
  </si>
  <si>
    <t>07005012</t>
  </si>
  <si>
    <t>Pagos con respecto a liquidaciones, derechos de reembolso</t>
  </si>
  <si>
    <t>07005013</t>
  </si>
  <si>
    <t>Incrementos (disminuciones) por combinaciones de negocios y disposiciones, derechos de reembolso</t>
  </si>
  <si>
    <t>07005014</t>
  </si>
  <si>
    <t>Incremento (disminución) en derechos de reembolso, a valor razonable</t>
  </si>
  <si>
    <t>07005015</t>
  </si>
  <si>
    <t>Derechos de reembolso, al valor razonable</t>
  </si>
  <si>
    <t>07006002</t>
  </si>
  <si>
    <t>Información a revelar sobre el valor razonable de activos del plan [bloque de texto]</t>
  </si>
  <si>
    <t>07007001</t>
  </si>
  <si>
    <t>Nivel 1 de la jerarquía del valor razonable [miembro]Nivel 2 y 3 de la jerarquía del valor razonable [miembro]Todos los niveles de la jerarquía del valor razonable [miembro]</t>
  </si>
  <si>
    <t>07007002</t>
  </si>
  <si>
    <t>Información a revelar sobre el valor razonable de activos del plan [resumen]</t>
  </si>
  <si>
    <t>07007003</t>
  </si>
  <si>
    <t>Información a revelar sobre el valor razonable de activos del plan [partidas]</t>
  </si>
  <si>
    <t>07007004</t>
  </si>
  <si>
    <t>Efectivo y equivalentes al efectivo, importe aportado al valor razonable de activos del plan</t>
  </si>
  <si>
    <t>07007005</t>
  </si>
  <si>
    <t>Instrumentos de patrimonio, importes aportados a valor razonable de activos del plan</t>
  </si>
  <si>
    <t>07007006</t>
  </si>
  <si>
    <t>Instrumentos de deuda, importes aportados al valor razonable de los activos del plan</t>
  </si>
  <si>
    <t>07007007</t>
  </si>
  <si>
    <t>Bienes inmuebles, importe aportado al valor razonable de los activos del plan</t>
  </si>
  <si>
    <t>07007008</t>
  </si>
  <si>
    <t>Derivados, importe aportado al valor razonable de activos del plan</t>
  </si>
  <si>
    <t>07007009</t>
  </si>
  <si>
    <t>Fondos de inversión, importe aportado al valor razonable de activos del plan</t>
  </si>
  <si>
    <t>07007010</t>
  </si>
  <si>
    <t>Títulos valores garantizados por activos, importe aportado al valor razonable de los activos del plan</t>
  </si>
  <si>
    <t>07007011</t>
  </si>
  <si>
    <t>Deuda estructurada, importe aportado a valor razonable de activos del plan</t>
  </si>
  <si>
    <t>07007012</t>
  </si>
  <si>
    <t>Otros activos, importes aportados a valor razonable de activos del plan</t>
  </si>
  <si>
    <t>07008002</t>
  </si>
  <si>
    <t>Información a revelar sobre análisis de sensibilidad para suposiciones actuariales [bloque de texto]</t>
  </si>
  <si>
    <t>07009001</t>
  </si>
  <si>
    <t>Suposiciones actuariales sobre tasas de descuento [miembro]Suposiciones actuariales sobre tasas esperadas de incrementos salariales [miembro]Suposiciones actuariales sobre la tendencia en la variación de los costos de atención sanitaria [miembro]</t>
  </si>
  <si>
    <t>07009002</t>
  </si>
  <si>
    <t>Información a revelar sobre análisis de sensibilidad para suposiciones actuariales [resumen]</t>
  </si>
  <si>
    <t>07009003</t>
  </si>
  <si>
    <t>Información a revelar sobre análisis de sensibilidad para suposiciones actuariales [partidas]</t>
  </si>
  <si>
    <t>07009004</t>
  </si>
  <si>
    <t>Porcentaje de incremento razonablemente posible en suposiciones actuariales</t>
  </si>
  <si>
    <t>07009005</t>
  </si>
  <si>
    <t>Incrementos (disminuciones) de obligaciones por beneficios definidos debidos a incrementos razonablemente posibles en las suposiciones actuariales</t>
  </si>
  <si>
    <t>07009006</t>
  </si>
  <si>
    <t>Porcentaje de disminución razonablemente posible en suposiciones actuariales</t>
  </si>
  <si>
    <t>07009007</t>
  </si>
  <si>
    <t>Incrementos (disminuciones) de obligaciones por beneficios definidos debidos a disminuciones razonablemente posibles en las suposiciones actuariales</t>
  </si>
  <si>
    <t>07009008</t>
  </si>
  <si>
    <t>Descripción de los métodos y suposiciones utilizados para preparar el análisis de sensibilidad para suposiciones actuariales</t>
  </si>
  <si>
    <t>07009009</t>
  </si>
  <si>
    <t>Descripción de las limitaciones de los métodos utilizados para preparar el análisis de sensibilidad para suposiciones actuariales</t>
  </si>
  <si>
    <t>07009010</t>
  </si>
  <si>
    <t>Descripción de los cambios en métodos y suposiciones utilizadas para preparar el análisis de sensibilidad para suposiciones actuariales</t>
  </si>
  <si>
    <t>07009011</t>
  </si>
  <si>
    <t>Descripción de las razones de los cambios en los métodos y suposiciones utilizados para preparar los análisis de sensibilidad para suposiciones actuariales</t>
  </si>
  <si>
    <t>07010002</t>
  </si>
  <si>
    <t>Información a revelar sobre información adicional sobre planes de beneficios definidos [bloque de texto]</t>
  </si>
  <si>
    <t>07010003</t>
  </si>
  <si>
    <t>Información a revelar sobre el análisis del valor presente de obligaciones por beneficios definidos que distingue naturaleza, características y riesgos [bloque de texto]</t>
  </si>
  <si>
    <t>07011002</t>
  </si>
  <si>
    <t>Información a revelar sobre derechos de reembolso [bloque de texto]</t>
  </si>
  <si>
    <t>07100000</t>
  </si>
  <si>
    <t>[835110] Notas - Impuestos a las ganancias</t>
  </si>
  <si>
    <t>07101000</t>
  </si>
  <si>
    <t>07101001</t>
  </si>
  <si>
    <t>07101002</t>
  </si>
  <si>
    <t>Principales componentes del gasto (ingreso) por impuestos [sinopsis]</t>
  </si>
  <si>
    <t>07101003</t>
  </si>
  <si>
    <t>Gasto (ingreso) por impuestos corriente y ajustes por impuestos corrientes de periodos anteriores [resumen]</t>
  </si>
  <si>
    <t>Gasto (ingreso) por impuesto corriente</t>
  </si>
  <si>
    <t>07101005</t>
  </si>
  <si>
    <t>Ajustes por impuestos corrientes de periodos anteriores</t>
  </si>
  <si>
    <t>07101006</t>
  </si>
  <si>
    <t>Total gastos (ingresos) por impuestos corrientes y ajustes a impuestos corrientes de periodos anteriores</t>
  </si>
  <si>
    <t>07101007</t>
  </si>
  <si>
    <t>Gasto (ingreso) por impuestos diferidos relacionado con el nacimiento y reversión de diferencias temporarias</t>
  </si>
  <si>
    <t>07101007DU1</t>
  </si>
  <si>
    <t>Gasto (ingreso) por impuestos diferidos relacionado con el nacimiento y reversión de diferencias temporarias - Dummy 1</t>
  </si>
  <si>
    <t>07101007DU2</t>
  </si>
  <si>
    <t>Gasto (ingreso) por impuestos diferidos relacionado con el nacimiento y reversión de diferencias temporarias - Dummy 2</t>
  </si>
  <si>
    <t>07101008</t>
  </si>
  <si>
    <t>Gasto (ingreso) por impuestos diferidos relacionado con cambios en las tasas fiscales o con la imposición de nuevos impuestos</t>
  </si>
  <si>
    <t>07101009</t>
  </si>
  <si>
    <t>Beneficios de carácter fiscal, procedentes de pérdidas fiscales, créditos fiscales o diferencias temporarias no reconocidos en periodos anteriores utilizadas para reducir el gasto por impuestos del periodo corriente</t>
  </si>
  <si>
    <t>07101010</t>
  </si>
  <si>
    <t>Beneficios de carácter fiscal, procedentes de pérdidas fiscales, créditos fiscales o diferencias temporarias no reconocidos en periodos anteriores utilizadas para reducir el gasto por impuestos diferido</t>
  </si>
  <si>
    <t>07101011</t>
  </si>
  <si>
    <t>Gasto por impuestos diferidos surgido de la baja o la reversión de la baja de activos por impuestos diferidos</t>
  </si>
  <si>
    <t>07101012</t>
  </si>
  <si>
    <t>Gasto (ingreso) por impuestos relacionado con cambios en políticas contables y errores incluidos en el resultado del periodo</t>
  </si>
  <si>
    <t>07101013</t>
  </si>
  <si>
    <t>Ajustes por impuestos diferidos de periodos anteriores</t>
  </si>
  <si>
    <t>07101014</t>
  </si>
  <si>
    <t>Otros componentes del gasto (ingreso) por impuestos diferido</t>
  </si>
  <si>
    <t>07101015</t>
  </si>
  <si>
    <t>Total de gasto (ingreso) por impuestos</t>
  </si>
  <si>
    <t>07101016</t>
  </si>
  <si>
    <t>Impuestos corrientes y diferidos, relativos a partidas cargadas o acreditadas directamente a patrimonio [sinopsis]</t>
  </si>
  <si>
    <t>07101017</t>
  </si>
  <si>
    <t>Impuestos corrientes relacionados con partidas acreditadas (cargadas) directamente a patrimonio</t>
  </si>
  <si>
    <t>07101018</t>
  </si>
  <si>
    <t>Impuestos diferidos relacionados con partidas acreditadas (cargadas) directamente a patrimonio</t>
  </si>
  <si>
    <t>07101019</t>
  </si>
  <si>
    <t>Impuestos corrientes y diferidos acumulados relacionados con partidas acreditadas (cargadas) directamente a patrimonio</t>
  </si>
  <si>
    <t>07101020</t>
  </si>
  <si>
    <t>07101021</t>
  </si>
  <si>
    <t>07101022</t>
  </si>
  <si>
    <t>07101023</t>
  </si>
  <si>
    <t>07101025</t>
  </si>
  <si>
    <t>Impuesto a las ganancias relativo a nuevas mediciones de planes de beneficios definidos de otro resultado integral</t>
  </si>
  <si>
    <t>07101027</t>
  </si>
  <si>
    <t>07101028</t>
  </si>
  <si>
    <t>07101029</t>
  </si>
  <si>
    <t>07101030</t>
  </si>
  <si>
    <t>Impuesto a las ganancias relacionado con la participación en el otro resultado integral de asociadas y negocios conjuntos que se contabilicen mediante el método de la participación</t>
  </si>
  <si>
    <t>07101031</t>
  </si>
  <si>
    <t>Gasto por impuestos de operaciones discontinuadas [sinopsis]</t>
  </si>
  <si>
    <t>07101032</t>
  </si>
  <si>
    <t>07101033</t>
  </si>
  <si>
    <t>07101034</t>
  </si>
  <si>
    <t>Explicación sobre cambios en tasas impositivas aplicables a periodos contables anteriores</t>
  </si>
  <si>
    <t>07101035</t>
  </si>
  <si>
    <t>Descripción de la fecha de validez de diferencias temporarias, pérdidas y créditos fiscales no utilizados</t>
  </si>
  <si>
    <t>07101036</t>
  </si>
  <si>
    <t>Diferencias temporarias deducibles por las que no se reconoce activo por impuestos diferidos</t>
  </si>
  <si>
    <t>07101037</t>
  </si>
  <si>
    <t>Pérdidas fiscales no utilizadas para las que no se han reconocido activos por impuestos diferidos</t>
  </si>
  <si>
    <t>07101038</t>
  </si>
  <si>
    <t>Créditos fiscales no utilizados para los que no se han reconocido activos por impuestos diferidos</t>
  </si>
  <si>
    <t>07101039</t>
  </si>
  <si>
    <t>Diferencias temporarias relacionadas con inversiones en subsidiarias, sucursales y asociadas, y con participaciones en acuerdos conjuntos, para los cuales no se han reconocido pasivos por impuestos diferidos</t>
  </si>
  <si>
    <t>07101040</t>
  </si>
  <si>
    <t>Información a revelar sobre diferencias temporarias, pérdidas y créditos fiscales no utilizados [bloque de texto]</t>
  </si>
  <si>
    <t>07102002</t>
  </si>
  <si>
    <t>Información a revelar sobre diferencias temporarias, pérdidas y créditos fiscales no utilizados [sinopsis]</t>
  </si>
  <si>
    <t>07102003</t>
  </si>
  <si>
    <t>Información a revelar sobre diferencias temporarias, pérdidas y créditos fiscales no utilizados [partidas]</t>
  </si>
  <si>
    <t>07102004</t>
  </si>
  <si>
    <t>Activos y pasivos por impuestos diferidos [sinopsis]</t>
  </si>
  <si>
    <t>07102005</t>
  </si>
  <si>
    <t>07102007</t>
  </si>
  <si>
    <t>Pasivo (activo) por impuestos diferidos</t>
  </si>
  <si>
    <t>07102008</t>
  </si>
  <si>
    <t>Activos y pasivos por impuestos diferidos netos [resumen]</t>
  </si>
  <si>
    <t>07102009</t>
  </si>
  <si>
    <t>Activos por impuestos diferidos netos</t>
  </si>
  <si>
    <t>07102010</t>
  </si>
  <si>
    <t>Pasivos por impuestos diferidos netos</t>
  </si>
  <si>
    <t>07102011</t>
  </si>
  <si>
    <t>Gasto (ingreso) por impuestos diferidos [sinopsis]</t>
  </si>
  <si>
    <t>07102012</t>
  </si>
  <si>
    <t>Gasto (ingreso) por impuestos diferidos</t>
  </si>
  <si>
    <t>07102013</t>
  </si>
  <si>
    <t>Gasto (ingreso) por impuestos diferidos reconocidos como resultados</t>
  </si>
  <si>
    <t>07102014</t>
  </si>
  <si>
    <t>Conciliación de los cambios en pasivos (activos) por impuestos diferidos [resumen]</t>
  </si>
  <si>
    <t>Pasivos (activos) por impuestos diferidos al comienzo del periodo</t>
  </si>
  <si>
    <t>07102016</t>
  </si>
  <si>
    <t>Cambios en pasivos (activos) por impuestos diferidos [resumen]</t>
  </si>
  <si>
    <t>07102017</t>
  </si>
  <si>
    <t>07102019</t>
  </si>
  <si>
    <t>Impuesto a las ganancias relacionado con componentes de otro resultado integral</t>
  </si>
  <si>
    <t>07102020</t>
  </si>
  <si>
    <t>Incrementos (disminuciones) por combinaciones de negocios, pasivos (activos) por impuestos diferidos</t>
  </si>
  <si>
    <t>07102021</t>
  </si>
  <si>
    <t>Incrementos (disminuciones) por pérdidas de control de subsidiaria, pasivos (activos) por impuestos diferidos</t>
  </si>
  <si>
    <t>07102022</t>
  </si>
  <si>
    <t>Incrementos (disminuciones) por diferencias de cambio netas, pasivos (activos) por impuestos diferidos</t>
  </si>
  <si>
    <t>07102023</t>
  </si>
  <si>
    <t>Incrementos (disminuciones) de pasivos (activos) por impuestos diferidos</t>
  </si>
  <si>
    <t>07102024</t>
  </si>
  <si>
    <t>Pasivos (activos) por impuestos diferidos al final del periodo</t>
  </si>
  <si>
    <t>07103002</t>
  </si>
  <si>
    <t>Consecuencias en el impuesto a las ganancias de los dividendos propuestos o declarados antes de la autorización de los estados financieros para su publicación no reconocidos como pasivo</t>
  </si>
  <si>
    <t>07103003</t>
  </si>
  <si>
    <t>Incremento (disminución) en importes reconocidos por activos por impuestos diferidos anteriores a la adquisición</t>
  </si>
  <si>
    <t>07103004</t>
  </si>
  <si>
    <t>Descripción de hechos o cambios en circunstancias que ocasionaron el reconocimiento de beneficios por impuestos diferidos adquiridos en combinaciones de negocios después de la fecha de adquisición</t>
  </si>
  <si>
    <t>07103007</t>
  </si>
  <si>
    <t>Descripción de la naturaleza de las consecuencias potenciales en el impuesto a las ganancias que podrían producirse por el pago de dividendos</t>
  </si>
  <si>
    <t>07103008</t>
  </si>
  <si>
    <t>Descripción del importe de las consecuencias potenciales en el impuesto a las ganancias que sea practicable determinar</t>
  </si>
  <si>
    <t>07103009</t>
  </si>
  <si>
    <t>Descripción de si existen potenciales consecuencias del impuesto a las ganancias que no es practicable determinar</t>
  </si>
  <si>
    <t>07103010</t>
  </si>
  <si>
    <t>Conciliación de la ganancia contable multiplicada por las tasas impositivas aplicables [sinopsis]</t>
  </si>
  <si>
    <t>Ganancia contable</t>
  </si>
  <si>
    <t>Total de gasto (ingreso) por impuestos a la tasa impositiva aplicable</t>
  </si>
  <si>
    <t>07103013</t>
  </si>
  <si>
    <t>Efecto fiscal de ingresos de actividades ordinarias exentos de tributación</t>
  </si>
  <si>
    <t>07103014</t>
  </si>
  <si>
    <t>Efecto fiscal de gastos no deducibles para la determinación de la ganancia (pérdida) tributable</t>
  </si>
  <si>
    <t>07103015</t>
  </si>
  <si>
    <t>Efecto fiscal del deterioro del valor de la plusvalía</t>
  </si>
  <si>
    <t>07103016</t>
  </si>
  <si>
    <t>Efecto fiscal de pérdidas fiscales</t>
  </si>
  <si>
    <t>07103017</t>
  </si>
  <si>
    <t>Efecto fiscal de tasas impositivas soportadas en el extranjero</t>
  </si>
  <si>
    <t>07103018</t>
  </si>
  <si>
    <t>Efecto fiscal procedente de cambios en las tasas impositivas</t>
  </si>
  <si>
    <t>07103019</t>
  </si>
  <si>
    <t>Otros efectos fiscales por conciliación entre la ganancia contable y gasto por impuestos (ingreso)</t>
  </si>
  <si>
    <t>07103020</t>
  </si>
  <si>
    <t>07103021</t>
  </si>
  <si>
    <t>Conciliación de la tasa impositiva media efectiva y la tasa impositiva aplicable [sinopsis]</t>
  </si>
  <si>
    <t>07103023</t>
  </si>
  <si>
    <t>Tasa impositiva aplicable</t>
  </si>
  <si>
    <t>07103024</t>
  </si>
  <si>
    <t>Efecto de la tasa impositiva de ingresos de actividades ordinarias exentos de tributación</t>
  </si>
  <si>
    <t>07103025</t>
  </si>
  <si>
    <t>Efecto de la tasa impositiva de gastos no deducibles para la determinación de la ganancia (pérdida) tributable</t>
  </si>
  <si>
    <t>07103026</t>
  </si>
  <si>
    <t>Efecto en la tasa impositiva del deterioro del valor de la plusvalía</t>
  </si>
  <si>
    <t>07103027</t>
  </si>
  <si>
    <t>Efecto de la tasa impositiva de pérdidas fiscales</t>
  </si>
  <si>
    <t>07103028</t>
  </si>
  <si>
    <t>Efecto de la tasa impositiva de tasas impositivas soportadas en el extranjero</t>
  </si>
  <si>
    <t>07103029</t>
  </si>
  <si>
    <t>Efecto de la tasa impositiva procedente de cambios en la tasa impositiva</t>
  </si>
  <si>
    <t>07103030</t>
  </si>
  <si>
    <t>Efecto de la tasa impositiva de ajustes a impuestos corrientes de periodos anteriores</t>
  </si>
  <si>
    <t>07103031</t>
  </si>
  <si>
    <t>Otros efectos de la tasa impositiva por conciliación entre la ganancia contable y gasto por impuestos (ingreso)</t>
  </si>
  <si>
    <t>07103032</t>
  </si>
  <si>
    <t>Total de tasa impositiva media efectiva</t>
  </si>
  <si>
    <t>07200000</t>
  </si>
  <si>
    <t>[836200] Notas - Costos por préstamos</t>
  </si>
  <si>
    <t>07201001</t>
  </si>
  <si>
    <t>Información a revelar sobre costos por préstamos [bloque de texto]</t>
  </si>
  <si>
    <t>07201002</t>
  </si>
  <si>
    <t>07201003</t>
  </si>
  <si>
    <t>Costos por préstamos capitalizados</t>
  </si>
  <si>
    <t>07201004</t>
  </si>
  <si>
    <t>Tasa de capitalización de costos por préstamos susceptibles de capitalización</t>
  </si>
  <si>
    <t>07300000</t>
  </si>
  <si>
    <t>[836500] Notas - Contratos de seguro</t>
  </si>
  <si>
    <t>07301002</t>
  </si>
  <si>
    <t>07301003</t>
  </si>
  <si>
    <t>Información a revelar de importes procedentes de contratos de seguro [bloque de texto]</t>
  </si>
  <si>
    <t>07301004</t>
  </si>
  <si>
    <t>07301005</t>
  </si>
  <si>
    <t>Activos que surgen de contratos de seguros</t>
  </si>
  <si>
    <t>07301006</t>
  </si>
  <si>
    <t>Primas por recaudar - negocios directos</t>
  </si>
  <si>
    <t>07301007</t>
  </si>
  <si>
    <t>Primas por recaudar - coaseguro aceptado</t>
  </si>
  <si>
    <t>07301008</t>
  </si>
  <si>
    <t>Primas por recaudar - coaseguro cedido</t>
  </si>
  <si>
    <t>07301009</t>
  </si>
  <si>
    <t>Por cancelación automática</t>
  </si>
  <si>
    <t>07301010</t>
  </si>
  <si>
    <t>Empleadores - ARL</t>
  </si>
  <si>
    <t>07301011</t>
  </si>
  <si>
    <t>Administradoras - ARL</t>
  </si>
  <si>
    <t>07301012</t>
  </si>
  <si>
    <t>Promotoras de salud - ARL</t>
  </si>
  <si>
    <t>07301013</t>
  </si>
  <si>
    <t>Instituciones prestadoras de servicios de salud</t>
  </si>
  <si>
    <t>07301014</t>
  </si>
  <si>
    <t>Otras cuentas por cobrar - ARL</t>
  </si>
  <si>
    <t>07301015</t>
  </si>
  <si>
    <t>Coaseguradores cuenta corriente aceptados y cedidos</t>
  </si>
  <si>
    <t>07301016</t>
  </si>
  <si>
    <t>Seguro de crédito a la exportación - cuenta corriente Bancoldex</t>
  </si>
  <si>
    <t>07301017</t>
  </si>
  <si>
    <t>Siniestros pendientes garantizados por la Nación</t>
  </si>
  <si>
    <t>07301018</t>
  </si>
  <si>
    <t>Préstamos sobre pólizas</t>
  </si>
  <si>
    <t>07301019</t>
  </si>
  <si>
    <t>Por financiación de primas</t>
  </si>
  <si>
    <t>07301020</t>
  </si>
  <si>
    <t>Fondo Nacional de Bomberos</t>
  </si>
  <si>
    <t>07301021</t>
  </si>
  <si>
    <t>Cámara de Compensación del SOAT</t>
  </si>
  <si>
    <t>07301022</t>
  </si>
  <si>
    <t>Cuentas por cobrar a intermediarios de seguros</t>
  </si>
  <si>
    <t>07301023</t>
  </si>
  <si>
    <t>Otras cuentas por cobrar actividad aseguradora</t>
  </si>
  <si>
    <t>07301024</t>
  </si>
  <si>
    <t>Deterioro activos contratos de seguros</t>
  </si>
  <si>
    <t>07301025</t>
  </si>
  <si>
    <t>Activos derivados de contratos de seguro y contratos de reaseguro emitidos</t>
  </si>
  <si>
    <t>07301026</t>
  </si>
  <si>
    <t>Compañías cedentes interior-exterior cuenta corriente</t>
  </si>
  <si>
    <t>07301027</t>
  </si>
  <si>
    <t>Depósitos en poder de cedentes interior y exterior</t>
  </si>
  <si>
    <t>07301028</t>
  </si>
  <si>
    <t>Costos de adquisición pagados por anticipado que surgen de contratos de seguro</t>
  </si>
  <si>
    <t>07301029</t>
  </si>
  <si>
    <t>Activos intangibles relativos a contratos de seguro adquiridos en combinaciones de negocios o transferencias de cartera</t>
  </si>
  <si>
    <t>07301030</t>
  </si>
  <si>
    <t>Activos derivados de contratos de reaseguro cedidos</t>
  </si>
  <si>
    <t>07301031</t>
  </si>
  <si>
    <t>Importe a cargo de los reaseguradores por reservas técnicas</t>
  </si>
  <si>
    <t>07301032</t>
  </si>
  <si>
    <t>Reaseguradores interior y exterior - cuenta corriente</t>
  </si>
  <si>
    <t>07301033</t>
  </si>
  <si>
    <t>Costos pagados que surgen de contratos de reaseguro</t>
  </si>
  <si>
    <t>07301034</t>
  </si>
  <si>
    <t>Depósitos sobre primas cedidas a reaseguraroes del exterior</t>
  </si>
  <si>
    <t>07301035</t>
  </si>
  <si>
    <t>Pasivos derivados de contratos de seguro y contratos de reaseguro emitidos [resumen]</t>
  </si>
  <si>
    <t>07301036</t>
  </si>
  <si>
    <t>Reserva de riesgos en curso - prima no devengada</t>
  </si>
  <si>
    <t>07301037</t>
  </si>
  <si>
    <t>Reserva de riesgos en curso - por insuficiencia de primas</t>
  </si>
  <si>
    <t>07301038</t>
  </si>
  <si>
    <t>Reserva matemática</t>
  </si>
  <si>
    <t>07301039</t>
  </si>
  <si>
    <t>Reserva de seguro de vida de ahorro con participación</t>
  </si>
  <si>
    <t>07301040</t>
  </si>
  <si>
    <t>Reserva de insuficiencia de activos</t>
  </si>
  <si>
    <t>07301041</t>
  </si>
  <si>
    <t>Depósito de reserva sobre primas cedidas a reaseguradores del exterior</t>
  </si>
  <si>
    <t>07301042</t>
  </si>
  <si>
    <t>Reserva de desviación de siniestralidad</t>
  </si>
  <si>
    <t>07301043</t>
  </si>
  <si>
    <t>Reserva de riesgos catastróficos</t>
  </si>
  <si>
    <t>07301044</t>
  </si>
  <si>
    <t>Reserva de siniestros pendientes - avisados</t>
  </si>
  <si>
    <t>07301045</t>
  </si>
  <si>
    <t>Reserva de siniestros pendientes - ocurridos no avisados (IBNR)</t>
  </si>
  <si>
    <t>07301046</t>
  </si>
  <si>
    <t>Reserva para siniestros pendientes garantizados por la nación</t>
  </si>
  <si>
    <t>07301047</t>
  </si>
  <si>
    <t>Reservas especiales</t>
  </si>
  <si>
    <t>07301048</t>
  </si>
  <si>
    <t>Siniestros liquidados por pagar</t>
  </si>
  <si>
    <t>07301049</t>
  </si>
  <si>
    <t>07301050</t>
  </si>
  <si>
    <t>Fondo de programas de prevención e investigación ATEP</t>
  </si>
  <si>
    <t>07301051</t>
  </si>
  <si>
    <t>Comisiones y otras obligaciones por pagar a intermediarios de seguros</t>
  </si>
  <si>
    <t>07301052</t>
  </si>
  <si>
    <t>Cuentasy dividendos por pagar a asegurados de vida</t>
  </si>
  <si>
    <t>07301053</t>
  </si>
  <si>
    <t>Depósitos para expedición y sobrantes de primas</t>
  </si>
  <si>
    <t>07301054</t>
  </si>
  <si>
    <t>07301055</t>
  </si>
  <si>
    <t>07301056</t>
  </si>
  <si>
    <t>Sistema general de riesgos laborales</t>
  </si>
  <si>
    <t>07301057</t>
  </si>
  <si>
    <t>07301058</t>
  </si>
  <si>
    <t>Pasivos derivados de contratos de reaseguro cedidos</t>
  </si>
  <si>
    <t>07301059</t>
  </si>
  <si>
    <t>07301060</t>
  </si>
  <si>
    <t>Comisiones recibidas por primas cedidas a reaseguradores</t>
  </si>
  <si>
    <t>07301061</t>
  </si>
  <si>
    <t>Total pasivos derivados de contratos de seguro y contratos de reaseguro emitidos.</t>
  </si>
  <si>
    <t>07301062</t>
  </si>
  <si>
    <t>Ingresos procedentes de contratos de seguros</t>
  </si>
  <si>
    <t>07301063</t>
  </si>
  <si>
    <t>Primas emitidas</t>
  </si>
  <si>
    <t>07301064</t>
  </si>
  <si>
    <t>Liberación de reservas</t>
  </si>
  <si>
    <t>07301065</t>
  </si>
  <si>
    <t>Salvamentos y recobros</t>
  </si>
  <si>
    <t>07301066</t>
  </si>
  <si>
    <t>Gastos procedentes de contratos de seguros</t>
  </si>
  <si>
    <t>07301067</t>
  </si>
  <si>
    <t>Constitución de reservas</t>
  </si>
  <si>
    <t>07301068</t>
  </si>
  <si>
    <t>Remuneración de intermediación</t>
  </si>
  <si>
    <t>07301069</t>
  </si>
  <si>
    <t>Remuneración de intermediación - ARL</t>
  </si>
  <si>
    <t>07301070</t>
  </si>
  <si>
    <t>Servicios mínimos de promoción y prevención ARL</t>
  </si>
  <si>
    <t>07301071</t>
  </si>
  <si>
    <t>Ingresos por contratos con reaseguradoras</t>
  </si>
  <si>
    <t>07301072</t>
  </si>
  <si>
    <t>Primas aceptadas</t>
  </si>
  <si>
    <t>07301073</t>
  </si>
  <si>
    <t>Comisiones de reaseguro cedido</t>
  </si>
  <si>
    <t>07301074</t>
  </si>
  <si>
    <t>Reembolso de siniestros</t>
  </si>
  <si>
    <t>07301075</t>
  </si>
  <si>
    <t>Ingresos de contratos no proporcionales</t>
  </si>
  <si>
    <t>07301076</t>
  </si>
  <si>
    <t>Otros ingresos por contratos de reaseguros</t>
  </si>
  <si>
    <t>07301077</t>
  </si>
  <si>
    <t>Gastos por reclamaciones y beneficios de los asegurados (sin reducción por reaseguros mantenidos)</t>
  </si>
  <si>
    <t>07301078</t>
  </si>
  <si>
    <t>Siniestros liquidados</t>
  </si>
  <si>
    <t>07301079</t>
  </si>
  <si>
    <t>Gastos que surgen del reaseguro mantenido</t>
  </si>
  <si>
    <t>07301080</t>
  </si>
  <si>
    <t>Primas cedidas</t>
  </si>
  <si>
    <t>07301081</t>
  </si>
  <si>
    <t>Comisiones de reaseguro aceptado</t>
  </si>
  <si>
    <t>07301082</t>
  </si>
  <si>
    <t>Otros gastos por contratos de reaseguros</t>
  </si>
  <si>
    <t>07301083</t>
  </si>
  <si>
    <t>Flujos de efectivo procedentes de (utilizados en) contratos de seguro</t>
  </si>
  <si>
    <t>07301084</t>
  </si>
  <si>
    <t>Ganancias (pérdidas) reconocidas en el resultado en compras de reaseguro</t>
  </si>
  <si>
    <t>07301085</t>
  </si>
  <si>
    <t>Amortización de pérdidas (ganancias) que surgen en la compra de reaseguro</t>
  </si>
  <si>
    <t>07301086</t>
  </si>
  <si>
    <t>Ganancias (pérdidas) no amortizadas restantes que surgen en compras de reaseguro al inicio del periodo</t>
  </si>
  <si>
    <t>07301087</t>
  </si>
  <si>
    <t>Ganancias (pérdidas) no amortizadas restantes que surgen en la compra del reaseguro al final del periodo</t>
  </si>
  <si>
    <t>07301088</t>
  </si>
  <si>
    <t>Explicación del proceso utilizado para determinar las suposiciones para medir los activos, pasivos, ingresos y gastos reconocidos que surgen de contratos de seguro</t>
  </si>
  <si>
    <t>07301089</t>
  </si>
  <si>
    <t>Explicación del efecto de cambios en los supuestos para medir los activos por seguros y los pasivos por seguros</t>
  </si>
  <si>
    <t>07301090</t>
  </si>
  <si>
    <t>Conciliación de cambios en pasivos derivados de contratos de seguro y contratos de reaseguro emitidos [resumen]</t>
  </si>
  <si>
    <t>07301091</t>
  </si>
  <si>
    <t>Pasivos derivados de contratos de seguro y contratos de reaseguro emitidos al comienzo del periodo</t>
  </si>
  <si>
    <t>07301092</t>
  </si>
  <si>
    <t>Cambios en pasivos derivados de contratos de seguro y contratos de reaseguro emitidos [resumen]</t>
  </si>
  <si>
    <t>07301093</t>
  </si>
  <si>
    <t>Incorporaciones distintas de las de a través de combinaciones de negocios, pasivos por contratos de seguro y contratos de reaseguro emitidos</t>
  </si>
  <si>
    <t>07301094</t>
  </si>
  <si>
    <t>Adquisiciones a través de combinaciones de negocios, pasivos por contratos de seguro y contratos de reaseguro emitidos</t>
  </si>
  <si>
    <t>07301095</t>
  </si>
  <si>
    <t>Efectivo pagado, pasivos derivados de contratos de seguro y contratos de reaseguro emitidos</t>
  </si>
  <si>
    <t>07301096</t>
  </si>
  <si>
    <t>Gasto (ingreso) incluido en el resultado del periodo, pasivos según contratos de seguro y contratos de reaseguro emitidos</t>
  </si>
  <si>
    <t>07301097</t>
  </si>
  <si>
    <t>Incremento (disminución) por transferencias, pasivos derivados de contratos de seguro y contratos de reaseguro emitidos</t>
  </si>
  <si>
    <t>07301098</t>
  </si>
  <si>
    <t>Incremento (disminución) por diferencias de cambio netas, pasivos derivados de contratos de seguro y contratos de reaseguro emitidos</t>
  </si>
  <si>
    <t>07301099</t>
  </si>
  <si>
    <t>Incrementos (disminuciones) por ajustes que surgen del paso del tiempo, pasivos según contratos de seguro y contratos de reaseguro emitidos</t>
  </si>
  <si>
    <t>07301100</t>
  </si>
  <si>
    <t>Incremento (disminución) por otros cambios, pasivos derivados de contratos de seguro y contratos de reaseguro emitidos</t>
  </si>
  <si>
    <t>07301101</t>
  </si>
  <si>
    <t>Total incremento (disminución) de pasivos derivados de contratos de seguro y contratos de reaseguro emitidos</t>
  </si>
  <si>
    <t>07301102</t>
  </si>
  <si>
    <t>Pasivos derivados de contratos de seguro y contratos de reaseguro emitidos al final del periodo</t>
  </si>
  <si>
    <t>07301103</t>
  </si>
  <si>
    <t>Conciliación de cambios en costos de adquisición diferidos que surgen de contratos de seguro [resumen]</t>
  </si>
  <si>
    <t>07301104</t>
  </si>
  <si>
    <t>Costos de adquisición diferidos que surgen de contratos de seguro al comienzo del periodo</t>
  </si>
  <si>
    <t>07301105</t>
  </si>
  <si>
    <t>Cambios en costos de adquisición diferidos que surgen de contratos de seguro [resumen]</t>
  </si>
  <si>
    <t>07301106</t>
  </si>
  <si>
    <t>Importes incurridos, costos de adquisición diferidos que surgen de contratos de seguro</t>
  </si>
  <si>
    <t>07301107</t>
  </si>
  <si>
    <t>Adquisiciones a través de combinaciones de negocios, costos de adquisición diferidos que surgen de contratos de seguro</t>
  </si>
  <si>
    <t>07301108</t>
  </si>
  <si>
    <t>Amortización, costos de adquisición diferidos que surgen de contratos de seguro</t>
  </si>
  <si>
    <t>07301109</t>
  </si>
  <si>
    <t>Pérdida por deterioro de valor reconocida en el resultado del periodo, costos de adquisición diferidos que surgen de contratos de seguro</t>
  </si>
  <si>
    <t>07301110</t>
  </si>
  <si>
    <t>Incrementos (disminuciones) por diferencias de cambio netas, costos de adquisición diferidos que surgen de contratos de seguro</t>
  </si>
  <si>
    <t>07301111</t>
  </si>
  <si>
    <t>Incrementos (disminuciones) por contabilidad tácita, costos de adquisición diferidos que surgen de contratos de seguro</t>
  </si>
  <si>
    <t>07301112</t>
  </si>
  <si>
    <t>Incremento (disminución) por otros cambios, costos de adquisición diferidos que surgen de contratos de seguro</t>
  </si>
  <si>
    <t>07301113</t>
  </si>
  <si>
    <t>Total incremento (disminución) de costos de adquisición diferidos que surgen de contratos de seguro</t>
  </si>
  <si>
    <t>07301114</t>
  </si>
  <si>
    <t>Costos de adquisición diferidos que surgen de contratos de seguro al final del periodo</t>
  </si>
  <si>
    <t>07301115</t>
  </si>
  <si>
    <t>Conciliación de cambios en activos de reaseguro [resumen]</t>
  </si>
  <si>
    <t>07301116</t>
  </si>
  <si>
    <t>Activos de reaseguro al inicio del periodo</t>
  </si>
  <si>
    <t>07301117</t>
  </si>
  <si>
    <t>Cambios en activos de reaseguro [resumen]</t>
  </si>
  <si>
    <t>07301118</t>
  </si>
  <si>
    <t>Incorporaciones distintas de las de a través de combinaciones de negocios, activos de reaseguro</t>
  </si>
  <si>
    <t>07301119</t>
  </si>
  <si>
    <t>Adquisiciones a través de combinaciones de negocios, activos de reaseguro</t>
  </si>
  <si>
    <t>07301120</t>
  </si>
  <si>
    <t>Incrementos (disminuciones) por diferencias de cambio netas, activos de reaseguro</t>
  </si>
  <si>
    <t>07301121</t>
  </si>
  <si>
    <t>Incrementos (disminuciones) por ajustes que surgen del paso del tiempo, activos de reaseguro</t>
  </si>
  <si>
    <t>07301122</t>
  </si>
  <si>
    <t>Incrementos (disminuciones) por otros cambios, activos de reaseguro</t>
  </si>
  <si>
    <t>07301123</t>
  </si>
  <si>
    <t>Total incremento (disminución) en los activos de reaseguro</t>
  </si>
  <si>
    <t>07301124</t>
  </si>
  <si>
    <t>Activos de reaseguro al final del periodo</t>
  </si>
  <si>
    <t>07301125</t>
  </si>
  <si>
    <t>Información a revelar sobre la naturaleza y alcance de los riesgos que surgen de contratos de seguro [bloque de texto]</t>
  </si>
  <si>
    <t>07301126</t>
  </si>
  <si>
    <t>Descripción de objetivos, políticas y procesos para gestionar riesgos que surjan de los contratos de seguro y métodos usados en dicha gestión de riesgos</t>
  </si>
  <si>
    <t>07301127</t>
  </si>
  <si>
    <t>Información a revelar sobre riesgo de seguro [bloque de texto]</t>
  </si>
  <si>
    <t>07301128</t>
  </si>
  <si>
    <t>Información a revelar sobre sensibilidad a los riesgos de seguro [bloque de texto]</t>
  </si>
  <si>
    <t>07301129</t>
  </si>
  <si>
    <t>Análisis de sensibilidad al riesgo de seguro</t>
  </si>
  <si>
    <t>07301130</t>
  </si>
  <si>
    <t>Información cualitativa sobre sensibilidad e información sobre aquellos términos y condiciones de contratos de seguros que tienen efectos significativos</t>
  </si>
  <si>
    <t>07301131</t>
  </si>
  <si>
    <t>Descripción de concentraciones del riesgo de seguro</t>
  </si>
  <si>
    <t>07301132</t>
  </si>
  <si>
    <t>Información a revelar sobre reclamaciones reales comparadas con estimaciones previas [bloque de texto]</t>
  </si>
  <si>
    <t>07301133</t>
  </si>
  <si>
    <t>Información a revelar sobre riesgo de crédito de contratos de seguro [bloque de texto]</t>
  </si>
  <si>
    <t>07301134</t>
  </si>
  <si>
    <t>Información a revelar sobre riesgo de liquidez de contratos de seguro [bloque de texto]</t>
  </si>
  <si>
    <t>07301135</t>
  </si>
  <si>
    <t>Información a revelar sobre riesgo de mercado de contratos de seguro [bloque de texto]</t>
  </si>
  <si>
    <t>07301136</t>
  </si>
  <si>
    <t>Información sobre exposiciones al riesgo de mercado que surgen de derivados implícitos contenidos en contratos de seguro anfitriones</t>
  </si>
  <si>
    <t>07302002</t>
  </si>
  <si>
    <t>Información a revelar sobre tipos de contratos de seguro [resumen]</t>
  </si>
  <si>
    <t>07302003</t>
  </si>
  <si>
    <t>Información a revelar sobre tipos de contratos de seguro [partidas]</t>
  </si>
  <si>
    <t>07302004</t>
  </si>
  <si>
    <t>07302005</t>
  </si>
  <si>
    <t>07303002</t>
  </si>
  <si>
    <t>Información a revelar sobre el neto, bruto y parte de la reaseguradora de importes que surgen de contratos de seguro [resumen]</t>
  </si>
  <si>
    <t>07303003</t>
  </si>
  <si>
    <t>Información a revelar sobre el neto, bruto y participación de la reaseguradora en importes que surgen de contratos de seguro [partidas]</t>
  </si>
  <si>
    <t>07303004</t>
  </si>
  <si>
    <t>07303005</t>
  </si>
  <si>
    <t>07400000</t>
  </si>
  <si>
    <t>[838000] Notas - Ganancias por acción -</t>
  </si>
  <si>
    <t>07401002</t>
  </si>
  <si>
    <t>07401003</t>
  </si>
  <si>
    <t>07401005</t>
  </si>
  <si>
    <t>07401006</t>
  </si>
  <si>
    <t>07401007</t>
  </si>
  <si>
    <t>07401008</t>
  </si>
  <si>
    <t>07401009</t>
  </si>
  <si>
    <t>07401010</t>
  </si>
  <si>
    <t>07401011</t>
  </si>
  <si>
    <t>Ganancia (pérdida), atribuible a los tenedores de instrumentos ordinarios de patrimonio de la entidad controladora [sinopsis]</t>
  </si>
  <si>
    <t>Ganancia (pérdida) procedente de operaciones continuadas atribuible a los tenedores de instrumentos ordinarios de patrimonio de la controladora</t>
  </si>
  <si>
    <t>07401013</t>
  </si>
  <si>
    <t>Ganancia (pérdida) procedente de operaciones discontinuadas atribuible a los tenedores de instrumentos ordinarios de patrimonio de la controladora</t>
  </si>
  <si>
    <t>07401014</t>
  </si>
  <si>
    <t>Ganancia (pérdida), atribuible a los tenedores de instrumentos ordinarios de patrimonio de la entidad controladora</t>
  </si>
  <si>
    <t>07401015</t>
  </si>
  <si>
    <t>Ganancia (pérdida) procedente de operaciones continuadas atribuible a los tenedores de instrumentos ordinarios de patrimonio de la controladora que incluye los efectos dilusivos</t>
  </si>
  <si>
    <t>07401016</t>
  </si>
  <si>
    <t>Ganancia (pérdida) procedente de operaciones discontinuadas atribuible a los tenedores de instrumentos ordinarios de patrimonio de la controladora que incluye los efectos dilusivos</t>
  </si>
  <si>
    <t>07401017</t>
  </si>
  <si>
    <t>Ganancia (pérdida), atribuible a los tenedores de instrumentos ordinarios de patrimonio de la entidad controladora que incluye los efectos dilusivos</t>
  </si>
  <si>
    <t>07401018</t>
  </si>
  <si>
    <t>Promedio ponderado de acciones ordinarias y promedio ponderado ajustado de acciones ordinarias [resumen]</t>
  </si>
  <si>
    <t>Promedio ponderado del número de acciones ordinarias en circulación</t>
  </si>
  <si>
    <t>Promedio ponderado ajustado del número de acciones ordinarias en circulación</t>
  </si>
  <si>
    <t>07401021</t>
  </si>
  <si>
    <t>Incrementos (disminuciones) del número de acciones ordinarias emitidas</t>
  </si>
  <si>
    <t>07401022</t>
  </si>
  <si>
    <t>Explicación de ajustes del numerador para calcular las ganancias por acción básicas</t>
  </si>
  <si>
    <t>07401023</t>
  </si>
  <si>
    <t>Explicación de ajustes del numerador para calcular las ganancias por acción diluidas</t>
  </si>
  <si>
    <t>07401024</t>
  </si>
  <si>
    <t>Explicación de ajustes entre denominadores utilizados para calcular las ganancias por acción básicas y diluidas.</t>
  </si>
  <si>
    <t>07401025</t>
  </si>
  <si>
    <t>Efecto dilusivo de instrumentos convertibles en un número de acciones ordinarias</t>
  </si>
  <si>
    <t>07401026</t>
  </si>
  <si>
    <t>Efecto dilusivo de opciones sobre acciones en un número de acciones ordinarias</t>
  </si>
  <si>
    <t>07401027</t>
  </si>
  <si>
    <t>Descripción de instrumentos con efecto dilusivo potencial futuro no incluido para calcular las ganancias por acción diluidas</t>
  </si>
  <si>
    <t>07401028</t>
  </si>
  <si>
    <t>Descripción de las transacciones tras el periodo sobre el que se informa que cambian significativamente el número de acciones ordinarias en circulación</t>
  </si>
  <si>
    <t>07401029</t>
  </si>
  <si>
    <t>Descripción de transacciones tras el periodo sobre el que se informa que cambian significativamente el número de acciones ordinarias en circulación potenciales</t>
  </si>
  <si>
    <t>07500000</t>
  </si>
  <si>
    <t>[842000] Notas - Efectos de las variaciones en las tasas de cambio en la moneda extranjera</t>
  </si>
  <si>
    <t>07501001</t>
  </si>
  <si>
    <t>07501002</t>
  </si>
  <si>
    <t>07501003</t>
  </si>
  <si>
    <t>Descripción de la moneda funcional</t>
  </si>
  <si>
    <t>07501004</t>
  </si>
  <si>
    <t>07501005</t>
  </si>
  <si>
    <t>Descripción de la razón por la que la moneda de presentación es diferente de la moneda funcional</t>
  </si>
  <si>
    <t>07501006</t>
  </si>
  <si>
    <t>Descripción de la razón para introducir cambios en la moneda funcional</t>
  </si>
  <si>
    <t>07501007</t>
  </si>
  <si>
    <t>Descripción de la moneda en la que se facilita información complementaria</t>
  </si>
  <si>
    <t>07501008</t>
  </si>
  <si>
    <t>Descripción de los métodos de conversión utilizados para determinar la información complementaria</t>
  </si>
  <si>
    <t>07501009</t>
  </si>
  <si>
    <t>Ganancias (pérdidas) de cambio en moneda extranjera</t>
  </si>
  <si>
    <t>Ganancia neta por moneda extranjera</t>
  </si>
  <si>
    <t>Pérdida neta por moneda extranjera</t>
  </si>
  <si>
    <t>07501013</t>
  </si>
  <si>
    <t>Tasas de cambio de moneda extranjera [resumen]</t>
  </si>
  <si>
    <t>Tasa de cambio de moneda extranjera de cierre</t>
  </si>
  <si>
    <t>Promedio de tasa de cambio de moneda extranjera</t>
  </si>
  <si>
    <t>07600000</t>
  </si>
  <si>
    <t>[851100] Notas - Estado de flujos de efectivo</t>
  </si>
  <si>
    <t>07601001</t>
  </si>
  <si>
    <t>07601002</t>
  </si>
  <si>
    <t>Contraprestación pagada (recibida)</t>
  </si>
  <si>
    <t>07601003</t>
  </si>
  <si>
    <t>Parte de la contraprestación pagada (recibida) que consiste en efectivo y equivalentes al efectivo</t>
  </si>
  <si>
    <t>07601004</t>
  </si>
  <si>
    <t>Efectivo y equivalentes al efectivo en subsidiarias o negocios adquiridos o dispuestos</t>
  </si>
  <si>
    <t>07601005</t>
  </si>
  <si>
    <t>Activos distintos del efectivo o equivalentes al efectivo en subsidiarias o negocios adquiridos o dispuestos</t>
  </si>
  <si>
    <t>07601006</t>
  </si>
  <si>
    <t>Pasivos en subsidiarias o negocios adquiridos o dispuestos</t>
  </si>
  <si>
    <t>07601007</t>
  </si>
  <si>
    <t>07601008</t>
  </si>
  <si>
    <t>Efectivo y equivalentes al efectivo si son diferentes del estado de situación financiera [resumen]</t>
  </si>
  <si>
    <t>07601010</t>
  </si>
  <si>
    <t>Sobregiros bancarios</t>
  </si>
  <si>
    <t>07601011</t>
  </si>
  <si>
    <t>Efectivo y equivalentes al efectivo clasificados como parte de un grupo de activos para su disposición mantenidos para la venta</t>
  </si>
  <si>
    <t>07601012</t>
  </si>
  <si>
    <t>Otras diferencias de efectivo y equivalentes al efectivo en el estado de flujos de efectivo</t>
  </si>
  <si>
    <t>07601013</t>
  </si>
  <si>
    <t>Total efectivo y equivalentes al efectivo si son diferentes del estado de situación financiera</t>
  </si>
  <si>
    <t>07601014</t>
  </si>
  <si>
    <t>Explicación de las transacciones de inversión y financiación que no requieren el uso de efectivo o equivalentes al efectivo</t>
  </si>
  <si>
    <t>07601015</t>
  </si>
  <si>
    <t>Descripción de la adquisición de activos, ya sea asumiendo directamente los pasivos relacionados, o mediante operaciones de arrendamiento financiero</t>
  </si>
  <si>
    <t>07601016</t>
  </si>
  <si>
    <t>Descripción de la adquisición de una entidad mediante una ampliación de capital</t>
  </si>
  <si>
    <t>07601017</t>
  </si>
  <si>
    <t>Descripción de la conversión de deuda en patrimonio</t>
  </si>
  <si>
    <t>07601018</t>
  </si>
  <si>
    <t>Efectivo y equivalentes al efectivo mantenido por la entidad no disponible para uso del grupo</t>
  </si>
  <si>
    <t>07601019</t>
  </si>
  <si>
    <t>Comentario de la gerencia sobre saldos de efectivo y equivalentes al efectivo significativos mantenidos por la entidad que no están disponibles para su uso por el grupo</t>
  </si>
  <si>
    <t>07601020</t>
  </si>
  <si>
    <t>Información a revelar adicional sobre la comprensión de la situación financiera y la liquidez de la entidad [bloque de texto]</t>
  </si>
  <si>
    <t>07601021</t>
  </si>
  <si>
    <t>Préstamos no dispuestos</t>
  </si>
  <si>
    <t>07601022</t>
  </si>
  <si>
    <t>Flujos de efectivo procedentes de (utilizados en) incrementos de la capacidad operativa</t>
  </si>
  <si>
    <t>07601023</t>
  </si>
  <si>
    <t>Flujos de efectivo procedentes de (utilizados en) el mantenimiento de la capacidad operativa</t>
  </si>
  <si>
    <t>07601024</t>
  </si>
  <si>
    <t>Impuestos a las ganancias pagados (reembolso) [sinopsis]</t>
  </si>
  <si>
    <t>Impuestos a las ganancias pagados (reembolsados), clasificados como actividades de operación</t>
  </si>
  <si>
    <t>07601026</t>
  </si>
  <si>
    <t>Impuestos a las ganancias pagados (reembolsados), clasificados como actividades de inversión</t>
  </si>
  <si>
    <t>07601027</t>
  </si>
  <si>
    <t>Impuestos a las ganancias pagados (reembolsados), clasificados como actividades de financiación</t>
  </si>
  <si>
    <t>07601028</t>
  </si>
  <si>
    <t>Total impuestos a las ganancias pagados (reembolso)</t>
  </si>
  <si>
    <t>07700000</t>
  </si>
  <si>
    <t>[861000] Notas - Análisis de otro resultado integral por partida</t>
  </si>
  <si>
    <t>07701002</t>
  </si>
  <si>
    <t>Información a revelar sobre el análisis de otro resultado integral por partida [bloque de texto]</t>
  </si>
  <si>
    <t>07702002</t>
  </si>
  <si>
    <t>Información a revelar sobre el análisis de otro resultado integral por partida [resumen]</t>
  </si>
  <si>
    <t>07702003</t>
  </si>
  <si>
    <t>Información a revelar sobre el análisis de otro resultado integral por partida [partidas]</t>
  </si>
  <si>
    <t>07702005</t>
  </si>
  <si>
    <t>Otro resultado integral, neto de impuestos, instrumentos financieros medidos al valor razonable con cambios en el ORI</t>
  </si>
  <si>
    <t>07702006</t>
  </si>
  <si>
    <t>07702007</t>
  </si>
  <si>
    <t>07702011</t>
  </si>
  <si>
    <t>07702012</t>
  </si>
  <si>
    <t>07800000</t>
  </si>
  <si>
    <t>[861200] Notas - Capital en acciones, reservas y otras participaciones en el patrimonio -</t>
  </si>
  <si>
    <t>07801002</t>
  </si>
  <si>
    <t>07801003</t>
  </si>
  <si>
    <t>Información a revelar sobre clases de capital en acciones [bloque de texto]</t>
  </si>
  <si>
    <t>07802002</t>
  </si>
  <si>
    <t>Información a revelar sobre clases de capital en acciones [sinopsis]</t>
  </si>
  <si>
    <t>07802003</t>
  </si>
  <si>
    <t>Información a revelar sobre clases de capital en acciones [partidas]</t>
  </si>
  <si>
    <t>07802005</t>
  </si>
  <si>
    <t>Número de acciones emitidas [resumen]</t>
  </si>
  <si>
    <t>07802007</t>
  </si>
  <si>
    <t>07802008</t>
  </si>
  <si>
    <t>07802010</t>
  </si>
  <si>
    <t>Explicación del hecho de que las acciones no tienen valor nominal</t>
  </si>
  <si>
    <t>07802011</t>
  </si>
  <si>
    <t>Conciliación del número de acciones en circulación [resumen]</t>
  </si>
  <si>
    <t>07802012</t>
  </si>
  <si>
    <t>Cambios en el número de acciones en circulación [resumen]</t>
  </si>
  <si>
    <t>07802013</t>
  </si>
  <si>
    <t>Incremento (disminución) en el número de acciones en circulación</t>
  </si>
  <si>
    <t>07802014</t>
  </si>
  <si>
    <t>07802015</t>
  </si>
  <si>
    <t>Derechos, preferencias y restricciones asociadas a las clases de capital en acciones</t>
  </si>
  <si>
    <t>07802017</t>
  </si>
  <si>
    <t>Número de acciones cuya emisión está reservada como consecuencia de la existencia de opciones o contratos para la venta de acciones</t>
  </si>
  <si>
    <t>07802018</t>
  </si>
  <si>
    <t>Descripción de los plazos de acciones cuya emisión está reservada como consecuencia de la existencia de opciones o contratos para la venta de acciones</t>
  </si>
  <si>
    <t>07803002</t>
  </si>
  <si>
    <t>Descripción del capital mínimo e irreductible</t>
  </si>
  <si>
    <t>07803003</t>
  </si>
  <si>
    <t>Descripción de otras participaciones en el patrimonio</t>
  </si>
  <si>
    <t>07803004</t>
  </si>
  <si>
    <t>Resumen de datos cuantitativos acerca de instrumentos financieros con opción de venta clasificados como instrumentos de patrimonio</t>
  </si>
  <si>
    <t>07803005</t>
  </si>
  <si>
    <t>Información sobre objetivos, políticas y procesos para gestionar la obligación de la entidad de recomprar o reembolsar instrumentos financieros con opción de venta</t>
  </si>
  <si>
    <t>07803006</t>
  </si>
  <si>
    <t>Salida de efectivo esperada en el rescate o recompra de instrumentos con opción de venta</t>
  </si>
  <si>
    <t>07803007</t>
  </si>
  <si>
    <t>Información sobre cómo se determinaron las salidas de efectivo esperadas por reembolso o recompra</t>
  </si>
  <si>
    <t>07804002</t>
  </si>
  <si>
    <t>Información a revelar sobre reservas dentro de patrimonio [sinopsis]</t>
  </si>
  <si>
    <t>07804003</t>
  </si>
  <si>
    <t>Información a revelar sobre reservas dentro de patrimonio [partidas]</t>
  </si>
  <si>
    <t>07804004</t>
  </si>
  <si>
    <t>Descripción de la naturaleza y propósito de las reservas dentro del patrimonio</t>
  </si>
  <si>
    <t>07900000</t>
  </si>
  <si>
    <t>[871100] Notas - Segmentos de operación -</t>
  </si>
  <si>
    <t>07901001</t>
  </si>
  <si>
    <t>07901002</t>
  </si>
  <si>
    <t>07901003</t>
  </si>
  <si>
    <t>Descripción de los factores utilizados para identificar los segmentos sobre los que deba informar la entidad</t>
  </si>
  <si>
    <t>07901004</t>
  </si>
  <si>
    <t>Descripción de los tipos de productos y servicios de los que cada segmento sobre el que se debe informar obtiene sus ingresos de las actividades ordinarias</t>
  </si>
  <si>
    <t>07901005</t>
  </si>
  <si>
    <t>Descripción de fuentes de ingresos de actividades ordinarias para todos los otros segmentos</t>
  </si>
  <si>
    <t>07901006</t>
  </si>
  <si>
    <t>Descripción de los criterios de contabilización de transacciones entre los segmentos sobre los que deba informar</t>
  </si>
  <si>
    <t>07901007</t>
  </si>
  <si>
    <t>Descripción de la naturaleza de las diferencias entre las mediciones de los resultados de segmentos sobre los que deba informar y el resultado de la entidad antes del gasto o ingreso por impuestos a las ganancias y operaciones discontinuadas</t>
  </si>
  <si>
    <t>07901008</t>
  </si>
  <si>
    <t>Descripción de la naturaleza de las diferencias entre las mediciones de los activos de segmentos sobre los que deba informar y los activos de la entidad</t>
  </si>
  <si>
    <t>07901009</t>
  </si>
  <si>
    <t>Descripción de la naturaleza de las diferencias entre las mediciones de los pasivos de segmentos sobre los que deba informar y los pasivos de la entidad</t>
  </si>
  <si>
    <t>07901011</t>
  </si>
  <si>
    <t>Descripción de la naturaleza y el efecto de cualesquiera asignaciones asimétricas a los segmentos sobre los que deba informar</t>
  </si>
  <si>
    <t>07901012</t>
  </si>
  <si>
    <t>Información a revelar sobre segmentos de operación [bloque de texto]</t>
  </si>
  <si>
    <t>07902002</t>
  </si>
  <si>
    <t>Información a revelar sobre segmentos de operación [sinopsis]</t>
  </si>
  <si>
    <t>07902003</t>
  </si>
  <si>
    <t>Información a revelar sobre segmentos de operación [partidas]</t>
  </si>
  <si>
    <t>07902004</t>
  </si>
  <si>
    <t>07902005</t>
  </si>
  <si>
    <t>Ingresos de las actividades ordinarias procedentes de transacciones con otros segmentos de operación de la misma entidad</t>
  </si>
  <si>
    <t>07902006</t>
  </si>
  <si>
    <t>Ingresos de actividades ordinarias procedentes de clientes externos y transacciones con otros segmentos de operación de la misma entidad</t>
  </si>
  <si>
    <t>07902007</t>
  </si>
  <si>
    <t>07902008</t>
  </si>
  <si>
    <t>07902009</t>
  </si>
  <si>
    <t>Ingresos (gastos) por intereses</t>
  </si>
  <si>
    <t>07902010</t>
  </si>
  <si>
    <t>07902011</t>
  </si>
  <si>
    <t>07902012</t>
  </si>
  <si>
    <t>07902013</t>
  </si>
  <si>
    <t>Otras partidas distintas al efectivo significativas</t>
  </si>
  <si>
    <t>07902014</t>
  </si>
  <si>
    <t>07902015</t>
  </si>
  <si>
    <t>07902016</t>
  </si>
  <si>
    <t>07902017</t>
  </si>
  <si>
    <t>07902018</t>
  </si>
  <si>
    <t>07902019</t>
  </si>
  <si>
    <t>Incorporaciones de activos no corrientes distintas de instrumentos financieros, activos por impuestos diferidos, activos de beneficios definidos netos, y derechos que surgen de contratos de seguro</t>
  </si>
  <si>
    <t>07902020</t>
  </si>
  <si>
    <t>07902021</t>
  </si>
  <si>
    <t>07902022</t>
  </si>
  <si>
    <t>07902023</t>
  </si>
  <si>
    <t>07902024</t>
  </si>
  <si>
    <t>07902025</t>
  </si>
  <si>
    <t>Flujos de efectivo procedentes de (utilizados en) actividades de operación</t>
  </si>
  <si>
    <t>07902026</t>
  </si>
  <si>
    <t>Flujos de efectivo procedentes de (utilizados en) actividades de inversión</t>
  </si>
  <si>
    <t>07902027</t>
  </si>
  <si>
    <t>Flujos de efectivo procedentes de (utilizados en) actividades de financiación</t>
  </si>
  <si>
    <t>07902028</t>
  </si>
  <si>
    <t>Descripción de partidas de conciliación importantes</t>
  </si>
  <si>
    <t>07903002</t>
  </si>
  <si>
    <t>Información a revelar sobre productos y servicios [sinopsis]</t>
  </si>
  <si>
    <t>07903003</t>
  </si>
  <si>
    <t>Información a revelar sobre productos y servicios [partidas]</t>
  </si>
  <si>
    <t>07903004</t>
  </si>
  <si>
    <t>07904002</t>
  </si>
  <si>
    <t>Información a revelar sobre áreas geográficas [sinopsis]</t>
  </si>
  <si>
    <t>07904003</t>
  </si>
  <si>
    <t>Información a revelar sobre áreas geográficas [partidas]</t>
  </si>
  <si>
    <t>07904004</t>
  </si>
  <si>
    <t>07904005</t>
  </si>
  <si>
    <t>Activos no corrientes distintos de instrumentos financieros, activos por impuestos diferidos, activos por beneficios post empleo, y derechos que surgen de contratos de seguro</t>
  </si>
  <si>
    <t>07905002</t>
  </si>
  <si>
    <t>Información a revelar sobre clientes importantes [sinopsis]</t>
  </si>
  <si>
    <t>07905003</t>
  </si>
  <si>
    <t>Información a revelar sobre clientes importantes [partidas]</t>
  </si>
  <si>
    <t>07905004</t>
  </si>
  <si>
    <t>07905005</t>
  </si>
  <si>
    <t>Porcentaje de ingresos de actividades ordinarias de la entidad</t>
  </si>
  <si>
    <t>07906002</t>
  </si>
  <si>
    <t>Información sobre los principales clientes</t>
  </si>
  <si>
    <t>07906003</t>
  </si>
  <si>
    <t>Descripción de los criterios de asignación a los distintos países de los ingresos de las actividades ordinarias procedentes de clientes externos</t>
  </si>
  <si>
    <t>07906004</t>
  </si>
  <si>
    <t>Explicación de ingresos por intereses presentados netos de gastos por intereses</t>
  </si>
  <si>
    <t>07906005</t>
  </si>
  <si>
    <t>Explicación de porqué no se presentan los ingresos de actividades ordinarias procedentes de clientes externos para cada producto y servicio, o cada grupo de productos y servicios similares</t>
  </si>
  <si>
    <t>07907002</t>
  </si>
  <si>
    <t>Información a revelar sobre proveedores importantes [sinopsis]</t>
  </si>
  <si>
    <t>07907003</t>
  </si>
  <si>
    <t>Información a revelar sobre proveedores importantes [partidas]</t>
  </si>
  <si>
    <t>07907004</t>
  </si>
  <si>
    <t>07908002</t>
  </si>
  <si>
    <t>Información sobre los principales proveedores</t>
  </si>
  <si>
    <t>07908003</t>
  </si>
  <si>
    <t>Descripción de los criterios de asignación a los distintos países de los ingresos de las actividades ordinarias procedentes de proveedores externos</t>
  </si>
  <si>
    <t>07908004</t>
  </si>
  <si>
    <t>Explicación de gastos por intereses presentados netos de ingresos por intereses</t>
  </si>
  <si>
    <t>07909002</t>
  </si>
  <si>
    <t>Información a revelar sobre productos y servicios [bloque de texto]</t>
  </si>
  <si>
    <t>07910002</t>
  </si>
  <si>
    <t>Información a revelar sobre áreas geográficas [bloque de texto]</t>
  </si>
  <si>
    <t>07911002</t>
  </si>
  <si>
    <t>Información a revelar sobre clientes importantes [bloque de texto]</t>
  </si>
  <si>
    <t>07912002</t>
  </si>
  <si>
    <t>Información a revelar sobre proveedores importantes [bloque de texto]</t>
  </si>
  <si>
    <t>08000000</t>
  </si>
  <si>
    <t>[880000] Notas - Información adicional</t>
  </si>
  <si>
    <t>08001000</t>
  </si>
  <si>
    <t>Información a revelar sobre información adicional [bloque de texto]</t>
  </si>
  <si>
    <t>08001001</t>
  </si>
  <si>
    <t>08001002</t>
  </si>
  <si>
    <t>Compromisos de inversión en capital [resumen]</t>
  </si>
  <si>
    <t>08001003</t>
  </si>
  <si>
    <t>Compromisos de inversión en capital contractuales</t>
  </si>
  <si>
    <t>08001004</t>
  </si>
  <si>
    <t>Compromisos de inversión de capital autorizados pero no contratados</t>
  </si>
  <si>
    <t>08001005</t>
  </si>
  <si>
    <t>Total compromisos de capital</t>
  </si>
  <si>
    <t>08001006</t>
  </si>
  <si>
    <t>Remuneración del auditor [resumen]</t>
  </si>
  <si>
    <t>Remuneración del auditor por servicios de auditoría</t>
  </si>
  <si>
    <t>08001008</t>
  </si>
  <si>
    <t>Remuneración del auditor por servicios fiscales</t>
  </si>
  <si>
    <t>Remuneración del auditor por otros servicios</t>
  </si>
  <si>
    <t>08001010</t>
  </si>
  <si>
    <t>Total remuneración del auditor</t>
  </si>
  <si>
    <t>08001011</t>
  </si>
  <si>
    <t>Número y número promedio de empleados [resumen]</t>
  </si>
  <si>
    <t>Número promedio de empleados</t>
  </si>
  <si>
    <t>08002000</t>
  </si>
  <si>
    <t>Información a revelar sobre personal ocupado [bloque de texto]</t>
  </si>
  <si>
    <t>08002001</t>
  </si>
  <si>
    <t>Personal ocupado permanente promedio mensual</t>
  </si>
  <si>
    <t>08002002</t>
  </si>
  <si>
    <t>Personal ocupado permanente femenino</t>
  </si>
  <si>
    <t>08002003</t>
  </si>
  <si>
    <t>Número personal directivo femenino ocupado permanentemente</t>
  </si>
  <si>
    <t>Número personal profesional femenino ocupado permanentemente</t>
  </si>
  <si>
    <t>Número personal operativo femenino ocupado permanentemente</t>
  </si>
  <si>
    <t>08002006</t>
  </si>
  <si>
    <t>Personal ocupado permanente masculino</t>
  </si>
  <si>
    <t>Número personal directivo masculino ocupado permanentemente</t>
  </si>
  <si>
    <t>Número personal profesional masculino ocupado permanentemente</t>
  </si>
  <si>
    <t>Número personal operativo masculino ocupado permanentemente</t>
  </si>
  <si>
    <t>08002010</t>
  </si>
  <si>
    <t>Personal ocupado temporal promedio mensual</t>
  </si>
  <si>
    <t>08002011</t>
  </si>
  <si>
    <t>Personal ocupado temporal femenino</t>
  </si>
  <si>
    <t>08002012</t>
  </si>
  <si>
    <t>Número personal directivo femenino ocupado temporalmente</t>
  </si>
  <si>
    <t>08002013</t>
  </si>
  <si>
    <t>Número personal profesional femenino ocupado temporalmente</t>
  </si>
  <si>
    <t>Número personal operativo femenino ocupado temporalmente</t>
  </si>
  <si>
    <t>08002015</t>
  </si>
  <si>
    <t>Personal ocupado temporal masculino</t>
  </si>
  <si>
    <t>08002016</t>
  </si>
  <si>
    <t>Número personal directivo masculino ocupado temporalmente</t>
  </si>
  <si>
    <t>08002017</t>
  </si>
  <si>
    <t>Número personal profesional masculino ocupado temporalmente</t>
  </si>
  <si>
    <t>Número personal operativo masculino ocupado temporalmente</t>
  </si>
  <si>
    <t>08100000</t>
  </si>
  <si>
    <t>[210030] Estado de situación financiera, corriente/no corriente</t>
  </si>
  <si>
    <t>08101001</t>
  </si>
  <si>
    <t>08101002</t>
  </si>
  <si>
    <t>08101003</t>
  </si>
  <si>
    <t>08101005</t>
  </si>
  <si>
    <t>08101008</t>
  </si>
  <si>
    <t>08101010</t>
  </si>
  <si>
    <t>08101011</t>
  </si>
  <si>
    <t>08101014</t>
  </si>
  <si>
    <t>08101015</t>
  </si>
  <si>
    <t>08101016</t>
  </si>
  <si>
    <t>08101017</t>
  </si>
  <si>
    <t>08101019</t>
  </si>
  <si>
    <t>08101020</t>
  </si>
  <si>
    <t>08101022</t>
  </si>
  <si>
    <t>08101024</t>
  </si>
  <si>
    <t>08101025</t>
  </si>
  <si>
    <t>08101027</t>
  </si>
  <si>
    <t>08101028</t>
  </si>
  <si>
    <t>08101029</t>
  </si>
  <si>
    <t>08101030</t>
  </si>
  <si>
    <t>08101033</t>
  </si>
  <si>
    <t>08101034</t>
  </si>
  <si>
    <t>08101035</t>
  </si>
  <si>
    <t>08101036</t>
  </si>
  <si>
    <t>08101037</t>
  </si>
  <si>
    <t>08101039</t>
  </si>
  <si>
    <t>Provisiones corrientes [sinopsis]</t>
  </si>
  <si>
    <t>08101042</t>
  </si>
  <si>
    <t>08101047</t>
  </si>
  <si>
    <t>08101048</t>
  </si>
  <si>
    <t>08101049</t>
  </si>
  <si>
    <t>08101050</t>
  </si>
  <si>
    <t>08101051</t>
  </si>
  <si>
    <t>08101053</t>
  </si>
  <si>
    <t>08101054</t>
  </si>
  <si>
    <t>08101056</t>
  </si>
  <si>
    <t>08101060</t>
  </si>
  <si>
    <t>08101061</t>
  </si>
  <si>
    <t>08101062</t>
  </si>
  <si>
    <t>08101063</t>
  </si>
  <si>
    <t>08101064</t>
  </si>
  <si>
    <t>08101065</t>
  </si>
  <si>
    <t>08101066</t>
  </si>
  <si>
    <t>08101069</t>
  </si>
  <si>
    <t>Ganancias acumuladas</t>
  </si>
  <si>
    <t>08101073</t>
  </si>
  <si>
    <t>Superavit por revaluación</t>
  </si>
  <si>
    <t>08101076</t>
  </si>
  <si>
    <t>Total patrimonio atribuible a propietarios de la controladora</t>
  </si>
  <si>
    <t>08101077</t>
  </si>
  <si>
    <t>08101078</t>
  </si>
  <si>
    <t>08101079</t>
  </si>
  <si>
    <t>Activos no corrientes distintos al efectivo pignorados como garantía colateral para las que el receptor de transferencias tiene derecho por contrato o costumbre a vender o pignorar de nuevo la garantía colateral</t>
  </si>
  <si>
    <t>08101083</t>
  </si>
  <si>
    <t>Activos corrientes distintos al efectivo pignorados como garantía colateral para las que el receptor de transferencias tiene derecho por contrato o costumbre a vender o pignorar de nuevo dicha garantía colateral</t>
  </si>
  <si>
    <t>08200000</t>
  </si>
  <si>
    <t>[310030] Estado de resultado integral, resultado del periodo, por función de gasto</t>
  </si>
  <si>
    <t>08201001</t>
  </si>
  <si>
    <t>08201002</t>
  </si>
  <si>
    <t>08201005</t>
  </si>
  <si>
    <t>08201007</t>
  </si>
  <si>
    <t>Gastos de ventas</t>
  </si>
  <si>
    <t>Gastos de administración</t>
  </si>
  <si>
    <t>08201009</t>
  </si>
  <si>
    <t>08201010</t>
  </si>
  <si>
    <t>08201012</t>
  </si>
  <si>
    <t>08201013</t>
  </si>
  <si>
    <t>08201014</t>
  </si>
  <si>
    <t>08201015</t>
  </si>
  <si>
    <t>08201016</t>
  </si>
  <si>
    <t>08201020</t>
  </si>
  <si>
    <t>08201022</t>
  </si>
  <si>
    <t>08201024</t>
  </si>
  <si>
    <t>08201025</t>
  </si>
  <si>
    <t>08201026</t>
  </si>
  <si>
    <t>08201027</t>
  </si>
  <si>
    <t>08201028</t>
  </si>
  <si>
    <t>08201029</t>
  </si>
  <si>
    <t>Deterioro de valor de ganancias y reversión de pérdidas por deterioro de valor (pérdidas por deterioro de valor) determinado de acuerdo con la NIIF 9</t>
  </si>
  <si>
    <t>08201032</t>
  </si>
  <si>
    <t>Ganancias (pérdidas) de cobertura por cobertura de un grupo de partidas con posiciones de riesgo compensadoras</t>
  </si>
  <si>
    <t>08300000</t>
  </si>
  <si>
    <t>[410030] Estado del resultado integral, componentes ORI presentados netos de impuestos - NIIF Plenas - SS</t>
  </si>
  <si>
    <t>08301001</t>
  </si>
  <si>
    <t>08301003</t>
  </si>
  <si>
    <t>08301004</t>
  </si>
  <si>
    <t>08301007</t>
  </si>
  <si>
    <t>08301008</t>
  </si>
  <si>
    <t>08301010</t>
  </si>
  <si>
    <t>08301011</t>
  </si>
  <si>
    <t>08301012</t>
  </si>
  <si>
    <t>08301013</t>
  </si>
  <si>
    <t>08301014</t>
  </si>
  <si>
    <t>08301015</t>
  </si>
  <si>
    <t>08301016</t>
  </si>
  <si>
    <t>08301017</t>
  </si>
  <si>
    <t>08301018</t>
  </si>
  <si>
    <t>08301019</t>
  </si>
  <si>
    <t>08301020</t>
  </si>
  <si>
    <t>08301021</t>
  </si>
  <si>
    <t>08301022</t>
  </si>
  <si>
    <t>08301023</t>
  </si>
  <si>
    <t>08301024</t>
  </si>
  <si>
    <t>08301025</t>
  </si>
  <si>
    <t>08301026</t>
  </si>
  <si>
    <t>08301027</t>
  </si>
  <si>
    <t>08301028</t>
  </si>
  <si>
    <t>08301029</t>
  </si>
  <si>
    <t>08301030</t>
  </si>
  <si>
    <t>08301031</t>
  </si>
  <si>
    <t>08301032</t>
  </si>
  <si>
    <t>08301033</t>
  </si>
  <si>
    <t>08301034</t>
  </si>
  <si>
    <t>08301035</t>
  </si>
  <si>
    <t>08301036</t>
  </si>
  <si>
    <t>Otro resultado integral, neto de impuestos, ganancias (pérdidas) en instrumentos de cobertura que cubren inversiones en instrumentos de patrimonio</t>
  </si>
  <si>
    <t>08301037</t>
  </si>
  <si>
    <t>Cambio en el valor temporal del dinero de opciones [resumen]</t>
  </si>
  <si>
    <t>08301038</t>
  </si>
  <si>
    <t>Ganancia (pérdida) por cambios en el valor temporal del dinero de opciones, neta de impuestos</t>
  </si>
  <si>
    <t>08301039</t>
  </si>
  <si>
    <t>Ajustes de reclasificación por cambios en el valor temporal del dinero de opciones, neto de impuestos</t>
  </si>
  <si>
    <t>08301040</t>
  </si>
  <si>
    <t>Otro resultado integral, neto de impuestos, cambios en el valor del valor temporal del dinero de opciones</t>
  </si>
  <si>
    <t>08301041</t>
  </si>
  <si>
    <t>Cambios en el valor de los elementos a término de contratos a término [resumen]</t>
  </si>
  <si>
    <t>08301042</t>
  </si>
  <si>
    <t>Ganancia (pérdida) por cambios en el valor de los elementos a término de contratos a término, neta de impuestos</t>
  </si>
  <si>
    <t>08301043</t>
  </si>
  <si>
    <t>Ajustes de reclasificación por cambios en el valor de los elementos a término de contratos a término, netos de impuestos</t>
  </si>
  <si>
    <t>08301044</t>
  </si>
  <si>
    <t>Otro resultado integral, neto de impuestos, cambios en el valor de los elementos a término de contratos a término</t>
  </si>
  <si>
    <t>08301045</t>
  </si>
  <si>
    <t>Cambio en el valor de los diferenciales de tasa cambio de moneda extranjera [resumen]</t>
  </si>
  <si>
    <t>08301046</t>
  </si>
  <si>
    <t>Ganancia (pérdida) por cambios en el valor de los diferenciales de la tasa de cambio de la moneda extranjera, neta de impuestos</t>
  </si>
  <si>
    <t>08301047</t>
  </si>
  <si>
    <t>Ajustes de reclasificación por cambios en el valor de los diferenciales de la tasa de cambio de la moneda extranjera, netos de impuestos</t>
  </si>
  <si>
    <t>08301048</t>
  </si>
  <si>
    <t>Otro resultado integral, neto de impuestos, cambios en el valor de los diferenciales de tasa de cambio de la moneda extranjera</t>
  </si>
  <si>
    <t>08301049</t>
  </si>
  <si>
    <t>Activos financieros medidos al valor razonable con cambios en otro resultado integral [resumen]</t>
  </si>
  <si>
    <t>08301050</t>
  </si>
  <si>
    <t>Ganancia (pérdida) por activos financieros medidos al valor razonable con cambios en otro resultado integral, neto de impuestos</t>
  </si>
  <si>
    <t>08301051</t>
  </si>
  <si>
    <t>Ajustes de reclasificación sobre activos financieros medidos al valor razonable con cambios en otro resultado integral, netos de impuestos</t>
  </si>
  <si>
    <t>08301052</t>
  </si>
  <si>
    <t>Importes eliminados del patrimonio y ajustados contra el valor razonable de activos financieros en el momento de la reclasificación fuera de la categoría de medición de valor razonable con cambios en otro resultado integral, neto de impuestos</t>
  </si>
  <si>
    <t>08301053</t>
  </si>
  <si>
    <t>Otro resultado integral, neto de Impuestos, activos financieros medidos al valor razonable con cambios en otro resultado integral</t>
  </si>
  <si>
    <t>08500000</t>
  </si>
  <si>
    <t>[610010] Estado de cambios en el patrimonio</t>
  </si>
  <si>
    <t>08501001</t>
  </si>
  <si>
    <t>08501002</t>
  </si>
  <si>
    <t>08501003</t>
  </si>
  <si>
    <t>Patrimonio al comienzo del periodo</t>
  </si>
  <si>
    <t>08501004</t>
  </si>
  <si>
    <t>08501005</t>
  </si>
  <si>
    <t>08501006</t>
  </si>
  <si>
    <t>08501007</t>
  </si>
  <si>
    <t>08501008</t>
  </si>
  <si>
    <t>08501009</t>
  </si>
  <si>
    <t>08501010</t>
  </si>
  <si>
    <t>08501011</t>
  </si>
  <si>
    <t>08501012</t>
  </si>
  <si>
    <t>08501013</t>
  </si>
  <si>
    <t>08501014</t>
  </si>
  <si>
    <t>08501015</t>
  </si>
  <si>
    <t>08501016</t>
  </si>
  <si>
    <t>08501017</t>
  </si>
  <si>
    <t>08501018</t>
  </si>
  <si>
    <t>08501019</t>
  </si>
  <si>
    <t>Incremento (disminución) debido a cambios en políticas contables y correcciones de errores de periodos anteriores</t>
  </si>
  <si>
    <t>08501020</t>
  </si>
  <si>
    <t>Saldo reexpresado patrimonio al comienzo del periodo</t>
  </si>
  <si>
    <t>09900000</t>
  </si>
  <si>
    <t>[900000] Notas Informe Anual Obligaciones financieras</t>
  </si>
  <si>
    <t>09901001</t>
  </si>
  <si>
    <t>Entidades Financieras</t>
  </si>
  <si>
    <t>09902001</t>
  </si>
  <si>
    <t>Cuentas por pagar partes relacionadas y asociadas - Que hacen parte de los estados financieros consolidados y por lo tanto se eliminan en este proceso, de acuerdo con las especificaciones del ANEXO 1</t>
  </si>
  <si>
    <t>Cuentas por pagar partes relacionadas y asociadas - Que NO hacen parte de los estados financieros consolidados y que por lo tanto no se eliminan en este proceso, de acuerdo con las especificaciones del ANEXO 1,</t>
  </si>
  <si>
    <t>Porcentaje de la deuda a tasa variable</t>
  </si>
  <si>
    <t>Porcentaje de la deuda a tasa fija (El monto de las obligaciones a tasa fija a la fecha de reporte / el monto total de las obligaciones a la fecha de reporte) - Calcule y reporte este dato</t>
  </si>
  <si>
    <t>11000000</t>
  </si>
  <si>
    <t>[900001] Notas Informe Anual Covenants</t>
  </si>
  <si>
    <t>1</t>
  </si>
  <si>
    <t>2</t>
  </si>
  <si>
    <t>3</t>
  </si>
  <si>
    <t>4</t>
  </si>
  <si>
    <t>5</t>
  </si>
  <si>
    <t>6</t>
  </si>
  <si>
    <t>7</t>
  </si>
  <si>
    <t>8</t>
  </si>
  <si>
    <t>9</t>
  </si>
  <si>
    <t>10</t>
  </si>
  <si>
    <t>11</t>
  </si>
  <si>
    <t>12</t>
  </si>
  <si>
    <t>13</t>
  </si>
  <si>
    <t>14</t>
  </si>
  <si>
    <t>15</t>
  </si>
  <si>
    <t>16</t>
  </si>
  <si>
    <t>17</t>
  </si>
  <si>
    <t>18</t>
  </si>
  <si>
    <t>19</t>
  </si>
  <si>
    <t>20</t>
  </si>
  <si>
    <t>11100000</t>
  </si>
  <si>
    <t>[900002] Notas Informe Anual Riesgos tasas moneda extranjera</t>
  </si>
  <si>
    <t>11101001</t>
  </si>
  <si>
    <t>11101002</t>
  </si>
  <si>
    <t>Exposición financiera neta (Activos - Pasivos)</t>
  </si>
  <si>
    <t>Total Pasivos por impuestos corrientes, corriente /no corriente(S230_0 + S230_1)</t>
  </si>
  <si>
    <t>Subtotal provisiones corrientes/No corrientes por beneficios a los empleados/no corrientes( S210_0 + S205_1 )</t>
  </si>
  <si>
    <t>Total Otros pasivos financieros corrientes/no corrientes ( S235_0 + S235_1 )</t>
  </si>
  <si>
    <t>11101006</t>
  </si>
  <si>
    <t>Total Cuentas por pagar partes relacionadas y asociadas corrientes/no corrientes ( S225_0 + S220_1 )</t>
  </si>
  <si>
    <t>Total cuentas por pagar comerciales y otras cuentas por pagar corrientes/no corrientes ( S220_0 + S215_1 )</t>
  </si>
  <si>
    <t>Total Obligaciones financieras corrientes/no corrientes ( S200_0 + S200_1 )</t>
  </si>
  <si>
    <t>Total Otros activos financieros corrientes/no corrientes( S130_0 + S160_1 )</t>
  </si>
  <si>
    <t>Total Activos por impuestos corrientes, corrientes/no corrientes ( S120_0 + S155_1 )</t>
  </si>
  <si>
    <t>11101011</t>
  </si>
  <si>
    <t>Total Cuentas por cobrar partes relacionadas y asociadas corrientes/no corrientes (S110_0 + S145_1)</t>
  </si>
  <si>
    <t>Total Cuentas comerciales por cobrar y otras cuentas por cobrar corrientes/no corrientes ( S105_0 + S140_1 )</t>
  </si>
  <si>
    <t>Total Efectivo y equivalentes al efectivo ( S100_0 )</t>
  </si>
  <si>
    <t>11101014</t>
  </si>
  <si>
    <t>Total Cuentas por pagar partes relacionadas y asociadas corrientes/no corrientes (Que NO hacen parte de los estados financieros consolidados y por lo tanto NO se eliminan en este proceso, de acuerdo con las especificaciones del ANEXO 1)</t>
  </si>
  <si>
    <t>Total Cuentas por pagar partes relacionadas y asociadas corrientes/no corrientes (Que hacen parte de los estados financieros consolidados y por lo tanto se eliminan en este proceso, de acuerdo con las especificaciones del ANEXO 1)</t>
  </si>
  <si>
    <t>11101016</t>
  </si>
  <si>
    <t>Cuentas por cobrar partes relacionadas y asociadas corrientes/no corrientes (Que NO hacen parte de los estados financieros consolidados y por lo tanto NO se eliminan en este proceso, de acuerdo con las especificaciones del ANEXO 1)</t>
  </si>
  <si>
    <t>Cuentas por cobrar partes relacionadas y asociadas corrientes/no corrientes (Que hacen parte de los estados financieros consolidados y por lo tanto se eliminan en este proceso, de acuerdo con las especificaciones del ANEXO 1)</t>
  </si>
  <si>
    <t>11102001</t>
  </si>
  <si>
    <t>Diferencia en cambio</t>
  </si>
  <si>
    <t>11102002</t>
  </si>
  <si>
    <t>Financieros - Diferencia en cambio y/o pacto de reajuste ( G530525 )</t>
  </si>
  <si>
    <t>11102003</t>
  </si>
  <si>
    <t>Diferencia en cambio - gasto (con signo negativo)</t>
  </si>
  <si>
    <t>Diferencia en cambio ( G412020 )</t>
  </si>
  <si>
    <t>11102005</t>
  </si>
  <si>
    <t>Financieros - Diferencia en cambio y/o pacto de reajuste ( G421020 )</t>
  </si>
  <si>
    <t>11102006</t>
  </si>
  <si>
    <t>Diferencia en cambio - ingreso</t>
  </si>
  <si>
    <t>11102007</t>
  </si>
  <si>
    <t>Diferencia en cambio ( G517020 )</t>
  </si>
  <si>
    <t>11200000</t>
  </si>
  <si>
    <t>[900003] Notas Informe Anual Efectivo restringido</t>
  </si>
  <si>
    <t>11201001</t>
  </si>
  <si>
    <t>Tipo de restricción</t>
  </si>
  <si>
    <t>Fecha y condición para que desaparezca la restricción</t>
  </si>
  <si>
    <t>11300000</t>
  </si>
  <si>
    <t>[900004] Notas Informe Anual CxC x edades y prov de cartera</t>
  </si>
  <si>
    <t>11301001</t>
  </si>
  <si>
    <t>Saldo de la provisión al 31 de diciembre del año anterior</t>
  </si>
  <si>
    <t>Ajuste al 1 de enero del año Actual por la adopción de NIIF 9, contra resultados acumulados</t>
  </si>
  <si>
    <t>Constitución de la provisión : Aumento de la provisión (CR 1399) contra el gasto durante el período de reporte (DB 5X99)</t>
  </si>
  <si>
    <t>Recuperación de la provisión: Disminución de la provisión contra el ingreso durante la fecha de reporte. Solo aplica si corresponde a provisiones efectuadas en ejercicios anteriores al de la fecha de reporte DB 1399 - CR 4250</t>
  </si>
  <si>
    <t>Castigos: Cuentas dadas de baja contra la provisión durante el período de reporte DB 1399 - CR CxC</t>
  </si>
  <si>
    <t>Saldo de la provisión al cierre del periodo</t>
  </si>
  <si>
    <t>11301009</t>
  </si>
  <si>
    <t>Diferencia en Cambio saldo inicial año anterior</t>
  </si>
  <si>
    <t>11302001</t>
  </si>
  <si>
    <t>11302003</t>
  </si>
  <si>
    <t>11302004</t>
  </si>
  <si>
    <t>11302005</t>
  </si>
  <si>
    <t>11302006</t>
  </si>
  <si>
    <t>11302008</t>
  </si>
  <si>
    <t>11303009</t>
  </si>
  <si>
    <t>11400000</t>
  </si>
  <si>
    <t>[900005] DEUDORES COMERCIALES POR COBRAR Y OTRAS CUENTAS POR COBRAR POR EDADES - SS</t>
  </si>
  <si>
    <t>11401001</t>
  </si>
  <si>
    <t>11401002</t>
  </si>
  <si>
    <t>Total cuentas por cobrar y otras cuentas por cobrar</t>
  </si>
  <si>
    <t>11401003</t>
  </si>
  <si>
    <t>Total otras cuentas por cobrar</t>
  </si>
  <si>
    <t>11401004</t>
  </si>
  <si>
    <t>Deterioro (menor valor)</t>
  </si>
  <si>
    <t>11401005</t>
  </si>
  <si>
    <t>Otras cuentas por cobrar deterioradas de valor</t>
  </si>
  <si>
    <t>11401006</t>
  </si>
  <si>
    <t>Otras cuentas por cobrar en mora pero no deterioradas de valor</t>
  </si>
  <si>
    <t>11401007</t>
  </si>
  <si>
    <t>Otras cuentas por cobrar que no están en mora ni deterioradas de valor</t>
  </si>
  <si>
    <t>11401008</t>
  </si>
  <si>
    <t>11401009</t>
  </si>
  <si>
    <t>Total cuentas comerciales por cobrar</t>
  </si>
  <si>
    <t>11401010</t>
  </si>
  <si>
    <t>11401011</t>
  </si>
  <si>
    <t>Cuentas comerciales por cobrar deterioradas de valor</t>
  </si>
  <si>
    <t>11401012</t>
  </si>
  <si>
    <t>Cuentas comerciales por cobrar en mora pero no deterioradas de valor</t>
  </si>
  <si>
    <t>11401013</t>
  </si>
  <si>
    <t>Cuentas comerciales por cobrar que no están en mora ni deterioradas de valor</t>
  </si>
  <si>
    <t>11600000</t>
  </si>
  <si>
    <t>[900005] Notas Informe Anual Partes relacionadas</t>
  </si>
  <si>
    <t>Gran total</t>
  </si>
  <si>
    <t>11601002</t>
  </si>
  <si>
    <t>Agencia de Aduana Suppla S.A.S. Nivel 1;Colombia</t>
  </si>
  <si>
    <t>11601003</t>
  </si>
  <si>
    <t>Canal Clima S.A.S.;Colombia</t>
  </si>
  <si>
    <t>11601004</t>
  </si>
  <si>
    <t>Caracol America Productions LLC;Estados Unidos</t>
  </si>
  <si>
    <t>11601005</t>
  </si>
  <si>
    <t>Caracol Television Inc.;Estados Unidos</t>
  </si>
  <si>
    <t>Caracol Television S.A.;Colombia</t>
  </si>
  <si>
    <t>11601007</t>
  </si>
  <si>
    <t>Caracol TV America Corp.;Estados Unidos</t>
  </si>
  <si>
    <t>Cine Colombia S.A.;Colombia</t>
  </si>
  <si>
    <t>Comunican S.A.;Colombia</t>
  </si>
  <si>
    <t>Ditransa S.A.;Colombia</t>
  </si>
  <si>
    <t>Refoenergy Bita S.A.S. E.S.P.</t>
  </si>
  <si>
    <t>Famosa S.A.S;Colombia</t>
  </si>
  <si>
    <t>Fideicomiso FAI Hotel SF;Colombia</t>
  </si>
  <si>
    <t>Fideicomiso FAI Grand Suites SF;Colombia</t>
  </si>
  <si>
    <t>Fideicomiso P.A. Inmueble Getsemaní;Colombia</t>
  </si>
  <si>
    <t>Fideicomiso P.A. San Francisco Hotel;Colombia</t>
  </si>
  <si>
    <t>Gabes S.A.;Panamá</t>
  </si>
  <si>
    <t>Inversiones Cromos S.A.S.;Colombia</t>
  </si>
  <si>
    <t>Invernac &amp; Cia. S.A.S.;Colombia</t>
  </si>
  <si>
    <t>Koba Colombia S.A.S.;Colombia</t>
  </si>
  <si>
    <t>Koba Internacional Group (Panamá);Panamá</t>
  </si>
  <si>
    <t>Mambo LLC.;Estados Unidos</t>
  </si>
  <si>
    <t>Naviagro S.A.S.;Colombia</t>
  </si>
  <si>
    <t>PrimeFinanzas S.A.S.;Colombia</t>
  </si>
  <si>
    <t>PrimeOther S.A.S.;Colombia</t>
  </si>
  <si>
    <t>PrimeValueService S.A.S.;Colombia</t>
  </si>
  <si>
    <t>Radial Bogotá S.A.;Colombia</t>
  </si>
  <si>
    <t>Reforestadora de la Costa S.A.S.;Colombia</t>
  </si>
  <si>
    <t>San Francisco Investments S.A.S.;Colombia</t>
  </si>
  <si>
    <t>Serviceuticos Ltda.;Colombia</t>
  </si>
  <si>
    <t>SPV Villanueva S.A.S.;Colombia</t>
  </si>
  <si>
    <t>Stock Models S.A.S.;Colombia</t>
  </si>
  <si>
    <t>Suppla Cargo S.A.S.;Colombia</t>
  </si>
  <si>
    <t>Suppla S.A.;Colombia</t>
  </si>
  <si>
    <t>Valorem S.A.S. ;Colombia</t>
  </si>
  <si>
    <t>Xylom S.A.S.;Colombia</t>
  </si>
  <si>
    <t>Otras Compañías del Grupo Colinsa;</t>
  </si>
  <si>
    <t>Caribbean Equity Investments Corp.;Panamá</t>
  </si>
  <si>
    <t>Colinsa S. de R.L.;Panamá</t>
  </si>
  <si>
    <t>EIH S. de R. L.;Panamá</t>
  </si>
  <si>
    <t>Mariscala S. de R.L.;Panamá</t>
  </si>
  <si>
    <t>Santo Domingo &amp; Cia. S. en C.;Colombia</t>
  </si>
  <si>
    <t>Visencio Investments;Panamá</t>
  </si>
  <si>
    <t>Weirsdale Holdings;Panamá</t>
  </si>
  <si>
    <t>Weissener S. de R.L.;Panamá</t>
  </si>
  <si>
    <t>Wieisan S. de R.L.;Panamá</t>
  </si>
  <si>
    <t>MBH 1 LLC;USA</t>
  </si>
  <si>
    <t>MIH2 LLC;USA</t>
  </si>
  <si>
    <t>Subtotal miembos del mismo grupo (Consolidan);</t>
  </si>
  <si>
    <t>CGPE VI L.P. USA 419 Accionista;USA</t>
  </si>
  <si>
    <t>Cipef VI Kuma Spain S.L.;España</t>
  </si>
  <si>
    <t>Harinera del Valle S.A.;Colombia</t>
  </si>
  <si>
    <t>Jhon Restrepo A. &amp; Cia. S.A.;Colombia</t>
  </si>
  <si>
    <t>Nils Brandes;Panamá</t>
  </si>
  <si>
    <t>11601055</t>
  </si>
  <si>
    <t>Playa Blanca Barú S.A.;Colombia</t>
  </si>
  <si>
    <t>Prime Participations L.L.;USA</t>
  </si>
  <si>
    <t>Subtotal accionistas;</t>
  </si>
  <si>
    <t>Equipamientos Urbanos Nacionales de Colombia S.A.;Colombia</t>
  </si>
  <si>
    <t>Gases del Caribe S.A.;Colombia</t>
  </si>
  <si>
    <t>La Heroica Investment S.A.S.;Colombia</t>
  </si>
  <si>
    <t>Linio Colombia S.A.S.;Colombia</t>
  </si>
  <si>
    <t>Paute Facil.Com S.A.S.;Colombia</t>
  </si>
  <si>
    <t>Subtotal asociadas;</t>
  </si>
  <si>
    <t>Miembros de Junta Directiva;Colombia</t>
  </si>
  <si>
    <t>Subtotal miembros de Junta Directiva;</t>
  </si>
  <si>
    <t>ICCK S.A.S. - En liquidación;Colombia</t>
  </si>
  <si>
    <t>Sugranel S.A.S. - En Liquidación;Colombia</t>
  </si>
  <si>
    <t>Subtotal miembos del mismo grupo (No consolidan);</t>
  </si>
  <si>
    <t>Medios y Servicios Integrados Ltda;Colombia</t>
  </si>
  <si>
    <t>Biofilm S.A.;Colombia</t>
  </si>
  <si>
    <t>Verticales S.A.S.;Colombia</t>
  </si>
  <si>
    <t>Subtotal negocios conjuntos;</t>
  </si>
  <si>
    <t>Consorcios Canales Privados;Colombia</t>
  </si>
  <si>
    <t>Unión Temporal Unitalcargo;Colombia</t>
  </si>
  <si>
    <t>Unión temporal UGD;Colombia</t>
  </si>
  <si>
    <t>Unión Temporal TQM;Colombia</t>
  </si>
  <si>
    <t>Subtotal operaciones conjuntas;</t>
  </si>
  <si>
    <t>Refopanel Zomac S.A.S.; Colombia</t>
  </si>
  <si>
    <t>Forestal Monterrey;Colombia</t>
  </si>
  <si>
    <t>11700000</t>
  </si>
  <si>
    <t>[900006] Notas Informe Anual Personal Clave</t>
  </si>
  <si>
    <t>11701001</t>
  </si>
  <si>
    <t>11701008</t>
  </si>
  <si>
    <t>11800000</t>
  </si>
  <si>
    <t>[900007] Notas Informe Anual Inventario</t>
  </si>
  <si>
    <t>11801001</t>
  </si>
  <si>
    <t>11801002</t>
  </si>
  <si>
    <t>11801003</t>
  </si>
  <si>
    <t>11802000</t>
  </si>
  <si>
    <t>11803000</t>
  </si>
  <si>
    <t>11804000</t>
  </si>
  <si>
    <t>Bloque 4</t>
  </si>
  <si>
    <t>11804001</t>
  </si>
  <si>
    <t>11805000</t>
  </si>
  <si>
    <t>Bloque 5</t>
  </si>
  <si>
    <t>11805001</t>
  </si>
  <si>
    <t>11806000</t>
  </si>
  <si>
    <t>Bloque 6</t>
  </si>
  <si>
    <t>11806001</t>
  </si>
  <si>
    <t>11900000</t>
  </si>
  <si>
    <t>[900008] Notas Informe Anual PP&amp;E</t>
  </si>
  <si>
    <t>Totales</t>
  </si>
  <si>
    <t>Terrenos[S1504_1]</t>
  </si>
  <si>
    <t>Construcciones en curso[S1508_1]</t>
  </si>
  <si>
    <t>Maquinaria y equipos en montaje[S1512_1]</t>
  </si>
  <si>
    <t>Construcciones y edificaciones[S1516_1]</t>
  </si>
  <si>
    <t>Mejoras en propiedades ajenas[S1710_MPA]</t>
  </si>
  <si>
    <t>Maquinaria y equipo[S1520_1]</t>
  </si>
  <si>
    <t>Equipo de oficina[S1524_1]</t>
  </si>
  <si>
    <t>Equipo de computación y comunicación[S1528_1]</t>
  </si>
  <si>
    <t>Equipos de hoteles y restaurantes[S1536_1]</t>
  </si>
  <si>
    <t>Flota y equipo de transporte[S1540_1]</t>
  </si>
  <si>
    <t>Flota y equipo fluvial y/o marítimo[S1544_1]</t>
  </si>
  <si>
    <t>Acueductos, plantas y redes[S1556_1]</t>
  </si>
  <si>
    <t>Armamento de vigilancia[S1560_1]</t>
  </si>
  <si>
    <t>Envases y empaques[S1562_1]</t>
  </si>
  <si>
    <t>Propiedades, planta y equipo en transito[S1588_1]</t>
  </si>
  <si>
    <t>11902000</t>
  </si>
  <si>
    <t>11903000</t>
  </si>
  <si>
    <t>ACTIVOS BAJO ARRENDAMIENTO FINANCIERO</t>
  </si>
  <si>
    <t>11903001</t>
  </si>
  <si>
    <t>11903002</t>
  </si>
  <si>
    <t>11903003</t>
  </si>
  <si>
    <t>11903004</t>
  </si>
  <si>
    <t>11903005</t>
  </si>
  <si>
    <t>11903006</t>
  </si>
  <si>
    <t>11903007</t>
  </si>
  <si>
    <t>11903008</t>
  </si>
  <si>
    <t>11903009</t>
  </si>
  <si>
    <t>11903010</t>
  </si>
  <si>
    <t>Equipos de hoteles y restaurantes</t>
  </si>
  <si>
    <t>11903011</t>
  </si>
  <si>
    <t>11903012</t>
  </si>
  <si>
    <t>11903013</t>
  </si>
  <si>
    <t>11903014</t>
  </si>
  <si>
    <t>11903015</t>
  </si>
  <si>
    <t>11903016</t>
  </si>
  <si>
    <t>11904000</t>
  </si>
  <si>
    <t>Construcciones y edificaciones[S1516_1+S159205_1]</t>
  </si>
  <si>
    <t>11905000</t>
  </si>
  <si>
    <t>Propiedades de inversión</t>
  </si>
  <si>
    <t>Totales[S105_1]</t>
  </si>
  <si>
    <t>Terrenos [S1504_1PI]</t>
  </si>
  <si>
    <t>Construcciones y edificaciones [S1516_1PI]</t>
  </si>
  <si>
    <t>12000000</t>
  </si>
  <si>
    <t>[900009] Notas Informe Anual Derechos de Uso</t>
  </si>
  <si>
    <t>12001000</t>
  </si>
  <si>
    <t>Total activos netos por derechos de uso - Netos</t>
  </si>
  <si>
    <t>12001001</t>
  </si>
  <si>
    <t>Subtotal Costo</t>
  </si>
  <si>
    <t>12001002</t>
  </si>
  <si>
    <t>12001004</t>
  </si>
  <si>
    <t>Intangibles</t>
  </si>
  <si>
    <t>12001005</t>
  </si>
  <si>
    <t>Maquinaria y Equipos</t>
  </si>
  <si>
    <t>Equipo de Oficina</t>
  </si>
  <si>
    <t>12001007</t>
  </si>
  <si>
    <t>Equipo Computo y Comunicación</t>
  </si>
  <si>
    <t>12001008</t>
  </si>
  <si>
    <t>Flota y Equipo de Transporte</t>
  </si>
  <si>
    <t>12001009</t>
  </si>
  <si>
    <t>Subtotal depreciación acumulada (Valor absoluto)</t>
  </si>
  <si>
    <t>12001010</t>
  </si>
  <si>
    <t>12001012</t>
  </si>
  <si>
    <t>12001013</t>
  </si>
  <si>
    <t>12001015</t>
  </si>
  <si>
    <t>12001016</t>
  </si>
  <si>
    <t>12002000</t>
  </si>
  <si>
    <t>Bloque 2</t>
  </si>
  <si>
    <t>12002001</t>
  </si>
  <si>
    <t>[Total] Saldo Final</t>
  </si>
  <si>
    <t>12002002</t>
  </si>
  <si>
    <t>[Costos] Saldo final</t>
  </si>
  <si>
    <t>Saldo inicial</t>
  </si>
  <si>
    <t>Adiciones</t>
  </si>
  <si>
    <t>12002005</t>
  </si>
  <si>
    <t>Transferencias</t>
  </si>
  <si>
    <t>12002006</t>
  </si>
  <si>
    <t>Revaluación</t>
  </si>
  <si>
    <t>12002007</t>
  </si>
  <si>
    <t>Traslado recibido desde Propiedades, planta y equipo</t>
  </si>
  <si>
    <t>12002008</t>
  </si>
  <si>
    <t>Retiros</t>
  </si>
  <si>
    <t>12002009</t>
  </si>
  <si>
    <t>[Depreciación] Saldo final</t>
  </si>
  <si>
    <t>12002010</t>
  </si>
  <si>
    <t>12002014</t>
  </si>
  <si>
    <t>12002015</t>
  </si>
  <si>
    <t>12003000</t>
  </si>
  <si>
    <t>Bloque 3</t>
  </si>
  <si>
    <t>12003001</t>
  </si>
  <si>
    <t>12003002</t>
  </si>
  <si>
    <t>12003004</t>
  </si>
  <si>
    <t>12003005</t>
  </si>
  <si>
    <t>12003006</t>
  </si>
  <si>
    <t>12003007</t>
  </si>
  <si>
    <t>12003008</t>
  </si>
  <si>
    <t>12003009</t>
  </si>
  <si>
    <t>12003012</t>
  </si>
  <si>
    <t>12003013</t>
  </si>
  <si>
    <t>12004000</t>
  </si>
  <si>
    <t>12004001</t>
  </si>
  <si>
    <t>12004002</t>
  </si>
  <si>
    <t>12004005</t>
  </si>
  <si>
    <t>12004006</t>
  </si>
  <si>
    <t>12004007</t>
  </si>
  <si>
    <t>12004008</t>
  </si>
  <si>
    <t>12004009</t>
  </si>
  <si>
    <t>12004012</t>
  </si>
  <si>
    <t>12004013</t>
  </si>
  <si>
    <t>Saldos finales año anterior - Costo</t>
  </si>
  <si>
    <t>Saldos finales año anterior - Depreciación</t>
  </si>
  <si>
    <t>12005000</t>
  </si>
  <si>
    <t>12005001</t>
  </si>
  <si>
    <t>12005002</t>
  </si>
  <si>
    <t>Subtotal Corrientes</t>
  </si>
  <si>
    <t>12005003</t>
  </si>
  <si>
    <t>12005005</t>
  </si>
  <si>
    <t>12005006</t>
  </si>
  <si>
    <t>12005008</t>
  </si>
  <si>
    <t>12005009</t>
  </si>
  <si>
    <t>12005010</t>
  </si>
  <si>
    <t>Subtotal no corrientes</t>
  </si>
  <si>
    <t>12005011</t>
  </si>
  <si>
    <t>12005013</t>
  </si>
  <si>
    <t>12005014</t>
  </si>
  <si>
    <t>12005016</t>
  </si>
  <si>
    <t>12005017</t>
  </si>
  <si>
    <t>12006000</t>
  </si>
  <si>
    <t>Bloque 06</t>
  </si>
  <si>
    <t>12006001</t>
  </si>
  <si>
    <t>Total EFECTO EN RESULTADOS por derechos de uso y otros pagos por arrendamientos</t>
  </si>
  <si>
    <t>12006002</t>
  </si>
  <si>
    <t>Subtotal gasto por depreciaciones</t>
  </si>
  <si>
    <t>12006003</t>
  </si>
  <si>
    <t>12006005</t>
  </si>
  <si>
    <t>12006006</t>
  </si>
  <si>
    <t>12006008</t>
  </si>
  <si>
    <t>12006009</t>
  </si>
  <si>
    <t>12006010</t>
  </si>
  <si>
    <t>Subtotal arrendamientos que no se registran como derechos de uso, sino que se registran directamente al gasto por arrendamientos</t>
  </si>
  <si>
    <t>Gastos relacionados con arrendamientos de activos de bajo valor (Que no superan los COP$15,000,000 cuando eran nuevos)</t>
  </si>
  <si>
    <t>12006012</t>
  </si>
  <si>
    <t>Gastos relacionados con arrendamientos de corto plazo (el plazo del contrato es de 12 meses o menos)</t>
  </si>
  <si>
    <t>12006013</t>
  </si>
  <si>
    <t>Gastos relacionados con arrendamientos de activos indeterminados (debido a la naturaleza del activo o las condiciones pactadas en el contrato referente al mismo)</t>
  </si>
  <si>
    <t>12006015</t>
  </si>
  <si>
    <t>Subtotal Otros Gastos</t>
  </si>
  <si>
    <t>Intereses sobre obligaciones por arrendamientos</t>
  </si>
  <si>
    <t>Seguros sobre contratos por arrendamientos</t>
  </si>
  <si>
    <t>12006018</t>
  </si>
  <si>
    <t>Comisiones sobre contratos por arrendamientos</t>
  </si>
  <si>
    <t>12006019</t>
  </si>
  <si>
    <t>Subtotal otros ingresos o gastos que no generan movimiento de efectivo</t>
  </si>
  <si>
    <t>12006020</t>
  </si>
  <si>
    <t>Menos:Ingresos/Mas:Gastos por diferencia en cambio sobre obligaciones por arrendamientos</t>
  </si>
  <si>
    <t>12006021</t>
  </si>
  <si>
    <t>Menos:Ingresos/Mas:Gastos por derechos de uso dados de baja</t>
  </si>
  <si>
    <t>12007000</t>
  </si>
  <si>
    <t>Bloque 07</t>
  </si>
  <si>
    <t>Abonos a capital obligaciones por arrendamientos</t>
  </si>
  <si>
    <t>Total PAGOS por arrendamientos</t>
  </si>
  <si>
    <t>12008000</t>
  </si>
  <si>
    <t>Bloque 08</t>
  </si>
  <si>
    <t>12008001</t>
  </si>
  <si>
    <t>Subtotal efecto neto derechos de uso (1)</t>
  </si>
  <si>
    <t>12008002</t>
  </si>
  <si>
    <t>Total activos por derechos de uso - Netos</t>
  </si>
  <si>
    <t>Activos por derechos de Uso - Costo</t>
  </si>
  <si>
    <t>Activos por derechos de Uso - Depreciación acumulada</t>
  </si>
  <si>
    <t>12008005</t>
  </si>
  <si>
    <t>Total obligaciones por arrendamientos</t>
  </si>
  <si>
    <t>Obligaciones por arrendamientos - Corto plazo</t>
  </si>
  <si>
    <t>Obligaciones por arrendamientos - Largo plazo</t>
  </si>
  <si>
    <t>12008008</t>
  </si>
  <si>
    <t>Total gastos derechos de uso</t>
  </si>
  <si>
    <t>Gasto por depreciaciones derecho de uso</t>
  </si>
  <si>
    <t>Gasto por intereses sobre obligaciones por arrendamientos</t>
  </si>
  <si>
    <t>12008011</t>
  </si>
  <si>
    <t>Depreciaciones derecho de uso capitalizadas</t>
  </si>
  <si>
    <t>12008012</t>
  </si>
  <si>
    <t>Gasto por intereses sobre obligaciones por arrendamientos capitalizados</t>
  </si>
  <si>
    <t>12008013</t>
  </si>
  <si>
    <t>Total gastos derechos de uso capitalizados</t>
  </si>
  <si>
    <t>12008014</t>
  </si>
  <si>
    <t>12008015</t>
  </si>
  <si>
    <t>12008016</t>
  </si>
  <si>
    <t>Total otros ingresos/gastos</t>
  </si>
  <si>
    <t>12009000</t>
  </si>
  <si>
    <t>Bloque 09</t>
  </si>
  <si>
    <t>12009001</t>
  </si>
  <si>
    <t>Saldo activos por derechos de uso (netos), menos, las obligaciones por arrendamientos al cierre del año anterior (3)</t>
  </si>
  <si>
    <t>12009002</t>
  </si>
  <si>
    <t>Saldo de los activos por derechos de uso Netos (Costo - Depreciación)</t>
  </si>
  <si>
    <t>12009003</t>
  </si>
  <si>
    <t>Saldo de las obligaciones por arrendamientos</t>
  </si>
  <si>
    <t>12009005</t>
  </si>
  <si>
    <t>Costo de los derechos de uso trasladados a PP&amp;E</t>
  </si>
  <si>
    <t>12009006</t>
  </si>
  <si>
    <t>Depreciación de los derechos de uso trasladados a PP&amp;E</t>
  </si>
  <si>
    <t>12009007</t>
  </si>
  <si>
    <t>Saldo neto derechos de uso trasladados a PP&amp;E (2)</t>
  </si>
  <si>
    <t>12010000</t>
  </si>
  <si>
    <t>Bloque 10</t>
  </si>
  <si>
    <t>Total efecto neto derechos de uso (1)+(2)-(3)</t>
  </si>
  <si>
    <t>Valor facturado por el arrendador en el presente ejercicio</t>
  </si>
  <si>
    <t>12011000</t>
  </si>
  <si>
    <t>Bloque 11</t>
  </si>
  <si>
    <t>12011001</t>
  </si>
  <si>
    <t>Depreciaciones derechos de uso</t>
  </si>
  <si>
    <t>12011002</t>
  </si>
  <si>
    <t>12011003</t>
  </si>
  <si>
    <t>Arrendamientos de menor cuantia</t>
  </si>
  <si>
    <t>12011004</t>
  </si>
  <si>
    <t>Arrendamientos de corto plazo</t>
  </si>
  <si>
    <t>12011005</t>
  </si>
  <si>
    <t>Arrendamientos activos indeterminados</t>
  </si>
  <si>
    <t>12011006</t>
  </si>
  <si>
    <t>Arrendamientos relacionados con pagos variables</t>
  </si>
  <si>
    <t>12011007</t>
  </si>
  <si>
    <t>Subtotal otros pagos por arrendamientos</t>
  </si>
  <si>
    <t>12011008</t>
  </si>
  <si>
    <t>Total capitalizaciones</t>
  </si>
  <si>
    <t>12100000</t>
  </si>
  <si>
    <t>[900010] Notas Informe Anual Instrum Fcieros derivados</t>
  </si>
  <si>
    <t>12101000</t>
  </si>
  <si>
    <t>Bloque 1</t>
  </si>
  <si>
    <t>12101001</t>
  </si>
  <si>
    <t>Total activos ( S1290_0 - S1290_1 )</t>
  </si>
  <si>
    <t>12101002</t>
  </si>
  <si>
    <t>12101003</t>
  </si>
  <si>
    <t>Contratos forward sobre moneda</t>
  </si>
  <si>
    <t>12101004</t>
  </si>
  <si>
    <t>Swaps de tasa de interés</t>
  </si>
  <si>
    <t>12101006</t>
  </si>
  <si>
    <t>Total pasivos( S2890_0 - S2890_1 )</t>
  </si>
  <si>
    <t>12101007</t>
  </si>
  <si>
    <t>12101008</t>
  </si>
  <si>
    <t>12101009</t>
  </si>
  <si>
    <t>12200000</t>
  </si>
  <si>
    <t>[900013] Notas Informe Anual Pensiones de jubilación</t>
  </si>
  <si>
    <t>12201001</t>
  </si>
  <si>
    <t>Número de pensionados</t>
  </si>
  <si>
    <t>12201002</t>
  </si>
  <si>
    <t>Tasa de descuento utilizada (interés técnico)</t>
  </si>
  <si>
    <t>12201003</t>
  </si>
  <si>
    <t>Tasas esperadas de incrementos salariales</t>
  </si>
  <si>
    <t>12201004</t>
  </si>
  <si>
    <t>Tabla colombiana de mortalidad</t>
  </si>
  <si>
    <t>12201005</t>
  </si>
  <si>
    <t>12201006</t>
  </si>
  <si>
    <t>12201007</t>
  </si>
  <si>
    <t>Más de 5</t>
  </si>
  <si>
    <t>12201008</t>
  </si>
  <si>
    <t>12202000</t>
  </si>
  <si>
    <t>12202001</t>
  </si>
  <si>
    <t>12202002</t>
  </si>
  <si>
    <t>12202003</t>
  </si>
  <si>
    <t>12202004</t>
  </si>
  <si>
    <t>12202006</t>
  </si>
  <si>
    <t>Año</t>
  </si>
  <si>
    <t>12203001</t>
  </si>
  <si>
    <t>Parámetro</t>
  </si>
  <si>
    <t>12203004</t>
  </si>
  <si>
    <t>12300000</t>
  </si>
  <si>
    <t>[900012] Notas Informe Anual Otros Pasivos</t>
  </si>
  <si>
    <t>12301000</t>
  </si>
  <si>
    <t>ANTICIPOS Y AVANCES RECIBIDOS</t>
  </si>
  <si>
    <t>12301004</t>
  </si>
  <si>
    <t>12301005</t>
  </si>
  <si>
    <t>12301006</t>
  </si>
  <si>
    <t>12301007</t>
  </si>
  <si>
    <t>12301008</t>
  </si>
  <si>
    <t>12301009</t>
  </si>
  <si>
    <t>12301010</t>
  </si>
  <si>
    <t>12301011</t>
  </si>
  <si>
    <t>Total anticipos y avances recibidos</t>
  </si>
  <si>
    <t>12302000</t>
  </si>
  <si>
    <t>INGRESOS RECIBIDOS PARA TERCEROS</t>
  </si>
  <si>
    <t>12302001</t>
  </si>
  <si>
    <t>12302002</t>
  </si>
  <si>
    <t>12302003</t>
  </si>
  <si>
    <t>12302004</t>
  </si>
  <si>
    <t>12302005</t>
  </si>
  <si>
    <t>12302006</t>
  </si>
  <si>
    <t>12302007</t>
  </si>
  <si>
    <t>12302008</t>
  </si>
  <si>
    <t>12302009</t>
  </si>
  <si>
    <t>12302010</t>
  </si>
  <si>
    <t>12302011</t>
  </si>
  <si>
    <t>Total ingresos recibidos para terceros</t>
  </si>
  <si>
    <t>12303000</t>
  </si>
  <si>
    <t>INGRESOS RECIBIDOS POR ANTICIPADO</t>
  </si>
  <si>
    <t>12303001</t>
  </si>
  <si>
    <t>12303002</t>
  </si>
  <si>
    <t>12303003</t>
  </si>
  <si>
    <t>12303004</t>
  </si>
  <si>
    <t>12303005</t>
  </si>
  <si>
    <t>12303006</t>
  </si>
  <si>
    <t>12303007</t>
  </si>
  <si>
    <t>12303008</t>
  </si>
  <si>
    <t>12303009</t>
  </si>
  <si>
    <t>12303010</t>
  </si>
  <si>
    <t>12303011</t>
  </si>
  <si>
    <t>Total ingresos recibidos por anticipado</t>
  </si>
  <si>
    <t>12500000</t>
  </si>
  <si>
    <t>[900014] Notas Informe Anual Riesgo crediticio</t>
  </si>
  <si>
    <t>12501000</t>
  </si>
  <si>
    <t>Total Cuentas por cobrar partes relacionadas y asociadas corrientes/no corrientes ( S110_0 + S145_1 )</t>
  </si>
  <si>
    <t>12501004</t>
  </si>
  <si>
    <t>Valor razonable de instrumentos financieros derivados corrientes/no corientes ( S1290_0 + S1290_1 )</t>
  </si>
  <si>
    <t>12501005</t>
  </si>
  <si>
    <t>12600000</t>
  </si>
  <si>
    <t>[900015] Notas Informe Anual Instrumentos de Patrimonio</t>
  </si>
  <si>
    <t>12601000</t>
  </si>
  <si>
    <t>Total instrumentos de patrimonio</t>
  </si>
  <si>
    <t>12601001</t>
  </si>
  <si>
    <t>Subtotal instrumentos financieros a través de ORI</t>
  </si>
  <si>
    <t>Acerias Paz del Rio S.A.</t>
  </si>
  <si>
    <t>12601003</t>
  </si>
  <si>
    <t>Ciudadela Industriual de Tibitó S.A. - En liquidación</t>
  </si>
  <si>
    <t>Compañía Exportadora Nacional S.A. - En Liquidación</t>
  </si>
  <si>
    <t>12601006</t>
  </si>
  <si>
    <t>Compañía Hotel Nutibara S.A.</t>
  </si>
  <si>
    <t>Deportesa S.A. - En Liquidación</t>
  </si>
  <si>
    <t>12601008</t>
  </si>
  <si>
    <t>Digital Investment Group S.A.S.</t>
  </si>
  <si>
    <t>12601009</t>
  </si>
  <si>
    <t>Empresa Colombiana Pesquera de Tolú S.A.</t>
  </si>
  <si>
    <t>12601010</t>
  </si>
  <si>
    <t>Enka de Colombia S.A.</t>
  </si>
  <si>
    <t>Ferrominera S.A. - En Liquidación</t>
  </si>
  <si>
    <t>12601012</t>
  </si>
  <si>
    <t>Fiduciaria Corficolombiana S.A. - Estrategias Inmobiliarias</t>
  </si>
  <si>
    <t>12601013</t>
  </si>
  <si>
    <t>Fiduciaria de Occidente S.A.</t>
  </si>
  <si>
    <t>Fogansa S.A., en liquidación</t>
  </si>
  <si>
    <t>12601015</t>
  </si>
  <si>
    <t>Fondo Ganadero del Huila</t>
  </si>
  <si>
    <t>12601016</t>
  </si>
  <si>
    <t>Fondo Ganadero del Magdalena</t>
  </si>
  <si>
    <t>HDI Seguros S.A. antes Generali Colombia Seguros Generales S.A.</t>
  </si>
  <si>
    <t>Gran Central de Abastos del Caribe S.A.</t>
  </si>
  <si>
    <t>Industrial Metalmecanica Tallerco S.A. - En Liquidación</t>
  </si>
  <si>
    <t>Ingenio Risaralda S.A.</t>
  </si>
  <si>
    <t>12601021</t>
  </si>
  <si>
    <t>Linio Colombia S.A.S.</t>
  </si>
  <si>
    <t>Liquidnet Holdings Inc.</t>
  </si>
  <si>
    <t>12601023</t>
  </si>
  <si>
    <t>Maechia S.A.S</t>
  </si>
  <si>
    <t>New Tin Linio II GMB</t>
  </si>
  <si>
    <t>12601025</t>
  </si>
  <si>
    <t>Periodicos Asociados Latinoamerica Inc.</t>
  </si>
  <si>
    <t>Procarbon de Occidente S.A., en liquidación</t>
  </si>
  <si>
    <t>Producciones Mundial Ltda., en liquidación</t>
  </si>
  <si>
    <t>Sociedad Acueducto Alcantarillado y Aseo de Barranquilla S.A.</t>
  </si>
  <si>
    <t>Sociedad Colombiana de Transporte Ferroviario S.A. - En Liquidación</t>
  </si>
  <si>
    <t>Sociedad Portuaria de Buenaventura S.A.</t>
  </si>
  <si>
    <t>12601031</t>
  </si>
  <si>
    <t>Terminal de Transportes de Pereira S.A.</t>
  </si>
  <si>
    <t>12601032</t>
  </si>
  <si>
    <t>Subtotal instrumentos financieros a través de resultados</t>
  </si>
  <si>
    <t>Aeroinversiones S.A.</t>
  </si>
  <si>
    <t>Fiduciaria la Alianza fases I y II (Fiduoccidente)</t>
  </si>
  <si>
    <t>Fiducia de Admón, venta de activos y pagos -Fiducafetera</t>
  </si>
  <si>
    <t>12601036</t>
  </si>
  <si>
    <t>Helm Patrimonio Autonomo Activos Improductivos</t>
  </si>
  <si>
    <t>12601037</t>
  </si>
  <si>
    <t>Sociedad Portuaria Regional Buenaventura S.A.</t>
  </si>
  <si>
    <t>12601038</t>
  </si>
  <si>
    <t>Sociedad Portuaria Regional San Andres S.A.</t>
  </si>
  <si>
    <t>12601039</t>
  </si>
  <si>
    <t>Abonos Colombianos S.A.</t>
  </si>
  <si>
    <t>12601040</t>
  </si>
  <si>
    <t>Maxus S.A.</t>
  </si>
  <si>
    <t>12601041</t>
  </si>
  <si>
    <t>Cía. Eléctrica De Sochagota SA ESP</t>
  </si>
  <si>
    <t>12601042</t>
  </si>
  <si>
    <t>Corredores Davivienda SA Comisionista de Bolsa</t>
  </si>
  <si>
    <t>12601043</t>
  </si>
  <si>
    <t>Promotora De Turismo De Antioquia S.A.</t>
  </si>
  <si>
    <t>12601044</t>
  </si>
  <si>
    <t>Fertilizantes Colombianos S.A.</t>
  </si>
  <si>
    <t>12601045</t>
  </si>
  <si>
    <t>12602000</t>
  </si>
  <si>
    <t>Resumen</t>
  </si>
  <si>
    <t>Cotizadas en bolsa de valores</t>
  </si>
  <si>
    <t>No cotizadas en bolsa de valores</t>
  </si>
  <si>
    <t>Efecto en resultados u otros resultados integrales</t>
  </si>
  <si>
    <t>12700000</t>
  </si>
  <si>
    <t>[900016] Notas Informe Anual Movimiento obligaciones financieros</t>
  </si>
  <si>
    <t>12701000</t>
  </si>
  <si>
    <t>MOVIMIENTO OBLIGACIONES FINANCIERAS</t>
  </si>
  <si>
    <t>12701001</t>
  </si>
  <si>
    <t>Saldo final</t>
  </si>
  <si>
    <t>12701002</t>
  </si>
  <si>
    <t>Total obligaciones financieras</t>
  </si>
  <si>
    <t>12701003</t>
  </si>
  <si>
    <t>12701006</t>
  </si>
  <si>
    <t>Cambios por flujos de efectivo</t>
  </si>
  <si>
    <t>12701007</t>
  </si>
  <si>
    <t>Total de nuevas obligaciones</t>
  </si>
  <si>
    <t>12701008</t>
  </si>
  <si>
    <t>Nuevas obligaciones financieras adquiridas durante el período</t>
  </si>
  <si>
    <t>En Pesos</t>
  </si>
  <si>
    <t>12701010</t>
  </si>
  <si>
    <t>En Dólares</t>
  </si>
  <si>
    <t>12701011</t>
  </si>
  <si>
    <t>En Euros</t>
  </si>
  <si>
    <t>12701012</t>
  </si>
  <si>
    <t>En otras monedas extranjeras</t>
  </si>
  <si>
    <t>12701013</t>
  </si>
  <si>
    <t>Total de amortizaciones de capital durante el periodo</t>
  </si>
  <si>
    <t>12701014</t>
  </si>
  <si>
    <t>Amortizaciones de capital durante el periodo</t>
  </si>
  <si>
    <t>12701017</t>
  </si>
  <si>
    <t>12701018</t>
  </si>
  <si>
    <t>12701019</t>
  </si>
  <si>
    <t>Movimientos en los saldos de obligaciones financieras por cambios distintos al efectivo</t>
  </si>
  <si>
    <t>12701020</t>
  </si>
  <si>
    <t>Total de nuevas obligaciones de activos, leasing financieros, renting y otros</t>
  </si>
  <si>
    <t>12701021</t>
  </si>
  <si>
    <t>Nuevas obligaciones financieras por adquisición de activos, leasing financieros, renting y otros</t>
  </si>
  <si>
    <t>12701023</t>
  </si>
  <si>
    <t>12701024</t>
  </si>
  <si>
    <t>12701025</t>
  </si>
  <si>
    <t>12701026</t>
  </si>
  <si>
    <t>12701027</t>
  </si>
  <si>
    <t>Amortizaciones de capital por renovaciones o novaciones de deuda</t>
  </si>
  <si>
    <t>12701029</t>
  </si>
  <si>
    <t>12701030</t>
  </si>
  <si>
    <t>12701031</t>
  </si>
  <si>
    <t>12701032</t>
  </si>
  <si>
    <t>Total de nuevas obligaciones por otros cambios (ej. deudas medidas a valor razonable)</t>
  </si>
  <si>
    <t>12701033</t>
  </si>
  <si>
    <t>Nuevas obligaciones financieras adquiridas por otros cambios (ej. deudas medidas a valor razonable)</t>
  </si>
  <si>
    <t>12701034</t>
  </si>
  <si>
    <t>12701035</t>
  </si>
  <si>
    <t>12701036</t>
  </si>
  <si>
    <t>12701037</t>
  </si>
  <si>
    <t>12701038</t>
  </si>
  <si>
    <t>12701039</t>
  </si>
  <si>
    <t>Amortizaciones de capital por otros cambios (ej. deudas a valor razonable)</t>
  </si>
  <si>
    <t>12701040</t>
  </si>
  <si>
    <t>12701041</t>
  </si>
  <si>
    <t>12701042</t>
  </si>
  <si>
    <t>12701043</t>
  </si>
  <si>
    <t>Diferencial cambiario</t>
  </si>
  <si>
    <t>12701045</t>
  </si>
  <si>
    <t>Nuevas obligaciones financieras adquiridas por renovaciones o novaciones de deuda</t>
  </si>
  <si>
    <t>12701047</t>
  </si>
  <si>
    <t>12701048</t>
  </si>
  <si>
    <t>12701049</t>
  </si>
  <si>
    <t>12701050</t>
  </si>
  <si>
    <t>Total de nuevas obligaciones por renovaciones o novaciones de deuda</t>
  </si>
  <si>
    <t>12702001</t>
  </si>
  <si>
    <t>12702002</t>
  </si>
  <si>
    <t>12702003</t>
  </si>
  <si>
    <t>12703001</t>
  </si>
  <si>
    <t>Intereses causados en P&amp;G (pagados o no) relacionados únicamente con obligaciones financieras</t>
  </si>
  <si>
    <t>Total Intereses pagados relacionados únicamente con obligaciones financieras</t>
  </si>
  <si>
    <t>12800000</t>
  </si>
  <si>
    <t>[900017] Notas Informe Anual Ingresos - Políticas contables</t>
  </si>
  <si>
    <t>12801000</t>
  </si>
  <si>
    <t>NIF15 - INGRESOS CONTRATOS CON CLIENTES</t>
  </si>
  <si>
    <t>12801001</t>
  </si>
  <si>
    <t>LA COMPAÑÍA A SU CARGO ACTUA o NO COMO AGENTE EN TODOS O ALGUNOS DE SUS CONTRATOS</t>
  </si>
  <si>
    <t>12802000</t>
  </si>
  <si>
    <t>CONTRATOS DONDE LA COMPAÑÍA ES UN AGENTE Y NO UN PRINCIPAL</t>
  </si>
  <si>
    <t>12803000</t>
  </si>
  <si>
    <t>CRITERIOS ESPECÍFICOS QUE DEBEN CUMPLIRSE ANTES DE RECONOCER LOS INGRESOS</t>
  </si>
  <si>
    <t>12804000</t>
  </si>
  <si>
    <t>CONSIDERACIÓN VARIABLE</t>
  </si>
  <si>
    <t>12805000</t>
  </si>
  <si>
    <t>Señale si estos conceptos aplican a su compañía</t>
  </si>
  <si>
    <t>12805001</t>
  </si>
  <si>
    <t>Obligaciones del contrato Una obligación del contrato representa la obligación de transferir bienes o servicios</t>
  </si>
  <si>
    <t>12805002</t>
  </si>
  <si>
    <t>Pasivos por reembolsos El pasivo por reembolsos representa la obligación de reembolsar parte o la totalidad</t>
  </si>
  <si>
    <t>12805003</t>
  </si>
  <si>
    <t>Costos de obtener un contrato La Compañía paga comisiones de ventas a sus empleados y agencias por los contratos que obtienen.</t>
  </si>
  <si>
    <t>12806000</t>
  </si>
  <si>
    <t>OBLIGACIONES DE DESEMPEÑO</t>
  </si>
  <si>
    <t>12900000</t>
  </si>
  <si>
    <t>[900018] Notas Informe Anual Ingresos - Notas numéricas</t>
  </si>
  <si>
    <t>12901000</t>
  </si>
  <si>
    <t>Bloque 01</t>
  </si>
  <si>
    <t>12901001</t>
  </si>
  <si>
    <t>Total ingresos de actividades ordinarias</t>
  </si>
  <si>
    <t>Ventas nacionales de bienes y servicios (S410505 + S410570 + S411005)</t>
  </si>
  <si>
    <t>12901003</t>
  </si>
  <si>
    <t>Ventas al exterior de bienes y servicios ( S410510 + S411010 )</t>
  </si>
  <si>
    <t>Venta de inversiones ( S411505 + S411525 )</t>
  </si>
  <si>
    <t>Dividendos y participaciones ( S411510 )</t>
  </si>
  <si>
    <t>Por la aplicación del método de participación ( S411515 )</t>
  </si>
  <si>
    <t>12901007</t>
  </si>
  <si>
    <t>Utilidad en liquidación de inversiones ( S411520 )</t>
  </si>
  <si>
    <t>12901008</t>
  </si>
  <si>
    <t>Cuentas en participación ( S411530 )</t>
  </si>
  <si>
    <t>12901009</t>
  </si>
  <si>
    <t>Valorización de activos al valor razonable (S411544 + S413304 + S413316 + S413364 + S413380 )</t>
  </si>
  <si>
    <t>12901010</t>
  </si>
  <si>
    <t>Arrendamientos ( S412505 + S412510 )</t>
  </si>
  <si>
    <t>12901011</t>
  </si>
  <si>
    <t>Certificados de incentivo forestal ( S419505 )</t>
  </si>
  <si>
    <t>12901012</t>
  </si>
  <si>
    <t>Bonos de carbono ( S419510 )</t>
  </si>
  <si>
    <t>12901013</t>
  </si>
  <si>
    <t>Devoluciones en ventas ( S417505 )</t>
  </si>
  <si>
    <t>12901014</t>
  </si>
  <si>
    <t>Descuentos en ventas ( S417510 + S417520 )</t>
  </si>
  <si>
    <t>12902000</t>
  </si>
  <si>
    <t>Bloque 02</t>
  </si>
  <si>
    <t>12902001</t>
  </si>
  <si>
    <t>12902002</t>
  </si>
  <si>
    <t>Actualización al valor razonable de los activos</t>
  </si>
  <si>
    <t>12902003</t>
  </si>
  <si>
    <t>Ajte Valor razonable - Edificios</t>
  </si>
  <si>
    <t>12902004</t>
  </si>
  <si>
    <t>Ajte Valor razonable - Inversiones</t>
  </si>
  <si>
    <t>12902005</t>
  </si>
  <si>
    <t>Ajte Valor razonable - Maquinaria y equipo</t>
  </si>
  <si>
    <t>12902006</t>
  </si>
  <si>
    <t>Ajte Valor razonable - Plantaciones agricolas y forestales</t>
  </si>
  <si>
    <t>12902007</t>
  </si>
  <si>
    <t>Ajte Valor razonable - Propiedades de inversión</t>
  </si>
  <si>
    <t>12902008</t>
  </si>
  <si>
    <t>Ajte Valor razonable - Semovientes</t>
  </si>
  <si>
    <t>12902009</t>
  </si>
  <si>
    <t>Ajte Valor razonable - Terrenos</t>
  </si>
  <si>
    <t>12902010</t>
  </si>
  <si>
    <t>Ajte Valor razonable - Vehiculos</t>
  </si>
  <si>
    <t>12902011</t>
  </si>
  <si>
    <t>12902012</t>
  </si>
  <si>
    <t>Alquiler de equipo técnico</t>
  </si>
  <si>
    <t>12902013</t>
  </si>
  <si>
    <t>Alquiler de espacios, teatros y pantallas</t>
  </si>
  <si>
    <t>12902014</t>
  </si>
  <si>
    <t>Arrendamiento de edificaciones</t>
  </si>
  <si>
    <t>12902015</t>
  </si>
  <si>
    <t>Arrendamiento frecuencia radial</t>
  </si>
  <si>
    <t>12902016</t>
  </si>
  <si>
    <t>Renta de estudios y equipos</t>
  </si>
  <si>
    <t>12902017</t>
  </si>
  <si>
    <t>Renta de oficinas y equipos</t>
  </si>
  <si>
    <t>12902018</t>
  </si>
  <si>
    <t>12902019</t>
  </si>
  <si>
    <t>12902020</t>
  </si>
  <si>
    <t>Licenciamiento</t>
  </si>
  <si>
    <t>12902021</t>
  </si>
  <si>
    <t>Primera Fila</t>
  </si>
  <si>
    <t>12902022</t>
  </si>
  <si>
    <t>12902023</t>
  </si>
  <si>
    <t>Cuentas en participación y aportes a coproducciones</t>
  </si>
  <si>
    <t>12902024</t>
  </si>
  <si>
    <t>12902026</t>
  </si>
  <si>
    <t>Exhibición de películas cinematográficas y otros relacionados</t>
  </si>
  <si>
    <t>12902027</t>
  </si>
  <si>
    <t>Bonos Cineco</t>
  </si>
  <si>
    <t>12902028</t>
  </si>
  <si>
    <t>Contenido alternativo</t>
  </si>
  <si>
    <t>12902029</t>
  </si>
  <si>
    <t>Exhibición de películas cinematográficas</t>
  </si>
  <si>
    <t>12902030</t>
  </si>
  <si>
    <t>Otros complementarios de exhibición</t>
  </si>
  <si>
    <t>12902031</t>
  </si>
  <si>
    <t>Participación por distribución de películas</t>
  </si>
  <si>
    <t>12902032</t>
  </si>
  <si>
    <t>Servicios de exhibición</t>
  </si>
  <si>
    <t>12902033</t>
  </si>
  <si>
    <t>Tarjetas Cineco</t>
  </si>
  <si>
    <t>12902034</t>
  </si>
  <si>
    <t>Medios escritos y otros relacionados</t>
  </si>
  <si>
    <t>12902035</t>
  </si>
  <si>
    <t>Circulación</t>
  </si>
  <si>
    <t>12902036</t>
  </si>
  <si>
    <t>Comunicación Masiva y Orientada (C.M.O.)</t>
  </si>
  <si>
    <t>12902037</t>
  </si>
  <si>
    <t>lmpresión comercial</t>
  </si>
  <si>
    <t>12902038</t>
  </si>
  <si>
    <t>12902039</t>
  </si>
  <si>
    <t>Venta de material fotografico</t>
  </si>
  <si>
    <t>12902040</t>
  </si>
  <si>
    <t>Por la aplicación del método de participación</t>
  </si>
  <si>
    <t>12902042</t>
  </si>
  <si>
    <t>Publicidad</t>
  </si>
  <si>
    <t>12902043</t>
  </si>
  <si>
    <t>Pauta publicitaria medios digitales</t>
  </si>
  <si>
    <t>12902044</t>
  </si>
  <si>
    <t>Pauta publicitaria radio</t>
  </si>
  <si>
    <t>12902045</t>
  </si>
  <si>
    <t>Pauta publicitaria televisión</t>
  </si>
  <si>
    <t>12902046</t>
  </si>
  <si>
    <t>Publicidad medios digitales</t>
  </si>
  <si>
    <t>12902047</t>
  </si>
  <si>
    <t>Publicidad medios impresos</t>
  </si>
  <si>
    <t>12902048</t>
  </si>
  <si>
    <t>Pauta publicitaria cine</t>
  </si>
  <si>
    <t>12902049</t>
  </si>
  <si>
    <t>Servicios de transporte terrestre</t>
  </si>
  <si>
    <t>12902050</t>
  </si>
  <si>
    <t>Servicio de transporte terrestre</t>
  </si>
  <si>
    <t>12902051</t>
  </si>
  <si>
    <t>Servicios de modelaje y otros relacionados</t>
  </si>
  <si>
    <t>12902052</t>
  </si>
  <si>
    <t>Escuela de modelaje</t>
  </si>
  <si>
    <t>12902053</t>
  </si>
  <si>
    <t>Eventos y presentaciones</t>
  </si>
  <si>
    <t>12902054</t>
  </si>
  <si>
    <t>Modelaje</t>
  </si>
  <si>
    <t>12902055</t>
  </si>
  <si>
    <t>Bookin de talento (Presentación y animación de eventos)</t>
  </si>
  <si>
    <t>12902056</t>
  </si>
  <si>
    <t>Servicios de televisión y otros negocios relacionados</t>
  </si>
  <si>
    <t>12902057</t>
  </si>
  <si>
    <t>Señal de televisión internacional</t>
  </si>
  <si>
    <t>12902058</t>
  </si>
  <si>
    <t>Servicios de producción</t>
  </si>
  <si>
    <t>12902059</t>
  </si>
  <si>
    <t>Servicios de televisión y otros negocios</t>
  </si>
  <si>
    <t>12902060</t>
  </si>
  <si>
    <t>Servicios meteorológicos y de datos</t>
  </si>
  <si>
    <t>12902061</t>
  </si>
  <si>
    <t>Servicios de información de datos</t>
  </si>
  <si>
    <t>12902062</t>
  </si>
  <si>
    <t>Servicios de información meteorológica</t>
  </si>
  <si>
    <t>12902063</t>
  </si>
  <si>
    <t>Servicios técnicos, administrativos, financieros y otros</t>
  </si>
  <si>
    <t>Servicios administrativos</t>
  </si>
  <si>
    <t>Servicios de soporte T.I.</t>
  </si>
  <si>
    <t>Servicios por asesorías financieras</t>
  </si>
  <si>
    <t>12902067</t>
  </si>
  <si>
    <t>Venta de inversiones</t>
  </si>
  <si>
    <t>12902069</t>
  </si>
  <si>
    <t>Venta de madera y otros relacionados</t>
  </si>
  <si>
    <t>12902070</t>
  </si>
  <si>
    <t>Bonos de carbono</t>
  </si>
  <si>
    <t>12902071</t>
  </si>
  <si>
    <t>Certificado de incentivo forestal</t>
  </si>
  <si>
    <t>12902072</t>
  </si>
  <si>
    <t>Venta de material vegetal</t>
  </si>
  <si>
    <t>12902073</t>
  </si>
  <si>
    <t>Venta de madera</t>
  </si>
  <si>
    <t>12902074</t>
  </si>
  <si>
    <t>Venta de servicios forestales, agrícolas y ganaderos</t>
  </si>
  <si>
    <t>12902075</t>
  </si>
  <si>
    <t>Servicios agrícolas y ganaderos</t>
  </si>
  <si>
    <t>12902076</t>
  </si>
  <si>
    <t>Venta servicios forestales</t>
  </si>
  <si>
    <t>12902077</t>
  </si>
  <si>
    <t>Ventas de comida y otros productos</t>
  </si>
  <si>
    <t>12902078</t>
  </si>
  <si>
    <t>Ventas de comida</t>
  </si>
  <si>
    <t>12902079</t>
  </si>
  <si>
    <t>Ventas de gafas</t>
  </si>
  <si>
    <t>12902080</t>
  </si>
  <si>
    <t>Ventas de tarjetas Cineco (Plástico)</t>
  </si>
  <si>
    <t>12902081</t>
  </si>
  <si>
    <t>Ventas de servicios en linea</t>
  </si>
  <si>
    <t>12902082</t>
  </si>
  <si>
    <t>App/Web Fandango</t>
  </si>
  <si>
    <t>12902083</t>
  </si>
  <si>
    <t>12902084</t>
  </si>
  <si>
    <t>Ventas internacionales de bienes y servicios</t>
  </si>
  <si>
    <t>12902085</t>
  </si>
  <si>
    <t>Alianza Informativa - Noticieros exterior</t>
  </si>
  <si>
    <t>12902086</t>
  </si>
  <si>
    <t>Caracol Play - Contenido exterior</t>
  </si>
  <si>
    <t>12902087</t>
  </si>
  <si>
    <t>Producciones para terceros al exterior</t>
  </si>
  <si>
    <t>12902088</t>
  </si>
  <si>
    <t>Señal Internacional</t>
  </si>
  <si>
    <t>12902089</t>
  </si>
  <si>
    <t>Venta Internacional productos al exterior (Derechos)</t>
  </si>
  <si>
    <t>12902090</t>
  </si>
  <si>
    <t>Venta de madera al exterior</t>
  </si>
  <si>
    <t>12902091</t>
  </si>
  <si>
    <t>Ventas minoristas</t>
  </si>
  <si>
    <t>12902092</t>
  </si>
  <si>
    <t>Ventas minoristas (Retail)</t>
  </si>
  <si>
    <t>12903000</t>
  </si>
  <si>
    <t>Bloque 03</t>
  </si>
  <si>
    <t>12903001</t>
  </si>
  <si>
    <t>Fila 1</t>
  </si>
  <si>
    <t>12903002</t>
  </si>
  <si>
    <t>Fila 2</t>
  </si>
  <si>
    <t>12903003</t>
  </si>
  <si>
    <t>Fila 3</t>
  </si>
  <si>
    <t>12903004</t>
  </si>
  <si>
    <t>Fila 4</t>
  </si>
  <si>
    <t>12903005</t>
  </si>
  <si>
    <t>Fila 5</t>
  </si>
  <si>
    <t>12903006</t>
  </si>
  <si>
    <t>Fila 6</t>
  </si>
  <si>
    <t>12903007</t>
  </si>
  <si>
    <t>Fila 7</t>
  </si>
  <si>
    <t>12903008</t>
  </si>
  <si>
    <t>Fila 8</t>
  </si>
  <si>
    <t>12903009</t>
  </si>
  <si>
    <t>Fila 9</t>
  </si>
  <si>
    <t>12903010</t>
  </si>
  <si>
    <t>Fila 10</t>
  </si>
  <si>
    <t>12903011</t>
  </si>
  <si>
    <t>12903012</t>
  </si>
  <si>
    <t>12903014</t>
  </si>
  <si>
    <t>12903015</t>
  </si>
  <si>
    <t>12903016</t>
  </si>
  <si>
    <t>12904000</t>
  </si>
  <si>
    <t>Bloque 04</t>
  </si>
  <si>
    <t>12904001</t>
  </si>
  <si>
    <t>Total por compañias vinculadas</t>
  </si>
  <si>
    <t>E057, Koba Colombia S.A.S. - PPA, NIT</t>
  </si>
  <si>
    <t>E068, Caribbean Equity Investments Corp. (Panamá), NIT 8301348034</t>
  </si>
  <si>
    <t>E069, Colinsa S. de R.L. (antes WIH) -MATRIZ (Panamá), NIT 9000383770</t>
  </si>
  <si>
    <t>12904039</t>
  </si>
  <si>
    <t>Total saldo con clientes</t>
  </si>
  <si>
    <t>Con terceros</t>
  </si>
  <si>
    <t>M001, Metodo de Participación</t>
  </si>
  <si>
    <t>12904044</t>
  </si>
  <si>
    <t>E078, Refoenergy Bita S.A.S. E.S.P, NIT 900938821</t>
  </si>
  <si>
    <t>12904045</t>
  </si>
  <si>
    <t>E080, Refopanel Zomac S.A.S. NIT 901342024</t>
  </si>
  <si>
    <t>E081, Zinea Ltda. NIT 901353504</t>
  </si>
  <si>
    <t>12904047</t>
  </si>
  <si>
    <t>Otros Vinculados</t>
  </si>
  <si>
    <t>12905000</t>
  </si>
  <si>
    <t>Bloque 05</t>
  </si>
  <si>
    <t>12905001</t>
  </si>
  <si>
    <t>Total por zonas geográficas</t>
  </si>
  <si>
    <t>Alemania</t>
  </si>
  <si>
    <t>12905003</t>
  </si>
  <si>
    <t>Canadá</t>
  </si>
  <si>
    <t>Colombia</t>
  </si>
  <si>
    <t>12905005</t>
  </si>
  <si>
    <t>Ecuador</t>
  </si>
  <si>
    <t>Emiratos Árabes Unidos</t>
  </si>
  <si>
    <t>12905007</t>
  </si>
  <si>
    <t>España</t>
  </si>
  <si>
    <t>12905008</t>
  </si>
  <si>
    <t>Estados Unidos y Puerto Rico</t>
  </si>
  <si>
    <t>12905009</t>
  </si>
  <si>
    <t>México</t>
  </si>
  <si>
    <t>12905010</t>
  </si>
  <si>
    <t>Panamá</t>
  </si>
  <si>
    <t>12905011</t>
  </si>
  <si>
    <t>Suiza</t>
  </si>
  <si>
    <t>Otros paises</t>
  </si>
  <si>
    <t>12905014</t>
  </si>
  <si>
    <t>Bermuda</t>
  </si>
  <si>
    <t>12906000</t>
  </si>
  <si>
    <t>12906001</t>
  </si>
  <si>
    <t>Total por calendario de reconocimiento</t>
  </si>
  <si>
    <t>Bienes y servicios transferidos en un determinado momento</t>
  </si>
  <si>
    <t>Bienes y servicios transferidos a lo largo del tiempo</t>
  </si>
  <si>
    <t>12907000</t>
  </si>
  <si>
    <t>12907001</t>
  </si>
  <si>
    <t>Total otros ingresos operacionales</t>
  </si>
  <si>
    <t>Otras ventas (S4205 )</t>
  </si>
  <si>
    <t>12907003</t>
  </si>
  <si>
    <t>Dividendos y participaciones ( S4215 )</t>
  </si>
  <si>
    <t>12907004</t>
  </si>
  <si>
    <t>Por la aplicación del método de participación ( S4218 )</t>
  </si>
  <si>
    <t>12907005</t>
  </si>
  <si>
    <t>Arrendamientos ( S4220 )</t>
  </si>
  <si>
    <t>12907006</t>
  </si>
  <si>
    <t>Comisiones ( S4225 )</t>
  </si>
  <si>
    <t>12907007</t>
  </si>
  <si>
    <t>Asesorías técnicas, administrativas, financieras y otras ( S4230 )</t>
  </si>
  <si>
    <t>12907008</t>
  </si>
  <si>
    <t>Actualización al valor razonable de los activos ( S4233 )</t>
  </si>
  <si>
    <t>12907009</t>
  </si>
  <si>
    <t>Servicios ( S4235 )</t>
  </si>
  <si>
    <t>12907010</t>
  </si>
  <si>
    <t>Utilidad en venta y/o liquidación de inversiones ( S4240 )</t>
  </si>
  <si>
    <t>Utilidad en venta de propiedades, planta y equipo ( S4245 )</t>
  </si>
  <si>
    <t>12907012</t>
  </si>
  <si>
    <t>Utilidad en venta y retiro de otros activos y/o pasivos (S44248 )</t>
  </si>
  <si>
    <t>Recuperaciones ( S4250 )</t>
  </si>
  <si>
    <t>Indemnizaciones ( S4255 )</t>
  </si>
  <si>
    <t>12907015</t>
  </si>
  <si>
    <t>Devoluciones en otras ventas DB (S4275 )</t>
  </si>
  <si>
    <t>Diversos - Aprovechamientos ( S429505 )</t>
  </si>
  <si>
    <t>12907017</t>
  </si>
  <si>
    <t>Diversos - Subvenciones ( S429509 )</t>
  </si>
  <si>
    <t>12907018</t>
  </si>
  <si>
    <t>Diversos - Regalías (S429515 )</t>
  </si>
  <si>
    <t>12907019</t>
  </si>
  <si>
    <t>Diversos - De la actividad ganadera (S429521 )</t>
  </si>
  <si>
    <t>12907020</t>
  </si>
  <si>
    <t>Diversos - Multas y recargos (S429533 )</t>
  </si>
  <si>
    <t>12907021</t>
  </si>
  <si>
    <t>Diversos - Preavisos descontados (S429535 )</t>
  </si>
  <si>
    <t>12907022</t>
  </si>
  <si>
    <t>Diversos - Reconocimientos ISS y otros ( S429549 )</t>
  </si>
  <si>
    <t>12907023</t>
  </si>
  <si>
    <t>Diversos - Excedentes ( S429551 )</t>
  </si>
  <si>
    <t>12907024</t>
  </si>
  <si>
    <t>Diversos - Sobrantes de caja ( 429553 )</t>
  </si>
  <si>
    <t>12907025</t>
  </si>
  <si>
    <t>Diversos - Subsidios estatales ( S429597 )</t>
  </si>
  <si>
    <t>12907026</t>
  </si>
  <si>
    <t>Diversos - Útiles, papelería y fotocopias ( S429567 )</t>
  </si>
  <si>
    <t>12907027</t>
  </si>
  <si>
    <t>Diversos - Manejo de carga ( S429575 )</t>
  </si>
  <si>
    <t>Diversos - Ajustes al peso ( S429581 )</t>
  </si>
  <si>
    <t>12907029</t>
  </si>
  <si>
    <t>Diversos - Llamadas telefónicas ( S429583 )</t>
  </si>
  <si>
    <t>12907030</t>
  </si>
  <si>
    <t>Sobrantes de Inventarios ( S429514 )</t>
  </si>
  <si>
    <t>12908000</t>
  </si>
  <si>
    <t>12908001</t>
  </si>
  <si>
    <t>Total otros ingresos</t>
  </si>
  <si>
    <t>12908002</t>
  </si>
  <si>
    <t>Otras ventas</t>
  </si>
  <si>
    <t>12908003</t>
  </si>
  <si>
    <t>Otras ventas Materia prima</t>
  </si>
  <si>
    <t>Otras ventas Material de desecho</t>
  </si>
  <si>
    <t>12908005</t>
  </si>
  <si>
    <t>Otras ventas Materiales varios</t>
  </si>
  <si>
    <t>12908006</t>
  </si>
  <si>
    <t>Otras ventas Envases y empaques</t>
  </si>
  <si>
    <t>12908007</t>
  </si>
  <si>
    <t>Otras ventas Productos agrícolas</t>
  </si>
  <si>
    <t>12908008</t>
  </si>
  <si>
    <t>Dividendos y participaciones</t>
  </si>
  <si>
    <t>12908009</t>
  </si>
  <si>
    <t>Dividendos de sociedades anónimas y/o asimiladas</t>
  </si>
  <si>
    <t>12908010</t>
  </si>
  <si>
    <t>Participaciones de sociedades limitadas/asimiladas</t>
  </si>
  <si>
    <t>12908011</t>
  </si>
  <si>
    <t>12908012</t>
  </si>
  <si>
    <t>12908013</t>
  </si>
  <si>
    <t>12908014</t>
  </si>
  <si>
    <t>Arrendamientos Terrenos</t>
  </si>
  <si>
    <t>12908015</t>
  </si>
  <si>
    <t>Arrendamientos Construcciones y edificios</t>
  </si>
  <si>
    <t>12908016</t>
  </si>
  <si>
    <t>Arrendamientos Maquinaria y equipo</t>
  </si>
  <si>
    <t>12908017</t>
  </si>
  <si>
    <t>Arrendamientos Equipo de computación y comunicación</t>
  </si>
  <si>
    <t>12908018</t>
  </si>
  <si>
    <t>12908019</t>
  </si>
  <si>
    <t>Comisiones sobre inversiones</t>
  </si>
  <si>
    <t>12908020</t>
  </si>
  <si>
    <t>Comisiones por ingresos para terceros</t>
  </si>
  <si>
    <t>12908021</t>
  </si>
  <si>
    <t>Comisiones por distribución de películas</t>
  </si>
  <si>
    <t>12908022</t>
  </si>
  <si>
    <t>Comisiones por venta y exhibición de productos</t>
  </si>
  <si>
    <t>12908023</t>
  </si>
  <si>
    <t>Asesorías técnicas, administrativas, financieras y otras</t>
  </si>
  <si>
    <t>12908024</t>
  </si>
  <si>
    <t>Honorarios Asesorías financieras y administrativas</t>
  </si>
  <si>
    <t>12908025</t>
  </si>
  <si>
    <t>Honorarios Asistencia técnica</t>
  </si>
  <si>
    <t>12908026</t>
  </si>
  <si>
    <t>12908027</t>
  </si>
  <si>
    <t>Ajte Valor razonable - Prop. inversión - Edificaciones</t>
  </si>
  <si>
    <t>12908028</t>
  </si>
  <si>
    <t>12908029</t>
  </si>
  <si>
    <t>Servicios Administrativos</t>
  </si>
  <si>
    <t>12908031</t>
  </si>
  <si>
    <t>Servicios De casino</t>
  </si>
  <si>
    <t>12908032</t>
  </si>
  <si>
    <t>Utilidad en venta y/o liquidación de inversiones</t>
  </si>
  <si>
    <t>12908033</t>
  </si>
  <si>
    <t>Util. venta inversiones Acciones</t>
  </si>
  <si>
    <t>12908034</t>
  </si>
  <si>
    <t>Util. venta inversiones Cuotas/partes interés soci</t>
  </si>
  <si>
    <t>12908035</t>
  </si>
  <si>
    <t>Util. venta inversiones Bonos</t>
  </si>
  <si>
    <t>12908036</t>
  </si>
  <si>
    <t>Util. venta inversiones Títulos</t>
  </si>
  <si>
    <t>12908037</t>
  </si>
  <si>
    <t>Util. venta inversiones Derechos fiduciarios</t>
  </si>
  <si>
    <t>12908038</t>
  </si>
  <si>
    <t>Utilidad en liquidación de inversiones</t>
  </si>
  <si>
    <t>12908039</t>
  </si>
  <si>
    <t>Utilidad en venta de propiedad, planta y equipo</t>
  </si>
  <si>
    <t>12908040</t>
  </si>
  <si>
    <t>Util. Venta Terrenos</t>
  </si>
  <si>
    <t>12908041</t>
  </si>
  <si>
    <t>Util. Venta Construcciones y edificaciones</t>
  </si>
  <si>
    <t>12908042</t>
  </si>
  <si>
    <t>Util. Venta Maquinaria y equipo</t>
  </si>
  <si>
    <t>12908043</t>
  </si>
  <si>
    <t>Util. Venta Equipo de oficina</t>
  </si>
  <si>
    <t>Util. Venta Equipo de computación y comunicación</t>
  </si>
  <si>
    <t>Util. Venta Flota y equipo de transporte</t>
  </si>
  <si>
    <t>12908046</t>
  </si>
  <si>
    <t>Util. Venta Armamento de vigilancia</t>
  </si>
  <si>
    <t>12908047</t>
  </si>
  <si>
    <t>Utilidad en venta y/o retiro de otros activos o pasivos</t>
  </si>
  <si>
    <t>12908048</t>
  </si>
  <si>
    <t>Utilidad en venta Intangibles</t>
  </si>
  <si>
    <t>12908049</t>
  </si>
  <si>
    <t>Utilidad en retiro de derechos de uso</t>
  </si>
  <si>
    <t>12908050</t>
  </si>
  <si>
    <t>Utilidad en venta de activos biológicos</t>
  </si>
  <si>
    <t>12908051</t>
  </si>
  <si>
    <t>Ingresos por prescripción de pasivos</t>
  </si>
  <si>
    <t>12908052</t>
  </si>
  <si>
    <t>Recuperaciones</t>
  </si>
  <si>
    <t>12908053</t>
  </si>
  <si>
    <t>Recuperaciones Deudas malas</t>
  </si>
  <si>
    <t>12908054</t>
  </si>
  <si>
    <t>Recuperaciones Seguros</t>
  </si>
  <si>
    <t>12908055</t>
  </si>
  <si>
    <t>Recuperación provisión de inventarios</t>
  </si>
  <si>
    <t>12908056</t>
  </si>
  <si>
    <t>Recuperaciones Descuentos concedidos</t>
  </si>
  <si>
    <t>12908057</t>
  </si>
  <si>
    <t>Recuperación provisión de costos y gastos</t>
  </si>
  <si>
    <t>12908058</t>
  </si>
  <si>
    <t>Recuperación provisión de inversiones</t>
  </si>
  <si>
    <t>12908059</t>
  </si>
  <si>
    <t>Recuperación provisión de deudores</t>
  </si>
  <si>
    <t>12908060</t>
  </si>
  <si>
    <t>Recup. provisión de propiedad, planta y equipo</t>
  </si>
  <si>
    <t>12908061</t>
  </si>
  <si>
    <t>Recuperación provisión de intangibles</t>
  </si>
  <si>
    <t>12908062</t>
  </si>
  <si>
    <t>Recuperaciones Gastos bancarios</t>
  </si>
  <si>
    <t>12908063</t>
  </si>
  <si>
    <t>Recuperaciones De depreciación</t>
  </si>
  <si>
    <t>NIIF Recuperaciones De deterioro</t>
  </si>
  <si>
    <t>12908065</t>
  </si>
  <si>
    <t>Indemnizaciones</t>
  </si>
  <si>
    <t>Indemnizaciones Por siniestro</t>
  </si>
  <si>
    <t>12908067</t>
  </si>
  <si>
    <t>Indemnizaciones Lucro cesante compañías de seguros</t>
  </si>
  <si>
    <t>12908068</t>
  </si>
  <si>
    <t>Indemnizaciones Por pérdida de mercancía</t>
  </si>
  <si>
    <t>12908069</t>
  </si>
  <si>
    <t>Indemnizaciones Por incumplimiento de contratos</t>
  </si>
  <si>
    <t>12908070</t>
  </si>
  <si>
    <t>Indemnizaciones De terceros</t>
  </si>
  <si>
    <t>12908071</t>
  </si>
  <si>
    <t>Indemnizaciones Por incapacidades ISS</t>
  </si>
  <si>
    <t>12908072</t>
  </si>
  <si>
    <t>Otros ingresos diversos</t>
  </si>
  <si>
    <t>12908073</t>
  </si>
  <si>
    <t>Diversos Subvenciones</t>
  </si>
  <si>
    <t>12908074</t>
  </si>
  <si>
    <t>Diversos Suministros</t>
  </si>
  <si>
    <t>12908075</t>
  </si>
  <si>
    <t>Diversos Regalías</t>
  </si>
  <si>
    <t>12908076</t>
  </si>
  <si>
    <t>Diversos De la actividad ganadera</t>
  </si>
  <si>
    <t>12908077</t>
  </si>
  <si>
    <t>Diversos Multas y recargos</t>
  </si>
  <si>
    <t>12908078</t>
  </si>
  <si>
    <t>Diversos Preavisos descontados</t>
  </si>
  <si>
    <t>12908079</t>
  </si>
  <si>
    <t>Diversos Reconocimientos ISS</t>
  </si>
  <si>
    <t>12908080</t>
  </si>
  <si>
    <t>Diversos Excedentes</t>
  </si>
  <si>
    <t>Diversos Sobrantes de efectivo</t>
  </si>
  <si>
    <t>12908082</t>
  </si>
  <si>
    <t>Diversos Subsidios estatales</t>
  </si>
  <si>
    <t>12908083</t>
  </si>
  <si>
    <t>Diversos Útiles, papelería y fotocopias</t>
  </si>
  <si>
    <t>12908084</t>
  </si>
  <si>
    <t>Diversos Manejo de carga</t>
  </si>
  <si>
    <t>Diversos Ajuste al peso</t>
  </si>
  <si>
    <t>12908086</t>
  </si>
  <si>
    <t>Diversos Llamadas telefónicas</t>
  </si>
  <si>
    <t>12908087</t>
  </si>
  <si>
    <t>Recuperación por suministros</t>
  </si>
  <si>
    <t>12908088</t>
  </si>
  <si>
    <t>Sobrantes en inventarios</t>
  </si>
  <si>
    <t>12912000</t>
  </si>
  <si>
    <t>Bloque 12 Clasificación en corto y largo plazo</t>
  </si>
  <si>
    <t>12912001</t>
  </si>
  <si>
    <t>12912002</t>
  </si>
  <si>
    <t>Terceros</t>
  </si>
  <si>
    <t>Corto plazo</t>
  </si>
  <si>
    <t>Largo plazo</t>
  </si>
  <si>
    <t>12912005</t>
  </si>
  <si>
    <t>12912007</t>
  </si>
  <si>
    <t>12913000</t>
  </si>
  <si>
    <t>Bloque 13 DESAGREGACIÓN DE LOS PASIVOS CONTRACTUALES</t>
  </si>
  <si>
    <t>12913001</t>
  </si>
  <si>
    <t>Total pasivos contractuales</t>
  </si>
  <si>
    <t>12913002</t>
  </si>
  <si>
    <t>Saldos Tarjeta Cineco y Bonos</t>
  </si>
  <si>
    <t>12913003</t>
  </si>
  <si>
    <t>Plan de Fidelización</t>
  </si>
  <si>
    <t>12913004</t>
  </si>
  <si>
    <t>Ventas anticipadas de Cine o contenido alternativo</t>
  </si>
  <si>
    <t>12913005</t>
  </si>
  <si>
    <t>Devoluciones</t>
  </si>
  <si>
    <t>12913006</t>
  </si>
  <si>
    <t>12913007</t>
  </si>
  <si>
    <t>Productos/servicios Agricolas, Forestales y Ganaderos</t>
  </si>
  <si>
    <t>12913008</t>
  </si>
  <si>
    <t>suscripciones</t>
  </si>
  <si>
    <t>12913009</t>
  </si>
  <si>
    <t>12913010</t>
  </si>
  <si>
    <t>Servicios de Transporte Terrestre</t>
  </si>
  <si>
    <t>Venta de Propiedades, Planta y Equipo</t>
  </si>
  <si>
    <t>12914000</t>
  </si>
  <si>
    <t>Bloque 14 MOVIMIENTO ANUAL DEL SALDO DEL PASIVO CONTRACTUALS</t>
  </si>
  <si>
    <t>12914001</t>
  </si>
  <si>
    <t>Saldo de pasivos contractuales al final del año</t>
  </si>
  <si>
    <t>12914002</t>
  </si>
  <si>
    <t>Saldos de pasivos contractuales al inicio del año</t>
  </si>
  <si>
    <t>Aumentos durante el período de reporte</t>
  </si>
  <si>
    <t>12914004</t>
  </si>
  <si>
    <t>Obligaciones de desempeño satisfechas en el año</t>
  </si>
  <si>
    <t>13000000</t>
  </si>
  <si>
    <t>[900020] Notas Informe Anual-Gasto Impuesto Renta</t>
  </si>
  <si>
    <t>13001000</t>
  </si>
  <si>
    <t>PRINCIPALES COMPONENTES DEL GASTO POR IMPUESTO A LAS GANANCIAS</t>
  </si>
  <si>
    <t>13001001</t>
  </si>
  <si>
    <t>Total Impuesto sobre la renta neto reportado en resultados del periodo</t>
  </si>
  <si>
    <t>13001002</t>
  </si>
  <si>
    <t>Subtotal impuesto corriente(G540505 + G540510)</t>
  </si>
  <si>
    <t>13001003</t>
  </si>
  <si>
    <t>Impuesto corriente</t>
  </si>
  <si>
    <t>Gasto (ingreso) del período</t>
  </si>
  <si>
    <t>Ajustes de años anteriores reconocidos en el período</t>
  </si>
  <si>
    <t>Beneficios de carácter fiscal (pérdidas fiscales, créditos fiscales o diferencias temporarias) no reconocidos en períodos anteriores, que se han utilizado para reducir el gasto por impuesto del presente período</t>
  </si>
  <si>
    <t>13001007</t>
  </si>
  <si>
    <t>Gasto (ingreso) relacionado con cambios en políticas contables y/o errores que se han incluido en la determinación del resultado del período, de acuerdo a NIC 8, porque no se ha podido contablizar de forma retroactiva</t>
  </si>
  <si>
    <t>13001008</t>
  </si>
  <si>
    <t>Subtotal impuesto diferido (G540515)</t>
  </si>
  <si>
    <t>13001009</t>
  </si>
  <si>
    <t>Impuesto diferido</t>
  </si>
  <si>
    <t>13001010</t>
  </si>
  <si>
    <t>Gasto (ingreso) del período relacionado con el origen y el reverso de diferencias temporarias</t>
  </si>
  <si>
    <t>13001011</t>
  </si>
  <si>
    <t>Gasto (ingreso) por cambios en las tasas fiscales o aparición de nuevos impuestos</t>
  </si>
  <si>
    <t>13001012</t>
  </si>
  <si>
    <t>Beneficios de carácter fiscal (pérdidas fiscales, créditos fiscales o diferencias temporarias) no reconocidos en períodos anteriores, que se han utilizado para reducir el gasto por impuesto diferido del presente período</t>
  </si>
  <si>
    <t>13001013</t>
  </si>
  <si>
    <t>Surgido de la baja o reversión de bajas anteriores, de saldos de activos por impuestos diferidos de acuerdo al párrafo 56 de la NIC 12</t>
  </si>
  <si>
    <t>13100000</t>
  </si>
  <si>
    <t>[900021] Notas Informe Anual-Impuesto diferido ORI</t>
  </si>
  <si>
    <t>13101000</t>
  </si>
  <si>
    <t>Total impuesto diferido registrado en el ORI</t>
  </si>
  <si>
    <t>Sup Val Terrenos - Impuesto diferido[G381004005]</t>
  </si>
  <si>
    <t>Val Terrenos-Impto diferido recib Sub/Asoc/NegConj[G381004035]</t>
  </si>
  <si>
    <t>13101003</t>
  </si>
  <si>
    <t>Sup Val Construc/edific - Impto diferido[G381008005]</t>
  </si>
  <si>
    <t>Val Construc/edific-Impto diferido recib S/A/NC[G381008035]</t>
  </si>
  <si>
    <t>13101005</t>
  </si>
  <si>
    <t>Super. Valorizac. Maquinaria y equipo-Impto diferi[G381012005]</t>
  </si>
  <si>
    <t>Val Maq y equipo-Impto diferido recib Sub/Asoc/NC[G381012035]</t>
  </si>
  <si>
    <t>13101007</t>
  </si>
  <si>
    <t>Super. Valorizac. Equipo comput y comunic-Impto diferido[G381020005]</t>
  </si>
  <si>
    <t>Val Equipo comput y comunic-Impto diferido recib Sub/Asoc/NC[G381020035]</t>
  </si>
  <si>
    <t>13101009</t>
  </si>
  <si>
    <t>Sup Val equipo transp Impto Diferido[G381032005]</t>
  </si>
  <si>
    <t>Val equipo transp Impto Difer recib Sub/Asoc/Neg C[G381032035]</t>
  </si>
  <si>
    <t>13101011</t>
  </si>
  <si>
    <t>Sup Valoriz Flota/equipo fluvial-impto diferido[G381036005]</t>
  </si>
  <si>
    <t>13101012</t>
  </si>
  <si>
    <t>Val Flota/equip fluvial-Impto diferid recib S/A/NC[G381036035]</t>
  </si>
  <si>
    <t>NIIF Util/Pérd. instrum. Fcieros al ORI-Impto Dife[G381515005]</t>
  </si>
  <si>
    <t>Util/Pérd instrum Fcieros-Impto Difer recib S/A/NC[G381515035]</t>
  </si>
  <si>
    <t>13101016</t>
  </si>
  <si>
    <t>Util/Pérd cálculo actuarial ORI-Impto diferido[G381505005]</t>
  </si>
  <si>
    <t>Util/Pérd cálculo actuarial ORI-Impto diferido recibido[G381505035]</t>
  </si>
  <si>
    <t>13102000</t>
  </si>
  <si>
    <t>Impuesto diferido individual</t>
  </si>
  <si>
    <t>Impuesto diferido recibido</t>
  </si>
  <si>
    <t>13200000</t>
  </si>
  <si>
    <t>[900022] Notas Informe Anual-Saldo Impuestos</t>
  </si>
  <si>
    <t>13201000</t>
  </si>
  <si>
    <t>SALDOS DE IMPUESTOS ACTIVOS Y PASIVOS (NO INCLUYE IMPUESTO DIFERIDO)</t>
  </si>
  <si>
    <t>13201001</t>
  </si>
  <si>
    <t>Posición neta de impuestos por: Posición neta activa (pasiva) de impuestos</t>
  </si>
  <si>
    <t>13201002</t>
  </si>
  <si>
    <t>Total activos por impuestos</t>
  </si>
  <si>
    <t>13201003</t>
  </si>
  <si>
    <t>Subtotal activos por impuestos no corrientes[S155_1]</t>
  </si>
  <si>
    <t>13201004</t>
  </si>
  <si>
    <t>Activos por impuestos no corrientes</t>
  </si>
  <si>
    <t>13201005</t>
  </si>
  <si>
    <t>Sobrantes en liquidación privada de impuestos[S135520_1]</t>
  </si>
  <si>
    <t>13201006</t>
  </si>
  <si>
    <t>Subtotal activos por impuestos corrientes[S120_0]</t>
  </si>
  <si>
    <t>13201007</t>
  </si>
  <si>
    <t>Activos por impuestos corrientes</t>
  </si>
  <si>
    <t>Anticipo de impuestos de renta y complementarios[S135505_0]</t>
  </si>
  <si>
    <t>13201009</t>
  </si>
  <si>
    <t>Anticipo de impuestos de industria y comercio[S135510_0]</t>
  </si>
  <si>
    <t>13201010</t>
  </si>
  <si>
    <t>Retenciones en la fuente[S135515_0]</t>
  </si>
  <si>
    <t>13201011</t>
  </si>
  <si>
    <t>Impuesto a las ventas retenido[S135517_0]</t>
  </si>
  <si>
    <t>13201012</t>
  </si>
  <si>
    <t>Impuesto de industria y comercio retenido[S135518_0]</t>
  </si>
  <si>
    <t>Sobrantes en declaración privada de impuestos[S135520_0]</t>
  </si>
  <si>
    <t>13201014</t>
  </si>
  <si>
    <t>Impuestos descontables[S135530_0]</t>
  </si>
  <si>
    <t>13201015</t>
  </si>
  <si>
    <t>Descuentos tributarios[S135540_0]</t>
  </si>
  <si>
    <t>13201016</t>
  </si>
  <si>
    <t>Anticipos de impuestos otros[S135595_0]</t>
  </si>
  <si>
    <t>13201017</t>
  </si>
  <si>
    <t>Total pasivos por impuestos corrientes[S230_0]</t>
  </si>
  <si>
    <t>13201018</t>
  </si>
  <si>
    <t>Pasivos por impuestos corrientes</t>
  </si>
  <si>
    <t>13201019</t>
  </si>
  <si>
    <t>De renta y complementarios[S2404_0]</t>
  </si>
  <si>
    <t>13201020</t>
  </si>
  <si>
    <t>Impuesto sobre las ventas por pagar[S2408_0]</t>
  </si>
  <si>
    <t>De industria y comercio[S2412_0]</t>
  </si>
  <si>
    <t>13201022</t>
  </si>
  <si>
    <t>A la propiedad raíz[S2416_0]</t>
  </si>
  <si>
    <t>13201023</t>
  </si>
  <si>
    <t>De valorización[S2424_0]</t>
  </si>
  <si>
    <t>13201024</t>
  </si>
  <si>
    <t>De turismo[S2428_0]</t>
  </si>
  <si>
    <t>13201025</t>
  </si>
  <si>
    <t>Tasa utilización puertos[S2432_0]</t>
  </si>
  <si>
    <t>13201026</t>
  </si>
  <si>
    <t>De vehículos[S2436_0]</t>
  </si>
  <si>
    <t>13201027</t>
  </si>
  <si>
    <t>De espectáculos públicos[S2440_0]</t>
  </si>
  <si>
    <t>13201028</t>
  </si>
  <si>
    <t>A las importaciones[S2456_0]</t>
  </si>
  <si>
    <t>13201029</t>
  </si>
  <si>
    <t>Al azar y juegos[S2472_0]</t>
  </si>
  <si>
    <t>13201030</t>
  </si>
  <si>
    <t>Otros impuestos[S2495_0]</t>
  </si>
  <si>
    <t>13201031</t>
  </si>
  <si>
    <t>Impuesto de delineación urbana[S135535_0]</t>
  </si>
  <si>
    <t>13300000</t>
  </si>
  <si>
    <t>[900023] Notas Informe Anual-Impuesto diferido</t>
  </si>
  <si>
    <t>13301000</t>
  </si>
  <si>
    <t>ACTIVOS Y PASIVOS POR IMPUESTOS DIFERIDOS RECONOCIDOS EN EL ESTADO DE SITUACIÓN FINANCIERA</t>
  </si>
  <si>
    <t>13301001</t>
  </si>
  <si>
    <t>Activos totales S150_1</t>
  </si>
  <si>
    <t>13301002</t>
  </si>
  <si>
    <t>13301003</t>
  </si>
  <si>
    <t>Disponible</t>
  </si>
  <si>
    <t>13301004</t>
  </si>
  <si>
    <t>Inversiones</t>
  </si>
  <si>
    <t>13301005</t>
  </si>
  <si>
    <t>Deudores</t>
  </si>
  <si>
    <t>13301006</t>
  </si>
  <si>
    <t>Inventarios</t>
  </si>
  <si>
    <t>13301007</t>
  </si>
  <si>
    <t>Propiedad, planta, equipo</t>
  </si>
  <si>
    <t>13301008</t>
  </si>
  <si>
    <t>13301009</t>
  </si>
  <si>
    <t>Activos diferidos</t>
  </si>
  <si>
    <t>13301010</t>
  </si>
  <si>
    <t>13301011</t>
  </si>
  <si>
    <t>Obligaciones financieras</t>
  </si>
  <si>
    <t>13301012</t>
  </si>
  <si>
    <t>Proveedores</t>
  </si>
  <si>
    <t>13301013</t>
  </si>
  <si>
    <t>Cuentas por pagar</t>
  </si>
  <si>
    <t>13301014</t>
  </si>
  <si>
    <t>Impuestos, gravamenes y tasas</t>
  </si>
  <si>
    <t>13301015</t>
  </si>
  <si>
    <t>Obligaciones laborales</t>
  </si>
  <si>
    <t>13301016</t>
  </si>
  <si>
    <t>Pasivos estimados y provisiones</t>
  </si>
  <si>
    <t>13301017</t>
  </si>
  <si>
    <t>Pasivos diferidos</t>
  </si>
  <si>
    <t>13301018</t>
  </si>
  <si>
    <t>13301019</t>
  </si>
  <si>
    <t>Pérdidas fiscales</t>
  </si>
  <si>
    <t>13301020</t>
  </si>
  <si>
    <t>Excesos de renta presuntiva</t>
  </si>
  <si>
    <t>13301021</t>
  </si>
  <si>
    <t>Combinación de negocios</t>
  </si>
  <si>
    <t>13301022</t>
  </si>
  <si>
    <t>Pasivos totales S225_1</t>
  </si>
  <si>
    <t>13301023</t>
  </si>
  <si>
    <t>13301024</t>
  </si>
  <si>
    <t>13301026</t>
  </si>
  <si>
    <t>13301027</t>
  </si>
  <si>
    <t>13301029</t>
  </si>
  <si>
    <t>13301030</t>
  </si>
  <si>
    <t>13301031</t>
  </si>
  <si>
    <t>13301032</t>
  </si>
  <si>
    <t>13301033</t>
  </si>
  <si>
    <t>13301034</t>
  </si>
  <si>
    <t>13301035</t>
  </si>
  <si>
    <t>13301036</t>
  </si>
  <si>
    <t>13301037</t>
  </si>
  <si>
    <t>13301038</t>
  </si>
  <si>
    <t>13301039</t>
  </si>
  <si>
    <t>13301040</t>
  </si>
  <si>
    <t>13301041</t>
  </si>
  <si>
    <t>Impuesto diferido neto Activo (pasivo)</t>
  </si>
  <si>
    <t>13302000</t>
  </si>
  <si>
    <t>Bloque 02 Se refleja en el Estado Separado de Situación Financiera</t>
  </si>
  <si>
    <t>13302001</t>
  </si>
  <si>
    <t>Activos (pasivos) por impuestos diferidos netos</t>
  </si>
  <si>
    <t>13302002</t>
  </si>
  <si>
    <t>Total Activos por impuestos diferidos</t>
  </si>
  <si>
    <t>Total Pasivo por impuestos diferidos</t>
  </si>
  <si>
    <t>13400000</t>
  </si>
  <si>
    <t>[900024] Notas Informe Anual-Conciliación imp diferido</t>
  </si>
  <si>
    <t>13401000</t>
  </si>
  <si>
    <t>CONCILIACIÓN DEL IMPUESTO DIFERIDO NETO</t>
  </si>
  <si>
    <t>13401001</t>
  </si>
  <si>
    <t>Saldo final a 31 de diciembre</t>
  </si>
  <si>
    <t>Saldo inicial al 1 de enero</t>
  </si>
  <si>
    <t>13401003</t>
  </si>
  <si>
    <t>Impuesto sobre la renta reconocidos en el resultado del período</t>
  </si>
  <si>
    <t>Impuesto sobre la renta reconocidos en otros resultados integrales</t>
  </si>
  <si>
    <t>13401005</t>
  </si>
  <si>
    <t>Impuesto diferido por operaciones discontinuas</t>
  </si>
  <si>
    <t>13401006</t>
  </si>
  <si>
    <t>Impuesto diferido adquiridos en combinación de negocios</t>
  </si>
  <si>
    <t>13401007</t>
  </si>
  <si>
    <t>Saldo inicial al 1 de enero ajuste al cambio</t>
  </si>
  <si>
    <t>13500000</t>
  </si>
  <si>
    <t>[900025] Notas Informe Anual-Perdida Fiscal-Renta Presuntiva</t>
  </si>
  <si>
    <t>13501000</t>
  </si>
  <si>
    <t>13501001</t>
  </si>
  <si>
    <t>13501002</t>
  </si>
  <si>
    <t>2030</t>
  </si>
  <si>
    <t>13501003</t>
  </si>
  <si>
    <t>2029</t>
  </si>
  <si>
    <t>13501004</t>
  </si>
  <si>
    <t>2028</t>
  </si>
  <si>
    <t>13501005</t>
  </si>
  <si>
    <t>2027</t>
  </si>
  <si>
    <t>13501006</t>
  </si>
  <si>
    <t>2026</t>
  </si>
  <si>
    <t>13501007</t>
  </si>
  <si>
    <t>2025</t>
  </si>
  <si>
    <t>13501008</t>
  </si>
  <si>
    <t>2024</t>
  </si>
  <si>
    <t>13501009</t>
  </si>
  <si>
    <t>2023</t>
  </si>
  <si>
    <t>13501010</t>
  </si>
  <si>
    <t>2022</t>
  </si>
  <si>
    <t>13501011</t>
  </si>
  <si>
    <t>2021</t>
  </si>
  <si>
    <t>13501012</t>
  </si>
  <si>
    <t>2020</t>
  </si>
  <si>
    <t>13501013</t>
  </si>
  <si>
    <t>2019</t>
  </si>
  <si>
    <t>2018</t>
  </si>
  <si>
    <t>2017</t>
  </si>
  <si>
    <t>13501016</t>
  </si>
  <si>
    <t>2016</t>
  </si>
  <si>
    <t>13501017</t>
  </si>
  <si>
    <t>2015</t>
  </si>
  <si>
    <t>13501018</t>
  </si>
  <si>
    <t>2014</t>
  </si>
  <si>
    <t>13501019</t>
  </si>
  <si>
    <t>2013</t>
  </si>
  <si>
    <t>2012</t>
  </si>
  <si>
    <t>2011</t>
  </si>
  <si>
    <t>2010</t>
  </si>
  <si>
    <t>2009</t>
  </si>
  <si>
    <t>2008</t>
  </si>
  <si>
    <t>2007</t>
  </si>
  <si>
    <t>13501026</t>
  </si>
  <si>
    <t>2006</t>
  </si>
  <si>
    <t>13501027</t>
  </si>
  <si>
    <t>2005</t>
  </si>
  <si>
    <t>13502000</t>
  </si>
  <si>
    <t>13502001</t>
  </si>
  <si>
    <t>Año actual</t>
  </si>
  <si>
    <t>Año actual - 1</t>
  </si>
  <si>
    <t>Año actual - 2</t>
  </si>
  <si>
    <t>Año actual - 3</t>
  </si>
  <si>
    <t>13502006</t>
  </si>
  <si>
    <t>Año actual - 4</t>
  </si>
  <si>
    <t>Año actual - 5</t>
  </si>
  <si>
    <t>13502008</t>
  </si>
  <si>
    <t>Año actual - 6</t>
  </si>
  <si>
    <t>13502009</t>
  </si>
  <si>
    <t>Año actual - 7</t>
  </si>
  <si>
    <t>13502010</t>
  </si>
  <si>
    <t>Año actual - 8</t>
  </si>
  <si>
    <t>13502011</t>
  </si>
  <si>
    <t>Año actual - 9</t>
  </si>
  <si>
    <t>13509000</t>
  </si>
  <si>
    <t>13509001</t>
  </si>
  <si>
    <t>13509002</t>
  </si>
  <si>
    <t>13509003</t>
  </si>
  <si>
    <t>13509004</t>
  </si>
  <si>
    <t>13509005</t>
  </si>
  <si>
    <t>13509006</t>
  </si>
  <si>
    <t>13509007</t>
  </si>
  <si>
    <t>13509008</t>
  </si>
  <si>
    <t>13509009</t>
  </si>
  <si>
    <t>13509010</t>
  </si>
  <si>
    <t>13509011</t>
  </si>
  <si>
    <t>13509012</t>
  </si>
  <si>
    <t>13509013</t>
  </si>
  <si>
    <t>13509014</t>
  </si>
  <si>
    <t>13509015</t>
  </si>
  <si>
    <t>13509016</t>
  </si>
  <si>
    <t>13600000</t>
  </si>
  <si>
    <t>[900026] Notas Informe Anual-Posiciones inciertas</t>
  </si>
  <si>
    <t>13601000</t>
  </si>
  <si>
    <t>13601001</t>
  </si>
  <si>
    <t>13601002</t>
  </si>
  <si>
    <t>13601003</t>
  </si>
  <si>
    <t>13601004</t>
  </si>
  <si>
    <t>13601005</t>
  </si>
  <si>
    <t>13601006</t>
  </si>
  <si>
    <t>13601007</t>
  </si>
  <si>
    <t>13601008</t>
  </si>
  <si>
    <t>13601009</t>
  </si>
  <si>
    <t>13601010</t>
  </si>
  <si>
    <t>13601011</t>
  </si>
  <si>
    <t>13700000</t>
  </si>
  <si>
    <t>[900027] Notas Impuesto diferido NO registra inversiones</t>
  </si>
  <si>
    <t>13701000</t>
  </si>
  <si>
    <t>13701001</t>
  </si>
  <si>
    <t>Subsidiarias y/o asociadas del Grupo Valorem</t>
  </si>
  <si>
    <t>Canal Clima S.A.S.[Colombia]</t>
  </si>
  <si>
    <t>13701004</t>
  </si>
  <si>
    <t>Caracol America Productions LLC[USA]</t>
  </si>
  <si>
    <t>13701005</t>
  </si>
  <si>
    <t>Caracol Television Inc.[USA]</t>
  </si>
  <si>
    <t>Caracol Television S.A.[Colombia]</t>
  </si>
  <si>
    <t>13701007</t>
  </si>
  <si>
    <t>Caracol TV America Corp.[USA]</t>
  </si>
  <si>
    <t>Cine Colombia S.A.[Colombia]</t>
  </si>
  <si>
    <t>Comunican S.A.[Colombia]</t>
  </si>
  <si>
    <t>Ditransa S.A.[Colombia]</t>
  </si>
  <si>
    <t>13701011</t>
  </si>
  <si>
    <t>Famosa S.A.S[Colombia]</t>
  </si>
  <si>
    <t>13701012</t>
  </si>
  <si>
    <t>Fideicomiso FA Hotel SF[Colombia]</t>
  </si>
  <si>
    <t>13701013</t>
  </si>
  <si>
    <t>Fideicomiso FA Residencias SF[Colombia]</t>
  </si>
  <si>
    <t>13701014</t>
  </si>
  <si>
    <t>Fideicomiso P.A. Inmueble Getsemaní[Colombia]</t>
  </si>
  <si>
    <t>13701015</t>
  </si>
  <si>
    <t>Fideicomiso P.A. San Francisco Hotel[Colombia]</t>
  </si>
  <si>
    <t>Inversiones Cromos S.A.S.[Colombia]</t>
  </si>
  <si>
    <t>Koba Colombia S.A.S.[Colombia]</t>
  </si>
  <si>
    <t>13701018</t>
  </si>
  <si>
    <t>Koba Internacional Group (Panamá)[Panama]</t>
  </si>
  <si>
    <t>13701019</t>
  </si>
  <si>
    <t>Mambo LLC.[USA]</t>
  </si>
  <si>
    <t>Naviagro S.A.S.[Colombia]</t>
  </si>
  <si>
    <t>PrimeFinanzas SAS [Colombia]</t>
  </si>
  <si>
    <t>PrimeOther S.A.S.[Colombia]</t>
  </si>
  <si>
    <t>PrimeValueService S.A.S[Colombia]</t>
  </si>
  <si>
    <t>13701024</t>
  </si>
  <si>
    <t>Radial Bogotá S.A.[Colombia]</t>
  </si>
  <si>
    <t>Reforestadora de la Costa S.A.S.[Colombia]</t>
  </si>
  <si>
    <t>San Francisco Investment S.A.S.[Colombia]</t>
  </si>
  <si>
    <t>13701027</t>
  </si>
  <si>
    <t>Stock Models S.A.S.[Colombia]</t>
  </si>
  <si>
    <t>13701028</t>
  </si>
  <si>
    <t>Valorem S.A. [Colombia]</t>
  </si>
  <si>
    <t>13701029</t>
  </si>
  <si>
    <t>ICCK S.A.S. - En liquidación[Colombia]</t>
  </si>
  <si>
    <t>13701030</t>
  </si>
  <si>
    <t>Sugranel S.A.S. - En Liquidación[Colombia]</t>
  </si>
  <si>
    <t>13701031</t>
  </si>
  <si>
    <t>13701032</t>
  </si>
  <si>
    <t>Otras Asociadas</t>
  </si>
  <si>
    <t>13701033</t>
  </si>
  <si>
    <t>Equipamientos Urbanos Nacionales de Colombia SA[Colombia]</t>
  </si>
  <si>
    <t>13701034</t>
  </si>
  <si>
    <t>Gases del Caribe S.A.[Colombia]</t>
  </si>
  <si>
    <t>13701035</t>
  </si>
  <si>
    <t>La Heroica Investment S.A.S.[Colombia]</t>
  </si>
  <si>
    <t>13701036</t>
  </si>
  <si>
    <t>Linio Colombia S.A.S.[Colombia]</t>
  </si>
  <si>
    <t>13701037</t>
  </si>
  <si>
    <t>Paute Facil.Com S.AS.[Colombia]</t>
  </si>
  <si>
    <t>13701038</t>
  </si>
  <si>
    <t>Playa Blanca Barú S.A.[Colombia]</t>
  </si>
  <si>
    <t>13701039</t>
  </si>
  <si>
    <t>13701040</t>
  </si>
  <si>
    <t>13701041</t>
  </si>
  <si>
    <t>Medios y Servicios Integrados Ltda[Colombia]</t>
  </si>
  <si>
    <t>13701042</t>
  </si>
  <si>
    <t>Biofilm S.A.[Colombia]</t>
  </si>
  <si>
    <t>13701043</t>
  </si>
  <si>
    <t>Verticales S.A.S.[Colombia]</t>
  </si>
  <si>
    <t>13701044</t>
  </si>
  <si>
    <t>13701045</t>
  </si>
  <si>
    <t>Operaciones conjuntas</t>
  </si>
  <si>
    <t>13701046</t>
  </si>
  <si>
    <t>Consorcios Canales Privados[Colombia]</t>
  </si>
  <si>
    <t>13701047</t>
  </si>
  <si>
    <t>Unión Temporal Unitalcargo[Colombia]</t>
  </si>
  <si>
    <t>13701048</t>
  </si>
  <si>
    <t>Unión temporal UGD[Colombia]</t>
  </si>
  <si>
    <t>13701049</t>
  </si>
  <si>
    <t>Unión Temporal TQM[Colombia]</t>
  </si>
  <si>
    <t>13701050</t>
  </si>
  <si>
    <t>13800000</t>
  </si>
  <si>
    <t>[900028] Notas - Conciliación Tasa Efectiva Del Impuesto A La Renta Ordinaria</t>
  </si>
  <si>
    <t>13801000</t>
  </si>
  <si>
    <t>13801001</t>
  </si>
  <si>
    <t>Utilidad (pérdida) antes de impuestos y sin método de participación</t>
  </si>
  <si>
    <t>Utilidad (pérdida) contable antes de impuestos</t>
  </si>
  <si>
    <t>Menos: método de participación</t>
  </si>
  <si>
    <t>Tasa nominal de impuesto aplicable a la compañía en el período</t>
  </si>
  <si>
    <t>13802000</t>
  </si>
  <si>
    <t>13802001</t>
  </si>
  <si>
    <t>(Ingresos) no gravados / Ingresos gravados / Gastos no deducibles</t>
  </si>
  <si>
    <t>Ingresos por dividendos no gravados</t>
  </si>
  <si>
    <t>Ingresos por recuperación de provisiones</t>
  </si>
  <si>
    <t>13802004</t>
  </si>
  <si>
    <t>Ingresos por medición a valor razonable</t>
  </si>
  <si>
    <t>Ingresos por reversión de deterioro</t>
  </si>
  <si>
    <t>13802006</t>
  </si>
  <si>
    <t>Renta exenta por convenios de doble tributación</t>
  </si>
  <si>
    <t>13802007</t>
  </si>
  <si>
    <t>Renta exenta por reinversión en cine</t>
  </si>
  <si>
    <t>Ingresos por imdemnizaciones por daño emergente</t>
  </si>
  <si>
    <t>Ingresos por aprovechamientos</t>
  </si>
  <si>
    <t>13802010</t>
  </si>
  <si>
    <t>Ingresos por recuperación de deducción por depreciación en venta de inmuebles</t>
  </si>
  <si>
    <t>13802011</t>
  </si>
  <si>
    <t>Ingresos por recuperación de deducciones sin incidencia contable</t>
  </si>
  <si>
    <t>Utilidad en venta de bienes</t>
  </si>
  <si>
    <t>Utilidad contable a ser tratada como ganancia ocasional</t>
  </si>
  <si>
    <t>13802014</t>
  </si>
  <si>
    <t>Intereses presuntivos</t>
  </si>
  <si>
    <t>Dividendos efectivamente recibidos contabilizados bajo método de participación</t>
  </si>
  <si>
    <t>13802016</t>
  </si>
  <si>
    <t>Intereses implicitos</t>
  </si>
  <si>
    <t>13802017</t>
  </si>
  <si>
    <t>Ajuste en ingreso por precios de transferencia</t>
  </si>
  <si>
    <t>13802018</t>
  </si>
  <si>
    <t>(Ingreso) o gasto por diferencia en cambio</t>
  </si>
  <si>
    <t>Beneficios a empleados</t>
  </si>
  <si>
    <t>13802022</t>
  </si>
  <si>
    <t>Ajuste en pagos de seguridad social</t>
  </si>
  <si>
    <t>Impuesto de industria y comercio</t>
  </si>
  <si>
    <t>GMF - Cuatro por mil</t>
  </si>
  <si>
    <t>Otros impuestos no deducibles</t>
  </si>
  <si>
    <t>Contribuciones</t>
  </si>
  <si>
    <t>Mantenimiento y reparaciones</t>
  </si>
  <si>
    <t>Adecuación e instalaciones</t>
  </si>
  <si>
    <t>Depreciaciones</t>
  </si>
  <si>
    <t>Deterioro de inversiones</t>
  </si>
  <si>
    <t>13802037</t>
  </si>
  <si>
    <t>Otros deterioros</t>
  </si>
  <si>
    <t>Amortizaciones</t>
  </si>
  <si>
    <t>Gastos de representación</t>
  </si>
  <si>
    <t>Reintegro de gastos</t>
  </si>
  <si>
    <t>Forward y coberturas</t>
  </si>
  <si>
    <t>Otros gastos financieros</t>
  </si>
  <si>
    <t>13802046</t>
  </si>
  <si>
    <t>Pérdida en venta de bienes</t>
  </si>
  <si>
    <t>Pérdida en retiro de activos</t>
  </si>
  <si>
    <t>Pérdida contable a ser tratada como ganancia ocasional</t>
  </si>
  <si>
    <t>Donaciones</t>
  </si>
  <si>
    <t>13802050</t>
  </si>
  <si>
    <t>Deducción por inversión en cine</t>
  </si>
  <si>
    <t>13802051</t>
  </si>
  <si>
    <t>Gastos en el exterior</t>
  </si>
  <si>
    <t>Gastos extraordinarios</t>
  </si>
  <si>
    <t>13802053</t>
  </si>
  <si>
    <t>Gastos de ejercicios anteriores</t>
  </si>
  <si>
    <t>13802054</t>
  </si>
  <si>
    <t>Demandas laborales</t>
  </si>
  <si>
    <t>Multas, sanciones y litigios</t>
  </si>
  <si>
    <t>13802056</t>
  </si>
  <si>
    <t>Otras deducciones fiscales no reconocidos contablemente</t>
  </si>
  <si>
    <t>13802057</t>
  </si>
  <si>
    <t>Ajuste en deducciones por precios de transferencia</t>
  </si>
  <si>
    <t>Gastos diversos y otros</t>
  </si>
  <si>
    <t>13802059</t>
  </si>
  <si>
    <t>Subtotal (Ingresos) / Gastos no deducibles</t>
  </si>
  <si>
    <t>13803000</t>
  </si>
  <si>
    <t>Renta líquida</t>
  </si>
  <si>
    <t>13803002</t>
  </si>
  <si>
    <t>Compensacion excesos renta presuntiva y/o pérdidas fiscales</t>
  </si>
  <si>
    <t>Renta líquida gravable</t>
  </si>
  <si>
    <t>13804000</t>
  </si>
  <si>
    <t>Renta presuntiva</t>
  </si>
  <si>
    <t>Impuesto sobre la renta líquida gravable</t>
  </si>
  <si>
    <t>13804004</t>
  </si>
  <si>
    <t>Menos: Descuentos tributarios</t>
  </si>
  <si>
    <t>Mas: Sobretasa</t>
  </si>
  <si>
    <t>Impuesto de renta ordinaria</t>
  </si>
  <si>
    <t>13805000</t>
  </si>
  <si>
    <t>Patrimonio líquido fiscal base del año anterior para renta presuntiva</t>
  </si>
  <si>
    <t>Tarifa</t>
  </si>
  <si>
    <t>Subtotal renta presuntiva</t>
  </si>
  <si>
    <t>13805004</t>
  </si>
  <si>
    <t>Menos: Renta exenta</t>
  </si>
  <si>
    <t>Renta Presuntiva</t>
  </si>
  <si>
    <t>13805006</t>
  </si>
  <si>
    <t>Cálculo de renta presuntiva:</t>
  </si>
  <si>
    <t>13806000</t>
  </si>
  <si>
    <t>texto1</t>
  </si>
  <si>
    <t>texto2</t>
  </si>
  <si>
    <t>texto3</t>
  </si>
  <si>
    <t>13806004</t>
  </si>
  <si>
    <t>texto4</t>
  </si>
  <si>
    <t>13806005</t>
  </si>
  <si>
    <t>texto5</t>
  </si>
  <si>
    <t>13807000</t>
  </si>
  <si>
    <t>13807001</t>
  </si>
  <si>
    <t>13807002</t>
  </si>
  <si>
    <t>13807003</t>
  </si>
  <si>
    <t>13807004</t>
  </si>
  <si>
    <t>13807005</t>
  </si>
  <si>
    <t>13900000</t>
  </si>
  <si>
    <t>[900029] Notas - Conciliación Tasa Efectiva Del Impuesto a las Ganancias Ocasionales</t>
  </si>
  <si>
    <t>13901000</t>
  </si>
  <si>
    <t>Tasa nominal de impuesto ganancia ocasional aplicable a la compañía en el período</t>
  </si>
  <si>
    <t>Ingresos por ganancias ocasionales</t>
  </si>
  <si>
    <t>Menos: Costos por ganancias ocasionales</t>
  </si>
  <si>
    <t>Ganancias ocasionales no gravadas</t>
  </si>
  <si>
    <t>13901005</t>
  </si>
  <si>
    <t>Ganancias ocasionales exentas</t>
  </si>
  <si>
    <t>Renta líquida ganancia ocasional</t>
  </si>
  <si>
    <t>14000000</t>
  </si>
  <si>
    <t>[900030] Nota - Conciliación Del Gasto Corriente por Impuestos de la Renta</t>
  </si>
  <si>
    <t>14001000</t>
  </si>
  <si>
    <t>Total gasto de impuesto corriente</t>
  </si>
  <si>
    <t>Impuesto a la renta</t>
  </si>
  <si>
    <t>Impuesto de ganancia ocasional</t>
  </si>
  <si>
    <t>Ajustes de años anteriores reconocidos en el período (G540505003)</t>
  </si>
  <si>
    <t>14002000</t>
  </si>
  <si>
    <t>texto 1</t>
  </si>
  <si>
    <t>14002002</t>
  </si>
  <si>
    <t>texto 2</t>
  </si>
  <si>
    <t>14002003</t>
  </si>
  <si>
    <t>texto 3</t>
  </si>
  <si>
    <t>14002004</t>
  </si>
  <si>
    <t>texto 4</t>
  </si>
  <si>
    <t>14002005</t>
  </si>
  <si>
    <t>texto 5</t>
  </si>
  <si>
    <t>14002006</t>
  </si>
  <si>
    <t>Relación otros conceptos</t>
  </si>
  <si>
    <t>20100000</t>
  </si>
  <si>
    <t>[801000] Notas - Cuentas comerciales por cobrar y otras cuentas por cobrar</t>
  </si>
  <si>
    <t>20101000</t>
  </si>
  <si>
    <t>20101002</t>
  </si>
  <si>
    <t>20101005</t>
  </si>
  <si>
    <t>20101006</t>
  </si>
  <si>
    <t>20101008</t>
  </si>
  <si>
    <t>20101010</t>
  </si>
  <si>
    <t>20101011</t>
  </si>
  <si>
    <t>20101012</t>
  </si>
  <si>
    <t>20101013</t>
  </si>
  <si>
    <t>Informacion a revelar sobre Cuentas comerciales por cobrar y otras cuentas por cobrar</t>
  </si>
  <si>
    <t>20200000</t>
  </si>
  <si>
    <t>[801600] Notas - Cuentas comerciales por pagar, otras cuentas por pagar y otros pasivos financieros</t>
  </si>
  <si>
    <t>20201000</t>
  </si>
  <si>
    <t>20201003</t>
  </si>
  <si>
    <t>Otros Pasivos financieros</t>
  </si>
  <si>
    <t>20201005</t>
  </si>
  <si>
    <t>Total cuentas comerciales por pagar, otras cuentas por pagar y otros pasivos financieros</t>
  </si>
  <si>
    <t>20202000</t>
  </si>
  <si>
    <t>20202001</t>
  </si>
  <si>
    <t>Informacion a revelar sobre comerciales por pagar, otras cuentas por pagar y otros pasivos financieros</t>
  </si>
  <si>
    <t>20300000</t>
  </si>
  <si>
    <t>[801110] Información a revelar sobre activos biológicos - Plena SS</t>
  </si>
  <si>
    <t>20301000</t>
  </si>
  <si>
    <t>20301001</t>
  </si>
  <si>
    <t>Información a revelar detallada sobre activos biológicos[resumen]</t>
  </si>
  <si>
    <t>20301002</t>
  </si>
  <si>
    <t>Información a revelar detallada [partidas]</t>
  </si>
  <si>
    <t>20301003</t>
  </si>
  <si>
    <t>Descripción de los activos</t>
  </si>
  <si>
    <t>20301004</t>
  </si>
  <si>
    <t>Descripción del metodo utilizado para la medición de los activos</t>
  </si>
  <si>
    <t>20301005</t>
  </si>
  <si>
    <t>Total suma mediciones Activos biológicos</t>
  </si>
  <si>
    <t>20301006</t>
  </si>
  <si>
    <t>Suma de mediciones Activos biológicos</t>
  </si>
  <si>
    <t>20301007</t>
  </si>
  <si>
    <t>Activos biológicos al costo</t>
  </si>
  <si>
    <t>20301008</t>
  </si>
  <si>
    <t>Activos biológicos a valor razonable</t>
  </si>
  <si>
    <t>20301009</t>
  </si>
  <si>
    <t>Total suma depreciación, amortización y deterioro de valor Activos biológicos</t>
  </si>
  <si>
    <t>20301010</t>
  </si>
  <si>
    <t>Depreciación acumulada, amortización y deterioro de valor Activos biológicos</t>
  </si>
  <si>
    <t>20301011</t>
  </si>
  <si>
    <t>Depreciación y amortización acumuladas Activos biológicos</t>
  </si>
  <si>
    <t>20301012</t>
  </si>
  <si>
    <t>Deterioro de valor acumulado Activos biológicos</t>
  </si>
  <si>
    <t>20301013</t>
  </si>
  <si>
    <t>Explicación de porqué el valor razonable no puede ser medido con fiabilidad para activos, al costo</t>
  </si>
  <si>
    <t>20301014</t>
  </si>
  <si>
    <t>20301015</t>
  </si>
  <si>
    <t>20302001</t>
  </si>
  <si>
    <t>20302002</t>
  </si>
  <si>
    <t>Información a revelar sobre activos biológicos - Plena</t>
  </si>
  <si>
    <t>21600000</t>
  </si>
  <si>
    <t>[520030] Estado de flujos de efectivo - Método indirecto - NIIF Plenas</t>
  </si>
  <si>
    <t>21601002</t>
  </si>
  <si>
    <t>21601003</t>
  </si>
  <si>
    <t>Actividades de operación [sinopsis]</t>
  </si>
  <si>
    <t>21601004_C21601001_1</t>
  </si>
  <si>
    <t>21601005</t>
  </si>
  <si>
    <t>(+/-) Ajustes por gastos por impuestos a las ganancias</t>
  </si>
  <si>
    <t>( + ) Ajustes por gastos de depreciación y amortización</t>
  </si>
  <si>
    <t>(+/-) Ajustes por deterioro de valor (reversiones de pérdidas por deterioro de valor) reconocidas en el resultado del periodo</t>
  </si>
  <si>
    <t>(+) Ajustes por provisiones</t>
  </si>
  <si>
    <t>(+) Ajustes por costos financieros</t>
  </si>
  <si>
    <t>(+/-) Ajustes por pérdidas (ganancias) de moneda extranjera no realizadas</t>
  </si>
  <si>
    <t>(+) Ajustes por pérdidas (ganancias) del valor razonable</t>
  </si>
  <si>
    <t>(-) Ajustes por ganancias no distribuidas de asociadas</t>
  </si>
  <si>
    <t>(+/-) Ajustes por pérdidas (ganancias) por la disposición de activos no corrientes</t>
  </si>
  <si>
    <t>(+/-) Otros ajustes para conciliar la ganancia (pérdida)</t>
  </si>
  <si>
    <t>21601029</t>
  </si>
  <si>
    <t>21601030</t>
  </si>
  <si>
    <t>21601031</t>
  </si>
  <si>
    <t>(+/-) Ajustes por disminuciones (incrementos) en los inventarios</t>
  </si>
  <si>
    <t>(+/-) Ajustes por la disminución (incremento) de cuentas por cobrar de origen comercial</t>
  </si>
  <si>
    <t>(+/-) Ajustes por disminuciones (incrementos) en otras cuentas por cobrar derivadas de las actividades de operación</t>
  </si>
  <si>
    <t>(+/-) Ajustes por el incremento (disminución) de cuentas por pagar de origen comercial</t>
  </si>
  <si>
    <t>(+/-) Ajustes por incrementos (disminuciones) en otras cuentas por pagar derivadas de las actividades de operación</t>
  </si>
  <si>
    <t>(+/-) Otras entradas (salidas) de efectivo</t>
  </si>
  <si>
    <t>21601037</t>
  </si>
  <si>
    <t>21601038</t>
  </si>
  <si>
    <t>(+) Flujos de efectivo procedentes de la pérdida de control de subsidiarias u otros negocios</t>
  </si>
  <si>
    <t>21601040</t>
  </si>
  <si>
    <t>(-) Flujos de efectivo utilizados para obtener el control de subsidiarias u otros negocios</t>
  </si>
  <si>
    <t>(+) Otros cobros por la venta de patrimonio o instrumentos de deuda de otras entidades</t>
  </si>
  <si>
    <t>21601042</t>
  </si>
  <si>
    <t>(-) Otros pagos para adquirir patrimonio o instrumentos de deuda de otras entidades</t>
  </si>
  <si>
    <t>21601043</t>
  </si>
  <si>
    <t>(+) Otros cobros por la venta de participaciones en negocios conjuntos</t>
  </si>
  <si>
    <t>21601044</t>
  </si>
  <si>
    <t>(-) Otros pagos para adquirir participaciones en negocios conjuntos</t>
  </si>
  <si>
    <t>(+) Importes procedentes de la venta de propiedades, planta y equipo</t>
  </si>
  <si>
    <t>(-) Compras de propiedades, planta y equipo</t>
  </si>
  <si>
    <t>21601047</t>
  </si>
  <si>
    <t>(+) Importes procedentes de ventas de activos intangibles</t>
  </si>
  <si>
    <t>(-) Compras de activos intangibles</t>
  </si>
  <si>
    <t>21601049</t>
  </si>
  <si>
    <t>(+) Recursos por ventas de otros activos a largo plazo</t>
  </si>
  <si>
    <t>21601050</t>
  </si>
  <si>
    <t>(-) Compras de otros activos a largo plazo</t>
  </si>
  <si>
    <t>21601051</t>
  </si>
  <si>
    <t>(+) Importes procedentes de subvenciones del gobierno</t>
  </si>
  <si>
    <t>(-) Pagos derivados de contratos de futuro, a término, de opciones y de permuta financiera</t>
  </si>
  <si>
    <t>(+) Cobros procedentes de contratos de futuro, a término, de opciones y de permuta financiera</t>
  </si>
  <si>
    <t>21601054</t>
  </si>
  <si>
    <t>(+) Dividendos recibidos</t>
  </si>
  <si>
    <t>21601055</t>
  </si>
  <si>
    <t>(+) Intereses recibidos</t>
  </si>
  <si>
    <t>21601061</t>
  </si>
  <si>
    <t>21601062</t>
  </si>
  <si>
    <t>(+) Recursos por cambios en las participaciones en la propiedad en subsidiarias que no dan lugar a la pérdida de control</t>
  </si>
  <si>
    <t>(-) Pagos por cambios en las participaciones en la propiedad en subsidiarias que no dan lugar a la pérdida de control</t>
  </si>
  <si>
    <t>(+) Importes procedentes de aumento de capital y/o recolocación de acciones</t>
  </si>
  <si>
    <t>(-) Disminución de capital social y/o readquisición de acciones</t>
  </si>
  <si>
    <t>21601067</t>
  </si>
  <si>
    <t>(-) Pagos por otras participaciones en el patrimonio</t>
  </si>
  <si>
    <t>21601068</t>
  </si>
  <si>
    <t>(+) Importe procedente del aumento prima por emisión</t>
  </si>
  <si>
    <t>21601069</t>
  </si>
  <si>
    <t>(-) Disminución de prima por emisión</t>
  </si>
  <si>
    <t>(+) Importes procedentes de préstamos</t>
  </si>
  <si>
    <t>(-) Reembolsos de préstamos</t>
  </si>
  <si>
    <t>(-) Pagos de pasivos por arrendamientos financieros</t>
  </si>
  <si>
    <t>21601073</t>
  </si>
  <si>
    <t>(-) Dividendos pagados</t>
  </si>
  <si>
    <t>(-) Intereses pagados</t>
  </si>
  <si>
    <t>21601077</t>
  </si>
  <si>
    <t>21601078</t>
  </si>
  <si>
    <t>21601079</t>
  </si>
  <si>
    <t>(+/-) Efectos de la variación en la tasa de cambio sobre el efectivo y equivalentes al efectivo</t>
  </si>
  <si>
    <t>21601081</t>
  </si>
  <si>
    <t>21601083</t>
  </si>
  <si>
    <t>26100000</t>
  </si>
  <si>
    <t>[801150] Notas - Información a revelar sobre propiedades de inversión - Plenas</t>
  </si>
  <si>
    <t>26101000</t>
  </si>
  <si>
    <t>26101001</t>
  </si>
  <si>
    <t>26101002</t>
  </si>
  <si>
    <t>26101003</t>
  </si>
  <si>
    <t>Descripción de los métodos y suposiciones significativas aplicadas para determinar el valor razonable de propiedades de inversión</t>
  </si>
  <si>
    <t>26101004</t>
  </si>
  <si>
    <t>Explicación de porqué el valor razonable no puede ser medido con fiabilidad para propiedades de inversión, modelo del costo</t>
  </si>
  <si>
    <t>26101005</t>
  </si>
  <si>
    <t>Conciliación de cambios en propiedades de inversión [resumen]</t>
  </si>
  <si>
    <t>26101006</t>
  </si>
  <si>
    <t>26101007</t>
  </si>
  <si>
    <t>Cambios en las propiedades de inversión [resumen]</t>
  </si>
  <si>
    <t>26101008</t>
  </si>
  <si>
    <t>Incrementos distintos de los procedentes de combinaciones de negocios, propiedades de inversión</t>
  </si>
  <si>
    <t>26101009</t>
  </si>
  <si>
    <t>26101010</t>
  </si>
  <si>
    <t>Ganancias (pérdidas) por ajuste del valor razonable, propiedades de inversión</t>
  </si>
  <si>
    <t>26101011</t>
  </si>
  <si>
    <t>Transferencia a propiedades de inversion al valor razonable, cuando pasa a estar disponible la medición fiable del Valor razonable</t>
  </si>
  <si>
    <t>26101012</t>
  </si>
  <si>
    <t>Transferencia de (a) inventarios y bienes inmuebles ocupados por el propietario, propiedades de inversión.</t>
  </si>
  <si>
    <t>26101013</t>
  </si>
  <si>
    <t>Depreciación, propiedades de inversiòn al costo menos depreciación acumulada y deterioro</t>
  </si>
  <si>
    <t>26101014</t>
  </si>
  <si>
    <t>Pérdidas por deterioro de valor reconocidas en el resultado del periodo, propiedades de inversión al costo</t>
  </si>
  <si>
    <t>26101015</t>
  </si>
  <si>
    <t>Reversión de pérdidas por deterioro de valor reconocidas en el resultado del periodo, propiedades de inversiòn al costo</t>
  </si>
  <si>
    <t>26101016</t>
  </si>
  <si>
    <t>Incrementos (disminuciones) por otros cambios, propiedades de inversión</t>
  </si>
  <si>
    <t>26101017</t>
  </si>
  <si>
    <t>26101018</t>
  </si>
  <si>
    <t>26200000</t>
  </si>
  <si>
    <t>[801800b] Notas - Análisis de Gastos</t>
  </si>
  <si>
    <t>26201000</t>
  </si>
  <si>
    <t>26201001</t>
  </si>
  <si>
    <t>Análisis de Gastos [sinopsis]</t>
  </si>
  <si>
    <t>26201002</t>
  </si>
  <si>
    <t>Ganancias [sinopsis]</t>
  </si>
  <si>
    <t>Ganancias por la aplicación del método de participación</t>
  </si>
  <si>
    <t>Ganancias por la disposicion de activos</t>
  </si>
  <si>
    <t>Ganancias por recuperaciones</t>
  </si>
  <si>
    <t>Otras ganancias</t>
  </si>
  <si>
    <t>26201007</t>
  </si>
  <si>
    <t>Total ganancias</t>
  </si>
  <si>
    <t>26201008</t>
  </si>
  <si>
    <t>26201012</t>
  </si>
  <si>
    <t>26201013</t>
  </si>
  <si>
    <t>26201015</t>
  </si>
  <si>
    <t>26201016</t>
  </si>
  <si>
    <t>26201017</t>
  </si>
  <si>
    <t>26201018</t>
  </si>
  <si>
    <t>Pérdidas [sinopsis]</t>
  </si>
  <si>
    <t>26201019</t>
  </si>
  <si>
    <t>Pérdidas por la aplicación del método de participación</t>
  </si>
  <si>
    <t>Pérdidas por disposición de activos</t>
  </si>
  <si>
    <t>Otras pérdidas</t>
  </si>
  <si>
    <t>26201022</t>
  </si>
  <si>
    <t>Total pérdidas</t>
  </si>
  <si>
    <t>26300000</t>
  </si>
  <si>
    <t>[801800a] Notas - Análisis de Ingresos</t>
  </si>
  <si>
    <t>26301000</t>
  </si>
  <si>
    <t>26301001</t>
  </si>
  <si>
    <t>Ingresos de actividades ordinarias procedentes de la venta de bienes: 1</t>
  </si>
  <si>
    <t>26301003</t>
  </si>
  <si>
    <t>Total de Ingresos de actividades ordinarias procedentes de la venta de bienes</t>
  </si>
  <si>
    <t>26301004</t>
  </si>
  <si>
    <t>Ingresos de actividades ordinarias procedentes de la prestación de servicios</t>
  </si>
  <si>
    <t>Ingresos de actividades ordinarias procedentes de la prestación de servicios: 1</t>
  </si>
  <si>
    <t>26301006</t>
  </si>
  <si>
    <t>Ingresos de actividades ordinarias procedentes de la prestación de servicios: 2</t>
  </si>
  <si>
    <t>26301007</t>
  </si>
  <si>
    <t>Ingresos de actividades ordinarias procedentes de la prestación de servicios: 3</t>
  </si>
  <si>
    <t>26301008</t>
  </si>
  <si>
    <t>Total de Ingresos de actividades ordinarias procedentes de la prestación de servicios</t>
  </si>
  <si>
    <t>26301009</t>
  </si>
  <si>
    <t>Ingresos de actividades ordinarias procedentes de contratos de construcción</t>
  </si>
  <si>
    <t>26301010</t>
  </si>
  <si>
    <t>Total de Ingresos de actividades ordinarias procedentes de contratos de construcción</t>
  </si>
  <si>
    <t>26301011</t>
  </si>
  <si>
    <t>Ingresos de actividades ordinarias procedentes de dividendos</t>
  </si>
  <si>
    <t>Ingresos de actividades ordinarias procedentes de dividendos: 1</t>
  </si>
  <si>
    <t>26301013</t>
  </si>
  <si>
    <t>Total de Ingresos de actividades ordinarias procedentes de dividendos</t>
  </si>
  <si>
    <t>26301014</t>
  </si>
  <si>
    <t>Total de Ingresos de actividades ordinarias</t>
  </si>
  <si>
    <t>26301015</t>
  </si>
  <si>
    <t>Otros Ingresos</t>
  </si>
  <si>
    <t>Participación en las ganancias de subsidiarias asociadas y negocios conjuntos consideradas como parte de su operación principal que se contabilicen utilizando el método de la participación</t>
  </si>
  <si>
    <t>26301017</t>
  </si>
  <si>
    <t>Total de Ingresos</t>
  </si>
  <si>
    <t>26400000</t>
  </si>
  <si>
    <t>[801430] Notas - Información a revelar sobre asociadas</t>
  </si>
  <si>
    <t>26401000</t>
  </si>
  <si>
    <t>26401001</t>
  </si>
  <si>
    <t>Fila Asociada [Eje]</t>
  </si>
  <si>
    <t>26401002</t>
  </si>
  <si>
    <t>Fila Asociada [Eje]: 1</t>
  </si>
  <si>
    <t>26401003</t>
  </si>
  <si>
    <t>Fila Asociada [Eje]: 2</t>
  </si>
  <si>
    <t>26401004</t>
  </si>
  <si>
    <t>Fila Asociada [Eje]: 3</t>
  </si>
  <si>
    <t>26401005</t>
  </si>
  <si>
    <t>Fila Asociada [Eje]: 4</t>
  </si>
  <si>
    <t>26401006</t>
  </si>
  <si>
    <t>Fila Asociada [Eje]: 5</t>
  </si>
  <si>
    <t>26401007</t>
  </si>
  <si>
    <t>Fila Asociada [Eje]: 6</t>
  </si>
  <si>
    <t>26401008</t>
  </si>
  <si>
    <t>Fila Asociada [Eje]: 7</t>
  </si>
  <si>
    <t>26401009</t>
  </si>
  <si>
    <t>Fila Asociada [Eje]: 8</t>
  </si>
  <si>
    <t>26401010</t>
  </si>
  <si>
    <t>Fila Asociada [Eje]: 9</t>
  </si>
  <si>
    <t>26401011</t>
  </si>
  <si>
    <t>Fila Asociada [Eje]: 10</t>
  </si>
  <si>
    <t>26401012</t>
  </si>
  <si>
    <t>Fila Asociada [Eje]: 11</t>
  </si>
  <si>
    <t>26401013</t>
  </si>
  <si>
    <t>Fila Asociada [Eje]: 12</t>
  </si>
  <si>
    <t>26401014</t>
  </si>
  <si>
    <t>Fila Asociada [Eje]: 13</t>
  </si>
  <si>
    <t>26401015</t>
  </si>
  <si>
    <t>Fila Asociada [Eje]: 14</t>
  </si>
  <si>
    <t>26401016</t>
  </si>
  <si>
    <t>Fila Asociada [Eje]: 15</t>
  </si>
  <si>
    <t>26401017</t>
  </si>
  <si>
    <t>Fila Asociada [Eje]: 16</t>
  </si>
  <si>
    <t>26401018</t>
  </si>
  <si>
    <t>Fila Asociada [Eje]: 17</t>
  </si>
  <si>
    <t>26401019</t>
  </si>
  <si>
    <t>Fila Asociada [Eje]: 18</t>
  </si>
  <si>
    <t>26401020</t>
  </si>
  <si>
    <t>Fila Asociada [Eje]: 19</t>
  </si>
  <si>
    <t>26401021</t>
  </si>
  <si>
    <t>Fila Asociada [Eje]: 20</t>
  </si>
  <si>
    <t>26401022</t>
  </si>
  <si>
    <t>Total Asociadas</t>
  </si>
  <si>
    <t>26500000</t>
  </si>
  <si>
    <t>[801400] Notas - Información a revelar sobre subsidiarias o combinadas</t>
  </si>
  <si>
    <t>26501000</t>
  </si>
  <si>
    <t>26501001</t>
  </si>
  <si>
    <t>Fila Subsidiaria [Eje]</t>
  </si>
  <si>
    <t>Fila Subsidiaria [Eje]: 1</t>
  </si>
  <si>
    <t>Fila Subsidiaria [Eje]: 2</t>
  </si>
  <si>
    <t>Fila Subsidiaria [Eje]: 3</t>
  </si>
  <si>
    <t>Fila Subsidiaria [Eje]: 4</t>
  </si>
  <si>
    <t>Fila Subsidiaria [Eje]: 5</t>
  </si>
  <si>
    <t>Fila Subsidiaria [Eje]: 6</t>
  </si>
  <si>
    <t>Fila Subsidiaria [Eje]: 7</t>
  </si>
  <si>
    <t>Fila Subsidiaria [Eje]: 8</t>
  </si>
  <si>
    <t>Fila Subsidiaria [Eje]: 9</t>
  </si>
  <si>
    <t>Fila Subsidiaria [Eje]: 10</t>
  </si>
  <si>
    <t>Fila Subsidiaria [Eje]: 11</t>
  </si>
  <si>
    <t>Fila Subsidiaria [Eje]: 12</t>
  </si>
  <si>
    <t>Fila Subsidiaria [Eje]: 13</t>
  </si>
  <si>
    <t>26501015</t>
  </si>
  <si>
    <t>Fila Subsidiaria [Eje]: 14</t>
  </si>
  <si>
    <t>26501016</t>
  </si>
  <si>
    <t>Fila Subsidiaria [Eje]: 15</t>
  </si>
  <si>
    <t>26501017</t>
  </si>
  <si>
    <t>Fila Subsidiaria [Eje]: 16</t>
  </si>
  <si>
    <t>26501018</t>
  </si>
  <si>
    <t>Fila Subsidiaria [Eje]: 17</t>
  </si>
  <si>
    <t>26501019</t>
  </si>
  <si>
    <t>Fila Subsidiaria [Eje]: 18</t>
  </si>
  <si>
    <t>26501020</t>
  </si>
  <si>
    <t>Fila Subsidiaria [Eje]: 19</t>
  </si>
  <si>
    <t>26501021</t>
  </si>
  <si>
    <t>Fila Subsidiaria [Eje]: 20</t>
  </si>
  <si>
    <t>26501022</t>
  </si>
  <si>
    <t>Total Subsidiarias</t>
  </si>
  <si>
    <t>26600000</t>
  </si>
  <si>
    <t>[801460] Notas - Información a revelar sobre negocios conjuntos</t>
  </si>
  <si>
    <t>26601000</t>
  </si>
  <si>
    <t>26601001</t>
  </si>
  <si>
    <t>Fila Negocios Conjuntos [Eje]</t>
  </si>
  <si>
    <t>26601002</t>
  </si>
  <si>
    <t>Fila Negocios Conjuntos [Eje]: 1</t>
  </si>
  <si>
    <t>26601003</t>
  </si>
  <si>
    <t>Fila Negocios Conjuntos [Eje]: 2</t>
  </si>
  <si>
    <t>26601004</t>
  </si>
  <si>
    <t>Fila Negocios Conjuntos [Eje]: 3</t>
  </si>
  <si>
    <t>26601005</t>
  </si>
  <si>
    <t>Fila Negocios Conjuntos [Eje]: 4</t>
  </si>
  <si>
    <t>26601006</t>
  </si>
  <si>
    <t>Fila Negocios Conjuntos [Eje]: 5</t>
  </si>
  <si>
    <t>26601007</t>
  </si>
  <si>
    <t>Fila Negocios Conjuntos [Eje]: 6</t>
  </si>
  <si>
    <t>26601008</t>
  </si>
  <si>
    <t>Fila Negocios Conjuntos [Eje]: 7</t>
  </si>
  <si>
    <t>26601009</t>
  </si>
  <si>
    <t>Fila Negocios Conjuntos [Eje]: 8</t>
  </si>
  <si>
    <t>26601010</t>
  </si>
  <si>
    <t>Fila Negocios Conjuntos [Eje]: 9</t>
  </si>
  <si>
    <t>26601011</t>
  </si>
  <si>
    <t>Fila Negocios Conjuntos [Eje]: 10</t>
  </si>
  <si>
    <t>26601012</t>
  </si>
  <si>
    <t>Fila Negocios Conjuntos [Eje]: 11</t>
  </si>
  <si>
    <t>26601013</t>
  </si>
  <si>
    <t>Fila Negocios Conjuntos [Eje]: 12</t>
  </si>
  <si>
    <t>26601014</t>
  </si>
  <si>
    <t>Fila Negocios Conjuntos [Eje]: 13</t>
  </si>
  <si>
    <t>26601015</t>
  </si>
  <si>
    <t>Fila Negocios Conjuntos [Eje]: 14</t>
  </si>
  <si>
    <t>26601016</t>
  </si>
  <si>
    <t>Fila Negocios Conjuntos [Eje]: 15</t>
  </si>
  <si>
    <t>26601017</t>
  </si>
  <si>
    <t>Fila Negocios Conjuntos [Eje]: 16</t>
  </si>
  <si>
    <t>26601018</t>
  </si>
  <si>
    <t>Fila Negocios Conjuntos [Eje]: 17</t>
  </si>
  <si>
    <t>26601019</t>
  </si>
  <si>
    <t>Fila Negocios Conjuntos [Eje]: 18</t>
  </si>
  <si>
    <t>26601020</t>
  </si>
  <si>
    <t>Fila Negocios Conjuntos [Eje]: 19</t>
  </si>
  <si>
    <t>26601021</t>
  </si>
  <si>
    <t>Fila Negocios Conjuntos [Eje]: 20</t>
  </si>
  <si>
    <t>26601022</t>
  </si>
  <si>
    <t>Total Negocios Conjuntos</t>
  </si>
  <si>
    <t>26700000</t>
  </si>
  <si>
    <t>[Notas - Deterioro de Activos - Plenas - Consolidado SS</t>
  </si>
  <si>
    <t>26701000</t>
  </si>
  <si>
    <t>26701001</t>
  </si>
  <si>
    <t>26701002</t>
  </si>
  <si>
    <t>26701003</t>
  </si>
  <si>
    <t>26701004</t>
  </si>
  <si>
    <t>26701005</t>
  </si>
  <si>
    <t>26701006</t>
  </si>
  <si>
    <t>26701007</t>
  </si>
  <si>
    <t>26800000</t>
  </si>
  <si>
    <t>[801200] Notas - Propiedades, planta y equipo - Plenas - Consolidado</t>
  </si>
  <si>
    <t>26801000</t>
  </si>
  <si>
    <t>26801001</t>
  </si>
  <si>
    <t>26801002</t>
  </si>
  <si>
    <t>Información a revelar detallada sobre propiedades, planta y equipo [partidas de los estados financieros]</t>
  </si>
  <si>
    <t>26801003</t>
  </si>
  <si>
    <t>26801004</t>
  </si>
  <si>
    <t>26801005</t>
  </si>
  <si>
    <t>26801006</t>
  </si>
  <si>
    <t>Fecha de vigencia de revaluación, propiedades, planta y equipo</t>
  </si>
  <si>
    <t>26801007</t>
  </si>
  <si>
    <t>Explicación de la implicación del tasador independiente en la revaluación, propiedades, planta y equipo</t>
  </si>
  <si>
    <t>26801008</t>
  </si>
  <si>
    <t>Explicación del método de revaluación y supuestos significativos, propiedad, planta y equipo</t>
  </si>
  <si>
    <t>26801009</t>
  </si>
  <si>
    <t>26801011</t>
  </si>
  <si>
    <t>26801015</t>
  </si>
  <si>
    <t>26801016</t>
  </si>
  <si>
    <t>26801017</t>
  </si>
  <si>
    <t>26801018</t>
  </si>
  <si>
    <t>26801019</t>
  </si>
  <si>
    <t>26801020</t>
  </si>
  <si>
    <t>26801021</t>
  </si>
  <si>
    <t>26801022</t>
  </si>
  <si>
    <t>26801024</t>
  </si>
  <si>
    <t>Total incrementos (disminuciones) por transferencias y otros cambios, propiedades, planta y equipo</t>
  </si>
  <si>
    <t>26801025</t>
  </si>
  <si>
    <t>26801026</t>
  </si>
  <si>
    <t>26801028</t>
  </si>
  <si>
    <t>Total de disposiciones y retiros de servicio, propiedades, planta y equipo</t>
  </si>
  <si>
    <t>26801029</t>
  </si>
  <si>
    <t>26801030</t>
  </si>
  <si>
    <t>Total incremento (disminución) en propiedades, planta y equipo</t>
  </si>
  <si>
    <t>26801031</t>
  </si>
  <si>
    <t>26801032</t>
  </si>
  <si>
    <t>03002065</t>
  </si>
  <si>
    <t>03002066</t>
  </si>
  <si>
    <t>03003011</t>
  </si>
  <si>
    <t>Descripci�n de partidas en el estado del resultado integral de importes de costos relacionados con la adquisici�n reconocidos como gasto por transacciones registradas por separado procedentes de la adquisici�n de activos y asunci�n de pasivos en combinaciones de negocios</t>
  </si>
  <si>
    <t>03007001</t>
  </si>
  <si>
    <t>Explicaci�n de qu� informaci�n a revelar no podr�a publicarse y las razones por las que no pueden hacerlo si la contabilidad inicial de la combinaci�n de negocios est� incompleta en el momento en que se autoriza la publicaci�n de los estados financieros</t>
  </si>
  <si>
    <t>03103002</t>
  </si>
  <si>
    <t>Informaci�n a revelar sobre las transacciones con partes relacionadas que se realizaron en condiciones de mercado equivalentes a las que predominan en transacci�n realizadas en condiciones de independencia mutua. Si no fueron realizadas en condiciones de mercado, se debera indicar las condiciones y razones en que fueron realizadas. Efectos de las operaciones en la situaci�n financiera de la sociedad.</t>
  </si>
  <si>
    <t>06105002</t>
  </si>
  <si>
    <t>06118006</t>
  </si>
  <si>
    <t>Informaci�n a revelar sobre la conciliaci�n entre inversiones dadas de baja en cuentas y activos y pasivos reconocidos, transici�n de la contabilizaci�n de inversiones al costo o de acuerdo con la NIIF 9 a la contabilizaci�n de activos y pasivos [bloque de texto]</t>
  </si>
  <si>
    <t>07103005</t>
  </si>
  <si>
    <t>Descripci�n de la evidencia que apoya el reconocimiento de activos por impuestos diferidos cuando la utilizaci�n depende de que las ganancias gravables futuras superen las ganancias procedentes de la reversi�n de diferencias temporarias gravables y la ent</t>
  </si>
  <si>
    <t>07103006</t>
  </si>
  <si>
    <t>07901010</t>
  </si>
  <si>
    <t>08201021</t>
  </si>
  <si>
    <t>08201031</t>
  </si>
  <si>
    <t>08501021</t>
  </si>
  <si>
    <t>Importe eliminado de reservas de coberturas de flujos de efectivo e incluido en el costo inicial u otro importe en libros de activos (pasivos) no financieros o compromisos en firme para los que se aplica la contabilidad de coberturas del valor razonable</t>
  </si>
  <si>
    <t>08501022</t>
  </si>
  <si>
    <t>Importe eliminado de reservas de cambios en el valor temporal del dinero de opciones e incluido en el costo inicial u otro importe en libros de activos (pasivos) no financieros o compromisos en firme para los que se aplica la contabilidad de coberturas del valor razonable</t>
  </si>
  <si>
    <t>08501023</t>
  </si>
  <si>
    <t>Importe eliminado de reservas de cambios en el valor de los elementos a t�rmino de contratos a t�rmino e incluido en el costo inicial u otro importe en libros de activos (pasivos) no financieros o compromisos en firme para los que se aplica la contabilidad de coberturas del valor razonable</t>
  </si>
  <si>
    <t>08501024</t>
  </si>
  <si>
    <t>Importe eliminado de reservas de cambios en el valor de los diferenciales de tasa cambio de moneda extranjera e incluido en el costo inicial u otro importe en libros de activos (pasivos) no financieros o compromisos en firme para los que se aplica la contabilidad de coberturas del valor razonable</t>
  </si>
  <si>
    <t>12006014</t>
  </si>
  <si>
    <t>Gastos relacionados con pagos variables que no se incluyen como parte del pasivo por arrendamiento (Aqu� se detallan todos los pagos que se excluyen del c�lculo del VP de los flujos futuros porque no dependen de un �ndice o una tasa (IPC, IBR, DTF, etc), por ejemplo, pagos de arrendamiento que dependen de las ventas durante el mes)</t>
  </si>
  <si>
    <t>CD_COLUMNA</t>
  </si>
  <si>
    <t>Acciones ordinarias [miembro]</t>
  </si>
  <si>
    <t>C01600000</t>
  </si>
  <si>
    <t>C01701001</t>
  </si>
  <si>
    <t>Patrimonio [miembro]</t>
  </si>
  <si>
    <t>C01701002</t>
  </si>
  <si>
    <t>Presentado anteriormente [miembro]</t>
  </si>
  <si>
    <t>C01701003</t>
  </si>
  <si>
    <t>Incremento (disminución) debido a cambios en políticas contables requeridas por las NIIF [miembro]</t>
  </si>
  <si>
    <t>C01701004</t>
  </si>
  <si>
    <t>Incremento (disminución) debido a cambios voluntarios en políticas contables [miembro]</t>
  </si>
  <si>
    <t>C01701005</t>
  </si>
  <si>
    <t>Incremento (disminución) debido a cambios en políticas contables [miembro]</t>
  </si>
  <si>
    <t>C01701006</t>
  </si>
  <si>
    <t>Incremento (disminución) debido a correcciones de errores de periodos anteriores [miembro]</t>
  </si>
  <si>
    <t>C01701007</t>
  </si>
  <si>
    <t>Incremento (disminución) debido a cambios en políticas contables y correcciones de errores de periodos anteriores [miembro]</t>
  </si>
  <si>
    <t>C01701008</t>
  </si>
  <si>
    <t>Señalado actualmente [miembro]</t>
  </si>
  <si>
    <t>C01701009</t>
  </si>
  <si>
    <t>Capital emitido [miembro]</t>
  </si>
  <si>
    <t>C01701010</t>
  </si>
  <si>
    <t>C01701011</t>
  </si>
  <si>
    <t>C01701012</t>
  </si>
  <si>
    <t>C01701013</t>
  </si>
  <si>
    <t>C01701014</t>
  </si>
  <si>
    <t>C01701015</t>
  </si>
  <si>
    <t>C01701016</t>
  </si>
  <si>
    <t>C01701017</t>
  </si>
  <si>
    <t>Capital Asignado [miembro]</t>
  </si>
  <si>
    <t>C01701018</t>
  </si>
  <si>
    <t>C01701019</t>
  </si>
  <si>
    <t>C01701020</t>
  </si>
  <si>
    <t>C01701021</t>
  </si>
  <si>
    <t>C01701022</t>
  </si>
  <si>
    <t>C01701023</t>
  </si>
  <si>
    <t>C01701024</t>
  </si>
  <si>
    <t>C01701025</t>
  </si>
  <si>
    <t>Prima de emisión [miembro]</t>
  </si>
  <si>
    <t>C01701026</t>
  </si>
  <si>
    <t>C01701027</t>
  </si>
  <si>
    <t>C01701028</t>
  </si>
  <si>
    <t>C01701029</t>
  </si>
  <si>
    <t>C01701030</t>
  </si>
  <si>
    <t>C01701031</t>
  </si>
  <si>
    <t>C01701032</t>
  </si>
  <si>
    <t>C01701033</t>
  </si>
  <si>
    <t>Acciones propias en cartera [miembro]</t>
  </si>
  <si>
    <t>C01701034</t>
  </si>
  <si>
    <t>C01701035</t>
  </si>
  <si>
    <t>C01701036</t>
  </si>
  <si>
    <t>C01701037</t>
  </si>
  <si>
    <t>C01701038</t>
  </si>
  <si>
    <t>C01701039</t>
  </si>
  <si>
    <t>C01701040</t>
  </si>
  <si>
    <t>C01701041</t>
  </si>
  <si>
    <t>Reserva Legal [miembro]</t>
  </si>
  <si>
    <t>C01701042</t>
  </si>
  <si>
    <t>C01701043</t>
  </si>
  <si>
    <t>C01701044</t>
  </si>
  <si>
    <t>C01701045</t>
  </si>
  <si>
    <t>C01701046</t>
  </si>
  <si>
    <t>C01701047</t>
  </si>
  <si>
    <t>C01701048</t>
  </si>
  <si>
    <t>C01701049</t>
  </si>
  <si>
    <t>Reserva Estatutaria [miembro]</t>
  </si>
  <si>
    <t>C01701050</t>
  </si>
  <si>
    <t>C01701051</t>
  </si>
  <si>
    <t>C01701052</t>
  </si>
  <si>
    <t>C01701053</t>
  </si>
  <si>
    <t>C01701054</t>
  </si>
  <si>
    <t>C01701055</t>
  </si>
  <si>
    <t>C01701056</t>
  </si>
  <si>
    <t>C01701057</t>
  </si>
  <si>
    <t>Reserva Ocasional [miembro]</t>
  </si>
  <si>
    <t>C01701058</t>
  </si>
  <si>
    <t>C01701059</t>
  </si>
  <si>
    <t>C01701060</t>
  </si>
  <si>
    <t>C01701061</t>
  </si>
  <si>
    <t>C01701062</t>
  </si>
  <si>
    <t>C01701063</t>
  </si>
  <si>
    <t>C01701064</t>
  </si>
  <si>
    <t>C01701065</t>
  </si>
  <si>
    <t>Reserva Fondo de Garantía [miembro]</t>
  </si>
  <si>
    <t>C01701066</t>
  </si>
  <si>
    <t>C01701067</t>
  </si>
  <si>
    <t>C01701068</t>
  </si>
  <si>
    <t>C01701069</t>
  </si>
  <si>
    <t>C01701070</t>
  </si>
  <si>
    <t>C01701071</t>
  </si>
  <si>
    <t>C01701072</t>
  </si>
  <si>
    <t>C01701073</t>
  </si>
  <si>
    <t>Otras reservas [miembro]</t>
  </si>
  <si>
    <t>C01701074</t>
  </si>
  <si>
    <t>C01701075</t>
  </si>
  <si>
    <t>C01701076</t>
  </si>
  <si>
    <t>C01701077</t>
  </si>
  <si>
    <t>C01701078</t>
  </si>
  <si>
    <t>C01701079</t>
  </si>
  <si>
    <t>C01701080</t>
  </si>
  <si>
    <t>C01701081</t>
  </si>
  <si>
    <t>Reservas [miembro]</t>
  </si>
  <si>
    <t>C01701082</t>
  </si>
  <si>
    <t>C01701083</t>
  </si>
  <si>
    <t>C01701084</t>
  </si>
  <si>
    <t>C01701085</t>
  </si>
  <si>
    <t>C01701086</t>
  </si>
  <si>
    <t>C01701087</t>
  </si>
  <si>
    <t>C01701088</t>
  </si>
  <si>
    <t>C01701089</t>
  </si>
  <si>
    <t>Otras participaciones en el patrimonio [miembro]</t>
  </si>
  <si>
    <t>C01701090</t>
  </si>
  <si>
    <t>C01701091</t>
  </si>
  <si>
    <t>C01701092</t>
  </si>
  <si>
    <t>C01701093</t>
  </si>
  <si>
    <t>C01701094</t>
  </si>
  <si>
    <t>C01701095</t>
  </si>
  <si>
    <t>C01701096</t>
  </si>
  <si>
    <t>C01701097</t>
  </si>
  <si>
    <t>Ganancias acumuladas [miembro]</t>
  </si>
  <si>
    <t>C01701098</t>
  </si>
  <si>
    <t>C01701099</t>
  </si>
  <si>
    <t>C01701100</t>
  </si>
  <si>
    <t>C01701101</t>
  </si>
  <si>
    <t>C01701102</t>
  </si>
  <si>
    <t>C01701103</t>
  </si>
  <si>
    <t>C01701104</t>
  </si>
  <si>
    <t>C01701105</t>
  </si>
  <si>
    <t>Patrimonio atribuible a los propietarios de la controladora [miembro]</t>
  </si>
  <si>
    <t>C01701106</t>
  </si>
  <si>
    <t>C01701107</t>
  </si>
  <si>
    <t>C01701108</t>
  </si>
  <si>
    <t>C01701109</t>
  </si>
  <si>
    <t>C01701110</t>
  </si>
  <si>
    <t>C01701111</t>
  </si>
  <si>
    <t>C01701112</t>
  </si>
  <si>
    <t>C01701113</t>
  </si>
  <si>
    <t>Participaciones no controladoras [miembro]</t>
  </si>
  <si>
    <t>C01701114</t>
  </si>
  <si>
    <t>C01701115</t>
  </si>
  <si>
    <t>C01701116</t>
  </si>
  <si>
    <t>C01701117</t>
  </si>
  <si>
    <t>C01701118</t>
  </si>
  <si>
    <t>C01701119</t>
  </si>
  <si>
    <t>C01701120</t>
  </si>
  <si>
    <t>C01802001</t>
  </si>
  <si>
    <t>Partidas reclasificadas [miembro]</t>
  </si>
  <si>
    <t>C01804001</t>
  </si>
  <si>
    <t>Bandas de tiempo acumuladas [miembro]</t>
  </si>
  <si>
    <t>C01804002</t>
  </si>
  <si>
    <t>Hasta un año [miembro]</t>
  </si>
  <si>
    <t>C01804003</t>
  </si>
  <si>
    <t>Más de un año [miembro]</t>
  </si>
  <si>
    <t>C01804004</t>
  </si>
  <si>
    <t>C01806001</t>
  </si>
  <si>
    <t>Activos y pasivos [miembro]</t>
  </si>
  <si>
    <t>C01807001</t>
  </si>
  <si>
    <t>Requerimientos de capital [miembro]</t>
  </si>
  <si>
    <t>C01809001</t>
  </si>
  <si>
    <t>C01809002</t>
  </si>
  <si>
    <t>C01809003</t>
  </si>
  <si>
    <t>C01809004</t>
  </si>
  <si>
    <t>C02100000</t>
  </si>
  <si>
    <t>C02802001</t>
  </si>
  <si>
    <t>NIIF aplicadas inicialmente [miembro]</t>
  </si>
  <si>
    <t>C02804001</t>
  </si>
  <si>
    <t>Cambios voluntarios en políticas contables [miembro]</t>
  </si>
  <si>
    <t>C02806001</t>
  </si>
  <si>
    <t>NIIF nuevas [miembro]</t>
  </si>
  <si>
    <t>C02808001</t>
  </si>
  <si>
    <t>Estimaciones contables [miembro]</t>
  </si>
  <si>
    <t>C02900000</t>
  </si>
  <si>
    <t>C02902001</t>
  </si>
  <si>
    <t>Hechos ocurridos después del periodo sobre el que se informa que no implican ajuste [miembro]</t>
  </si>
  <si>
    <t>C02902002</t>
  </si>
  <si>
    <t>Combinación de negocios importante [miembro]</t>
  </si>
  <si>
    <t>C02902003</t>
  </si>
  <si>
    <t>Disposición de una subsidiaria importante [miembro]</t>
  </si>
  <si>
    <t>C02902004</t>
  </si>
  <si>
    <t>Anuncio de un plan para discontinuar operaciones [miembro]</t>
  </si>
  <si>
    <t>C02902005</t>
  </si>
  <si>
    <t>Compras importantes de activos [miembro]</t>
  </si>
  <si>
    <t>C02902006</t>
  </si>
  <si>
    <t>Clasificación de activos como mantenidos para la venta [miembro]</t>
  </si>
  <si>
    <t>C02902007</t>
  </si>
  <si>
    <t>Otras disposiciones de activos [miembro]</t>
  </si>
  <si>
    <t>C02902008</t>
  </si>
  <si>
    <t>Expropiación de activos importantes por parte del gobierno [miembro]</t>
  </si>
  <si>
    <t>C02902009</t>
  </si>
  <si>
    <t>Destrucción de una planta importante de producción [miembro]</t>
  </si>
  <si>
    <t>C02902010</t>
  </si>
  <si>
    <t>Anuncio, o comienzo de la ejecución de una reestructuración importante [miembro]</t>
  </si>
  <si>
    <t>C02902011</t>
  </si>
  <si>
    <t>Transacciones con acciones ordinarias importantes [miembro]</t>
  </si>
  <si>
    <t>C02902012</t>
  </si>
  <si>
    <t>Transacciones con acciones ordinarias potenciales [miembro]</t>
  </si>
  <si>
    <t>C02902013</t>
  </si>
  <si>
    <t>Variaciones anormalmente grandes en los precios de los activos o en las tasas de cambio de alguna moneda extranjera [miembro]</t>
  </si>
  <si>
    <t>C02902014</t>
  </si>
  <si>
    <t>Variaciones en las tasas impositivas o en las leyes fiscales, aprobadas o anunciadas [miembro]</t>
  </si>
  <si>
    <t>C02902015</t>
  </si>
  <si>
    <t>Aceptación de compromisos significativos o pasivos contingentes [miembro]</t>
  </si>
  <si>
    <t>C02902016</t>
  </si>
  <si>
    <t>Inicio de litigios importantes [miembro]</t>
  </si>
  <si>
    <t>C02902017</t>
  </si>
  <si>
    <t>C02904001</t>
  </si>
  <si>
    <t>Hechos ocurridos después del periodo sobre el que se informa que implican ajuste [miembro]</t>
  </si>
  <si>
    <t>C02904002</t>
  </si>
  <si>
    <t>C02904003</t>
  </si>
  <si>
    <t>C02904004</t>
  </si>
  <si>
    <t>C02904005</t>
  </si>
  <si>
    <t>C02904006</t>
  </si>
  <si>
    <t>C02904007</t>
  </si>
  <si>
    <t>C02904008</t>
  </si>
  <si>
    <t>C02904009</t>
  </si>
  <si>
    <t>C02904010</t>
  </si>
  <si>
    <t>C02904011</t>
  </si>
  <si>
    <t>C02904012</t>
  </si>
  <si>
    <t>C02904013</t>
  </si>
  <si>
    <t>C02904014</t>
  </si>
  <si>
    <t>C02904015</t>
  </si>
  <si>
    <t>C02904016</t>
  </si>
  <si>
    <t>C02904017</t>
  </si>
  <si>
    <t>C03002001</t>
  </si>
  <si>
    <t>Total de la entidad por combinaciones de negocios [miembro]</t>
  </si>
  <si>
    <t>C03002002</t>
  </si>
  <si>
    <t>Suma de combinaciones de negocios individualmente no significativas [miembro]</t>
  </si>
  <si>
    <t>C03002003</t>
  </si>
  <si>
    <t>Combinaciones de negocios [miembro]</t>
  </si>
  <si>
    <t>C03002004</t>
  </si>
  <si>
    <t>C03003001</t>
  </si>
  <si>
    <t>C03003002</t>
  </si>
  <si>
    <t>C03003003</t>
  </si>
  <si>
    <t>C03003004</t>
  </si>
  <si>
    <t>C03004002</t>
  </si>
  <si>
    <t>C03004003</t>
  </si>
  <si>
    <t>Préstamos adquiridos en combinaciones de negocios [miembro]</t>
  </si>
  <si>
    <t>C03004004</t>
  </si>
  <si>
    <t>Arrendamientos financieros directos adquiridos en combinaciones de negocios [miembro]</t>
  </si>
  <si>
    <t>C03004005</t>
  </si>
  <si>
    <t>Clases de cuentas por cobrar adquiridas [miembro]</t>
  </si>
  <si>
    <t>C03004006</t>
  </si>
  <si>
    <t>C03004007</t>
  </si>
  <si>
    <t>C03004008</t>
  </si>
  <si>
    <t>C03004009</t>
  </si>
  <si>
    <t>C03004010</t>
  </si>
  <si>
    <t>C03004011</t>
  </si>
  <si>
    <t>C03004012</t>
  </si>
  <si>
    <t>C03004013</t>
  </si>
  <si>
    <t>C03005002</t>
  </si>
  <si>
    <t>C03005003</t>
  </si>
  <si>
    <t>Pasivo contingente derivado de garantía [miembro]</t>
  </si>
  <si>
    <t>C03005004</t>
  </si>
  <si>
    <t>Pasivo contingente por reestructuración [miembro]</t>
  </si>
  <si>
    <t>C03005005</t>
  </si>
  <si>
    <t>Pasivos contingentes por procesos legales [miembro]</t>
  </si>
  <si>
    <t>C03005006</t>
  </si>
  <si>
    <t>Pasivos contingentes por contratos onerosos [miembro]</t>
  </si>
  <si>
    <t>C03005007</t>
  </si>
  <si>
    <t>Pasivos contingentes por costos de retiro del servicio, restauración y rehabilitación [miembro]</t>
  </si>
  <si>
    <t>C03005008</t>
  </si>
  <si>
    <t>Pasivos contingentes relacionados con negocios conjuntos [miembro]</t>
  </si>
  <si>
    <t>C03005009</t>
  </si>
  <si>
    <t>Participación en pasivos contingentes de asociadas [miembro]</t>
  </si>
  <si>
    <t>C03005010</t>
  </si>
  <si>
    <t>Otros pasivos contingentes [miembro]</t>
  </si>
  <si>
    <t>C03005011</t>
  </si>
  <si>
    <t>Pasivos contingentes [miembro]</t>
  </si>
  <si>
    <t>C03005012</t>
  </si>
  <si>
    <t>C03005013</t>
  </si>
  <si>
    <t>C03005014</t>
  </si>
  <si>
    <t>C03005015</t>
  </si>
  <si>
    <t>C03005016</t>
  </si>
  <si>
    <t>C03005017</t>
  </si>
  <si>
    <t>Pasivos contingentes por costos de retiro del servicio, rest</t>
  </si>
  <si>
    <t>C03005018</t>
  </si>
  <si>
    <t>Pasivos contingentes relacionados con negocios conjuntos [mi</t>
  </si>
  <si>
    <t>C03005019</t>
  </si>
  <si>
    <t>C03005020</t>
  </si>
  <si>
    <t>C03005021</t>
  </si>
  <si>
    <t>C03005022</t>
  </si>
  <si>
    <t>C03005023</t>
  </si>
  <si>
    <t>C03005024</t>
  </si>
  <si>
    <t>C03005025</t>
  </si>
  <si>
    <t>C03005026</t>
  </si>
  <si>
    <t>C03005027</t>
  </si>
  <si>
    <t>C03005028</t>
  </si>
  <si>
    <t>C03005029</t>
  </si>
  <si>
    <t>C03005030</t>
  </si>
  <si>
    <t>C03005031</t>
  </si>
  <si>
    <t>C03006002</t>
  </si>
  <si>
    <t>C03006003</t>
  </si>
  <si>
    <t>Importe en libros en términos brutos [miembro]</t>
  </si>
  <si>
    <t>C03006004</t>
  </si>
  <si>
    <t>Depreciación acumulada, amortización y deterioro de valor [miembro]</t>
  </si>
  <si>
    <t>C03006005</t>
  </si>
  <si>
    <t>Importe en libros [miembro]</t>
  </si>
  <si>
    <t>C03006006</t>
  </si>
  <si>
    <t>C03006007</t>
  </si>
  <si>
    <t>C03006008</t>
  </si>
  <si>
    <t>C03006009</t>
  </si>
  <si>
    <t>C03006010</t>
  </si>
  <si>
    <t>C03006011</t>
  </si>
  <si>
    <t>C03006012</t>
  </si>
  <si>
    <t>C03006013</t>
  </si>
  <si>
    <t>C03102002</t>
  </si>
  <si>
    <t>Controladora [miembro]</t>
  </si>
  <si>
    <t>C03102003</t>
  </si>
  <si>
    <t>Entidades con control conjunto o influencia significativa sobre la entidad [miembro]</t>
  </si>
  <si>
    <t>C03102004</t>
  </si>
  <si>
    <t>C03102005</t>
  </si>
  <si>
    <t>C03102006</t>
  </si>
  <si>
    <t>Negocios conjuntos en los que la entidad es partícipe [miembro]</t>
  </si>
  <si>
    <t>C03102007</t>
  </si>
  <si>
    <t>Personal clave de la gerencia de la entidad o de la controladora, Representantes Legales y/o Administradores [miembro]</t>
  </si>
  <si>
    <t>C03102008</t>
  </si>
  <si>
    <t>Accionistas que sean beneficiarios reales del 10% o mas del total de acciones en circulación [miembro]</t>
  </si>
  <si>
    <t>C03102009</t>
  </si>
  <si>
    <t>Miembros de Junta Directiva (principales y suplentes) [miembro]</t>
  </si>
  <si>
    <t>C03102010</t>
  </si>
  <si>
    <t>Sociedades en donde los accionistas que sean beneficiarios reales del 10% o mas del total de acciones en circulación, miembros de JD, RL y/o administradores tengan participación directa e indirecta igual o superior al 10% de las acciones en circulación [miembro]</t>
  </si>
  <si>
    <t>C03102011</t>
  </si>
  <si>
    <t>Otras partes relacionadas [miembro]</t>
  </si>
  <si>
    <t>C03102012</t>
  </si>
  <si>
    <t>Partes relacionadas [miembro]</t>
  </si>
  <si>
    <t>C03102013</t>
  </si>
  <si>
    <t>Total de la entidad por partes relacionadas [miembro]</t>
  </si>
  <si>
    <t>C03202001</t>
  </si>
  <si>
    <t>Propiedades, planta y equipo [miembro]</t>
  </si>
  <si>
    <t>C03202003</t>
  </si>
  <si>
    <t>C03202004</t>
  </si>
  <si>
    <t>C03202005</t>
  </si>
  <si>
    <t>C03202006</t>
  </si>
  <si>
    <t>Terrenos [miembro]</t>
  </si>
  <si>
    <t>C03202007</t>
  </si>
  <si>
    <t>C03202008</t>
  </si>
  <si>
    <t>C03202009</t>
  </si>
  <si>
    <t>C03202010</t>
  </si>
  <si>
    <t>Edificios [miembro]</t>
  </si>
  <si>
    <t>C03202011</t>
  </si>
  <si>
    <t>C03202013</t>
  </si>
  <si>
    <t>C03202014</t>
  </si>
  <si>
    <t>C03202015</t>
  </si>
  <si>
    <t>Terrenos y construcciones [miembro]</t>
  </si>
  <si>
    <t>C03202016</t>
  </si>
  <si>
    <t>C03202017</t>
  </si>
  <si>
    <t>C03202018</t>
  </si>
  <si>
    <t>C03202019</t>
  </si>
  <si>
    <t>C03202020</t>
  </si>
  <si>
    <t>Maquinaria y Equipo de producción [miembro]</t>
  </si>
  <si>
    <t>C03202021</t>
  </si>
  <si>
    <t>C03202022</t>
  </si>
  <si>
    <t>C03202023</t>
  </si>
  <si>
    <t>C03202024</t>
  </si>
  <si>
    <t>C03202025</t>
  </si>
  <si>
    <t>Buques [miembro]</t>
  </si>
  <si>
    <t>C03202026</t>
  </si>
  <si>
    <t>C03202027</t>
  </si>
  <si>
    <t>C03202028</t>
  </si>
  <si>
    <t>C03202029</t>
  </si>
  <si>
    <t>Aeronave [miembro]</t>
  </si>
  <si>
    <t>C03202030</t>
  </si>
  <si>
    <t>C03202031</t>
  </si>
  <si>
    <t>C03202032</t>
  </si>
  <si>
    <t>C03202033</t>
  </si>
  <si>
    <t>Equipos de Transporte [miembro]</t>
  </si>
  <si>
    <t>C03202034</t>
  </si>
  <si>
    <t>C03202035</t>
  </si>
  <si>
    <t>C03202036</t>
  </si>
  <si>
    <t>C03202037</t>
  </si>
  <si>
    <t>Vehículos [miembro]</t>
  </si>
  <si>
    <t>C03202038</t>
  </si>
  <si>
    <t>C03202039</t>
  </si>
  <si>
    <t>C03202040</t>
  </si>
  <si>
    <t>C03202041</t>
  </si>
  <si>
    <t>C03202042</t>
  </si>
  <si>
    <t>Enseres y accesorios [miembro]</t>
  </si>
  <si>
    <t>C03202043</t>
  </si>
  <si>
    <t>C03202044</t>
  </si>
  <si>
    <t>C03202045</t>
  </si>
  <si>
    <t>C03202046</t>
  </si>
  <si>
    <t>C03202047</t>
  </si>
  <si>
    <t>Equipo de oficina [miembro]</t>
  </si>
  <si>
    <t>C03202048</t>
  </si>
  <si>
    <t>C03202049</t>
  </si>
  <si>
    <t>C03202050</t>
  </si>
  <si>
    <t>C03202051</t>
  </si>
  <si>
    <t>C03202052</t>
  </si>
  <si>
    <t>Equipos informáticos [miembro]</t>
  </si>
  <si>
    <t>C03202053</t>
  </si>
  <si>
    <t>C03202054</t>
  </si>
  <si>
    <t>C03202055</t>
  </si>
  <si>
    <t>C03202056</t>
  </si>
  <si>
    <t>C03202057</t>
  </si>
  <si>
    <t>Equipos de redes y comunicación [miembro]</t>
  </si>
  <si>
    <t>C03202058</t>
  </si>
  <si>
    <t>C03202059</t>
  </si>
  <si>
    <t>C03202060</t>
  </si>
  <si>
    <t>C03202061</t>
  </si>
  <si>
    <t>C03202062</t>
  </si>
  <si>
    <t>Activos tangibles de exploración y evaluación [miembro]</t>
  </si>
  <si>
    <t>C03202063</t>
  </si>
  <si>
    <t>C03202064</t>
  </si>
  <si>
    <t>C03202065</t>
  </si>
  <si>
    <t>C03202066</t>
  </si>
  <si>
    <t>C03202067</t>
  </si>
  <si>
    <t>Propiedades de minería [miembro]</t>
  </si>
  <si>
    <t>C03202068</t>
  </si>
  <si>
    <t>C03202069</t>
  </si>
  <si>
    <t>C03202070</t>
  </si>
  <si>
    <t>C03202071</t>
  </si>
  <si>
    <t>Activos de minería [miembro]</t>
  </si>
  <si>
    <t>C03202072</t>
  </si>
  <si>
    <t>C03202073</t>
  </si>
  <si>
    <t>C03202074</t>
  </si>
  <si>
    <t>C03202075</t>
  </si>
  <si>
    <t>C03202076</t>
  </si>
  <si>
    <t>Activos de petróleo y gas [miembro]</t>
  </si>
  <si>
    <t>C03202077</t>
  </si>
  <si>
    <t>C03202078</t>
  </si>
  <si>
    <t>C03202079</t>
  </si>
  <si>
    <t>C03202080</t>
  </si>
  <si>
    <t>C03202081</t>
  </si>
  <si>
    <t>Mejoras de derechos de arrendamiento [miembro]</t>
  </si>
  <si>
    <t>C03202082</t>
  </si>
  <si>
    <t>C03202083</t>
  </si>
  <si>
    <t>C03202084</t>
  </si>
  <si>
    <t>C03202085</t>
  </si>
  <si>
    <t>C03202086</t>
  </si>
  <si>
    <t>Propiedades, planta y equipo en arrendamiento operativo [miembro]</t>
  </si>
  <si>
    <t>C03202087</t>
  </si>
  <si>
    <t>C03202088</t>
  </si>
  <si>
    <t>C03202089</t>
  </si>
  <si>
    <t>C03202090</t>
  </si>
  <si>
    <t>C03202091</t>
  </si>
  <si>
    <t>Construcciones en proceso [miembro]</t>
  </si>
  <si>
    <t>C03202092</t>
  </si>
  <si>
    <t>C03202093</t>
  </si>
  <si>
    <t>C03202094</t>
  </si>
  <si>
    <t>C03202095</t>
  </si>
  <si>
    <t>C03202096</t>
  </si>
  <si>
    <t>Otras propiedades, planta y equipo [miembro]</t>
  </si>
  <si>
    <t>C03202097</t>
  </si>
  <si>
    <t>C03202098</t>
  </si>
  <si>
    <t>C03202099</t>
  </si>
  <si>
    <t>C03202100</t>
  </si>
  <si>
    <t>C03202101</t>
  </si>
  <si>
    <t>C03401001</t>
  </si>
  <si>
    <t>Cartera de Consumo [miembro]</t>
  </si>
  <si>
    <t>C03401002</t>
  </si>
  <si>
    <t>C03401003</t>
  </si>
  <si>
    <t>Cartera Comercial [miembro]</t>
  </si>
  <si>
    <t>C03401004</t>
  </si>
  <si>
    <t>Cartera de Vivienda [miembro]</t>
  </si>
  <si>
    <t>C03401005</t>
  </si>
  <si>
    <t>Cartera de Microcrédito [miembro]</t>
  </si>
  <si>
    <t>C03401006</t>
  </si>
  <si>
    <t>Activos financieros al costo amortizado, clase [miembro]</t>
  </si>
  <si>
    <t>C03401007</t>
  </si>
  <si>
    <t>C03401008</t>
  </si>
  <si>
    <t>Títulos de Deuda [miembro]</t>
  </si>
  <si>
    <t>C03401009</t>
  </si>
  <si>
    <t>Contratos de Opciones [miembro]</t>
  </si>
  <si>
    <t>C03401010</t>
  </si>
  <si>
    <t>Contratos de futuros [miembro]</t>
  </si>
  <si>
    <t>C03401011</t>
  </si>
  <si>
    <t>Contratos de Swaps [miembro]</t>
  </si>
  <si>
    <t>C03401012</t>
  </si>
  <si>
    <t>Contratos Forwards [miembro]</t>
  </si>
  <si>
    <t>C03401013</t>
  </si>
  <si>
    <t>Derivados [miembro]</t>
  </si>
  <si>
    <t>C03401014</t>
  </si>
  <si>
    <t>C03401015</t>
  </si>
  <si>
    <t>Instrumentos de Patrimonio [miembro]</t>
  </si>
  <si>
    <t>C03401016</t>
  </si>
  <si>
    <t>Activos financieros al valor razonable, clase [miembro]</t>
  </si>
  <si>
    <t>C03401017</t>
  </si>
  <si>
    <t>C03401018</t>
  </si>
  <si>
    <t>Activos financieros que quedan fuera del alcance de la NIIF 7, clase [miembro]</t>
  </si>
  <si>
    <t>C03401019</t>
  </si>
  <si>
    <t>Activos financieros, clase [miembro]</t>
  </si>
  <si>
    <t>C03401020</t>
  </si>
  <si>
    <t>C03402002</t>
  </si>
  <si>
    <t>Activos financieros al valor razonable con cambios en resultados, categoría [miembro]</t>
  </si>
  <si>
    <t>C03402003</t>
  </si>
  <si>
    <t>Activos financieros disponibles para la venta, categoría [miembro]</t>
  </si>
  <si>
    <t>C03402004</t>
  </si>
  <si>
    <t>Inversiones mantenidas hasta el vencimiento, categoría [miembro]</t>
  </si>
  <si>
    <t>C03402005</t>
  </si>
  <si>
    <t>Préstamos y cuentas por cobrar, categoría [miembro]</t>
  </si>
  <si>
    <t>C03402006</t>
  </si>
  <si>
    <t>Activos financieros al costo amortizado, categoría [miembro]</t>
  </si>
  <si>
    <t>C03402007</t>
  </si>
  <si>
    <t>Activos financieros al valor razonable con cambios en otro resultado integral, categoría [miembro]</t>
  </si>
  <si>
    <t>C03402008</t>
  </si>
  <si>
    <t>Activos financieros, categoría [miembro]</t>
  </si>
  <si>
    <t>C03402009</t>
  </si>
  <si>
    <t>C03403001</t>
  </si>
  <si>
    <t>C03501002</t>
  </si>
  <si>
    <t>Pasivos financieros al costo amortizado, clase [miembro]</t>
  </si>
  <si>
    <t>C03501003</t>
  </si>
  <si>
    <t>Pasivos financieros al valor razonable, clase [miembro]</t>
  </si>
  <si>
    <t>C03501004</t>
  </si>
  <si>
    <t>Pasivos financieros que quedan fuera del alcance de la NIIF 7, clase [miembro]</t>
  </si>
  <si>
    <t>C03501005</t>
  </si>
  <si>
    <t>Pasivos financieros, clase [miembro]</t>
  </si>
  <si>
    <t>C03600000</t>
  </si>
  <si>
    <t>C03602001</t>
  </si>
  <si>
    <t>Activos financieros transferidos que no se dan de baja en cuentas en su totalidad [miembro]</t>
  </si>
  <si>
    <t>C03700000</t>
  </si>
  <si>
    <t>'[822390-5] Notas - Instrumentos financieros: Información a revelar sobre activos financieros en mora o deteriorados</t>
  </si>
  <si>
    <t>C03701002</t>
  </si>
  <si>
    <t>C03701003</t>
  </si>
  <si>
    <t>C03701004</t>
  </si>
  <si>
    <t>C03701005</t>
  </si>
  <si>
    <t>Cartera de Microcredito [miembro]</t>
  </si>
  <si>
    <t>C03701006</t>
  </si>
  <si>
    <t>Préstamos y cuentas por cobrar [miembro]</t>
  </si>
  <si>
    <t>C03701007</t>
  </si>
  <si>
    <t>Otros activos financieros al costo amortizado [miembro]</t>
  </si>
  <si>
    <t>C03701008</t>
  </si>
  <si>
    <t>C03701009</t>
  </si>
  <si>
    <t>C03701010</t>
  </si>
  <si>
    <t>C03701011</t>
  </si>
  <si>
    <t>C03701012</t>
  </si>
  <si>
    <t>C03701013</t>
  </si>
  <si>
    <t>C03701014</t>
  </si>
  <si>
    <t>C03701015</t>
  </si>
  <si>
    <t>C03701016</t>
  </si>
  <si>
    <t>C03701017</t>
  </si>
  <si>
    <t>C03701018</t>
  </si>
  <si>
    <t>C03701019</t>
  </si>
  <si>
    <t>C03701020</t>
  </si>
  <si>
    <t>C03701021</t>
  </si>
  <si>
    <t>C03701022</t>
  </si>
  <si>
    <t>C03702002</t>
  </si>
  <si>
    <t>Hasta un mes [miembro]</t>
  </si>
  <si>
    <t>C03702003</t>
  </si>
  <si>
    <t>Más de un mes y no más de tres meses [miembro]</t>
  </si>
  <si>
    <t>C03702004</t>
  </si>
  <si>
    <t>Hasta tres meses [miembro]</t>
  </si>
  <si>
    <t>C03702005</t>
  </si>
  <si>
    <t>C03702006</t>
  </si>
  <si>
    <t>Más de tres meses y no más de seis meses [miembro]</t>
  </si>
  <si>
    <t>C03702007</t>
  </si>
  <si>
    <t>Más de seis meses y no más de un año [miembro]</t>
  </si>
  <si>
    <t>C03702008</t>
  </si>
  <si>
    <t>Más de tres meses y no más de un año [miembro]</t>
  </si>
  <si>
    <t>C03702009</t>
  </si>
  <si>
    <t>C03702010</t>
  </si>
  <si>
    <t>Entre uno y tres años [miembro]</t>
  </si>
  <si>
    <t>C03702011</t>
  </si>
  <si>
    <t>Más de tres años y no más de cinco años [miembro]</t>
  </si>
  <si>
    <t>C03702012</t>
  </si>
  <si>
    <t>Entre uno y cinco años [miembro]</t>
  </si>
  <si>
    <t>C03702013</t>
  </si>
  <si>
    <t>C03702014</t>
  </si>
  <si>
    <t>Más de cinco años [miembro]</t>
  </si>
  <si>
    <t>C03702015</t>
  </si>
  <si>
    <t>C03702016</t>
  </si>
  <si>
    <t>C03702017</t>
  </si>
  <si>
    <t>C03702018</t>
  </si>
  <si>
    <t>C03703001</t>
  </si>
  <si>
    <t>C03703002</t>
  </si>
  <si>
    <t>C03703003</t>
  </si>
  <si>
    <t>Depreciación acumulada Amortización y deterioro de valor [miembro]</t>
  </si>
  <si>
    <t>C03703004</t>
  </si>
  <si>
    <t>C03704002</t>
  </si>
  <si>
    <t>Activos financieros que ni están en mora ni deteriorados de valor [miembro]</t>
  </si>
  <si>
    <t>C03704003</t>
  </si>
  <si>
    <t>Activos financieros en mora pero no deteriorados de valor [miembro]</t>
  </si>
  <si>
    <t>C03704004</t>
  </si>
  <si>
    <t>Activos financieros evaluados de forma individual por pérdidas crediticias [miembro]</t>
  </si>
  <si>
    <t>C03704005</t>
  </si>
  <si>
    <t>Activos financieros evaluados de forma conjunta por pérdidas crediticias [miembro]</t>
  </si>
  <si>
    <t>C03704006</t>
  </si>
  <si>
    <t>Activos financieros deteriorados de valor [miembro]</t>
  </si>
  <si>
    <t>C03704007</t>
  </si>
  <si>
    <t>C03704008</t>
  </si>
  <si>
    <t>Total de la entidad por deterioro del valor de activos financieros [miembro]</t>
  </si>
  <si>
    <t>C03704009</t>
  </si>
  <si>
    <t>C03801002</t>
  </si>
  <si>
    <t>Coberturas del valor razonable [miembro]</t>
  </si>
  <si>
    <t>C03801003</t>
  </si>
  <si>
    <t>Coberturas del flujo de efectivo [miembro]</t>
  </si>
  <si>
    <t>C03801004</t>
  </si>
  <si>
    <t>Coberturas de inversiones netas en negocios en el extranjero [miembro]</t>
  </si>
  <si>
    <t>C03801005</t>
  </si>
  <si>
    <t>Coberturas [miembro]</t>
  </si>
  <si>
    <t>C03802001</t>
  </si>
  <si>
    <t>C03802002</t>
  </si>
  <si>
    <t>C03802003</t>
  </si>
  <si>
    <t>C03802004</t>
  </si>
  <si>
    <t>C03802005</t>
  </si>
  <si>
    <t>C03802006</t>
  </si>
  <si>
    <t>C03901001</t>
  </si>
  <si>
    <t>Riesgos [miembro]</t>
  </si>
  <si>
    <t>C03901002</t>
  </si>
  <si>
    <t>Riesgo de crédito [miembro]</t>
  </si>
  <si>
    <t>C03901003</t>
  </si>
  <si>
    <t>Riesgo de liquidez [miembro]</t>
  </si>
  <si>
    <t>C03901004</t>
  </si>
  <si>
    <t>Riesgo de tasa de cambio [miembro]</t>
  </si>
  <si>
    <t>C03901005</t>
  </si>
  <si>
    <t>Riesgo de tasa de interés [miembro]</t>
  </si>
  <si>
    <t>C03901006</t>
  </si>
  <si>
    <t>Riesgo de precio de patrimonio [miembro]</t>
  </si>
  <si>
    <t>C03901007</t>
  </si>
  <si>
    <t>Riesgo de precio de materia prima cotizada [miembro]</t>
  </si>
  <si>
    <t>C03901008</t>
  </si>
  <si>
    <t>Riesgo de pagos anticipados [miembro]</t>
  </si>
  <si>
    <t>C03901009</t>
  </si>
  <si>
    <t>Riesgo de valor residual [miembro]</t>
  </si>
  <si>
    <t>C03901010</t>
  </si>
  <si>
    <t>Otro riesgo de precio [miembro]</t>
  </si>
  <si>
    <t>C03901011</t>
  </si>
  <si>
    <t>C03901012</t>
  </si>
  <si>
    <t>Riesgo de mercado [miembro]</t>
  </si>
  <si>
    <t>C03901013</t>
  </si>
  <si>
    <t>C03901014</t>
  </si>
  <si>
    <t>Efecto de la diversificación del riesgo [miembro]</t>
  </si>
  <si>
    <t>C03901015</t>
  </si>
  <si>
    <t>C03902001</t>
  </si>
  <si>
    <t>C04000000</t>
  </si>
  <si>
    <t>C04020002</t>
  </si>
  <si>
    <t>Descuentos de cuentas por cobrar [miembro]</t>
  </si>
  <si>
    <t>C04020003</t>
  </si>
  <si>
    <t>Titularizaciones [miembro]</t>
  </si>
  <si>
    <t>C04020004</t>
  </si>
  <si>
    <t>Tipos de transferencia [miembro]</t>
  </si>
  <si>
    <t>C04020005</t>
  </si>
  <si>
    <t>C04100000</t>
  </si>
  <si>
    <t>C04101001</t>
  </si>
  <si>
    <t>Información a revelar sobre el análisis de vencimientos de pasivos financieros que no son derivado</t>
  </si>
  <si>
    <t>C04102001</t>
  </si>
  <si>
    <t>C04102002</t>
  </si>
  <si>
    <t>C04102003</t>
  </si>
  <si>
    <t>C04102004</t>
  </si>
  <si>
    <t>C04102005</t>
  </si>
  <si>
    <t>C04102006</t>
  </si>
  <si>
    <t>C04102007</t>
  </si>
  <si>
    <t>C04102008</t>
  </si>
  <si>
    <t>C04102009</t>
  </si>
  <si>
    <t>C04102010</t>
  </si>
  <si>
    <t>C04102010DU</t>
  </si>
  <si>
    <t>C04102010DU1</t>
  </si>
  <si>
    <t>C04102010DU2</t>
  </si>
  <si>
    <t>C04102010DU3</t>
  </si>
  <si>
    <t>C04102011</t>
  </si>
  <si>
    <t>C04102012</t>
  </si>
  <si>
    <t>C04102013</t>
  </si>
  <si>
    <t>C04102014</t>
  </si>
  <si>
    <t>C04102015</t>
  </si>
  <si>
    <t>C04102016</t>
  </si>
  <si>
    <t>C04102017</t>
  </si>
  <si>
    <t>C04200000</t>
  </si>
  <si>
    <t>C04202002</t>
  </si>
  <si>
    <t>C04202003</t>
  </si>
  <si>
    <t>C04202004</t>
  </si>
  <si>
    <t>C04202006</t>
  </si>
  <si>
    <t>C04202007</t>
  </si>
  <si>
    <t>C04202008</t>
  </si>
  <si>
    <t>C04202009</t>
  </si>
  <si>
    <t>C04202011</t>
  </si>
  <si>
    <t>C04202012</t>
  </si>
  <si>
    <t>C04300000</t>
  </si>
  <si>
    <t>C04302001</t>
  </si>
  <si>
    <t>C04302002</t>
  </si>
  <si>
    <t>C04302003</t>
  </si>
  <si>
    <t>C04302004</t>
  </si>
  <si>
    <t>C04302005</t>
  </si>
  <si>
    <t>C04302006</t>
  </si>
  <si>
    <t>C04302007</t>
  </si>
  <si>
    <t>C04302008</t>
  </si>
  <si>
    <t>C04302009</t>
  </si>
  <si>
    <t>C04302010</t>
  </si>
  <si>
    <t>C04302011</t>
  </si>
  <si>
    <t>C04302012</t>
  </si>
  <si>
    <t>C04400000</t>
  </si>
  <si>
    <t>C04402001</t>
  </si>
  <si>
    <t>Graduación crediticia interna [miembro]</t>
  </si>
  <si>
    <t>C04402002</t>
  </si>
  <si>
    <t>Total de la entidad por categorías de crédito interno [miembro]</t>
  </si>
  <si>
    <t>C04402003</t>
  </si>
  <si>
    <t>Total de la entidad por categorías de crédito interno [miemb</t>
  </si>
  <si>
    <t>C04402004</t>
  </si>
  <si>
    <t>C04403001</t>
  </si>
  <si>
    <t>C04403002</t>
  </si>
  <si>
    <t>C04403003</t>
  </si>
  <si>
    <t>C04403004</t>
  </si>
  <si>
    <t>C04403005</t>
  </si>
  <si>
    <t>C04403006</t>
  </si>
  <si>
    <t>C04403008</t>
  </si>
  <si>
    <t>C04403009</t>
  </si>
  <si>
    <t>C04403010</t>
  </si>
  <si>
    <t>C04403011</t>
  </si>
  <si>
    <t>C04403012</t>
  </si>
  <si>
    <t>C04403013</t>
  </si>
  <si>
    <t>C04403015</t>
  </si>
  <si>
    <t>C04403016</t>
  </si>
  <si>
    <t>C04403018</t>
  </si>
  <si>
    <t>C04403019</t>
  </si>
  <si>
    <t>C04502002</t>
  </si>
  <si>
    <t>Contrapartes individualmente no significativas [miembro]</t>
  </si>
  <si>
    <t>C04502003</t>
  </si>
  <si>
    <t>Contrapartes [miembro]</t>
  </si>
  <si>
    <t>C04502004</t>
  </si>
  <si>
    <t>Activos financieros, tipo [miembro]</t>
  </si>
  <si>
    <t>C04602002</t>
  </si>
  <si>
    <t>C04602003</t>
  </si>
  <si>
    <t>C04602004</t>
  </si>
  <si>
    <t>Pasivos financieros, tipo [miembro]</t>
  </si>
  <si>
    <t>C04700000</t>
  </si>
  <si>
    <t>C04701002</t>
  </si>
  <si>
    <t>C04702001</t>
  </si>
  <si>
    <t>Tasa de interés variable [miembro]</t>
  </si>
  <si>
    <t>C04702001DU</t>
  </si>
  <si>
    <t>C04702001DU1</t>
  </si>
  <si>
    <t>C04702002</t>
  </si>
  <si>
    <t>Tasa de interés fija [miembro]</t>
  </si>
  <si>
    <t>C04702003</t>
  </si>
  <si>
    <t>Tipos de tasa de interés [miembro]</t>
  </si>
  <si>
    <t>C04702004</t>
  </si>
  <si>
    <t>C04800000</t>
  </si>
  <si>
    <t>[822390-18] Información a revelar sobre reclasificación de inversiones durante el período</t>
  </si>
  <si>
    <t>C04801002</t>
  </si>
  <si>
    <t>Instrumentos de Deuda [miembro]</t>
  </si>
  <si>
    <t>C04801003</t>
  </si>
  <si>
    <t>C04801004</t>
  </si>
  <si>
    <t>Tipo de instrumentos [miembro]</t>
  </si>
  <si>
    <t>C04801005</t>
  </si>
  <si>
    <t>C04802001</t>
  </si>
  <si>
    <t>Información a revelar</t>
  </si>
  <si>
    <t>C04900000</t>
  </si>
  <si>
    <t>C05000000</t>
  </si>
  <si>
    <t>C05001001</t>
  </si>
  <si>
    <t>C05002002</t>
  </si>
  <si>
    <t>Consumo [miembro]</t>
  </si>
  <si>
    <t>C05002003</t>
  </si>
  <si>
    <t>Comercial [miembro]</t>
  </si>
  <si>
    <t>C05002004</t>
  </si>
  <si>
    <t>Vivienda [miembro]</t>
  </si>
  <si>
    <t>C05002005</t>
  </si>
  <si>
    <t>Microcrédito [miembro]</t>
  </si>
  <si>
    <t>C05002006</t>
  </si>
  <si>
    <t>Modalidades [miembro]</t>
  </si>
  <si>
    <t>C05002007</t>
  </si>
  <si>
    <t>C05004002</t>
  </si>
  <si>
    <t>Consumo - Garantía idónea [miembro]</t>
  </si>
  <si>
    <t>C05004003</t>
  </si>
  <si>
    <t>Consumo - Otras garantías [miembro]</t>
  </si>
  <si>
    <t>C05004004</t>
  </si>
  <si>
    <t>Cartera de consumo [miembro]</t>
  </si>
  <si>
    <t>C05004005</t>
  </si>
  <si>
    <t>C05004006</t>
  </si>
  <si>
    <t>Cartera comercial - Garantía idónea [miembro]</t>
  </si>
  <si>
    <t>C05004007</t>
  </si>
  <si>
    <t>Cartera comercial - Otras garantías [miembro]</t>
  </si>
  <si>
    <t>C05004008</t>
  </si>
  <si>
    <t>Cartera comercial [miembro]</t>
  </si>
  <si>
    <t>C05004009</t>
  </si>
  <si>
    <t>C05004010</t>
  </si>
  <si>
    <t>Microcrédito - Garantía Idónea [miembro]</t>
  </si>
  <si>
    <t>C05004011</t>
  </si>
  <si>
    <t>Microcrédito - Otras garantías [miembro]</t>
  </si>
  <si>
    <t>C05004012</t>
  </si>
  <si>
    <t>Cartera de microcrédito [miembro]</t>
  </si>
  <si>
    <t>C05004013</t>
  </si>
  <si>
    <t>C05004014</t>
  </si>
  <si>
    <t>Cartera de vivienda - Garantía Idónea [miembro]</t>
  </si>
  <si>
    <t>C05004015</t>
  </si>
  <si>
    <t>Modalidades por tipo de garantía [miembro]</t>
  </si>
  <si>
    <t>C05004016</t>
  </si>
  <si>
    <t>C05006002</t>
  </si>
  <si>
    <t>Agricultura, ganadería, silvicultura y pesca [miembro]</t>
  </si>
  <si>
    <t>C05006003</t>
  </si>
  <si>
    <t>Explotación de minas y canteras [miembro]</t>
  </si>
  <si>
    <t>C05006004</t>
  </si>
  <si>
    <t>Industrias manufactureras [miembro]</t>
  </si>
  <si>
    <t>C05006005</t>
  </si>
  <si>
    <t>Suministro de electricidad, gas, vapor y aire acondicionado [miembro]</t>
  </si>
  <si>
    <t>C05006007</t>
  </si>
  <si>
    <t>Construcción [miembro]</t>
  </si>
  <si>
    <t>C05006009</t>
  </si>
  <si>
    <t>Transporte y almacenamiento [miembro]</t>
  </si>
  <si>
    <t>C05006010</t>
  </si>
  <si>
    <t>Actividades de alojamiento y de servicio de comidas [miembro]</t>
  </si>
  <si>
    <t>C05006011</t>
  </si>
  <si>
    <t>Información y comunicaciones [miembro]</t>
  </si>
  <si>
    <t>C05006012</t>
  </si>
  <si>
    <t>Actividades financieras y de seguros [miembro]</t>
  </si>
  <si>
    <t>C05006013</t>
  </si>
  <si>
    <t>Actividades inmobiliarias [miembro]</t>
  </si>
  <si>
    <t>C05006014</t>
  </si>
  <si>
    <t>Actividades profesionales, científicas y técnicas [miembro]</t>
  </si>
  <si>
    <t>C05006015</t>
  </si>
  <si>
    <t>Actividades de servicios administrativos y de apoyo [miembro]</t>
  </si>
  <si>
    <t>C05006017</t>
  </si>
  <si>
    <t>Enseñanza [miembro]</t>
  </si>
  <si>
    <t>C05006018</t>
  </si>
  <si>
    <t>Actividades de atención de la salud humana y de asistencia social [miembro]</t>
  </si>
  <si>
    <t>C05006019</t>
  </si>
  <si>
    <t>Actividades artísticas, de entretenimiento y recreativas [miembro]</t>
  </si>
  <si>
    <t>C05006020</t>
  </si>
  <si>
    <t>Otras actividades de servicios [miembro]</t>
  </si>
  <si>
    <t>C05006022</t>
  </si>
  <si>
    <t>Actividades de organizaciones y órganos extraterritoriales [miembro]</t>
  </si>
  <si>
    <t>C05006023</t>
  </si>
  <si>
    <t>Asalariados: Personas naturales y sucesiones ilíquidas, cuyos ingresos provengan de la relación laboral, legal o reglamentaria o que tengan su origen en ella [miembro]</t>
  </si>
  <si>
    <t>C05006024</t>
  </si>
  <si>
    <t>Rentistas de Capital sólo para Personas Naturales: Personas naturales y sucesiones ilíquidas, cuyos ingresos provienen de intereses, descuentos, beneficios, ganancias, utilidades y en general, todo cuanto represente rendimiento de capital o diferencia entre el valor invertido o aportado, y el valor futuro y/o pagado o abonado al aportante o inversionista [miembro]</t>
  </si>
  <si>
    <t>C05006025</t>
  </si>
  <si>
    <t>Sectores económicos [miembro]</t>
  </si>
  <si>
    <t>C05006026</t>
  </si>
  <si>
    <t>C05008002</t>
  </si>
  <si>
    <t>Región Amazónica [miembro]</t>
  </si>
  <si>
    <t>C05008003</t>
  </si>
  <si>
    <t>Región Andina [miembro]</t>
  </si>
  <si>
    <t>C05008004</t>
  </si>
  <si>
    <t>Región Caribe [miembro]</t>
  </si>
  <si>
    <t>C05008005</t>
  </si>
  <si>
    <t>Región Insular [miembro]</t>
  </si>
  <si>
    <t>C05008006</t>
  </si>
  <si>
    <t>Región Orinoquía [miembro]</t>
  </si>
  <si>
    <t>C05008007</t>
  </si>
  <si>
    <t>Región Pacífica [miembro]</t>
  </si>
  <si>
    <t>C05008008</t>
  </si>
  <si>
    <t>Exterior [miembro]</t>
  </si>
  <si>
    <t>C05008009</t>
  </si>
  <si>
    <t>Zona Geográfica [miembro]</t>
  </si>
  <si>
    <t>C05008010</t>
  </si>
  <si>
    <t>C05010002</t>
  </si>
  <si>
    <t>C05010003</t>
  </si>
  <si>
    <t>C05010004</t>
  </si>
  <si>
    <t>C05010005</t>
  </si>
  <si>
    <t>C05010006</t>
  </si>
  <si>
    <t>C05010007</t>
  </si>
  <si>
    <t>C05012002</t>
  </si>
  <si>
    <t>Acuerdos de reestructuración Ley 550 de diciembre 30 de 1999 [miembro]</t>
  </si>
  <si>
    <t>C05012003</t>
  </si>
  <si>
    <t>Reestructuraciones Ley 617 de 2000 [miembro]</t>
  </si>
  <si>
    <t>C05012004</t>
  </si>
  <si>
    <t>Reestructuraciones Ley 1116 de 2006 [miembro]</t>
  </si>
  <si>
    <t>C05012005</t>
  </si>
  <si>
    <t>Reestructuraciones ordinarias [miembro]</t>
  </si>
  <si>
    <t>C05012006</t>
  </si>
  <si>
    <t>Acuerdos informales y extraconcordatarios [miembro]</t>
  </si>
  <si>
    <t>C05012007</t>
  </si>
  <si>
    <t>Procesos en trámite de concurso universal de acreedores [miembro]</t>
  </si>
  <si>
    <t>C05012008</t>
  </si>
  <si>
    <t>Otros tipos de reestructuración [miembro]</t>
  </si>
  <si>
    <t>C05012009</t>
  </si>
  <si>
    <t>Por tipo de Reestructuración [miembro]</t>
  </si>
  <si>
    <t>C05012010</t>
  </si>
  <si>
    <t>C05014002</t>
  </si>
  <si>
    <t>C05014003</t>
  </si>
  <si>
    <t>C05014004</t>
  </si>
  <si>
    <t>C05014005</t>
  </si>
  <si>
    <t>C05014006</t>
  </si>
  <si>
    <t>Comercial - Garantía idónea [miembro]</t>
  </si>
  <si>
    <t>C05014007</t>
  </si>
  <si>
    <t>Comercial - Otras garantías [miembro]</t>
  </si>
  <si>
    <t>C05014008</t>
  </si>
  <si>
    <t>C05014009</t>
  </si>
  <si>
    <t>C05014010</t>
  </si>
  <si>
    <t>C05014011</t>
  </si>
  <si>
    <t>C05014012</t>
  </si>
  <si>
    <t>C05014013</t>
  </si>
  <si>
    <t>C05014014</t>
  </si>
  <si>
    <t>Vivienda - Garantía Idónea [miembro]</t>
  </si>
  <si>
    <t>C05014015</t>
  </si>
  <si>
    <t>Modalidades de cartera y tipo de garantía [miembro]</t>
  </si>
  <si>
    <t>C05014016</t>
  </si>
  <si>
    <t>C05016002</t>
  </si>
  <si>
    <t>C05016003</t>
  </si>
  <si>
    <t>C05016004</t>
  </si>
  <si>
    <t>C05016005</t>
  </si>
  <si>
    <t>C05016007</t>
  </si>
  <si>
    <t>C05016009</t>
  </si>
  <si>
    <t>C05016010</t>
  </si>
  <si>
    <t>C05016011</t>
  </si>
  <si>
    <t>C05016012</t>
  </si>
  <si>
    <t>C05016013</t>
  </si>
  <si>
    <t>C05016014</t>
  </si>
  <si>
    <t>C05016015</t>
  </si>
  <si>
    <t>C05016017</t>
  </si>
  <si>
    <t>C05016018</t>
  </si>
  <si>
    <t>C05016019</t>
  </si>
  <si>
    <t>C05016020</t>
  </si>
  <si>
    <t>C05016022</t>
  </si>
  <si>
    <t>C05016023</t>
  </si>
  <si>
    <t>C05016024</t>
  </si>
  <si>
    <t>C05016025</t>
  </si>
  <si>
    <t>C05016026</t>
  </si>
  <si>
    <t>C05018002</t>
  </si>
  <si>
    <t>C05018003</t>
  </si>
  <si>
    <t>C05018004</t>
  </si>
  <si>
    <t>C05018005</t>
  </si>
  <si>
    <t>C05018006</t>
  </si>
  <si>
    <t>C05018007</t>
  </si>
  <si>
    <t>C05018008</t>
  </si>
  <si>
    <t>C05018009</t>
  </si>
  <si>
    <t>C05018010</t>
  </si>
  <si>
    <t>C05020002</t>
  </si>
  <si>
    <t>C05020003</t>
  </si>
  <si>
    <t>C05020004</t>
  </si>
  <si>
    <t>C05020005</t>
  </si>
  <si>
    <t>C05020006</t>
  </si>
  <si>
    <t>C05020007</t>
  </si>
  <si>
    <t>C05022002</t>
  </si>
  <si>
    <t>C05022003</t>
  </si>
  <si>
    <t>C05022004</t>
  </si>
  <si>
    <t>C05022005</t>
  </si>
  <si>
    <t>C05022006</t>
  </si>
  <si>
    <t>C05022007</t>
  </si>
  <si>
    <t>C05024002</t>
  </si>
  <si>
    <t>Saldo Inicial [miembro]</t>
  </si>
  <si>
    <t>C05024003</t>
  </si>
  <si>
    <t>Provision con cargo al Estado de Resultados [miembro]</t>
  </si>
  <si>
    <t>C05024004</t>
  </si>
  <si>
    <t>C05024005</t>
  </si>
  <si>
    <t>Castigos [miembro]</t>
  </si>
  <si>
    <t>C05024006</t>
  </si>
  <si>
    <t>Recuperaciones [miembro]</t>
  </si>
  <si>
    <t>C05024007</t>
  </si>
  <si>
    <t>Otros [miembro]</t>
  </si>
  <si>
    <t>C05024008</t>
  </si>
  <si>
    <t>C05024009</t>
  </si>
  <si>
    <t>C05026002</t>
  </si>
  <si>
    <t>C05026003</t>
  </si>
  <si>
    <t>C05026004</t>
  </si>
  <si>
    <t>C05026005</t>
  </si>
  <si>
    <t>C05026006</t>
  </si>
  <si>
    <t>C05026007</t>
  </si>
  <si>
    <t>C05028002</t>
  </si>
  <si>
    <t>C05028003</t>
  </si>
  <si>
    <t>C05028004</t>
  </si>
  <si>
    <t>C05028005</t>
  </si>
  <si>
    <t>C05028006</t>
  </si>
  <si>
    <t>C05028007</t>
  </si>
  <si>
    <t>C05100000</t>
  </si>
  <si>
    <t>C05101001</t>
  </si>
  <si>
    <t>C05102002</t>
  </si>
  <si>
    <t>C05102003</t>
  </si>
  <si>
    <t>C05102004</t>
  </si>
  <si>
    <t>C05102005</t>
  </si>
  <si>
    <t>C05102006</t>
  </si>
  <si>
    <t>C05102007</t>
  </si>
  <si>
    <t>C05104002</t>
  </si>
  <si>
    <t>C05104003</t>
  </si>
  <si>
    <t>C05104004</t>
  </si>
  <si>
    <t>C05104005</t>
  </si>
  <si>
    <t>C05104006</t>
  </si>
  <si>
    <t>C05104007</t>
  </si>
  <si>
    <t>C05104008</t>
  </si>
  <si>
    <t>C05104009</t>
  </si>
  <si>
    <t>C05104010</t>
  </si>
  <si>
    <t>C05104011</t>
  </si>
  <si>
    <t>C05104012</t>
  </si>
  <si>
    <t>C05104013</t>
  </si>
  <si>
    <t>C05104014</t>
  </si>
  <si>
    <t>C05104015</t>
  </si>
  <si>
    <t>C05104016</t>
  </si>
  <si>
    <t>C05106002</t>
  </si>
  <si>
    <t>C05106003</t>
  </si>
  <si>
    <t>C05106004</t>
  </si>
  <si>
    <t>C05106005</t>
  </si>
  <si>
    <t>C05106007</t>
  </si>
  <si>
    <t>C05106009</t>
  </si>
  <si>
    <t>C05106010</t>
  </si>
  <si>
    <t>C05106011</t>
  </si>
  <si>
    <t>C05106012</t>
  </si>
  <si>
    <t>C05106013</t>
  </si>
  <si>
    <t>C05106014</t>
  </si>
  <si>
    <t>C05106015</t>
  </si>
  <si>
    <t>C05106017</t>
  </si>
  <si>
    <t>C05106018</t>
  </si>
  <si>
    <t>C05106019</t>
  </si>
  <si>
    <t>C05106020</t>
  </si>
  <si>
    <t>C05106022</t>
  </si>
  <si>
    <t>C05106023</t>
  </si>
  <si>
    <t>C05106024</t>
  </si>
  <si>
    <t>C05106025</t>
  </si>
  <si>
    <t>C05106026</t>
  </si>
  <si>
    <t>C05108002</t>
  </si>
  <si>
    <t>C05108003</t>
  </si>
  <si>
    <t>C05108004</t>
  </si>
  <si>
    <t>C05108005</t>
  </si>
  <si>
    <t>C05108006</t>
  </si>
  <si>
    <t>C05108007</t>
  </si>
  <si>
    <t>C05108008</t>
  </si>
  <si>
    <t>C05108009</t>
  </si>
  <si>
    <t>C05108010</t>
  </si>
  <si>
    <t>C05110002</t>
  </si>
  <si>
    <t>C05110003</t>
  </si>
  <si>
    <t>C05110004</t>
  </si>
  <si>
    <t>C05110005</t>
  </si>
  <si>
    <t>C05110006</t>
  </si>
  <si>
    <t>C05110007</t>
  </si>
  <si>
    <t>C05112002</t>
  </si>
  <si>
    <t>C05112003</t>
  </si>
  <si>
    <t>C05112004</t>
  </si>
  <si>
    <t>C05112005</t>
  </si>
  <si>
    <t>C05112006</t>
  </si>
  <si>
    <t>C05112007</t>
  </si>
  <si>
    <t>C05112008</t>
  </si>
  <si>
    <t>C05112009</t>
  </si>
  <si>
    <t>C05112010</t>
  </si>
  <si>
    <t>C05114002</t>
  </si>
  <si>
    <t>C05114003</t>
  </si>
  <si>
    <t>C05114004</t>
  </si>
  <si>
    <t>C05114005</t>
  </si>
  <si>
    <t>C05114006</t>
  </si>
  <si>
    <t>C05114007</t>
  </si>
  <si>
    <t>C05114008</t>
  </si>
  <si>
    <t>C05114009</t>
  </si>
  <si>
    <t>C05114010</t>
  </si>
  <si>
    <t>C05114011</t>
  </si>
  <si>
    <t>C05114012</t>
  </si>
  <si>
    <t>C05114013</t>
  </si>
  <si>
    <t>C05114014</t>
  </si>
  <si>
    <t>C05114015</t>
  </si>
  <si>
    <t>C05114016</t>
  </si>
  <si>
    <t>C05116002</t>
  </si>
  <si>
    <t>C05116003</t>
  </si>
  <si>
    <t>C05116004</t>
  </si>
  <si>
    <t>C05116005</t>
  </si>
  <si>
    <t>C05116007</t>
  </si>
  <si>
    <t>C05116009</t>
  </si>
  <si>
    <t>C05116010</t>
  </si>
  <si>
    <t>C05116011</t>
  </si>
  <si>
    <t>C05116012</t>
  </si>
  <si>
    <t>C05116013</t>
  </si>
  <si>
    <t>C05116014</t>
  </si>
  <si>
    <t>C05116015</t>
  </si>
  <si>
    <t>C05116017</t>
  </si>
  <si>
    <t>C05116018</t>
  </si>
  <si>
    <t>C05116019</t>
  </si>
  <si>
    <t>C05116020</t>
  </si>
  <si>
    <t>C05116022</t>
  </si>
  <si>
    <t>C05116023</t>
  </si>
  <si>
    <t>C05116024</t>
  </si>
  <si>
    <t>C05116025</t>
  </si>
  <si>
    <t>C05116026</t>
  </si>
  <si>
    <t>C05118002</t>
  </si>
  <si>
    <t>C05118003</t>
  </si>
  <si>
    <t>C05118004</t>
  </si>
  <si>
    <t>C05118005</t>
  </si>
  <si>
    <t>C05118006</t>
  </si>
  <si>
    <t>C05118007</t>
  </si>
  <si>
    <t>C05118008</t>
  </si>
  <si>
    <t>C05118009</t>
  </si>
  <si>
    <t>C05118010</t>
  </si>
  <si>
    <t>C05120002</t>
  </si>
  <si>
    <t>C05120003</t>
  </si>
  <si>
    <t>C05120004</t>
  </si>
  <si>
    <t>C05120005</t>
  </si>
  <si>
    <t>C05120006</t>
  </si>
  <si>
    <t>C05120007</t>
  </si>
  <si>
    <t>C05122002</t>
  </si>
  <si>
    <t>C05122003</t>
  </si>
  <si>
    <t>C05122004</t>
  </si>
  <si>
    <t>C05122005</t>
  </si>
  <si>
    <t>C05122006</t>
  </si>
  <si>
    <t>C05122007</t>
  </si>
  <si>
    <t>C05124002</t>
  </si>
  <si>
    <t>C05124003</t>
  </si>
  <si>
    <t>C05124004</t>
  </si>
  <si>
    <t>C05124005</t>
  </si>
  <si>
    <t>C05124006</t>
  </si>
  <si>
    <t>C05124007</t>
  </si>
  <si>
    <t>C05124008</t>
  </si>
  <si>
    <t>C05124009</t>
  </si>
  <si>
    <t>C05126002</t>
  </si>
  <si>
    <t>C05126003</t>
  </si>
  <si>
    <t>C05126004</t>
  </si>
  <si>
    <t>C05126005</t>
  </si>
  <si>
    <t>C05126006</t>
  </si>
  <si>
    <t>C05126007</t>
  </si>
  <si>
    <t>C05128002</t>
  </si>
  <si>
    <t>C05128003</t>
  </si>
  <si>
    <t>C05128004</t>
  </si>
  <si>
    <t>C05128005</t>
  </si>
  <si>
    <t>C05128006</t>
  </si>
  <si>
    <t>C05128007</t>
  </si>
  <si>
    <t>C05202002</t>
  </si>
  <si>
    <t>C05202003</t>
  </si>
  <si>
    <t>C05202004</t>
  </si>
  <si>
    <t>C05202005</t>
  </si>
  <si>
    <t>Coberturas Filiales en el Exterior[miembro]</t>
  </si>
  <si>
    <t>C05202006</t>
  </si>
  <si>
    <t>C05302002</t>
  </si>
  <si>
    <t>No. de Operaciones [miembro]</t>
  </si>
  <si>
    <t>C05302003</t>
  </si>
  <si>
    <t>Nominal Mill.Usd [miembro]</t>
  </si>
  <si>
    <t>C05302004</t>
  </si>
  <si>
    <t>Valor de Mercado Mill.Usd [miembro]</t>
  </si>
  <si>
    <t>C05302005</t>
  </si>
  <si>
    <t>Plazo Total Promedio Días [miembro]</t>
  </si>
  <si>
    <t>C05302006</t>
  </si>
  <si>
    <t>Plazo Faltante Promedio Días [miembro]</t>
  </si>
  <si>
    <t>C05302007</t>
  </si>
  <si>
    <t>Valor del Mercado de las Posiciones Abiertas [miembro]</t>
  </si>
  <si>
    <t>C05302008</t>
  </si>
  <si>
    <t>Cálculo del Valor en Riesgo (VaR) agregado (Horizonte de 1 o de 10 días) [miembro]</t>
  </si>
  <si>
    <t>C05302009</t>
  </si>
  <si>
    <t>Número de Contrapartes de la Posición Abierta [miembro]</t>
  </si>
  <si>
    <t>C05302010</t>
  </si>
  <si>
    <t>Cinco Contrapartes Principales y su Porcentaje de Participación [miembro]</t>
  </si>
  <si>
    <t>C05302011</t>
  </si>
  <si>
    <t>Posición Abierta en Instrumentos Financieros Derivados de las Filiales en el Exterior [miembro]</t>
  </si>
  <si>
    <t>C05304002</t>
  </si>
  <si>
    <t>C05304003</t>
  </si>
  <si>
    <t>C05304004</t>
  </si>
  <si>
    <t>C05304005</t>
  </si>
  <si>
    <t>C05304006</t>
  </si>
  <si>
    <t>C05304007</t>
  </si>
  <si>
    <t>C05304008</t>
  </si>
  <si>
    <t>C05304009</t>
  </si>
  <si>
    <t>C05304010</t>
  </si>
  <si>
    <t>C05304011</t>
  </si>
  <si>
    <t>C05400000</t>
  </si>
  <si>
    <t>C05402001</t>
  </si>
  <si>
    <t>Extremo inferior del rango [miembro]</t>
  </si>
  <si>
    <t>C05402002</t>
  </si>
  <si>
    <t>Promedio ponderado [miembro]</t>
  </si>
  <si>
    <t>C05402003</t>
  </si>
  <si>
    <t>Extremo superior del rango [miembro]</t>
  </si>
  <si>
    <t>C05402004</t>
  </si>
  <si>
    <t>Rangos [miembro]</t>
  </si>
  <si>
    <t>C05402005</t>
  </si>
  <si>
    <t>Compañías comparables de mercado [miembro]</t>
  </si>
  <si>
    <t>C05402006</t>
  </si>
  <si>
    <t>C05402007</t>
  </si>
  <si>
    <t>C05402008</t>
  </si>
  <si>
    <t>C05402009</t>
  </si>
  <si>
    <t>C05402010</t>
  </si>
  <si>
    <t>Precios comparables de mercado [miembro]</t>
  </si>
  <si>
    <t>C05402011</t>
  </si>
  <si>
    <t>C05402012</t>
  </si>
  <si>
    <t>C05402013</t>
  </si>
  <si>
    <t>C05402014</t>
  </si>
  <si>
    <t>C05402015</t>
  </si>
  <si>
    <t>Matriz de fijación de precios [miembro]</t>
  </si>
  <si>
    <t>C05402016</t>
  </si>
  <si>
    <t>C05402017</t>
  </si>
  <si>
    <t>C05402018</t>
  </si>
  <si>
    <t>C05402019</t>
  </si>
  <si>
    <t>C05402020</t>
  </si>
  <si>
    <t>Fijación de precios acordada [miembro]</t>
  </si>
  <si>
    <t>C05402021</t>
  </si>
  <si>
    <t>C05402022</t>
  </si>
  <si>
    <t>C05402023</t>
  </si>
  <si>
    <t>C05402024</t>
  </si>
  <si>
    <t>C05402025</t>
  </si>
  <si>
    <t>Enfoque del mercado [miembro]</t>
  </si>
  <si>
    <t>C05402026</t>
  </si>
  <si>
    <t>C05402027</t>
  </si>
  <si>
    <t>C05402028</t>
  </si>
  <si>
    <t>C05402029</t>
  </si>
  <si>
    <t>C05402030</t>
  </si>
  <si>
    <t>Enfoque del costo [miembro]</t>
  </si>
  <si>
    <t>C05402031</t>
  </si>
  <si>
    <t>C05402032</t>
  </si>
  <si>
    <t>C05402033</t>
  </si>
  <si>
    <t>C05402034</t>
  </si>
  <si>
    <t>C05402035</t>
  </si>
  <si>
    <t>Flujo de efectivo descontado [miembro]</t>
  </si>
  <si>
    <t>C05402036</t>
  </si>
  <si>
    <t>C05402037</t>
  </si>
  <si>
    <t>C05402038</t>
  </si>
  <si>
    <t>C05402039</t>
  </si>
  <si>
    <t>C05402040</t>
  </si>
  <si>
    <t>Modelo de valoración de opciones [miembro]</t>
  </si>
  <si>
    <t>C05402041</t>
  </si>
  <si>
    <t>C05402042</t>
  </si>
  <si>
    <t>C05402043</t>
  </si>
  <si>
    <t>C05402044</t>
  </si>
  <si>
    <t>C05402045</t>
  </si>
  <si>
    <t>Método del exceso de ganancias de varios periodos [miembro]</t>
  </si>
  <si>
    <t>C05402046</t>
  </si>
  <si>
    <t>C05402047</t>
  </si>
  <si>
    <t>C05402048</t>
  </si>
  <si>
    <t>C05402049</t>
  </si>
  <si>
    <t>C05402050</t>
  </si>
  <si>
    <t>Enfoque del ingreso [miembro]</t>
  </si>
  <si>
    <t>C05402051</t>
  </si>
  <si>
    <t>C05402052</t>
  </si>
  <si>
    <t>C05402053</t>
  </si>
  <si>
    <t>C05402054</t>
  </si>
  <si>
    <t>C05402055</t>
  </si>
  <si>
    <t>Técnicas de valoración [miembro]</t>
  </si>
  <si>
    <t>C05402056</t>
  </si>
  <si>
    <t>C05402057</t>
  </si>
  <si>
    <t>C05402058</t>
  </si>
  <si>
    <t>C05402059</t>
  </si>
  <si>
    <t>C05402060</t>
  </si>
  <si>
    <t>C05402061</t>
  </si>
  <si>
    <t>C05402062</t>
  </si>
  <si>
    <t>C05402063</t>
  </si>
  <si>
    <t>C05402064</t>
  </si>
  <si>
    <t>C05402065</t>
  </si>
  <si>
    <t>C05402066</t>
  </si>
  <si>
    <t>C05402067</t>
  </si>
  <si>
    <t>C05402068</t>
  </si>
  <si>
    <t>C05402069</t>
  </si>
  <si>
    <t>C05402070</t>
  </si>
  <si>
    <t>C05402071</t>
  </si>
  <si>
    <t>C05402072</t>
  </si>
  <si>
    <t>C05402073</t>
  </si>
  <si>
    <t>C05402074</t>
  </si>
  <si>
    <t>C05402075</t>
  </si>
  <si>
    <t>C05402076</t>
  </si>
  <si>
    <t>C05402077</t>
  </si>
  <si>
    <t>C05402078</t>
  </si>
  <si>
    <t>C05402079</t>
  </si>
  <si>
    <t>C05402080</t>
  </si>
  <si>
    <t>C05402081</t>
  </si>
  <si>
    <t>C05402082</t>
  </si>
  <si>
    <t>C05402083</t>
  </si>
  <si>
    <t>C05402084</t>
  </si>
  <si>
    <t>C05402085</t>
  </si>
  <si>
    <t>C05402086</t>
  </si>
  <si>
    <t>C05402087</t>
  </si>
  <si>
    <t>C05402088</t>
  </si>
  <si>
    <t>C05402089</t>
  </si>
  <si>
    <t>C05402090</t>
  </si>
  <si>
    <t>C05402091</t>
  </si>
  <si>
    <t>C05402092</t>
  </si>
  <si>
    <t>C05402093</t>
  </si>
  <si>
    <t>C05402094</t>
  </si>
  <si>
    <t>C05402095</t>
  </si>
  <si>
    <t>C05402096</t>
  </si>
  <si>
    <t>C05402097</t>
  </si>
  <si>
    <t>C05402098</t>
  </si>
  <si>
    <t>C05402099</t>
  </si>
  <si>
    <t>C05402100</t>
  </si>
  <si>
    <t>C05402101</t>
  </si>
  <si>
    <t>C05402102</t>
  </si>
  <si>
    <t>C05402103</t>
  </si>
  <si>
    <t>C05402104</t>
  </si>
  <si>
    <t>C05402105</t>
  </si>
  <si>
    <t>C05402106</t>
  </si>
  <si>
    <t>C05402107</t>
  </si>
  <si>
    <t>C05402108</t>
  </si>
  <si>
    <t>C05402109</t>
  </si>
  <si>
    <t>C05402110</t>
  </si>
  <si>
    <t>C05402111</t>
  </si>
  <si>
    <t>C05402112</t>
  </si>
  <si>
    <t>C05402113</t>
  </si>
  <si>
    <t>C05402114</t>
  </si>
  <si>
    <t>C05402115</t>
  </si>
  <si>
    <t>C05402116</t>
  </si>
  <si>
    <t>C05402117</t>
  </si>
  <si>
    <t>C05402118</t>
  </si>
  <si>
    <t>C05402119</t>
  </si>
  <si>
    <t>C05402120</t>
  </si>
  <si>
    <t>C05402121</t>
  </si>
  <si>
    <t>C05402122</t>
  </si>
  <si>
    <t>C05402123</t>
  </si>
  <si>
    <t>C05402124</t>
  </si>
  <si>
    <t>C05402125</t>
  </si>
  <si>
    <t>C05402126</t>
  </si>
  <si>
    <t>C05402127</t>
  </si>
  <si>
    <t>C05402128</t>
  </si>
  <si>
    <t>C05402129</t>
  </si>
  <si>
    <t>C05402130</t>
  </si>
  <si>
    <t>C05402131</t>
  </si>
  <si>
    <t>C05402132</t>
  </si>
  <si>
    <t>C05402133</t>
  </si>
  <si>
    <t>C05402134</t>
  </si>
  <si>
    <t>C05402135</t>
  </si>
  <si>
    <t>C05402136</t>
  </si>
  <si>
    <t>C05402137</t>
  </si>
  <si>
    <t>C05402138</t>
  </si>
  <si>
    <t>C05402139</t>
  </si>
  <si>
    <t>C05402140</t>
  </si>
  <si>
    <t>C05402141</t>
  </si>
  <si>
    <t>C05402142</t>
  </si>
  <si>
    <t>C05402143</t>
  </si>
  <si>
    <t>C05402144</t>
  </si>
  <si>
    <t>C05402145</t>
  </si>
  <si>
    <t>C05402146</t>
  </si>
  <si>
    <t>C05402147</t>
  </si>
  <si>
    <t>C05402148</t>
  </si>
  <si>
    <t>C05402149</t>
  </si>
  <si>
    <t>C05402150</t>
  </si>
  <si>
    <t>C05402151</t>
  </si>
  <si>
    <t>C05402152</t>
  </si>
  <si>
    <t>C05402153</t>
  </si>
  <si>
    <t>C05402154</t>
  </si>
  <si>
    <t>C05402155</t>
  </si>
  <si>
    <t>C05402156</t>
  </si>
  <si>
    <t>C05402157</t>
  </si>
  <si>
    <t>C05402158</t>
  </si>
  <si>
    <t>C05402159</t>
  </si>
  <si>
    <t>C05402160</t>
  </si>
  <si>
    <t>C05402161</t>
  </si>
  <si>
    <t>C05402162</t>
  </si>
  <si>
    <t>C05402163</t>
  </si>
  <si>
    <t>C05402164</t>
  </si>
  <si>
    <t>C05402165</t>
  </si>
  <si>
    <t>C05402166</t>
  </si>
  <si>
    <t>C05402167</t>
  </si>
  <si>
    <t>C05402168</t>
  </si>
  <si>
    <t>C05402169</t>
  </si>
  <si>
    <t>C05402170</t>
  </si>
  <si>
    <t>C05402171</t>
  </si>
  <si>
    <t>C05402172</t>
  </si>
  <si>
    <t>C05402173</t>
  </si>
  <si>
    <t>C05402174</t>
  </si>
  <si>
    <t>C05402175</t>
  </si>
  <si>
    <t>C05402176</t>
  </si>
  <si>
    <t>C05402177</t>
  </si>
  <si>
    <t>C05402178</t>
  </si>
  <si>
    <t>C05402179</t>
  </si>
  <si>
    <t>C05402180</t>
  </si>
  <si>
    <t>C05402181</t>
  </si>
  <si>
    <t>C05402182</t>
  </si>
  <si>
    <t>C05402183</t>
  </si>
  <si>
    <t>C05402184</t>
  </si>
  <si>
    <t>C05402185</t>
  </si>
  <si>
    <t>C05402186</t>
  </si>
  <si>
    <t>C05402187</t>
  </si>
  <si>
    <t>C05402188</t>
  </si>
  <si>
    <t>C05402189</t>
  </si>
  <si>
    <t>C05402190</t>
  </si>
  <si>
    <t>C05402191</t>
  </si>
  <si>
    <t>C05402192</t>
  </si>
  <si>
    <t>C05402193</t>
  </si>
  <si>
    <t>C05402194</t>
  </si>
  <si>
    <t>C05402195</t>
  </si>
  <si>
    <t>C05402196</t>
  </si>
  <si>
    <t>C05402197</t>
  </si>
  <si>
    <t>C05402198</t>
  </si>
  <si>
    <t>C05402199</t>
  </si>
  <si>
    <t>C05402200</t>
  </si>
  <si>
    <t>C05402201</t>
  </si>
  <si>
    <t>C05402202</t>
  </si>
  <si>
    <t>C05402203</t>
  </si>
  <si>
    <t>C05402204</t>
  </si>
  <si>
    <t>C05402205</t>
  </si>
  <si>
    <t>C05402206</t>
  </si>
  <si>
    <t>C05402207</t>
  </si>
  <si>
    <t>C05402208</t>
  </si>
  <si>
    <t>C05402209</t>
  </si>
  <si>
    <t>C05402210</t>
  </si>
  <si>
    <t>C05402211</t>
  </si>
  <si>
    <t>C05402212</t>
  </si>
  <si>
    <t>C05402213</t>
  </si>
  <si>
    <t>C05402214</t>
  </si>
  <si>
    <t>C05402215</t>
  </si>
  <si>
    <t>C05402216</t>
  </si>
  <si>
    <t>C05402217</t>
  </si>
  <si>
    <t>C05402218</t>
  </si>
  <si>
    <t>C05402219</t>
  </si>
  <si>
    <t>C05402220</t>
  </si>
  <si>
    <t>C05402221</t>
  </si>
  <si>
    <t>C05402222</t>
  </si>
  <si>
    <t>C05402223</t>
  </si>
  <si>
    <t>C05402224</t>
  </si>
  <si>
    <t>C05402225</t>
  </si>
  <si>
    <t>C05402226</t>
  </si>
  <si>
    <t>C05402227</t>
  </si>
  <si>
    <t>C05402228</t>
  </si>
  <si>
    <t>C05402229</t>
  </si>
  <si>
    <t>C05402230</t>
  </si>
  <si>
    <t>C05402231</t>
  </si>
  <si>
    <t>C05402232</t>
  </si>
  <si>
    <t>C05402233</t>
  </si>
  <si>
    <t>C05402234</t>
  </si>
  <si>
    <t>C05402235</t>
  </si>
  <si>
    <t>C05402236</t>
  </si>
  <si>
    <t>C05402237</t>
  </si>
  <si>
    <t>C05402238</t>
  </si>
  <si>
    <t>C05402239</t>
  </si>
  <si>
    <t>C05402240</t>
  </si>
  <si>
    <t>C05402241</t>
  </si>
  <si>
    <t>C05402242</t>
  </si>
  <si>
    <t>C05402243</t>
  </si>
  <si>
    <t>C05402244</t>
  </si>
  <si>
    <t>C05402245</t>
  </si>
  <si>
    <t>C05402246</t>
  </si>
  <si>
    <t>C05402247</t>
  </si>
  <si>
    <t>C05402248</t>
  </si>
  <si>
    <t>C05402249</t>
  </si>
  <si>
    <t>C05402250</t>
  </si>
  <si>
    <t>C05402251</t>
  </si>
  <si>
    <t>C05402252</t>
  </si>
  <si>
    <t>C05402253</t>
  </si>
  <si>
    <t>C05402254</t>
  </si>
  <si>
    <t>C05402255</t>
  </si>
  <si>
    <t>C05402256</t>
  </si>
  <si>
    <t>C05402257</t>
  </si>
  <si>
    <t>C05402258</t>
  </si>
  <si>
    <t>C05402259</t>
  </si>
  <si>
    <t>C05402260</t>
  </si>
  <si>
    <t>C05402261</t>
  </si>
  <si>
    <t>C05402262</t>
  </si>
  <si>
    <t>C05402263</t>
  </si>
  <si>
    <t>C05402264</t>
  </si>
  <si>
    <t>C05402265</t>
  </si>
  <si>
    <t>C05402266</t>
  </si>
  <si>
    <t>C05402267</t>
  </si>
  <si>
    <t>C05402268</t>
  </si>
  <si>
    <t>C05402269</t>
  </si>
  <si>
    <t>C05402270</t>
  </si>
  <si>
    <t>C05402271</t>
  </si>
  <si>
    <t>C05402272</t>
  </si>
  <si>
    <t>C05402273</t>
  </si>
  <si>
    <t>C05402274</t>
  </si>
  <si>
    <t>C05402275</t>
  </si>
  <si>
    <t>C05402276</t>
  </si>
  <si>
    <t>Mediciones del valor razonable recurrentes [miembro]</t>
  </si>
  <si>
    <t>C05402277</t>
  </si>
  <si>
    <t>Medición del valor razonable no recurrente [miembro]</t>
  </si>
  <si>
    <t>C05402278</t>
  </si>
  <si>
    <t>A valor razonable [miembro]</t>
  </si>
  <si>
    <t>C05402279</t>
  </si>
  <si>
    <t>No medidos al valor razonable en el estado de situación financiera sino para los que se revela el valor razonable [miembro]</t>
  </si>
  <si>
    <t>C05402280</t>
  </si>
  <si>
    <t>Suma de mediciones [miembro]</t>
  </si>
  <si>
    <t>C05404001</t>
  </si>
  <si>
    <t>C05404002</t>
  </si>
  <si>
    <t>C05404003</t>
  </si>
  <si>
    <t>C05404004</t>
  </si>
  <si>
    <t>C05404005</t>
  </si>
  <si>
    <t>C05404006</t>
  </si>
  <si>
    <t>C05404007</t>
  </si>
  <si>
    <t>C05404008</t>
  </si>
  <si>
    <t>C05404009</t>
  </si>
  <si>
    <t>C05404010</t>
  </si>
  <si>
    <t>C05404011</t>
  </si>
  <si>
    <t>C05404012</t>
  </si>
  <si>
    <t>C05404013</t>
  </si>
  <si>
    <t>C05404014</t>
  </si>
  <si>
    <t>C05404015</t>
  </si>
  <si>
    <t>C05404016</t>
  </si>
  <si>
    <t>C05404017</t>
  </si>
  <si>
    <t>C05404018</t>
  </si>
  <si>
    <t>C05404019</t>
  </si>
  <si>
    <t>C05404020</t>
  </si>
  <si>
    <t>C05404021</t>
  </si>
  <si>
    <t>C05404022</t>
  </si>
  <si>
    <t>C05404023</t>
  </si>
  <si>
    <t>C05404024</t>
  </si>
  <si>
    <t>C05404025</t>
  </si>
  <si>
    <t>C05404026</t>
  </si>
  <si>
    <t>C05404027</t>
  </si>
  <si>
    <t>C05404028</t>
  </si>
  <si>
    <t>C05404029</t>
  </si>
  <si>
    <t>C05404030</t>
  </si>
  <si>
    <t>C05404031</t>
  </si>
  <si>
    <t>C05404032</t>
  </si>
  <si>
    <t>C05404033</t>
  </si>
  <si>
    <t>C05404034</t>
  </si>
  <si>
    <t>C05404035</t>
  </si>
  <si>
    <t>C05404036</t>
  </si>
  <si>
    <t>C05404037</t>
  </si>
  <si>
    <t>C05404038</t>
  </si>
  <si>
    <t>C05404039</t>
  </si>
  <si>
    <t>C05404040</t>
  </si>
  <si>
    <t>C05404041</t>
  </si>
  <si>
    <t>C05404042</t>
  </si>
  <si>
    <t>C05404043</t>
  </si>
  <si>
    <t>C05404044</t>
  </si>
  <si>
    <t>C05404045</t>
  </si>
  <si>
    <t>C05404046</t>
  </si>
  <si>
    <t>C05404047</t>
  </si>
  <si>
    <t>C05404048</t>
  </si>
  <si>
    <t>C05404049</t>
  </si>
  <si>
    <t>C05404050</t>
  </si>
  <si>
    <t>C05404051</t>
  </si>
  <si>
    <t>C05404052</t>
  </si>
  <si>
    <t>C05404053</t>
  </si>
  <si>
    <t>C05404054</t>
  </si>
  <si>
    <t>C05404055</t>
  </si>
  <si>
    <t>C05404056</t>
  </si>
  <si>
    <t>C05404057</t>
  </si>
  <si>
    <t>C05404058</t>
  </si>
  <si>
    <t>C05404059</t>
  </si>
  <si>
    <t>C05404060</t>
  </si>
  <si>
    <t>C05404061</t>
  </si>
  <si>
    <t>C05404062</t>
  </si>
  <si>
    <t>C05404063</t>
  </si>
  <si>
    <t>C05404064</t>
  </si>
  <si>
    <t>C05404065</t>
  </si>
  <si>
    <t>C05404066</t>
  </si>
  <si>
    <t>C05404067</t>
  </si>
  <si>
    <t>C05404068</t>
  </si>
  <si>
    <t>C05404069</t>
  </si>
  <si>
    <t>C05404070</t>
  </si>
  <si>
    <t>C05404071</t>
  </si>
  <si>
    <t>C05404072</t>
  </si>
  <si>
    <t>C05404073</t>
  </si>
  <si>
    <t>C05404074</t>
  </si>
  <si>
    <t>C05404075</t>
  </si>
  <si>
    <t>C05404076</t>
  </si>
  <si>
    <t>C05404077</t>
  </si>
  <si>
    <t>C05404078</t>
  </si>
  <si>
    <t>C05404079</t>
  </si>
  <si>
    <t>C05404080</t>
  </si>
  <si>
    <t>C05404081</t>
  </si>
  <si>
    <t>C05404082</t>
  </si>
  <si>
    <t>C05404083</t>
  </si>
  <si>
    <t>C05404084</t>
  </si>
  <si>
    <t>C05404085</t>
  </si>
  <si>
    <t>C05404086</t>
  </si>
  <si>
    <t>C05404087</t>
  </si>
  <si>
    <t>C05404088</t>
  </si>
  <si>
    <t>C05404089</t>
  </si>
  <si>
    <t>C05404090</t>
  </si>
  <si>
    <t>C05404091</t>
  </si>
  <si>
    <t>C05404092</t>
  </si>
  <si>
    <t>C05404093</t>
  </si>
  <si>
    <t>C05404094</t>
  </si>
  <si>
    <t>C05404095</t>
  </si>
  <si>
    <t>C05404096</t>
  </si>
  <si>
    <t>C05404097</t>
  </si>
  <si>
    <t>C05404098</t>
  </si>
  <si>
    <t>C05404099</t>
  </si>
  <si>
    <t>C05404100</t>
  </si>
  <si>
    <t>C05404101</t>
  </si>
  <si>
    <t>C05404102</t>
  </si>
  <si>
    <t>C05404103</t>
  </si>
  <si>
    <t>C05404104</t>
  </si>
  <si>
    <t>C05404105</t>
  </si>
  <si>
    <t>C05404106</t>
  </si>
  <si>
    <t>C05404107</t>
  </si>
  <si>
    <t>C05404108</t>
  </si>
  <si>
    <t>C05404109</t>
  </si>
  <si>
    <t>C05404110</t>
  </si>
  <si>
    <t>C05404111</t>
  </si>
  <si>
    <t>C05404112</t>
  </si>
  <si>
    <t>C05404113</t>
  </si>
  <si>
    <t>C05404114</t>
  </si>
  <si>
    <t>C05404115</t>
  </si>
  <si>
    <t>C05404116</t>
  </si>
  <si>
    <t>C05404117</t>
  </si>
  <si>
    <t>C05404118</t>
  </si>
  <si>
    <t>C05404119</t>
  </si>
  <si>
    <t>C05404120</t>
  </si>
  <si>
    <t>C05404121</t>
  </si>
  <si>
    <t>C05404122</t>
  </si>
  <si>
    <t>C05404123</t>
  </si>
  <si>
    <t>C05404124</t>
  </si>
  <si>
    <t>C05404125</t>
  </si>
  <si>
    <t>C05404126</t>
  </si>
  <si>
    <t>C05404127</t>
  </si>
  <si>
    <t>C05404128</t>
  </si>
  <si>
    <t>C05404129</t>
  </si>
  <si>
    <t>C05404130</t>
  </si>
  <si>
    <t>C05404131</t>
  </si>
  <si>
    <t>C05404132</t>
  </si>
  <si>
    <t>C05404133</t>
  </si>
  <si>
    <t>C05404134</t>
  </si>
  <si>
    <t>C05404135</t>
  </si>
  <si>
    <t>C05404136</t>
  </si>
  <si>
    <t>C05404137</t>
  </si>
  <si>
    <t>C05404138</t>
  </si>
  <si>
    <t>C05404139</t>
  </si>
  <si>
    <t>C05404140</t>
  </si>
  <si>
    <t>C05404141</t>
  </si>
  <si>
    <t>C05404142</t>
  </si>
  <si>
    <t>C05404143</t>
  </si>
  <si>
    <t>C05404144</t>
  </si>
  <si>
    <t>C05404145</t>
  </si>
  <si>
    <t>C05404146</t>
  </si>
  <si>
    <t>C05404147</t>
  </si>
  <si>
    <t>C05404148</t>
  </si>
  <si>
    <t>C05404149</t>
  </si>
  <si>
    <t>C05404150</t>
  </si>
  <si>
    <t>C05404151</t>
  </si>
  <si>
    <t>C05404152</t>
  </si>
  <si>
    <t>C05404153</t>
  </si>
  <si>
    <t>C05404154</t>
  </si>
  <si>
    <t>C05404155</t>
  </si>
  <si>
    <t>C05404156</t>
  </si>
  <si>
    <t>C05404157</t>
  </si>
  <si>
    <t>C05404158</t>
  </si>
  <si>
    <t>C05404159</t>
  </si>
  <si>
    <t>C05404160</t>
  </si>
  <si>
    <t>C05404161</t>
  </si>
  <si>
    <t>C05404162</t>
  </si>
  <si>
    <t>C05404163</t>
  </si>
  <si>
    <t>C05404164</t>
  </si>
  <si>
    <t>C05404165</t>
  </si>
  <si>
    <t>C05404166</t>
  </si>
  <si>
    <t>C05404167</t>
  </si>
  <si>
    <t>C05404168</t>
  </si>
  <si>
    <t>C05404169</t>
  </si>
  <si>
    <t>C05404170</t>
  </si>
  <si>
    <t>C05404171</t>
  </si>
  <si>
    <t>C05404172</t>
  </si>
  <si>
    <t>C05404173</t>
  </si>
  <si>
    <t>C05404174</t>
  </si>
  <si>
    <t>C05404175</t>
  </si>
  <si>
    <t>C05404176</t>
  </si>
  <si>
    <t>C05404177</t>
  </si>
  <si>
    <t>C05404178</t>
  </si>
  <si>
    <t>C05404179</t>
  </si>
  <si>
    <t>C05404180</t>
  </si>
  <si>
    <t>C05404181</t>
  </si>
  <si>
    <t>C05404182</t>
  </si>
  <si>
    <t>C05404183</t>
  </si>
  <si>
    <t>C05404184</t>
  </si>
  <si>
    <t>C05404185</t>
  </si>
  <si>
    <t>C05404186</t>
  </si>
  <si>
    <t>C05404187</t>
  </si>
  <si>
    <t>C05404188</t>
  </si>
  <si>
    <t>C05404189</t>
  </si>
  <si>
    <t>C05404190</t>
  </si>
  <si>
    <t>C05404191</t>
  </si>
  <si>
    <t>C05404192</t>
  </si>
  <si>
    <t>C05404193</t>
  </si>
  <si>
    <t>C05404194</t>
  </si>
  <si>
    <t>C05404195</t>
  </si>
  <si>
    <t>C05404196</t>
  </si>
  <si>
    <t>C05404197</t>
  </si>
  <si>
    <t>C05404198</t>
  </si>
  <si>
    <t>C05404199</t>
  </si>
  <si>
    <t>C05404200</t>
  </si>
  <si>
    <t>C05404201</t>
  </si>
  <si>
    <t>C05404202</t>
  </si>
  <si>
    <t>C05404203</t>
  </si>
  <si>
    <t>C05404204</t>
  </si>
  <si>
    <t>C05404205</t>
  </si>
  <si>
    <t>C05404206</t>
  </si>
  <si>
    <t>C05404207</t>
  </si>
  <si>
    <t>C05404208</t>
  </si>
  <si>
    <t>C05404209</t>
  </si>
  <si>
    <t>C05404210</t>
  </si>
  <si>
    <t>C05404211</t>
  </si>
  <si>
    <t>C05404212</t>
  </si>
  <si>
    <t>C05404213</t>
  </si>
  <si>
    <t>C05404214</t>
  </si>
  <si>
    <t>C05404215</t>
  </si>
  <si>
    <t>C05404216</t>
  </si>
  <si>
    <t>C05404217</t>
  </si>
  <si>
    <t>C05404218</t>
  </si>
  <si>
    <t>C05404219</t>
  </si>
  <si>
    <t>C05404220</t>
  </si>
  <si>
    <t>C05404221</t>
  </si>
  <si>
    <t>C05404222</t>
  </si>
  <si>
    <t>C05404223</t>
  </si>
  <si>
    <t>C05404224</t>
  </si>
  <si>
    <t>C05404225</t>
  </si>
  <si>
    <t>C05404226</t>
  </si>
  <si>
    <t>C05404227</t>
  </si>
  <si>
    <t>C05404228</t>
  </si>
  <si>
    <t>C05404229</t>
  </si>
  <si>
    <t>C05404230</t>
  </si>
  <si>
    <t>C05404231</t>
  </si>
  <si>
    <t>C05404232</t>
  </si>
  <si>
    <t>C05404233</t>
  </si>
  <si>
    <t>C05404234</t>
  </si>
  <si>
    <t>C05404235</t>
  </si>
  <si>
    <t>C05404236</t>
  </si>
  <si>
    <t>C05404237</t>
  </si>
  <si>
    <t>C05404238</t>
  </si>
  <si>
    <t>C05404239</t>
  </si>
  <si>
    <t>C05404240</t>
  </si>
  <si>
    <t>C05404241</t>
  </si>
  <si>
    <t>C05404242</t>
  </si>
  <si>
    <t>C05404243</t>
  </si>
  <si>
    <t>C05404244</t>
  </si>
  <si>
    <t>C05404245</t>
  </si>
  <si>
    <t>C05404246</t>
  </si>
  <si>
    <t>C05404247</t>
  </si>
  <si>
    <t>C05404248</t>
  </si>
  <si>
    <t>C05404249</t>
  </si>
  <si>
    <t>C05404250</t>
  </si>
  <si>
    <t>C05404251</t>
  </si>
  <si>
    <t>C05404252</t>
  </si>
  <si>
    <t>C05404253</t>
  </si>
  <si>
    <t>C05404254</t>
  </si>
  <si>
    <t>C05404255</t>
  </si>
  <si>
    <t>C05404256</t>
  </si>
  <si>
    <t>C05404257</t>
  </si>
  <si>
    <t>C05404258</t>
  </si>
  <si>
    <t>C05404259</t>
  </si>
  <si>
    <t>C05404260</t>
  </si>
  <si>
    <t>C05404261</t>
  </si>
  <si>
    <t>C05404262</t>
  </si>
  <si>
    <t>C05404263</t>
  </si>
  <si>
    <t>C05404264</t>
  </si>
  <si>
    <t>C05404265</t>
  </si>
  <si>
    <t>C05404266</t>
  </si>
  <si>
    <t>C05404267</t>
  </si>
  <si>
    <t>C05404268</t>
  </si>
  <si>
    <t>C05404269</t>
  </si>
  <si>
    <t>C05404270</t>
  </si>
  <si>
    <t>C05404271</t>
  </si>
  <si>
    <t>C05404272</t>
  </si>
  <si>
    <t>C05404273</t>
  </si>
  <si>
    <t>C05404274</t>
  </si>
  <si>
    <t>C05404275</t>
  </si>
  <si>
    <t>C05404276</t>
  </si>
  <si>
    <t>C05404277</t>
  </si>
  <si>
    <t>C05404278</t>
  </si>
  <si>
    <t>C05404279</t>
  </si>
  <si>
    <t>C05404280</t>
  </si>
  <si>
    <t>C05406001</t>
  </si>
  <si>
    <t>Pasivo medido al valor razonable y emitido con mejoras crediticias de terceros inseparables [miembro]</t>
  </si>
  <si>
    <t>C05502002</t>
  </si>
  <si>
    <t>C05502003</t>
  </si>
  <si>
    <t>C05502004</t>
  </si>
  <si>
    <t>C05502005</t>
  </si>
  <si>
    <t>Marcas comerciales [miembro]</t>
  </si>
  <si>
    <t>C05502006</t>
  </si>
  <si>
    <t>C05502007</t>
  </si>
  <si>
    <t>C05502008</t>
  </si>
  <si>
    <t>C05502009</t>
  </si>
  <si>
    <t>Activos intangibles de exploración y evaluación, generados internamente [miembro]</t>
  </si>
  <si>
    <t>C05502010</t>
  </si>
  <si>
    <t>C05502011</t>
  </si>
  <si>
    <t>C05502012</t>
  </si>
  <si>
    <t>C05502013</t>
  </si>
  <si>
    <t>Activos intangibles de exploración y evaluación, no generados internamente [miembro]</t>
  </si>
  <si>
    <t>C05502014</t>
  </si>
  <si>
    <t>C05502015</t>
  </si>
  <si>
    <t>C05502016</t>
  </si>
  <si>
    <t>C05502017</t>
  </si>
  <si>
    <t>Activos intangibles de exploración y evaluación [miembro]</t>
  </si>
  <si>
    <t>C05502018</t>
  </si>
  <si>
    <t>C05502019</t>
  </si>
  <si>
    <t>C05502020</t>
  </si>
  <si>
    <t>C05502021</t>
  </si>
  <si>
    <t>Cabeceras de periódicos o revistas y títulos de publicaciones [miembro]</t>
  </si>
  <si>
    <t>C05502022</t>
  </si>
  <si>
    <t>C05502023</t>
  </si>
  <si>
    <t>C05502024</t>
  </si>
  <si>
    <t>C05502025</t>
  </si>
  <si>
    <t>Programas de computador, generados internamente [miembro]</t>
  </si>
  <si>
    <t>C05502026</t>
  </si>
  <si>
    <t>C05502027</t>
  </si>
  <si>
    <t>C05502028</t>
  </si>
  <si>
    <t>C05502029</t>
  </si>
  <si>
    <t>Programas de computador, no generados internamente [miembro]</t>
  </si>
  <si>
    <t>C05502030</t>
  </si>
  <si>
    <t>C05502031</t>
  </si>
  <si>
    <t>C05502032</t>
  </si>
  <si>
    <t>C05502033</t>
  </si>
  <si>
    <t>Programas de computador [miembro]</t>
  </si>
  <si>
    <t>C05502034</t>
  </si>
  <si>
    <t>C05502035</t>
  </si>
  <si>
    <t>C05502036</t>
  </si>
  <si>
    <t>C05502037</t>
  </si>
  <si>
    <t>Licencias, concesiones y franquicias, generada internamente [miembro]</t>
  </si>
  <si>
    <t>C05502038</t>
  </si>
  <si>
    <t>C05502039</t>
  </si>
  <si>
    <t>C05502040</t>
  </si>
  <si>
    <t>C05502041</t>
  </si>
  <si>
    <t>Licencias, concesiones y franquicias, no generada internamente [miembro]</t>
  </si>
  <si>
    <t>C05502042</t>
  </si>
  <si>
    <t>C05502043</t>
  </si>
  <si>
    <t>C05502044</t>
  </si>
  <si>
    <t>C05502045</t>
  </si>
  <si>
    <t>Licencias, concesiones y franquicias [miembro]</t>
  </si>
  <si>
    <t>C05502046</t>
  </si>
  <si>
    <t>C05502047</t>
  </si>
  <si>
    <t>C05502048</t>
  </si>
  <si>
    <t>C05502049</t>
  </si>
  <si>
    <t>Derechos de propiedad intelectual, patentes y otros derechos de propiedad industrial, servicio y derechos de operación, generados internamente [miembro]</t>
  </si>
  <si>
    <t>C05502050</t>
  </si>
  <si>
    <t>C05502051</t>
  </si>
  <si>
    <t>C05502052</t>
  </si>
  <si>
    <t>C05502053</t>
  </si>
  <si>
    <t>Derechos de propiedad intelectual, patentes y otros derechos de propiedad industrial, servicio y derechos de operación, no generados internamente [miembro]</t>
  </si>
  <si>
    <t>C05502054</t>
  </si>
  <si>
    <t>C05502055</t>
  </si>
  <si>
    <t>C05502056</t>
  </si>
  <si>
    <t>C05502057</t>
  </si>
  <si>
    <t>Derechos de propiedad intelectual, patentes y otros derechos de propiedad industrial, servicio y derechos de operación [miembro]</t>
  </si>
  <si>
    <t>C05502058</t>
  </si>
  <si>
    <t>C05502059</t>
  </si>
  <si>
    <t>C05502060</t>
  </si>
  <si>
    <t>C05502061</t>
  </si>
  <si>
    <t>Recetas, fórmulas, modelos, diseños y prototipos, generados internamente [miembro]</t>
  </si>
  <si>
    <t>C05502062</t>
  </si>
  <si>
    <t>C05502063</t>
  </si>
  <si>
    <t>C05502064</t>
  </si>
  <si>
    <t>C05502065</t>
  </si>
  <si>
    <t>Recetas, fórmulas, modelos, diseños y prototipos, no generados internamente [miembro]</t>
  </si>
  <si>
    <t>C05502066</t>
  </si>
  <si>
    <t>C05502067</t>
  </si>
  <si>
    <t>C05502068</t>
  </si>
  <si>
    <t>C05502069</t>
  </si>
  <si>
    <t>Recetas, fórmulas, modelos, diseños y prototipos [miembro]</t>
  </si>
  <si>
    <t>C05502070</t>
  </si>
  <si>
    <t>C05502071</t>
  </si>
  <si>
    <t>C05502072</t>
  </si>
  <si>
    <t>C05502073</t>
  </si>
  <si>
    <t>Activos intangibles relacionados con clientes [miembro]</t>
  </si>
  <si>
    <t>C05502074</t>
  </si>
  <si>
    <t>C05502075</t>
  </si>
  <si>
    <t>C05502076</t>
  </si>
  <si>
    <t>C05502077</t>
  </si>
  <si>
    <t>Valor de negocio adquirido [miembro]</t>
  </si>
  <si>
    <t>C05502078</t>
  </si>
  <si>
    <t>C05502079</t>
  </si>
  <si>
    <t>C05502080</t>
  </si>
  <si>
    <t>C05502081</t>
  </si>
  <si>
    <t>Desembolsos de desarrollo capitalizados [miembro]</t>
  </si>
  <si>
    <t>C05502082</t>
  </si>
  <si>
    <t>C05502083</t>
  </si>
  <si>
    <t>C05502084</t>
  </si>
  <si>
    <t>C05502085</t>
  </si>
  <si>
    <t>Derechos de minería [miembro]</t>
  </si>
  <si>
    <t>C05502086</t>
  </si>
  <si>
    <t>C05502087</t>
  </si>
  <si>
    <t>C05502088</t>
  </si>
  <si>
    <t>C05502089</t>
  </si>
  <si>
    <t>Activos intangibles en desarrollo [miembro]</t>
  </si>
  <si>
    <t>C05502090</t>
  </si>
  <si>
    <t>C05502091</t>
  </si>
  <si>
    <t>C05502092</t>
  </si>
  <si>
    <t>C05502093</t>
  </si>
  <si>
    <t>Puestos en Bolsas [miembro]</t>
  </si>
  <si>
    <t>C05502094</t>
  </si>
  <si>
    <t>C05502095</t>
  </si>
  <si>
    <t>C05502096</t>
  </si>
  <si>
    <t>C05502097</t>
  </si>
  <si>
    <t>Otros activos intangibles, generados internamente [miembro]</t>
  </si>
  <si>
    <t>C05502098</t>
  </si>
  <si>
    <t>C05502099</t>
  </si>
  <si>
    <t>C05502100</t>
  </si>
  <si>
    <t>C05502101</t>
  </si>
  <si>
    <t>Otros activos intangibles, no generados internamente [miembro]</t>
  </si>
  <si>
    <t>C05502102</t>
  </si>
  <si>
    <t>C05502103</t>
  </si>
  <si>
    <t>C05502104</t>
  </si>
  <si>
    <t>C05502105</t>
  </si>
  <si>
    <t>Otros activos intangibles [miembro]</t>
  </si>
  <si>
    <t>C05502106</t>
  </si>
  <si>
    <t>C05502107</t>
  </si>
  <si>
    <t>C05502108</t>
  </si>
  <si>
    <t>C05502109</t>
  </si>
  <si>
    <t>Activos intangibles distintos de la plusvalía [miembro]</t>
  </si>
  <si>
    <t>C05504001</t>
  </si>
  <si>
    <t>C05506001</t>
  </si>
  <si>
    <t>C05508002</t>
  </si>
  <si>
    <t>C05508003</t>
  </si>
  <si>
    <t>C05508004</t>
  </si>
  <si>
    <t>C05508005</t>
  </si>
  <si>
    <t>C05508006</t>
  </si>
  <si>
    <t>C05508007</t>
  </si>
  <si>
    <t>C05508008</t>
  </si>
  <si>
    <t>C05508009</t>
  </si>
  <si>
    <t>C05508010</t>
  </si>
  <si>
    <t>C05508011</t>
  </si>
  <si>
    <t>C05508012</t>
  </si>
  <si>
    <t>C05508013</t>
  </si>
  <si>
    <t>C05508014</t>
  </si>
  <si>
    <t>C05508015</t>
  </si>
  <si>
    <t>C05508016</t>
  </si>
  <si>
    <t>C05508017</t>
  </si>
  <si>
    <t>C05508018</t>
  </si>
  <si>
    <t>C05508019</t>
  </si>
  <si>
    <t>C05508020</t>
  </si>
  <si>
    <t>C05508021</t>
  </si>
  <si>
    <t>C05508022</t>
  </si>
  <si>
    <t>C05508023</t>
  </si>
  <si>
    <t>C05508024</t>
  </si>
  <si>
    <t>C05508025</t>
  </si>
  <si>
    <t>C05508026</t>
  </si>
  <si>
    <t>C05508027</t>
  </si>
  <si>
    <t>C05508028</t>
  </si>
  <si>
    <t>C05508029</t>
  </si>
  <si>
    <t>C05508030</t>
  </si>
  <si>
    <t>C05508031</t>
  </si>
  <si>
    <t>C05508032</t>
  </si>
  <si>
    <t>C05508033</t>
  </si>
  <si>
    <t>C05508034</t>
  </si>
  <si>
    <t>C05508035</t>
  </si>
  <si>
    <t>C05508036</t>
  </si>
  <si>
    <t>C05508037</t>
  </si>
  <si>
    <t>Licencias y franquicias, generada internamente [miembro]</t>
  </si>
  <si>
    <t>C05508038</t>
  </si>
  <si>
    <t>C05508039</t>
  </si>
  <si>
    <t>C05508040</t>
  </si>
  <si>
    <t>C05508041</t>
  </si>
  <si>
    <t>Licencias y franquicias, no generada internamente [miembro]</t>
  </si>
  <si>
    <t>C05508042</t>
  </si>
  <si>
    <t>C05508043</t>
  </si>
  <si>
    <t>C05508044</t>
  </si>
  <si>
    <t>C05508045</t>
  </si>
  <si>
    <t>Licencias y franquicias [miembro]</t>
  </si>
  <si>
    <t>C05508046</t>
  </si>
  <si>
    <t>C05508047</t>
  </si>
  <si>
    <t>C05508048</t>
  </si>
  <si>
    <t>C05508049</t>
  </si>
  <si>
    <t>C05508050</t>
  </si>
  <si>
    <t>C05508051</t>
  </si>
  <si>
    <t>C05508052</t>
  </si>
  <si>
    <t>C05508053</t>
  </si>
  <si>
    <t>C05508054</t>
  </si>
  <si>
    <t>C05508055</t>
  </si>
  <si>
    <t>C05508056</t>
  </si>
  <si>
    <t>C05508057</t>
  </si>
  <si>
    <t>C05508058</t>
  </si>
  <si>
    <t>C05508059</t>
  </si>
  <si>
    <t>C05508060</t>
  </si>
  <si>
    <t>C05508061</t>
  </si>
  <si>
    <t>C05508062</t>
  </si>
  <si>
    <t>C05508063</t>
  </si>
  <si>
    <t>C05508064</t>
  </si>
  <si>
    <t>C05508065</t>
  </si>
  <si>
    <t>C05508066</t>
  </si>
  <si>
    <t>C05508067</t>
  </si>
  <si>
    <t>C05508068</t>
  </si>
  <si>
    <t>C05508069</t>
  </si>
  <si>
    <t>C05508070</t>
  </si>
  <si>
    <t>C05508071</t>
  </si>
  <si>
    <t>C05508072</t>
  </si>
  <si>
    <t>C05508073</t>
  </si>
  <si>
    <t>C05508074</t>
  </si>
  <si>
    <t>C05508075</t>
  </si>
  <si>
    <t>C05508076</t>
  </si>
  <si>
    <t>C05508077</t>
  </si>
  <si>
    <t>C05508078</t>
  </si>
  <si>
    <t>C05508079</t>
  </si>
  <si>
    <t>C05508080</t>
  </si>
  <si>
    <t>C05508081</t>
  </si>
  <si>
    <t>C05508082</t>
  </si>
  <si>
    <t>C05508083</t>
  </si>
  <si>
    <t>C05508084</t>
  </si>
  <si>
    <t>C05508085</t>
  </si>
  <si>
    <t>C05508086</t>
  </si>
  <si>
    <t>C05508087</t>
  </si>
  <si>
    <t>C05508088</t>
  </si>
  <si>
    <t>C05508089</t>
  </si>
  <si>
    <t>C05508090</t>
  </si>
  <si>
    <t>C05508091</t>
  </si>
  <si>
    <t>C05508092</t>
  </si>
  <si>
    <t>C05508093</t>
  </si>
  <si>
    <t>C05508094</t>
  </si>
  <si>
    <t>C05508095</t>
  </si>
  <si>
    <t>C05508096</t>
  </si>
  <si>
    <t>C05508097</t>
  </si>
  <si>
    <t>C05508098</t>
  </si>
  <si>
    <t>C05508099</t>
  </si>
  <si>
    <t>C05508100</t>
  </si>
  <si>
    <t>C05508101</t>
  </si>
  <si>
    <t>C05508102</t>
  </si>
  <si>
    <t>C05508103</t>
  </si>
  <si>
    <t>C05508104</t>
  </si>
  <si>
    <t>C05508105</t>
  </si>
  <si>
    <t>C05508106</t>
  </si>
  <si>
    <t>C05508107</t>
  </si>
  <si>
    <t>C05508108</t>
  </si>
  <si>
    <t>C05508109</t>
  </si>
  <si>
    <t>C05508110</t>
  </si>
  <si>
    <t>C05508111</t>
  </si>
  <si>
    <t>C05508112</t>
  </si>
  <si>
    <t>C05508113</t>
  </si>
  <si>
    <t>Plusvalía [miembro]</t>
  </si>
  <si>
    <t>C05508114</t>
  </si>
  <si>
    <t>C05508115</t>
  </si>
  <si>
    <t>C05508116</t>
  </si>
  <si>
    <t>C05508117</t>
  </si>
  <si>
    <t>Activos intangibles y plusvalía [miembro]</t>
  </si>
  <si>
    <t>C05600000</t>
  </si>
  <si>
    <t>C05602003</t>
  </si>
  <si>
    <t>C05602004</t>
  </si>
  <si>
    <t>C05602005</t>
  </si>
  <si>
    <t>C05602006</t>
  </si>
  <si>
    <t>C05602007</t>
  </si>
  <si>
    <t>C05602008</t>
  </si>
  <si>
    <t>C05602009</t>
  </si>
  <si>
    <t>C05602010</t>
  </si>
  <si>
    <t>Al costo [miembro]</t>
  </si>
  <si>
    <t>C05602011</t>
  </si>
  <si>
    <t>C05602012</t>
  </si>
  <si>
    <t>C05602013</t>
  </si>
  <si>
    <t>C05602014</t>
  </si>
  <si>
    <t>C05602015</t>
  </si>
  <si>
    <t>C05602016</t>
  </si>
  <si>
    <t>C05602017</t>
  </si>
  <si>
    <t>C05602018</t>
  </si>
  <si>
    <t>C05602019</t>
  </si>
  <si>
    <t>C05602020</t>
  </si>
  <si>
    <t>C05602021</t>
  </si>
  <si>
    <t>C05602022</t>
  </si>
  <si>
    <t>C05602023</t>
  </si>
  <si>
    <t>C05602024</t>
  </si>
  <si>
    <t>C05602025</t>
  </si>
  <si>
    <t>C05602026</t>
  </si>
  <si>
    <t>C05602027</t>
  </si>
  <si>
    <t>C05602028</t>
  </si>
  <si>
    <t>C05602029</t>
  </si>
  <si>
    <t>C05602030</t>
  </si>
  <si>
    <t>C05602031</t>
  </si>
  <si>
    <t>C05602032</t>
  </si>
  <si>
    <t>C05602033</t>
  </si>
  <si>
    <t>C05602034</t>
  </si>
  <si>
    <t>C05602035</t>
  </si>
  <si>
    <t>C05602036</t>
  </si>
  <si>
    <t>C05602037</t>
  </si>
  <si>
    <t>C05602038</t>
  </si>
  <si>
    <t>Activos Biológicos</t>
  </si>
  <si>
    <t>C05700000</t>
  </si>
  <si>
    <t>C05702001</t>
  </si>
  <si>
    <t>C05702002</t>
  </si>
  <si>
    <t>C05702003</t>
  </si>
  <si>
    <t>C05702004</t>
  </si>
  <si>
    <t>C05702005</t>
  </si>
  <si>
    <t>C05702006</t>
  </si>
  <si>
    <t>C05702007</t>
  </si>
  <si>
    <t>C05702008</t>
  </si>
  <si>
    <t>C05702009</t>
  </si>
  <si>
    <t>C05702010</t>
  </si>
  <si>
    <t>C05702011</t>
  </si>
  <si>
    <t>C05702012</t>
  </si>
  <si>
    <t>C05702013</t>
  </si>
  <si>
    <t>C05702014</t>
  </si>
  <si>
    <t>C05702015</t>
  </si>
  <si>
    <t>Al costo dentro del modelo de valor razonable [miembro]</t>
  </si>
  <si>
    <t>C05702016</t>
  </si>
  <si>
    <t>C05702017</t>
  </si>
  <si>
    <t>C05702018</t>
  </si>
  <si>
    <t>C05702019</t>
  </si>
  <si>
    <t>C05702020</t>
  </si>
  <si>
    <t>Modelo del valor razonable [miembro]</t>
  </si>
  <si>
    <t>C05702021</t>
  </si>
  <si>
    <t>C05702022</t>
  </si>
  <si>
    <t>C05702023</t>
  </si>
  <si>
    <t>C05702024</t>
  </si>
  <si>
    <t>C05702025</t>
  </si>
  <si>
    <t>C05800000</t>
  </si>
  <si>
    <t>C05802001</t>
  </si>
  <si>
    <t>C05802002</t>
  </si>
  <si>
    <t>C05802003</t>
  </si>
  <si>
    <t>Total de la entidad por subsidiarias [miembro]</t>
  </si>
  <si>
    <t>C05802004</t>
  </si>
  <si>
    <t>C05805001</t>
  </si>
  <si>
    <t>C05805002</t>
  </si>
  <si>
    <t>C05805003</t>
  </si>
  <si>
    <t>Total de la entidad por negocios conjuntos [miembro]</t>
  </si>
  <si>
    <t>C05805004</t>
  </si>
  <si>
    <t>C05807001</t>
  </si>
  <si>
    <t>C05807002</t>
  </si>
  <si>
    <t>C05807003</t>
  </si>
  <si>
    <t>Total de la entidad por entidades controladas de forma conju</t>
  </si>
  <si>
    <t>C05807004</t>
  </si>
  <si>
    <t>C05809001</t>
  </si>
  <si>
    <t>C05809002</t>
  </si>
  <si>
    <t>C05809003</t>
  </si>
  <si>
    <t>Total de la entidad por asociadas [miembro]</t>
  </si>
  <si>
    <t>C05809004</t>
  </si>
  <si>
    <t>C05900000</t>
  </si>
  <si>
    <t>C05902001</t>
  </si>
  <si>
    <t>C05902002</t>
  </si>
  <si>
    <t>C05902003</t>
  </si>
  <si>
    <t>C05902004</t>
  </si>
  <si>
    <t>C05902005</t>
  </si>
  <si>
    <t>C06000000</t>
  </si>
  <si>
    <t>C06001001</t>
  </si>
  <si>
    <t>0</t>
  </si>
  <si>
    <t>C06002001</t>
  </si>
  <si>
    <t>Asociadas no contabilizadas utilizando el método de la participación [miembro]</t>
  </si>
  <si>
    <t>C06002002</t>
  </si>
  <si>
    <t>C06002003</t>
  </si>
  <si>
    <t>Total de la entidad por inversiones en asociadas [miembro]</t>
  </si>
  <si>
    <t>C06002004</t>
  </si>
  <si>
    <t>C06002005</t>
  </si>
  <si>
    <t>C06003001</t>
  </si>
  <si>
    <t>C06100000</t>
  </si>
  <si>
    <t>C06102002</t>
  </si>
  <si>
    <t>Subsidiarias con participaciones no controladoras de importancia relativa [miembro]</t>
  </si>
  <si>
    <t>C06102003</t>
  </si>
  <si>
    <t>Total de la entidad por participaciones no controladas en otras entidades [miembro]</t>
  </si>
  <si>
    <t>C06102004</t>
  </si>
  <si>
    <t>C06104001</t>
  </si>
  <si>
    <t>Entidades estructuradas consolidadas [miembro]</t>
  </si>
  <si>
    <t>C06106002</t>
  </si>
  <si>
    <t>Asociadas que no son significativas de forma individual acumuladas [miembro]</t>
  </si>
  <si>
    <t>C06106003</t>
  </si>
  <si>
    <t>C06106004</t>
  </si>
  <si>
    <t>C06108001</t>
  </si>
  <si>
    <t>Operaciones conjuntas [miembro]</t>
  </si>
  <si>
    <t>C06110002</t>
  </si>
  <si>
    <t>Negocios conjuntos que no son significativos de forma individual acumulados [miembro]</t>
  </si>
  <si>
    <t>C06110003</t>
  </si>
  <si>
    <t>C06110004</t>
  </si>
  <si>
    <t>C06112002</t>
  </si>
  <si>
    <t>Vehículos de titulización [miembro]</t>
  </si>
  <si>
    <t>C06112003</t>
  </si>
  <si>
    <t>Financiaciones garantizadas por activos [miembro]</t>
  </si>
  <si>
    <t>C06112004</t>
  </si>
  <si>
    <t>Fondos de inversión [miembro]</t>
  </si>
  <si>
    <t>C06112005</t>
  </si>
  <si>
    <t>Entidades estructuradas no consolidadas [miembro]</t>
  </si>
  <si>
    <t>C06112006</t>
  </si>
  <si>
    <t>C06112007</t>
  </si>
  <si>
    <t>Total de la entidad por entidades estructuradas no consolidadas [miembro]</t>
  </si>
  <si>
    <t>C06112008</t>
  </si>
  <si>
    <t>C06113002</t>
  </si>
  <si>
    <t>Subsidiarias no consolidadas que una entidad de inversión controla de forma directa [miembro]</t>
  </si>
  <si>
    <t>C06113003</t>
  </si>
  <si>
    <t>Subsidiarias no consolidadas controladas por subsidiarias de entidad de inversión [miembro]</t>
  </si>
  <si>
    <t>C06113004</t>
  </si>
  <si>
    <t>Subsidiarias no consolidadas [miembro]</t>
  </si>
  <si>
    <t>C06113005</t>
  </si>
  <si>
    <t>C06113006</t>
  </si>
  <si>
    <t>Total de entidad por subsidiarias no consolidadas [miembro]</t>
  </si>
  <si>
    <t>C06113007</t>
  </si>
  <si>
    <t>C06115001</t>
  </si>
  <si>
    <t>Entidades estructuradas no consolidadas controladas por entidad de inversión [miembro]</t>
  </si>
  <si>
    <t>C06402001</t>
  </si>
  <si>
    <t>Otras provisiones [miembro]</t>
  </si>
  <si>
    <t>C06402002</t>
  </si>
  <si>
    <t>Provisión por garantías [miembro]</t>
  </si>
  <si>
    <t>C06402003</t>
  </si>
  <si>
    <t>Provisión por reestructuración [miembro]</t>
  </si>
  <si>
    <t>C06402004</t>
  </si>
  <si>
    <t>Provisiones por procesos legales [miembro]</t>
  </si>
  <si>
    <t>C06402005</t>
  </si>
  <si>
    <t>Provisión por reembolsos [miembro]</t>
  </si>
  <si>
    <t>C06402006</t>
  </si>
  <si>
    <t>Provisión por contratos onerosos [miembro]</t>
  </si>
  <si>
    <t>C06402007</t>
  </si>
  <si>
    <t>Provisiones por costos de dejar fuera de servicio, restauración y rehabilitación [miembro]</t>
  </si>
  <si>
    <t>C06402008</t>
  </si>
  <si>
    <t>Otra provisión relacionada con el medioambiente [miembro]</t>
  </si>
  <si>
    <t>C06402009</t>
  </si>
  <si>
    <t>Provisión por impuestos distintos a los impuestos a las ganancias [miembro]</t>
  </si>
  <si>
    <t>C06402010</t>
  </si>
  <si>
    <t>Otras provisiones diversas [miembro]</t>
  </si>
  <si>
    <t>C06402011</t>
  </si>
  <si>
    <t>Valor total.</t>
  </si>
  <si>
    <t>C06404001</t>
  </si>
  <si>
    <t>C06404002</t>
  </si>
  <si>
    <t>Pasivo contingente que surge de obligaciones por beneficios post-empleo [miembro]</t>
  </si>
  <si>
    <t>C06404003</t>
  </si>
  <si>
    <t>C06404004</t>
  </si>
  <si>
    <t>C06404005</t>
  </si>
  <si>
    <t>C06404006</t>
  </si>
  <si>
    <t>C06404007</t>
  </si>
  <si>
    <t>Otro pasivo contingente relacionado con el medioambiente [miembro]</t>
  </si>
  <si>
    <t>C06404008</t>
  </si>
  <si>
    <t>Pasivo contingente por impuestos [miembro]</t>
  </si>
  <si>
    <t>C06404009</t>
  </si>
  <si>
    <t>Pasivo contingente por garantías [miembro]</t>
  </si>
  <si>
    <t>C06404010</t>
  </si>
  <si>
    <t>C06404011</t>
  </si>
  <si>
    <t>C06404012</t>
  </si>
  <si>
    <t>C06404013</t>
  </si>
  <si>
    <t>C06702001</t>
  </si>
  <si>
    <t>Activos [miembro]</t>
  </si>
  <si>
    <t>C06702002</t>
  </si>
  <si>
    <t>C06702003</t>
  </si>
  <si>
    <t>C06702004</t>
  </si>
  <si>
    <t>Activos para exploración y evaluación [miembro]</t>
  </si>
  <si>
    <t>C06702005</t>
  </si>
  <si>
    <t>Activos financieros [miembro]</t>
  </si>
  <si>
    <t>C06702006</t>
  </si>
  <si>
    <t>C06702007</t>
  </si>
  <si>
    <t>Inversiones contabilizadas utilizando el método de la participación [miembro]</t>
  </si>
  <si>
    <t>C06702008</t>
  </si>
  <si>
    <t>Activos no corrientes o grupos de activos para su disposición clasificados como mantenidos para la venta [miembro]</t>
  </si>
  <si>
    <t>C06702009</t>
  </si>
  <si>
    <t>Otros activos con su valor deteriorado [miembro]</t>
  </si>
  <si>
    <t>C06702010</t>
  </si>
  <si>
    <t>Activos (miembros)</t>
  </si>
  <si>
    <t>C06703002</t>
  </si>
  <si>
    <t>Activos individuales o unidades generadoras de efectivo [miembro]</t>
  </si>
  <si>
    <t>C06703003</t>
  </si>
  <si>
    <t>Total de la entidad por activos individuales o unidades generadoras de efectivo [miembro]</t>
  </si>
  <si>
    <t>C06704002</t>
  </si>
  <si>
    <t>Segmentos sobre los que debe informarse [miembro]</t>
  </si>
  <si>
    <t>C06704003</t>
  </si>
  <si>
    <t>Segmentos [miembro]</t>
  </si>
  <si>
    <t>C06704004</t>
  </si>
  <si>
    <t>C06704005</t>
  </si>
  <si>
    <t>C06704006</t>
  </si>
  <si>
    <t>C06704007</t>
  </si>
  <si>
    <t>C06704008</t>
  </si>
  <si>
    <t>C06704009</t>
  </si>
  <si>
    <t>C06704010</t>
  </si>
  <si>
    <t>C06704011</t>
  </si>
  <si>
    <t>C06704012</t>
  </si>
  <si>
    <t>C06704013</t>
  </si>
  <si>
    <t>C06704014</t>
  </si>
  <si>
    <t>C06704015</t>
  </si>
  <si>
    <t>C06704016</t>
  </si>
  <si>
    <t>C06704017</t>
  </si>
  <si>
    <t>C06704018</t>
  </si>
  <si>
    <t>C06704019</t>
  </si>
  <si>
    <t>C06704020</t>
  </si>
  <si>
    <t>C06704021</t>
  </si>
  <si>
    <t>C06704022</t>
  </si>
  <si>
    <t>C06704023</t>
  </si>
  <si>
    <t>C06704024</t>
  </si>
  <si>
    <t>C06704025</t>
  </si>
  <si>
    <t>C06704026</t>
  </si>
  <si>
    <t>C06704027</t>
  </si>
  <si>
    <t>C06704028</t>
  </si>
  <si>
    <t>C06704029</t>
  </si>
  <si>
    <t>C06704030</t>
  </si>
  <si>
    <t>C06704031</t>
  </si>
  <si>
    <t>C06704032</t>
  </si>
  <si>
    <t>C06704033</t>
  </si>
  <si>
    <t>C06704034</t>
  </si>
  <si>
    <t>C06704035</t>
  </si>
  <si>
    <t>C06704036</t>
  </si>
  <si>
    <t>C06704037</t>
  </si>
  <si>
    <t>C06704038</t>
  </si>
  <si>
    <t>C06704039</t>
  </si>
  <si>
    <t>C06704040</t>
  </si>
  <si>
    <t>C06704041</t>
  </si>
  <si>
    <t>C06704042</t>
  </si>
  <si>
    <t>C06704043</t>
  </si>
  <si>
    <t>C06704044</t>
  </si>
  <si>
    <t>C06704045</t>
  </si>
  <si>
    <t>C06704046</t>
  </si>
  <si>
    <t>C06704047</t>
  </si>
  <si>
    <t>C06704048</t>
  </si>
  <si>
    <t>C06704049</t>
  </si>
  <si>
    <t>C06704050</t>
  </si>
  <si>
    <t>C06704051</t>
  </si>
  <si>
    <t>C06704052</t>
  </si>
  <si>
    <t>C06704053</t>
  </si>
  <si>
    <t>C06704054</t>
  </si>
  <si>
    <t>C06704055</t>
  </si>
  <si>
    <t>C06707002</t>
  </si>
  <si>
    <t>Unidades generadoras de efectivo acumuladas para las que el importe de la plusvalía o activos intangibles con vidas útiles indefinidas no es significativo [miembro]</t>
  </si>
  <si>
    <t>C06707003</t>
  </si>
  <si>
    <t>Unidades generadoras de efectivo [miembro]</t>
  </si>
  <si>
    <t>C06707004</t>
  </si>
  <si>
    <t>Total de la entidad por unidades generadoras de efectivo [miembro]</t>
  </si>
  <si>
    <t>C06802002</t>
  </si>
  <si>
    <t>C06802003</t>
  </si>
  <si>
    <t>C06802004</t>
  </si>
  <si>
    <t>C06802005</t>
  </si>
  <si>
    <t>C06802006</t>
  </si>
  <si>
    <t>C06802007</t>
  </si>
  <si>
    <t>C06802008</t>
  </si>
  <si>
    <t>C06802009</t>
  </si>
  <si>
    <t>C06802010</t>
  </si>
  <si>
    <t>C06802011</t>
  </si>
  <si>
    <t>C06802012</t>
  </si>
  <si>
    <t>C06802013</t>
  </si>
  <si>
    <t>Propiedades de inversión [miembro]</t>
  </si>
  <si>
    <t>C06802014</t>
  </si>
  <si>
    <t>C06802015</t>
  </si>
  <si>
    <t>C06802016</t>
  </si>
  <si>
    <t>C06802017</t>
  </si>
  <si>
    <t>Activos biológicos [miembro]</t>
  </si>
  <si>
    <t>C06802018</t>
  </si>
  <si>
    <t>C06802019</t>
  </si>
  <si>
    <t>C06802020</t>
  </si>
  <si>
    <t>C06802021</t>
  </si>
  <si>
    <t>Otros activos [miembro]</t>
  </si>
  <si>
    <t>C06802022</t>
  </si>
  <si>
    <t>C06802023</t>
  </si>
  <si>
    <t>C06802024</t>
  </si>
  <si>
    <t>C06802025</t>
  </si>
  <si>
    <t>C06804002</t>
  </si>
  <si>
    <t>C06804003</t>
  </si>
  <si>
    <t>C06804004</t>
  </si>
  <si>
    <t>C06804005</t>
  </si>
  <si>
    <t>C06804006</t>
  </si>
  <si>
    <t>C06807002</t>
  </si>
  <si>
    <t>C06807003</t>
  </si>
  <si>
    <t>C06807004</t>
  </si>
  <si>
    <t>C06807005</t>
  </si>
  <si>
    <t>C06807006</t>
  </si>
  <si>
    <t>C06900000</t>
  </si>
  <si>
    <t>C06902001</t>
  </si>
  <si>
    <t>Acuerdos con pagos basados en acciones [miembro]</t>
  </si>
  <si>
    <t>C06904001</t>
  </si>
  <si>
    <t>Rangos de precios a ejercer para opciones sobre acciones en circulación [miembro]</t>
  </si>
  <si>
    <t>C06906002</t>
  </si>
  <si>
    <t>C06906003</t>
  </si>
  <si>
    <t>C06906004</t>
  </si>
  <si>
    <t>C06906005</t>
  </si>
  <si>
    <t>C07002002</t>
  </si>
  <si>
    <t>C07002003</t>
  </si>
  <si>
    <t>Planes de beneficios definidos nacionales [miembro]</t>
  </si>
  <si>
    <t>C07002004</t>
  </si>
  <si>
    <t>Planes de beneficios definidos multipatronales [miembro]</t>
  </si>
  <si>
    <t>C07002005</t>
  </si>
  <si>
    <t>Planes de beneficios definidos gubernamentales [miembro]</t>
  </si>
  <si>
    <t>C07002006</t>
  </si>
  <si>
    <t>Planes de beneficios definidos que comparten riesgos entre entidades bajo control común [miembro]</t>
  </si>
  <si>
    <t>C07002007</t>
  </si>
  <si>
    <t>Planes de beneficios definidos [miembro]</t>
  </si>
  <si>
    <t>C07002008</t>
  </si>
  <si>
    <t>C07004002</t>
  </si>
  <si>
    <t>C07004003</t>
  </si>
  <si>
    <t>Activos del plan [miembro]</t>
  </si>
  <si>
    <t>C07004004</t>
  </si>
  <si>
    <t>Efecto del techo del activo [miembro]</t>
  </si>
  <si>
    <t>C07004005</t>
  </si>
  <si>
    <t>Pasivos (activos) por beneficios definidos netos [miembro]</t>
  </si>
  <si>
    <t>C07004006</t>
  </si>
  <si>
    <t>C07004007</t>
  </si>
  <si>
    <t>C07004008</t>
  </si>
  <si>
    <t>C07004009</t>
  </si>
  <si>
    <t>C07004010</t>
  </si>
  <si>
    <t>C07004011</t>
  </si>
  <si>
    <t>C07004012</t>
  </si>
  <si>
    <t>C07004013</t>
  </si>
  <si>
    <t>C07004014</t>
  </si>
  <si>
    <t>C07004015</t>
  </si>
  <si>
    <t>C07004016</t>
  </si>
  <si>
    <t>C07004017</t>
  </si>
  <si>
    <t>C07004018</t>
  </si>
  <si>
    <t>C07004019</t>
  </si>
  <si>
    <t>C07004020</t>
  </si>
  <si>
    <t>C07004021</t>
  </si>
  <si>
    <t>C07004022</t>
  </si>
  <si>
    <t>C07004023</t>
  </si>
  <si>
    <t>C07004024</t>
  </si>
  <si>
    <t>C07004025</t>
  </si>
  <si>
    <t>C07004026</t>
  </si>
  <si>
    <t>C07004027</t>
  </si>
  <si>
    <t>C07004028</t>
  </si>
  <si>
    <t>C07004029</t>
  </si>
  <si>
    <t>C07004030</t>
  </si>
  <si>
    <t>C07004031</t>
  </si>
  <si>
    <t>C07005002</t>
  </si>
  <si>
    <t>C07005003</t>
  </si>
  <si>
    <t>C07005004</t>
  </si>
  <si>
    <t>C07005005</t>
  </si>
  <si>
    <t>C07005006</t>
  </si>
  <si>
    <t>C07005007</t>
  </si>
  <si>
    <t>C07005008</t>
  </si>
  <si>
    <t>C07007002</t>
  </si>
  <si>
    <t>Nivel 1 de la jerarquía del valor razonable [miembro]</t>
  </si>
  <si>
    <t>C07007003</t>
  </si>
  <si>
    <t>Nivel 2 y 3 de la jerarquía del valor razonable [miembro]</t>
  </si>
  <si>
    <t>C07007004</t>
  </si>
  <si>
    <t>Todos los niveles de la jerarquía del valor razonable [miembro]</t>
  </si>
  <si>
    <t>C07007005</t>
  </si>
  <si>
    <t>C07007006</t>
  </si>
  <si>
    <t>C07007007</t>
  </si>
  <si>
    <t>C07007008</t>
  </si>
  <si>
    <t>C07007009</t>
  </si>
  <si>
    <t>C07007010</t>
  </si>
  <si>
    <t>C07007011</t>
  </si>
  <si>
    <t>C07007012</t>
  </si>
  <si>
    <t>C07007013</t>
  </si>
  <si>
    <t>C07007014</t>
  </si>
  <si>
    <t>C07007015</t>
  </si>
  <si>
    <t>C07007016</t>
  </si>
  <si>
    <t>C07007017</t>
  </si>
  <si>
    <t>C07007018</t>
  </si>
  <si>
    <t>C07007019</t>
  </si>
  <si>
    <t>C07007020</t>
  </si>
  <si>
    <t>C07007021</t>
  </si>
  <si>
    <t>C07007022</t>
  </si>
  <si>
    <t>C07007023</t>
  </si>
  <si>
    <t>C07007024</t>
  </si>
  <si>
    <t>C07007025</t>
  </si>
  <si>
    <t>C07009002</t>
  </si>
  <si>
    <t>Suposiciones actuariales sobre tasas de descuento [miembro]</t>
  </si>
  <si>
    <t>C07009003</t>
  </si>
  <si>
    <t>Suposiciones actuariales sobre tasas esperadas de incrementos salariales [miembro]</t>
  </si>
  <si>
    <t>C07009004</t>
  </si>
  <si>
    <t>Suposiciones actuariales sobre la tendencia en la variación de los costos de atención sanitaria [miembro]</t>
  </si>
  <si>
    <t>C07009005</t>
  </si>
  <si>
    <t>Suposiciones actuariales sobre tasas esperadas de incrementos de pensiones [miembro]</t>
  </si>
  <si>
    <t>C07009006</t>
  </si>
  <si>
    <t>Suposiciones actuariales sobre tasas esperadas de inflación [miembro]</t>
  </si>
  <si>
    <t>C07009007</t>
  </si>
  <si>
    <t>Otras suposiciones actuariales significativas [miembro]</t>
  </si>
  <si>
    <t>C07009008</t>
  </si>
  <si>
    <t>Suposiciones actuariales [miembro]</t>
  </si>
  <si>
    <t>C07009009</t>
  </si>
  <si>
    <t>C07009010</t>
  </si>
  <si>
    <t>C07009011</t>
  </si>
  <si>
    <t>C07009012</t>
  </si>
  <si>
    <t>C07009013</t>
  </si>
  <si>
    <t>C07009014</t>
  </si>
  <si>
    <t>C07009015</t>
  </si>
  <si>
    <t>C07009016</t>
  </si>
  <si>
    <t>C07009017</t>
  </si>
  <si>
    <t>C07009018</t>
  </si>
  <si>
    <t>C07009019</t>
  </si>
  <si>
    <t>C07009020</t>
  </si>
  <si>
    <t>C07009021</t>
  </si>
  <si>
    <t>C07009022</t>
  </si>
  <si>
    <t>C07009023</t>
  </si>
  <si>
    <t>C07009024</t>
  </si>
  <si>
    <t>C07009025</t>
  </si>
  <si>
    <t>C07009026</t>
  </si>
  <si>
    <t>C07009027</t>
  </si>
  <si>
    <t>C07009028</t>
  </si>
  <si>
    <t>C07009029</t>
  </si>
  <si>
    <t>C07009030</t>
  </si>
  <si>
    <t>C07009031</t>
  </si>
  <si>
    <t>C07009032</t>
  </si>
  <si>
    <t>C07009033</t>
  </si>
  <si>
    <t>C07009034</t>
  </si>
  <si>
    <t>C07009035</t>
  </si>
  <si>
    <t>C07009036</t>
  </si>
  <si>
    <t>C07009037</t>
  </si>
  <si>
    <t>C07009038</t>
  </si>
  <si>
    <t>C07009039</t>
  </si>
  <si>
    <t>C07009040</t>
  </si>
  <si>
    <t>C07009041</t>
  </si>
  <si>
    <t>C07009042</t>
  </si>
  <si>
    <t>C07009043</t>
  </si>
  <si>
    <t>C07009044</t>
  </si>
  <si>
    <t>C07009045</t>
  </si>
  <si>
    <t>C07009046</t>
  </si>
  <si>
    <t>C07009047</t>
  </si>
  <si>
    <t>C07009048</t>
  </si>
  <si>
    <t>C07009049</t>
  </si>
  <si>
    <t>C07100000</t>
  </si>
  <si>
    <t>C07101001</t>
  </si>
  <si>
    <t>Correcciones de valor de pérdidas crediticias Bloque</t>
  </si>
  <si>
    <t>C07101001DU</t>
  </si>
  <si>
    <t>Correcciones de valor de pérdidas crediticias Bloque DUMMY</t>
  </si>
  <si>
    <t>C07102001</t>
  </si>
  <si>
    <t>C07102002</t>
  </si>
  <si>
    <t>Correcciones de valor de pérdidas crediticias [miembro]</t>
  </si>
  <si>
    <t>C07102002DU</t>
  </si>
  <si>
    <t>Correcciones de valor de pérdidas crediticias [miembro] DUMMY</t>
  </si>
  <si>
    <t>C07102003</t>
  </si>
  <si>
    <t>Ganancias (pérdidas) por diferencias de cambio no realizadas [miembro]</t>
  </si>
  <si>
    <t>C07102003DU</t>
  </si>
  <si>
    <t>Ganancias (pérdidas) por diferencias de cambio no realizadas [miembro] DUMMY</t>
  </si>
  <si>
    <t>C07102004</t>
  </si>
  <si>
    <t>Otras diferencias temporarias [miembro]</t>
  </si>
  <si>
    <t>C07102004DU</t>
  </si>
  <si>
    <t>Otras diferencias temporarias [miembro] DUMMY</t>
  </si>
  <si>
    <t>C07102005</t>
  </si>
  <si>
    <t>Diferencias temporarias [miembro]</t>
  </si>
  <si>
    <t>C07102006</t>
  </si>
  <si>
    <t>C07102007</t>
  </si>
  <si>
    <t>Pérdidas fiscales no utilizadas [miembro]</t>
  </si>
  <si>
    <t>C07102008</t>
  </si>
  <si>
    <t>Créditos fiscales no utilizados [miembro]</t>
  </si>
  <si>
    <t>C07102009</t>
  </si>
  <si>
    <t>Diferencias temporarias, pérdidas y créditos fiscales no utilizados [miembro]</t>
  </si>
  <si>
    <t>C07102010</t>
  </si>
  <si>
    <t>C07200000</t>
  </si>
  <si>
    <t>C07300000</t>
  </si>
  <si>
    <t>C07302002</t>
  </si>
  <si>
    <t>Contratos de seguro de vida [miembro]</t>
  </si>
  <si>
    <t>C07302003</t>
  </si>
  <si>
    <t>Contratos de seguro distintos de los de vida [miembro]</t>
  </si>
  <si>
    <t>C07302004</t>
  </si>
  <si>
    <t>Contratos de seguro [miembro]</t>
  </si>
  <si>
    <t>C07302005</t>
  </si>
  <si>
    <t>C07303002</t>
  </si>
  <si>
    <t>Importes brutos que surgen de contratos de seguro [miembro]</t>
  </si>
  <si>
    <t>C07303003</t>
  </si>
  <si>
    <t>Parte de la reaseguradora del importe que surge de contratos de seguro [miembro]</t>
  </si>
  <si>
    <t>C07303004</t>
  </si>
  <si>
    <t>Importes netos que surgen de contratos de seguro [miembro]</t>
  </si>
  <si>
    <t>C07303005</t>
  </si>
  <si>
    <t>C07500000</t>
  </si>
  <si>
    <t>C07501001</t>
  </si>
  <si>
    <t>C07600000</t>
  </si>
  <si>
    <t>C07700000</t>
  </si>
  <si>
    <t>C07702001</t>
  </si>
  <si>
    <t>C07702002</t>
  </si>
  <si>
    <t>C07702003</t>
  </si>
  <si>
    <t>C07702004</t>
  </si>
  <si>
    <t>C07702005</t>
  </si>
  <si>
    <t>Superávit de revaluación [miembro]</t>
  </si>
  <si>
    <t>C07702006</t>
  </si>
  <si>
    <t>Reserva de diferencias de cambio en conversiones [miembro]</t>
  </si>
  <si>
    <t>C07702007</t>
  </si>
  <si>
    <t>Reserva de coberturas de flujo de efectivo [miembro]</t>
  </si>
  <si>
    <t>C07702008</t>
  </si>
  <si>
    <t>Reserva de ganancias y pérdidas en nuevas mediciones de instrumentos financieros medidos al valor razonable con cambios en ORI [miembro]</t>
  </si>
  <si>
    <t>C07702009</t>
  </si>
  <si>
    <t>Reserva de pagos basados en acciones [miembro]</t>
  </si>
  <si>
    <t>C07702010</t>
  </si>
  <si>
    <t>Reserva de nuevas mediciones de planes de beneficios definidos [miembro]</t>
  </si>
  <si>
    <t>C07702011</t>
  </si>
  <si>
    <t>Importes reconocidos en otro resultado integral y acumulados en el patrimonio relativos a activos no corrientes o grupos de activos para su disposición mantenidos para la venta [miembro]</t>
  </si>
  <si>
    <t>C07702012</t>
  </si>
  <si>
    <t>Reserva de ganancias y pérdidas por inversiones en instrumentos de patrimonio [miembro]</t>
  </si>
  <si>
    <t>C07702013</t>
  </si>
  <si>
    <t>Reserva para cambios en el valor razonable de pasivos financieros atribuibles a cambios en el riesgo de crédito del pasivo [miembro]</t>
  </si>
  <si>
    <t>C07702014</t>
  </si>
  <si>
    <t>Otras con cambios en Otro Resultado Integral [miembro]</t>
  </si>
  <si>
    <t>C07702015</t>
  </si>
  <si>
    <t>C07702016</t>
  </si>
  <si>
    <t>C07702017</t>
  </si>
  <si>
    <t>C07702018</t>
  </si>
  <si>
    <t>C07702021</t>
  </si>
  <si>
    <t>C07702022</t>
  </si>
  <si>
    <t>C07802002</t>
  </si>
  <si>
    <t>C07802003</t>
  </si>
  <si>
    <t>Acciones preferentes [miembro]</t>
  </si>
  <si>
    <t>C07802004</t>
  </si>
  <si>
    <t>Capital en acciones [miembro]</t>
  </si>
  <si>
    <t>C07804002</t>
  </si>
  <si>
    <t>C07804003</t>
  </si>
  <si>
    <t>Reserva legal [miembro]</t>
  </si>
  <si>
    <t>C07804004</t>
  </si>
  <si>
    <t>C07804005</t>
  </si>
  <si>
    <t>C07804006</t>
  </si>
  <si>
    <t>Reserva para Estabilización [miembro]</t>
  </si>
  <si>
    <t>C07804007</t>
  </si>
  <si>
    <t>Reserva para Estabilización monetaria y cambiaria [miembro]</t>
  </si>
  <si>
    <t>C07804008</t>
  </si>
  <si>
    <t>C07804009</t>
  </si>
  <si>
    <t>C07804010</t>
  </si>
  <si>
    <t>Reserva de ganancias y pérdidas en nuevas mediciones de activos financieros disponibles para la venta [miembro]</t>
  </si>
  <si>
    <t>C07804011</t>
  </si>
  <si>
    <t>C07804012</t>
  </si>
  <si>
    <t>C07804013</t>
  </si>
  <si>
    <t>C07804014</t>
  </si>
  <si>
    <t>C07804015</t>
  </si>
  <si>
    <t>C07804016</t>
  </si>
  <si>
    <t>Reserva para catástrofes [miembro]</t>
  </si>
  <si>
    <t>C07804017</t>
  </si>
  <si>
    <t>Reserva para estabilización [miembro]</t>
  </si>
  <si>
    <t>C07804018</t>
  </si>
  <si>
    <t>Reserva de componentes de participación discrecional [miembro]</t>
  </si>
  <si>
    <t>C07804019</t>
  </si>
  <si>
    <t>C07902001</t>
  </si>
  <si>
    <t>Total de la entidad por partidas de consolidación de segmentos [miembro]</t>
  </si>
  <si>
    <t>C07902002</t>
  </si>
  <si>
    <t>C07902003</t>
  </si>
  <si>
    <t>Todos los demás segmentos [miembro]</t>
  </si>
  <si>
    <t>C07902004</t>
  </si>
  <si>
    <t>C07902005</t>
  </si>
  <si>
    <t>Segmentos de operación [miembro]</t>
  </si>
  <si>
    <t>C07902006</t>
  </si>
  <si>
    <t>C07902007</t>
  </si>
  <si>
    <t>C07902008</t>
  </si>
  <si>
    <t>C07902009</t>
  </si>
  <si>
    <t>Eliminación de importes intersegmentos [miembro]</t>
  </si>
  <si>
    <t>C07902010</t>
  </si>
  <si>
    <t>C07902011</t>
  </si>
  <si>
    <t>C07902012</t>
  </si>
  <si>
    <t>C07902013</t>
  </si>
  <si>
    <t>Importes no asignados [miembro]</t>
  </si>
  <si>
    <t>C07902014</t>
  </si>
  <si>
    <t>C07902015</t>
  </si>
  <si>
    <t>C07902016</t>
  </si>
  <si>
    <t>C07902017</t>
  </si>
  <si>
    <t>Partidas significativas de conciliación [miembro]</t>
  </si>
  <si>
    <t>C07902018</t>
  </si>
  <si>
    <t>C07902019</t>
  </si>
  <si>
    <t>C07902020</t>
  </si>
  <si>
    <t>C07903001</t>
  </si>
  <si>
    <t>Productos y servicios [miembro]</t>
  </si>
  <si>
    <t>C07904002</t>
  </si>
  <si>
    <t>País de domicilio [miembro]</t>
  </si>
  <si>
    <t>C07904003</t>
  </si>
  <si>
    <t>Países extranjeros [miembro]</t>
  </si>
  <si>
    <t>C07904004</t>
  </si>
  <si>
    <t>Áreas geográficas [miembro]</t>
  </si>
  <si>
    <t>C07905002</t>
  </si>
  <si>
    <t>Otros Clientes [miembro]</t>
  </si>
  <si>
    <t>C07905003</t>
  </si>
  <si>
    <t>Gobierno [miembro]</t>
  </si>
  <si>
    <t>C07905004</t>
  </si>
  <si>
    <t>Clientes [miembro]</t>
  </si>
  <si>
    <t>C07907002</t>
  </si>
  <si>
    <t>Otros Proveedores [miembro]</t>
  </si>
  <si>
    <t>C07907003</t>
  </si>
  <si>
    <t>C07907004</t>
  </si>
  <si>
    <t>Proveedores [miembro]</t>
  </si>
  <si>
    <t>C08000000</t>
  </si>
  <si>
    <t>C08501001</t>
  </si>
  <si>
    <t>Total Patrimonio [miembro]</t>
  </si>
  <si>
    <t>C08501002</t>
  </si>
  <si>
    <t>C08501003</t>
  </si>
  <si>
    <t>C08501004</t>
  </si>
  <si>
    <t>Total patrimonio atribuible a propietarios de la controladora [miembro]</t>
  </si>
  <si>
    <t>C08501005</t>
  </si>
  <si>
    <t>Total ganancias acumuladas [miembro]</t>
  </si>
  <si>
    <t>C08501006</t>
  </si>
  <si>
    <t>Ganancias acumuladas por efectos de la convergencia [miembro]</t>
  </si>
  <si>
    <t>C08501007</t>
  </si>
  <si>
    <t>Total otras reservas [miembro]</t>
  </si>
  <si>
    <t>C08501008</t>
  </si>
  <si>
    <t>Reserva acciones propias en cartera [miembro]</t>
  </si>
  <si>
    <t>C08501009</t>
  </si>
  <si>
    <t>Reserva ocasional y/o estatutaria [miembro]</t>
  </si>
  <si>
    <t>C08501010</t>
  </si>
  <si>
    <t>C08501011</t>
  </si>
  <si>
    <t>C08501012</t>
  </si>
  <si>
    <t>C08501013</t>
  </si>
  <si>
    <t>C08501014</t>
  </si>
  <si>
    <t>C08501015</t>
  </si>
  <si>
    <t>C08501016</t>
  </si>
  <si>
    <t>C08501017</t>
  </si>
  <si>
    <t>C08501018</t>
  </si>
  <si>
    <t>Reversión de ganancias y pérdidas sobre activos financieros medidos al valor razonable con cambios en otro resultado integral [miembro]</t>
  </si>
  <si>
    <t>C08501019</t>
  </si>
  <si>
    <t>Reserva por cambios en el valor de los diferenciales de la tasa de cambio de la moneda extranjera [miembro]</t>
  </si>
  <si>
    <t>C08501020</t>
  </si>
  <si>
    <t>Reserva por cambios en el valor de los elementos a término de contratos a término [miembro]</t>
  </si>
  <si>
    <t>C08501021</t>
  </si>
  <si>
    <t>Reserva por cambios en el valor temporal del dinero de opciones [miembro]</t>
  </si>
  <si>
    <t>C08501022</t>
  </si>
  <si>
    <t>Participación de otro resultado integral de asociadas y negocios conjuntos contabilizados utilizando el método de la participación [miembro]</t>
  </si>
  <si>
    <t>C08501023</t>
  </si>
  <si>
    <t>Reserva de ganancias y pérdidas sobre instrumentos de cobertura que cubren inversiones en instrumentos de patrimonio [miembro]</t>
  </si>
  <si>
    <t>C08501024</t>
  </si>
  <si>
    <t>C08501025</t>
  </si>
  <si>
    <t>C08501026</t>
  </si>
  <si>
    <t>C08501027</t>
  </si>
  <si>
    <t>C08501028</t>
  </si>
  <si>
    <t>C08501029</t>
  </si>
  <si>
    <t>Inversión suplementaria al capital asignado [miembro]</t>
  </si>
  <si>
    <t>C08501030</t>
  </si>
  <si>
    <t>C08501031</t>
  </si>
  <si>
    <t>Superavit por revaluación [miembro]</t>
  </si>
  <si>
    <t>C08501032</t>
  </si>
  <si>
    <t>Ganancias acumuladas diferentes a las generadas por efectos de la convergencia [miembro]</t>
  </si>
  <si>
    <t>C09900000</t>
  </si>
  <si>
    <t>C09901001</t>
  </si>
  <si>
    <t>Monto original de la deuda Pesos Col..</t>
  </si>
  <si>
    <t>Monto original de la deuda Pesos Col.</t>
  </si>
  <si>
    <t>C09902002</t>
  </si>
  <si>
    <t>C09903001</t>
  </si>
  <si>
    <t>C09903002</t>
  </si>
  <si>
    <t>Flujos contractuales de las obligaciones a largo plazo (total)</t>
  </si>
  <si>
    <t>C11101001</t>
  </si>
  <si>
    <t>Detalle valores</t>
  </si>
  <si>
    <t>C11101010</t>
  </si>
  <si>
    <t>Total saldo en pesos COL a la fecha de reporte</t>
  </si>
  <si>
    <t>Valor en pesos</t>
  </si>
  <si>
    <t>C11102001</t>
  </si>
  <si>
    <t>Diferencia en Cambio</t>
  </si>
  <si>
    <t>C11200000</t>
  </si>
  <si>
    <t>C11201001</t>
  </si>
  <si>
    <t>Almacena un 1 si se graba el registro</t>
  </si>
  <si>
    <t>C11301003</t>
  </si>
  <si>
    <t>C11302001</t>
  </si>
  <si>
    <t>C11401001</t>
  </si>
  <si>
    <t>Cuentas comerciales por cobrar y otras cuentas por cobrar</t>
  </si>
  <si>
    <t>C11401002</t>
  </si>
  <si>
    <t>Total Saldo del ejercicio</t>
  </si>
  <si>
    <t>C11401003</t>
  </si>
  <si>
    <t>Total cuentas por cobrar vencidas</t>
  </si>
  <si>
    <t>C11401004</t>
  </si>
  <si>
    <t>En el exterior no corrientes</t>
  </si>
  <si>
    <t>C11401005</t>
  </si>
  <si>
    <t>Nacionales no corrientes</t>
  </si>
  <si>
    <t>C11401006</t>
  </si>
  <si>
    <t>En el exterior corrientes</t>
  </si>
  <si>
    <t>C11401007</t>
  </si>
  <si>
    <t>Nacionales corrientes</t>
  </si>
  <si>
    <t>C11401008</t>
  </si>
  <si>
    <t>Valor vencidas de mas de 360 días</t>
  </si>
  <si>
    <t>C11401009</t>
  </si>
  <si>
    <t>Valor vencidas de 181 a 360 días</t>
  </si>
  <si>
    <t>C11401010</t>
  </si>
  <si>
    <t>Valor vencidas de 91 a 180 días</t>
  </si>
  <si>
    <t>C11401011</t>
  </si>
  <si>
    <t>Valor vencidas de 1 a 90 días</t>
  </si>
  <si>
    <t>C11401012</t>
  </si>
  <si>
    <t>Número de vencidas</t>
  </si>
  <si>
    <t>C11601000</t>
  </si>
  <si>
    <t>Valores bloque 1</t>
  </si>
  <si>
    <t>C11700000</t>
  </si>
  <si>
    <t>C11701001</t>
  </si>
  <si>
    <t>Valor</t>
  </si>
  <si>
    <t>C11800000</t>
  </si>
  <si>
    <t>C11801002</t>
  </si>
  <si>
    <t>C11900000</t>
  </si>
  <si>
    <t>[900010] Notas Informe Anual PP&amp;E</t>
  </si>
  <si>
    <t>C11901000</t>
  </si>
  <si>
    <t>Valor neto en libros</t>
  </si>
  <si>
    <t>Costo en libros</t>
  </si>
  <si>
    <t>Depreciación acumulada</t>
  </si>
  <si>
    <t>C11902000</t>
  </si>
  <si>
    <t>N° de acciones o cuotas si se trata de inversiones</t>
  </si>
  <si>
    <t>C11903000</t>
  </si>
  <si>
    <t>C11903001</t>
  </si>
  <si>
    <t>C11903002</t>
  </si>
  <si>
    <t>C11903003</t>
  </si>
  <si>
    <t>C11904000</t>
  </si>
  <si>
    <t>Costo en libros, al valor razonable</t>
  </si>
  <si>
    <t>Depreciación acumulada, del valor razonable</t>
  </si>
  <si>
    <t>Costo en libros Modelo del costo</t>
  </si>
  <si>
    <t>Depreciación acumulada Del valor del activo bajo el modelo costo</t>
  </si>
  <si>
    <t>C11905000</t>
  </si>
  <si>
    <t>C12000000</t>
  </si>
  <si>
    <t>C12001000</t>
  </si>
  <si>
    <t>C12001001</t>
  </si>
  <si>
    <t>Total Derechos de uso</t>
  </si>
  <si>
    <t>C12001002</t>
  </si>
  <si>
    <t>Subtotal con compañías vinculadas</t>
  </si>
  <si>
    <t>Canal Clima S.A.S.</t>
  </si>
  <si>
    <t>Caracol America Productions LLC (Usa)</t>
  </si>
  <si>
    <t>Caracol Television Inc. (Usa)</t>
  </si>
  <si>
    <t>Caracol Television S.A.</t>
  </si>
  <si>
    <t>Caracol TV America Corp. (Usa)</t>
  </si>
  <si>
    <t>Cine Colombia S.A.</t>
  </si>
  <si>
    <t>Ditransa S.A.</t>
  </si>
  <si>
    <t>Comunican S.A.</t>
  </si>
  <si>
    <t>Famosa S.A.S</t>
  </si>
  <si>
    <t>Inversiones Cromos S.A.S.</t>
  </si>
  <si>
    <t>Naviagro S.A.S.</t>
  </si>
  <si>
    <t>Reforestadora de la Costa S.A.S.</t>
  </si>
  <si>
    <t>Stock Models S.A.S.</t>
  </si>
  <si>
    <t>Valorem S.A.</t>
  </si>
  <si>
    <t>Primeother S.A.S.</t>
  </si>
  <si>
    <t>Primevalueservice S.A.S</t>
  </si>
  <si>
    <t>Primefinanzas S.A.S.</t>
  </si>
  <si>
    <t>Invernac &amp; Cia S.A.S.</t>
  </si>
  <si>
    <t>Santo Domingo &amp; Cia S. en C.</t>
  </si>
  <si>
    <t>Gabes S.A.</t>
  </si>
  <si>
    <t>Koba Colombia S.A.S.</t>
  </si>
  <si>
    <t>San Francisco Investment</t>
  </si>
  <si>
    <t>Radial Bogotá S.A.</t>
  </si>
  <si>
    <t>Koba Colombia S.A.S. - PPA</t>
  </si>
  <si>
    <t>C12001027</t>
  </si>
  <si>
    <t>Fideicomiso FAI Grand Suites SF</t>
  </si>
  <si>
    <t>C12001028</t>
  </si>
  <si>
    <t>Fideicomiso FAI Hotel SF</t>
  </si>
  <si>
    <t>Xylom S.A.S.</t>
  </si>
  <si>
    <t>Spv Villanueva S.A.S.</t>
  </si>
  <si>
    <t>Caribbean Equity Investments Corp.</t>
  </si>
  <si>
    <t>Colinsa S. de R.L.</t>
  </si>
  <si>
    <t>EIH S. de R. L.</t>
  </si>
  <si>
    <t>Mariscala S. de R.L.</t>
  </si>
  <si>
    <t>MBH 1 LLC</t>
  </si>
  <si>
    <t>MIH2 LLC</t>
  </si>
  <si>
    <t>Visencio Investments</t>
  </si>
  <si>
    <t>Weirsdale Holdings</t>
  </si>
  <si>
    <t>Weissener S. de R.L.</t>
  </si>
  <si>
    <t>Wieisan S. de R.L.</t>
  </si>
  <si>
    <t>Eco-Energia S.A.S.</t>
  </si>
  <si>
    <t>C12001042</t>
  </si>
  <si>
    <t>C12001043</t>
  </si>
  <si>
    <t>Metodo de PArticipación</t>
  </si>
  <si>
    <t>C12001044</t>
  </si>
  <si>
    <t>Refoenergy Bita S.A.S.</t>
  </si>
  <si>
    <t>C12001045</t>
  </si>
  <si>
    <t>Refopanel Zomac S.A.S.</t>
  </si>
  <si>
    <t>C12001046</t>
  </si>
  <si>
    <t>Zinea Ltda.</t>
  </si>
  <si>
    <t>C12001100</t>
  </si>
  <si>
    <t>Dumy para selección</t>
  </si>
  <si>
    <t>C12001101</t>
  </si>
  <si>
    <t>C12001102</t>
  </si>
  <si>
    <t>C12001103</t>
  </si>
  <si>
    <t>C12001104</t>
  </si>
  <si>
    <t>C12001105</t>
  </si>
  <si>
    <t>C12001106</t>
  </si>
  <si>
    <t>C12001107</t>
  </si>
  <si>
    <t>C12001108</t>
  </si>
  <si>
    <t>C12001109</t>
  </si>
  <si>
    <t>C12002000</t>
  </si>
  <si>
    <t>C12002001</t>
  </si>
  <si>
    <t>C12002002</t>
  </si>
  <si>
    <t>C12002003</t>
  </si>
  <si>
    <t>C12002004</t>
  </si>
  <si>
    <t>C12002005</t>
  </si>
  <si>
    <t>C12002006</t>
  </si>
  <si>
    <t>C12002007</t>
  </si>
  <si>
    <t>Eq Computo-Comunicación</t>
  </si>
  <si>
    <t>C12002008</t>
  </si>
  <si>
    <t>Flota Equipo Transporte</t>
  </si>
  <si>
    <t>C12003000</t>
  </si>
  <si>
    <t>C12003001</t>
  </si>
  <si>
    <t>C12100000</t>
  </si>
  <si>
    <t>C12101001</t>
  </si>
  <si>
    <t>Valor saldo</t>
  </si>
  <si>
    <t>C12101002</t>
  </si>
  <si>
    <t>un año</t>
  </si>
  <si>
    <t>C12101003</t>
  </si>
  <si>
    <t>dos años</t>
  </si>
  <si>
    <t>C12101004</t>
  </si>
  <si>
    <t>Tres o más</t>
  </si>
  <si>
    <t>C12200000</t>
  </si>
  <si>
    <t>[900011] Notas Informe Anual Pensiones de jubilación</t>
  </si>
  <si>
    <t>C12201001</t>
  </si>
  <si>
    <t>C12201002</t>
  </si>
  <si>
    <t>Disminución del 0.5% Aumento en la obligación</t>
  </si>
  <si>
    <t>C12201003</t>
  </si>
  <si>
    <t>Aumento del 0.5% Disminución en la obligación</t>
  </si>
  <si>
    <t>C12300000</t>
  </si>
  <si>
    <t>C12301001</t>
  </si>
  <si>
    <t>C12301002</t>
  </si>
  <si>
    <t>Valor en libros</t>
  </si>
  <si>
    <t>C12301003</t>
  </si>
  <si>
    <t>Valor razonable</t>
  </si>
  <si>
    <t>C12400000</t>
  </si>
  <si>
    <t>[900013] Notas Informe Anual Contingencias</t>
  </si>
  <si>
    <t>C12401000</t>
  </si>
  <si>
    <t>C12401001</t>
  </si>
  <si>
    <t>Descripción de la contingencia</t>
  </si>
  <si>
    <t>C12401002</t>
  </si>
  <si>
    <t>Año en que se presenta o se tiene conocimiento de la contingencia</t>
  </si>
  <si>
    <t>C12401003</t>
  </si>
  <si>
    <t>Monto de la contingencia en pesos colombianos</t>
  </si>
  <si>
    <t>C12401004</t>
  </si>
  <si>
    <t>Estimar la calificación del riesgo: Probable, Eventual o Remoto</t>
  </si>
  <si>
    <t>C12401005</t>
  </si>
  <si>
    <t>Año en que registró la provisión</t>
  </si>
  <si>
    <t>C12401006</t>
  </si>
  <si>
    <t>Cuenta de balance en donde registró la provisión (cuenta operativa y de grupo)</t>
  </si>
  <si>
    <t>C12401007</t>
  </si>
  <si>
    <t>Cuenta de resultados en donde registró la provisión (cuenta operativa y de grupo)</t>
  </si>
  <si>
    <t>C12401008</t>
  </si>
  <si>
    <t>Cual seria la revelación que haria la compañía</t>
  </si>
  <si>
    <t>C12401009</t>
  </si>
  <si>
    <t>DUmmy</t>
  </si>
  <si>
    <t>C12401010</t>
  </si>
  <si>
    <t>C12401011</t>
  </si>
  <si>
    <t>C12500000</t>
  </si>
  <si>
    <t>C12501001</t>
  </si>
  <si>
    <t>C12501002</t>
  </si>
  <si>
    <t>C12600000</t>
  </si>
  <si>
    <t>C12601001</t>
  </si>
  <si>
    <t>C12601002</t>
  </si>
  <si>
    <t>C12700000</t>
  </si>
  <si>
    <t>C12701001</t>
  </si>
  <si>
    <t>C12701002</t>
  </si>
  <si>
    <t>C12800000</t>
  </si>
  <si>
    <t>C12801001</t>
  </si>
  <si>
    <t>C12801002</t>
  </si>
  <si>
    <t>C12801003</t>
  </si>
  <si>
    <t>C12801004</t>
  </si>
  <si>
    <t>C12900000</t>
  </si>
  <si>
    <t>C12901000</t>
  </si>
  <si>
    <t>C12901001</t>
  </si>
  <si>
    <t>C12902000</t>
  </si>
  <si>
    <t>C12902001</t>
  </si>
  <si>
    <t>C12902002</t>
  </si>
  <si>
    <t>Total Terceros</t>
  </si>
  <si>
    <t>C12902003</t>
  </si>
  <si>
    <t>Sin Contrato</t>
  </si>
  <si>
    <t>C12902004</t>
  </si>
  <si>
    <t>Con contrato</t>
  </si>
  <si>
    <t>C12902005</t>
  </si>
  <si>
    <t>Total Vinculadas</t>
  </si>
  <si>
    <t>C12902006</t>
  </si>
  <si>
    <t>C12902007</t>
  </si>
  <si>
    <t>C12902008</t>
  </si>
  <si>
    <t>Total Sin Contrato</t>
  </si>
  <si>
    <t>C12902009</t>
  </si>
  <si>
    <t>Total Con Contrato</t>
  </si>
  <si>
    <t>C12905000</t>
  </si>
  <si>
    <t>C12905001</t>
  </si>
  <si>
    <t>Total Por zonas geográficas (Con contratos)</t>
  </si>
  <si>
    <t>C12905002</t>
  </si>
  <si>
    <t>C12905003</t>
  </si>
  <si>
    <t>Viculados</t>
  </si>
  <si>
    <t>C12906000</t>
  </si>
  <si>
    <t>C12906001</t>
  </si>
  <si>
    <t>C12906002</t>
  </si>
  <si>
    <t>C12906003</t>
  </si>
  <si>
    <t>C12907000</t>
  </si>
  <si>
    <t>C12907001</t>
  </si>
  <si>
    <t>C12907002</t>
  </si>
  <si>
    <t>Con Contrato</t>
  </si>
  <si>
    <t>C12907003</t>
  </si>
  <si>
    <t>C12909000</t>
  </si>
  <si>
    <t>C12909002</t>
  </si>
  <si>
    <t>C12909003</t>
  </si>
  <si>
    <t>C12910000</t>
  </si>
  <si>
    <t>C12910001</t>
  </si>
  <si>
    <t>C12910002</t>
  </si>
  <si>
    <t>C12910003</t>
  </si>
  <si>
    <t>C12911000</t>
  </si>
  <si>
    <t>C12911001</t>
  </si>
  <si>
    <t>C12911002</t>
  </si>
  <si>
    <t>C12911003</t>
  </si>
  <si>
    <t>C12912000</t>
  </si>
  <si>
    <t>Bloque 12 SALDOS DE CONTRATOS CON CLIENTES</t>
  </si>
  <si>
    <t>C12912001</t>
  </si>
  <si>
    <t>Saldos Cuentas x Cobrar</t>
  </si>
  <si>
    <t>C12912002</t>
  </si>
  <si>
    <t>Saldos pasivos Contractuales</t>
  </si>
  <si>
    <t>C13000000</t>
  </si>
  <si>
    <t>C13001001</t>
  </si>
  <si>
    <t>C13001002</t>
  </si>
  <si>
    <t>C13100000</t>
  </si>
  <si>
    <t>C13101001</t>
  </si>
  <si>
    <t>C13101002</t>
  </si>
  <si>
    <t>C13200000</t>
  </si>
  <si>
    <t>C13201000</t>
  </si>
  <si>
    <t>C13201001</t>
  </si>
  <si>
    <t>C13300000</t>
  </si>
  <si>
    <t>C13301001</t>
  </si>
  <si>
    <t>C13301002</t>
  </si>
  <si>
    <t>C13400000</t>
  </si>
  <si>
    <t>C13401001</t>
  </si>
  <si>
    <t>C13401002</t>
  </si>
  <si>
    <t>C13500000</t>
  </si>
  <si>
    <t>C13501000</t>
  </si>
  <si>
    <t>C13501001</t>
  </si>
  <si>
    <t>TEXTO</t>
  </si>
  <si>
    <t>C13501002</t>
  </si>
  <si>
    <t>Valor inicial a enero 1 de</t>
  </si>
  <si>
    <t>C13501003</t>
  </si>
  <si>
    <t>Utilizadas en</t>
  </si>
  <si>
    <t>C13501004</t>
  </si>
  <si>
    <t>Generadas en</t>
  </si>
  <si>
    <t>C13501005</t>
  </si>
  <si>
    <t>Saldo a diciembre 31 de</t>
  </si>
  <si>
    <t>C13501006</t>
  </si>
  <si>
    <t>Vr pérdidas que generaron impuesto diferido a diciembre 31 de</t>
  </si>
  <si>
    <t>C13501007</t>
  </si>
  <si>
    <t>Pérdidas que no han generado impuesto diferido activo debido a la incertidumbre de recuperarlas</t>
  </si>
  <si>
    <t>C13600000</t>
  </si>
  <si>
    <t>C13601000</t>
  </si>
  <si>
    <t>C13601001</t>
  </si>
  <si>
    <t>C13601002</t>
  </si>
  <si>
    <t>C13601003</t>
  </si>
  <si>
    <t>Impuesto</t>
  </si>
  <si>
    <t>C13601004</t>
  </si>
  <si>
    <t>Con provisión</t>
  </si>
  <si>
    <t>C13601005</t>
  </si>
  <si>
    <t>Sin provisión</t>
  </si>
  <si>
    <t>C13700000</t>
  </si>
  <si>
    <t>C13701000</t>
  </si>
  <si>
    <t>C13701001</t>
  </si>
  <si>
    <t>Costo fiscal</t>
  </si>
  <si>
    <t>C13701002</t>
  </si>
  <si>
    <t>Valor en IFRS</t>
  </si>
  <si>
    <t>C13701003</t>
  </si>
  <si>
    <t>Base fiscal</t>
  </si>
  <si>
    <t>C13701004</t>
  </si>
  <si>
    <t>Tipo renta: Ordinaria u Ocasional</t>
  </si>
  <si>
    <t>C13701005</t>
  </si>
  <si>
    <t>C13701006</t>
  </si>
  <si>
    <t>Impuesto diferido no reconocido</t>
  </si>
  <si>
    <t>C13800000</t>
  </si>
  <si>
    <t>[900028] Notas - Conciliación Tasa Efectiva Del Impuesto A L</t>
  </si>
  <si>
    <t>C13801000</t>
  </si>
  <si>
    <t>C13801001</t>
  </si>
  <si>
    <t>Resultado</t>
  </si>
  <si>
    <t>C13801002</t>
  </si>
  <si>
    <t>C13900000</t>
  </si>
  <si>
    <t>[900029] Notas - Conciliación Tasa Efectiva Del Impuesto a l</t>
  </si>
  <si>
    <t>C13901000</t>
  </si>
  <si>
    <t>C13901001</t>
  </si>
  <si>
    <t>C13901002</t>
  </si>
  <si>
    <t>C14000000</t>
  </si>
  <si>
    <t>[900030] Nota - Conciliación Del Gasto Corriente por Impuest</t>
  </si>
  <si>
    <t>C14001000</t>
  </si>
  <si>
    <t>C14001001</t>
  </si>
  <si>
    <t>C20100000</t>
  </si>
  <si>
    <t>[801000] Cuentas comerciales por cobrar y otras cuentas por cobrar</t>
  </si>
  <si>
    <t>C20101000</t>
  </si>
  <si>
    <t>C20101001</t>
  </si>
  <si>
    <t>C20101002</t>
  </si>
  <si>
    <t>C20101003</t>
  </si>
  <si>
    <t>C20101004</t>
  </si>
  <si>
    <t>C20101005</t>
  </si>
  <si>
    <t>C20101006</t>
  </si>
  <si>
    <t>C20101007</t>
  </si>
  <si>
    <t>C20101008</t>
  </si>
  <si>
    <t>C20101009</t>
  </si>
  <si>
    <t>C20101010</t>
  </si>
  <si>
    <t>C20101011</t>
  </si>
  <si>
    <t>C20200000</t>
  </si>
  <si>
    <t>[801600] Notas - Cuentas comerciales por pagar, otras cuenta</t>
  </si>
  <si>
    <t>C20201000</t>
  </si>
  <si>
    <t>C20201001</t>
  </si>
  <si>
    <t>C20201002</t>
  </si>
  <si>
    <t>C20201003</t>
  </si>
  <si>
    <t>C20201004</t>
  </si>
  <si>
    <t>C20201005</t>
  </si>
  <si>
    <t>C20201006</t>
  </si>
  <si>
    <t>C20201007</t>
  </si>
  <si>
    <t>C20201008</t>
  </si>
  <si>
    <t>C20201009</t>
  </si>
  <si>
    <t>C20201010</t>
  </si>
  <si>
    <t>C20201011</t>
  </si>
  <si>
    <t>C20300000</t>
  </si>
  <si>
    <t>[801110] Información a revelar sobre activos biológicos - Pl</t>
  </si>
  <si>
    <t>C20301000</t>
  </si>
  <si>
    <t>C20301001</t>
  </si>
  <si>
    <t>Total activos biológicos por edad [miembro]</t>
  </si>
  <si>
    <t>C20301002</t>
  </si>
  <si>
    <t>Total activos biológicos por madurar [miembro]</t>
  </si>
  <si>
    <t>C20301003</t>
  </si>
  <si>
    <t>Activos biológicos consumibles [miembro]</t>
  </si>
  <si>
    <t>C20301004</t>
  </si>
  <si>
    <t>Activos biológicos para producir frutos [miembro]</t>
  </si>
  <si>
    <t>C20301005</t>
  </si>
  <si>
    <t>Total activos biológicos maduros [miembro]</t>
  </si>
  <si>
    <t>C20301006</t>
  </si>
  <si>
    <t>C20301007</t>
  </si>
  <si>
    <t>C21600000</t>
  </si>
  <si>
    <t>[520030] Estado de flujos de efectivo, método indirecto</t>
  </si>
  <si>
    <t>C26100000</t>
  </si>
  <si>
    <t>[801150] Notas - Información a revelar sobre propiedades de</t>
  </si>
  <si>
    <t>C26101000</t>
  </si>
  <si>
    <t>C26101001</t>
  </si>
  <si>
    <t>Propiedades de inversión al valor razonable [miembro]</t>
  </si>
  <si>
    <t>C26101002</t>
  </si>
  <si>
    <t>Propiedades de inversión al costo menos depreciación acumulada y deterioro [miembro]</t>
  </si>
  <si>
    <t>C26200000</t>
  </si>
  <si>
    <t>C26201000</t>
  </si>
  <si>
    <t>C26201001</t>
  </si>
  <si>
    <t>C26300000</t>
  </si>
  <si>
    <t>C26301000</t>
  </si>
  <si>
    <t>C26301001</t>
  </si>
  <si>
    <t>C26400000</t>
  </si>
  <si>
    <t>[801400] Notas - Información a revelar sobre subsidiarias o</t>
  </si>
  <si>
    <t>C26401000</t>
  </si>
  <si>
    <t>C26401001</t>
  </si>
  <si>
    <t>C26401002</t>
  </si>
  <si>
    <t>NIT de la Asociada</t>
  </si>
  <si>
    <t>C26401003</t>
  </si>
  <si>
    <t>C26401004</t>
  </si>
  <si>
    <t>C26401005</t>
  </si>
  <si>
    <t>Porcentaje de participación en asociadas</t>
  </si>
  <si>
    <t>C26401006</t>
  </si>
  <si>
    <t>Porcentaje de derechos de voto mantenidos en asociadas</t>
  </si>
  <si>
    <t>C26401007</t>
  </si>
  <si>
    <t>Dividendos recibidos de la asociada</t>
  </si>
  <si>
    <t>C26401008</t>
  </si>
  <si>
    <t>Activos de la asociada</t>
  </si>
  <si>
    <t>C26401009</t>
  </si>
  <si>
    <t>Pasivos de la asociada</t>
  </si>
  <si>
    <t>C26401010</t>
  </si>
  <si>
    <t>Patrimonio de la asociada</t>
  </si>
  <si>
    <t>C26401011</t>
  </si>
  <si>
    <t>Otro resultado integral de la asociada</t>
  </si>
  <si>
    <t>C26401012</t>
  </si>
  <si>
    <t>Resultado Integral de la asociada</t>
  </si>
  <si>
    <t>C26401013</t>
  </si>
  <si>
    <t>C26401014</t>
  </si>
  <si>
    <t>Inversiones contabilizadas utilizando el método de la participación de la asociada</t>
  </si>
  <si>
    <t>C26401015</t>
  </si>
  <si>
    <t>C26401016</t>
  </si>
  <si>
    <t>C26401017</t>
  </si>
  <si>
    <t>C26500000</t>
  </si>
  <si>
    <t>C26501000</t>
  </si>
  <si>
    <t>C26501001</t>
  </si>
  <si>
    <t>C26501002</t>
  </si>
  <si>
    <t>NIT de la Subsidiaria</t>
  </si>
  <si>
    <t>C26501003</t>
  </si>
  <si>
    <t>Ciudad de domicilio de la subsidiaria</t>
  </si>
  <si>
    <t>C26501004</t>
  </si>
  <si>
    <t>C26501005</t>
  </si>
  <si>
    <t>Porcentaje de participación de la participación no controladora</t>
  </si>
  <si>
    <t>C26501006</t>
  </si>
  <si>
    <t>Porcentaje de derechos de voto mantenidos por las participaciones no controladoras</t>
  </si>
  <si>
    <t>C26501007</t>
  </si>
  <si>
    <t>C26501008</t>
  </si>
  <si>
    <t>Participación no controladora en Subsidiaria</t>
  </si>
  <si>
    <t>C26501009</t>
  </si>
  <si>
    <t>Activos de la subsidiaria</t>
  </si>
  <si>
    <t>C26501010</t>
  </si>
  <si>
    <t>Pasivos de la subsidiaria</t>
  </si>
  <si>
    <t>C26501011</t>
  </si>
  <si>
    <t>Patrimonio de la subsidiaria</t>
  </si>
  <si>
    <t>C26501012</t>
  </si>
  <si>
    <t>Otro resultado integral de la subsidiaria</t>
  </si>
  <si>
    <t>C26501013</t>
  </si>
  <si>
    <t>Resultado Integral de la subsidiaria</t>
  </si>
  <si>
    <t>C26501014</t>
  </si>
  <si>
    <t>Inversiones contabilizadas utilizando el método de la participación de la subsidiaria</t>
  </si>
  <si>
    <t>C26501015</t>
  </si>
  <si>
    <t>Participación en otro resultado integral de subsidiarias utilizando el método de la participación, neto de impuestos</t>
  </si>
  <si>
    <t>C26501016</t>
  </si>
  <si>
    <t>Participación en el resultado integral total de subsidiarias utilizando el método de la participación</t>
  </si>
  <si>
    <t>C26501017</t>
  </si>
  <si>
    <t>C26501018</t>
  </si>
  <si>
    <t>C26600000</t>
  </si>
  <si>
    <t>[801460] Notas - Información a revelar sobre negocios conjun</t>
  </si>
  <si>
    <t>C26601000</t>
  </si>
  <si>
    <t>C26601001</t>
  </si>
  <si>
    <t>C26601002</t>
  </si>
  <si>
    <t>NIT del Negocio Conjunto</t>
  </si>
  <si>
    <t>C26601003</t>
  </si>
  <si>
    <t>C26601004</t>
  </si>
  <si>
    <t>C26601005</t>
  </si>
  <si>
    <t>Porcentaje de participacion en el negocio conjunto</t>
  </si>
  <si>
    <t>C26601006</t>
  </si>
  <si>
    <t>Porcentaje de derechos de voto mantenidos en negocios conjuntos</t>
  </si>
  <si>
    <t>C26601007</t>
  </si>
  <si>
    <t>C26601008</t>
  </si>
  <si>
    <t>Dividendos recibidos del negocio conjunto</t>
  </si>
  <si>
    <t>C26601009</t>
  </si>
  <si>
    <t>Activos del negocio conjunto</t>
  </si>
  <si>
    <t>C26601010</t>
  </si>
  <si>
    <t>Pasivos del negocio conjunto</t>
  </si>
  <si>
    <t>C26601011</t>
  </si>
  <si>
    <t>Patrimonio del negocio conjunto</t>
  </si>
  <si>
    <t>C26601012</t>
  </si>
  <si>
    <t>Otro resultado integral del negocio conjunto</t>
  </si>
  <si>
    <t>C26601013</t>
  </si>
  <si>
    <t>Resultado Integral del negocio conjunto</t>
  </si>
  <si>
    <t>C26601014</t>
  </si>
  <si>
    <t>C26601015</t>
  </si>
  <si>
    <t>Inversiones contabilizadas utilizando el método de la participación del negocio conjunto</t>
  </si>
  <si>
    <t>C26601016</t>
  </si>
  <si>
    <t>C26601017</t>
  </si>
  <si>
    <t>C26601018</t>
  </si>
  <si>
    <t>C26700000</t>
  </si>
  <si>
    <t>C26701000</t>
  </si>
  <si>
    <t>C26701001</t>
  </si>
  <si>
    <t>C26701002</t>
  </si>
  <si>
    <t>C26701003</t>
  </si>
  <si>
    <t>C26701004</t>
  </si>
  <si>
    <t>Inversiones en asociadas [miembro]</t>
  </si>
  <si>
    <t>C26701005</t>
  </si>
  <si>
    <t>Inversiones en negocios conjuntos [miembro]</t>
  </si>
  <si>
    <t>C26701006</t>
  </si>
  <si>
    <t>C26701007</t>
  </si>
  <si>
    <t>C26701008</t>
  </si>
  <si>
    <t>C26701009</t>
  </si>
  <si>
    <t>Inventarios [miembro]</t>
  </si>
  <si>
    <t>C26701010</t>
  </si>
  <si>
    <t>C26800000</t>
  </si>
  <si>
    <t>[801200] Notas - Propiedades, planta y equipo - Plenas - Con</t>
  </si>
  <si>
    <t>C26801000</t>
  </si>
  <si>
    <t>C26801001</t>
  </si>
  <si>
    <t>C26801002</t>
  </si>
  <si>
    <t>C26801003</t>
  </si>
  <si>
    <t>C26801004</t>
  </si>
  <si>
    <t>Maquinaria [miembro]</t>
  </si>
  <si>
    <t>C26801005</t>
  </si>
  <si>
    <t>C26801006</t>
  </si>
  <si>
    <t>C26801007</t>
  </si>
  <si>
    <t>C26801008</t>
  </si>
  <si>
    <t>C26801009</t>
  </si>
  <si>
    <t>C26801010</t>
  </si>
  <si>
    <t>C26801011</t>
  </si>
  <si>
    <t>C26801012</t>
  </si>
  <si>
    <t>Infraestructura de red [miembro]</t>
  </si>
  <si>
    <t>C26801013</t>
  </si>
  <si>
    <t>Plantas productoras [miembro]</t>
  </si>
  <si>
    <t>C26801014</t>
  </si>
  <si>
    <t>C26801015</t>
  </si>
  <si>
    <t>C26801016</t>
  </si>
  <si>
    <t>C26801017</t>
  </si>
  <si>
    <t>C26801018</t>
  </si>
  <si>
    <t>Otras [miembro]</t>
  </si>
  <si>
    <t>C26801019</t>
  </si>
  <si>
    <t>Destinación de las obligaciones financieras adquirdas durante el año (de acuerdo con la fecha de desembolso)</t>
  </si>
  <si>
    <t>Compañía</t>
  </si>
  <si>
    <t>País</t>
  </si>
  <si>
    <t>Relación con la compañía</t>
  </si>
  <si>
    <t>Naturaleza de los servicios</t>
  </si>
  <si>
    <t>Código interno</t>
  </si>
  <si>
    <t>Detalles</t>
  </si>
  <si>
    <t>Código interno / Cuenta</t>
  </si>
  <si>
    <t>Detalle Descripción</t>
  </si>
  <si>
    <t>Fecha de la última valoración o avalúo</t>
  </si>
  <si>
    <t>Costo</t>
  </si>
  <si>
    <t>Depreciación</t>
  </si>
  <si>
    <t>Posee activos medidos al valor razonable</t>
  </si>
  <si>
    <t>RANGO</t>
  </si>
  <si>
    <t>COMENTARIO</t>
  </si>
  <si>
    <t>11904011_C11904004</t>
  </si>
  <si>
    <t>11904009_C11904004</t>
  </si>
  <si>
    <t>11904008_C11904004</t>
  </si>
  <si>
    <t>12801001_C12801002</t>
  </si>
  <si>
    <t>12803001_C12801003</t>
  </si>
  <si>
    <t>12201001_C12101001</t>
  </si>
  <si>
    <t>11201002_C11201002</t>
  </si>
  <si>
    <t>DESTINO</t>
  </si>
  <si>
    <t>TIPO</t>
  </si>
  <si>
    <t>OMITIR BLANCOS</t>
  </si>
  <si>
    <t>LISTA DESPLEGABLE</t>
  </si>
  <si>
    <t>MENSAJE DE ENTRADA</t>
  </si>
  <si>
    <t>MENSAJE DE ERROR</t>
  </si>
  <si>
    <t>ESTILO</t>
  </si>
  <si>
    <t>TITULO</t>
  </si>
  <si>
    <t>MENSAJE</t>
  </si>
  <si>
    <t>C20:C119</t>
  </si>
  <si>
    <t>=Resultados!$F$68:$F$101</t>
  </si>
  <si>
    <t>LISTA</t>
  </si>
  <si>
    <t>SI</t>
  </si>
  <si>
    <t>NO</t>
  </si>
  <si>
    <t>DETENER</t>
  </si>
  <si>
    <t>Lista de bancos</t>
  </si>
  <si>
    <t>Por favor seleccione un banco de la lista</t>
  </si>
  <si>
    <t>D20:D119,F20:F119,L20:F119</t>
  </si>
  <si>
    <t>'=Resultados!$A$67:$A$68</t>
  </si>
  <si>
    <t>Tipo de Banco</t>
  </si>
  <si>
    <t>Por favor seleccione si o no</t>
  </si>
  <si>
    <t>J20:J119</t>
  </si>
  <si>
    <t>'=Resultados!$B$67:$B$68</t>
  </si>
  <si>
    <t>Por favor seleccione X o vacio</t>
  </si>
  <si>
    <t>D34:E53</t>
  </si>
  <si>
    <t>D13</t>
  </si>
  <si>
    <t>P17:P95</t>
  </si>
  <si>
    <t>'=Resultados!$A$77:$A$84</t>
  </si>
  <si>
    <t>Por favor seleccione un tipo de relacion de la lista</t>
  </si>
  <si>
    <t>N69:N84,N92:N94</t>
  </si>
  <si>
    <t>Por favor seleccione Si o no</t>
  </si>
  <si>
    <t>11904007_C11904004</t>
  </si>
  <si>
    <t>FECHA</t>
  </si>
  <si>
    <t xml:space="preserve">DETENER </t>
  </si>
  <si>
    <t>ENTRE,1/01/1900,31/12/3000</t>
  </si>
  <si>
    <t>H69:H84,H92:H94,Y69:Y84,Y92:Y94</t>
  </si>
  <si>
    <t>S233515_0</t>
  </si>
  <si>
    <t>GLOBAL</t>
  </si>
  <si>
    <t>END</t>
  </si>
  <si>
    <t>AVG</t>
  </si>
  <si>
    <t>TASA_AVG</t>
  </si>
  <si>
    <t>INVERNAC &amp; CIA S.A.S.</t>
  </si>
  <si>
    <t>Concatenacion</t>
  </si>
  <si>
    <t>E007 - CARACOL TELEVISION S.A.</t>
  </si>
  <si>
    <t>E009 - CINE COLOMBIA S.A.</t>
  </si>
  <si>
    <t>E012 - COMUNICAN S.A.</t>
  </si>
  <si>
    <t>E023 - REFORESTADORA DE LA COSTA</t>
  </si>
  <si>
    <t>E035 - VALOREM S.A.S.</t>
  </si>
  <si>
    <t>E052 - KOBA COLOMBIA S.A.S</t>
  </si>
  <si>
    <t>E044 - INVERNAC &amp; CIA S.A.S.</t>
  </si>
  <si>
    <t>DEC-2013 - 2013.12</t>
  </si>
  <si>
    <t>MAR-2014 - 2014.03</t>
  </si>
  <si>
    <t>JUN-2014 - 2014.06</t>
  </si>
  <si>
    <t>SEP-2014 - 2014.09</t>
  </si>
  <si>
    <t>DEC-2014 - 2014.12</t>
  </si>
  <si>
    <t>MAR-2015 - 2015.03</t>
  </si>
  <si>
    <t>JUN-2015 - 2015.06</t>
  </si>
  <si>
    <t>SEP-2015 - 2015.09</t>
  </si>
  <si>
    <t>DEC-2015 - 2015.12</t>
  </si>
  <si>
    <t>MAR-2016 - 2016.03</t>
  </si>
  <si>
    <t>JUN-2016 - 2016.06</t>
  </si>
  <si>
    <t>JUL-2016 - 2016.07</t>
  </si>
  <si>
    <t>AUG-2016 - 2016.08</t>
  </si>
  <si>
    <t>SEP-2016 - 2016.09</t>
  </si>
  <si>
    <t>DEC-2016 - 2016.12</t>
  </si>
  <si>
    <t>MAR-2017 - 2017.03</t>
  </si>
  <si>
    <t>APR-2017 - 2017.04</t>
  </si>
  <si>
    <t>JUN-2017 - 2017.06</t>
  </si>
  <si>
    <t>SEP-2017 - 2017.09</t>
  </si>
  <si>
    <t>DEC-2017 - 2017.12</t>
  </si>
  <si>
    <t>MAR-2018 - 2018.03</t>
  </si>
  <si>
    <t>JUN-2018 - 2018.06</t>
  </si>
  <si>
    <t>JUL-2018 - 2018.07</t>
  </si>
  <si>
    <t>SEP-2018 - 2018.09</t>
  </si>
  <si>
    <t>DEC-2018 - 2018.12</t>
  </si>
  <si>
    <t>MAR-2019 - 2019.03</t>
  </si>
  <si>
    <t>JUN-2019 - 2019.06</t>
  </si>
  <si>
    <t>AUG-2019 - 2019.08</t>
  </si>
  <si>
    <t>SEP-2019 - 2019.09</t>
  </si>
  <si>
    <t>DEC-2019 - 2019.12</t>
  </si>
  <si>
    <t>MAR-2020 - 2020.03</t>
  </si>
  <si>
    <t>JUN-2020 - 2020.06</t>
  </si>
  <si>
    <t>GRUPO EMPRESARIAL INVERNAC - COMBINADO</t>
  </si>
  <si>
    <t>GINVERNAC_COMBI</t>
  </si>
  <si>
    <t>GCOLINSA_S</t>
  </si>
  <si>
    <t>GRUPO VALOREM IFRS</t>
  </si>
  <si>
    <t>GVALOREM_IFRS</t>
  </si>
  <si>
    <t>GRUPO VAL-CINECO</t>
  </si>
  <si>
    <t>GVAL-CINE</t>
  </si>
  <si>
    <t>COP</t>
  </si>
  <si>
    <t>PERIODO</t>
  </si>
  <si>
    <t>COLUMNA_NOTA</t>
  </si>
  <si>
    <t>Banco Davivienda</t>
  </si>
  <si>
    <t>S2605_1</t>
  </si>
  <si>
    <t>S260595_1</t>
  </si>
  <si>
    <t>FECHA COMPARACIÓN:</t>
  </si>
  <si>
    <t>TASA_END</t>
  </si>
  <si>
    <t>ORIGEN</t>
  </si>
  <si>
    <t>G412020</t>
  </si>
  <si>
    <t>G421020</t>
  </si>
  <si>
    <t>Financieros - Diferencia en cambio y/o pacto de reajuste</t>
  </si>
  <si>
    <t>G517020</t>
  </si>
  <si>
    <t>G530525</t>
  </si>
  <si>
    <t>Cuentas corrientes comerciales</t>
  </si>
  <si>
    <t>Provisión cuentas por cobrar a vinculados económicos</t>
  </si>
  <si>
    <t>S425035</t>
  </si>
  <si>
    <t>Recuperación provisión</t>
  </si>
  <si>
    <t>S425005</t>
  </si>
  <si>
    <t>Recuperación deudas malas</t>
  </si>
  <si>
    <t>NIIF Valor razonable a traves de resultados</t>
  </si>
  <si>
    <t>NIIF Valor razonable a traves de otros resultados integrales</t>
  </si>
  <si>
    <t>Ingresos recibidos por anticipado</t>
  </si>
  <si>
    <t>S2705_1</t>
  </si>
  <si>
    <t>S2815_1</t>
  </si>
  <si>
    <t>Ingresos recibidos para terceros</t>
  </si>
  <si>
    <t>Otras</t>
  </si>
  <si>
    <t>S540505</t>
  </si>
  <si>
    <t>Impuesto de renta y complementarios</t>
  </si>
  <si>
    <t>S540510</t>
  </si>
  <si>
    <t>Impuesto de renta para la equidad</t>
  </si>
  <si>
    <t>S540515</t>
  </si>
  <si>
    <t>Impuesto de renta diferido</t>
  </si>
  <si>
    <t>Amort Acum Programas para computador (software)</t>
  </si>
  <si>
    <t>Derecho de uso Terrenos</t>
  </si>
  <si>
    <t>Derecho de uso Edificios</t>
  </si>
  <si>
    <t>Derecho de uso Intangibles</t>
  </si>
  <si>
    <t>Derecho de uso Maquinaria y Equipos</t>
  </si>
  <si>
    <t>Derecho de uso Equipo de Oficina</t>
  </si>
  <si>
    <t>Derecho de uso Equipo Computo y Comunicación</t>
  </si>
  <si>
    <t>Derecho de uso Flota y Equipo de Transporte</t>
  </si>
  <si>
    <t>Dep Acum Derecho de uso Terrenos</t>
  </si>
  <si>
    <t>Deprec Derecho de uso Edificios</t>
  </si>
  <si>
    <t>Dep Acum Derecho de uso Intangibles</t>
  </si>
  <si>
    <t>Deprec Derecho de uso Maquinaria y Equipos</t>
  </si>
  <si>
    <t>Deprec Derecho de uso Equipo de Oficina</t>
  </si>
  <si>
    <t>Deprec Derecho d uso Equipo Computo y Comunicación</t>
  </si>
  <si>
    <t>Deprec Derecho de uso Flota y Equipo Transporte</t>
  </si>
  <si>
    <t>Arrendamientos - Terrenos</t>
  </si>
  <si>
    <t>Arrendamientos - Edificios</t>
  </si>
  <si>
    <t>Arrendamientos - Intangibles</t>
  </si>
  <si>
    <t>Arrendamientos - Maquinaria y equipo</t>
  </si>
  <si>
    <t>Arrendamientos - Equipo de oficina</t>
  </si>
  <si>
    <t>Arrendamientos - Eq Computo-Comunicación</t>
  </si>
  <si>
    <t>Arrendamientos - Flota Equipo Transporte</t>
  </si>
  <si>
    <t>S530513</t>
  </si>
  <si>
    <t>Financieros - Intereses arrendamientos</t>
  </si>
  <si>
    <t>S424813</t>
  </si>
  <si>
    <t>G736013004</t>
  </si>
  <si>
    <t>Dep DerUso Terrenos</t>
  </si>
  <si>
    <t>G516013016</t>
  </si>
  <si>
    <t>Dep DerUso Edificios</t>
  </si>
  <si>
    <t>G526013018</t>
  </si>
  <si>
    <t>Deprec Derecho de uso Intangibles</t>
  </si>
  <si>
    <t>G736013020</t>
  </si>
  <si>
    <t>Dep DerUso Maq-Equip</t>
  </si>
  <si>
    <t>G516013024</t>
  </si>
  <si>
    <t>Dep DerUso Eq-oficin</t>
  </si>
  <si>
    <t>G526013028</t>
  </si>
  <si>
    <t>Dep DUso Computo-com</t>
  </si>
  <si>
    <t>G736013040</t>
  </si>
  <si>
    <t>Dep DUso Flota-Trans</t>
  </si>
  <si>
    <t>G516013004</t>
  </si>
  <si>
    <t>G526013016</t>
  </si>
  <si>
    <t>G736013018</t>
  </si>
  <si>
    <t>G516013020</t>
  </si>
  <si>
    <t>G526013024</t>
  </si>
  <si>
    <t>G736013028</t>
  </si>
  <si>
    <t>G516013040</t>
  </si>
  <si>
    <t>G526013004</t>
  </si>
  <si>
    <t>G736013016</t>
  </si>
  <si>
    <t>G516013018</t>
  </si>
  <si>
    <t>G526013020</t>
  </si>
  <si>
    <t>G736013024</t>
  </si>
  <si>
    <t>G516013028</t>
  </si>
  <si>
    <t>G526013040</t>
  </si>
  <si>
    <t>S430</t>
  </si>
  <si>
    <t>S410</t>
  </si>
  <si>
    <t>G152805100</t>
  </si>
  <si>
    <t>G152405100</t>
  </si>
  <si>
    <t>S540</t>
  </si>
  <si>
    <t>S5120</t>
  </si>
  <si>
    <t>S517020</t>
  </si>
  <si>
    <t>S519910</t>
  </si>
  <si>
    <t>S412020</t>
  </si>
  <si>
    <t>S1399_0</t>
  </si>
  <si>
    <t>S1504_1PI</t>
  </si>
  <si>
    <t>Terrenos propiedades de inversión</t>
  </si>
  <si>
    <t>S1516_1PI</t>
  </si>
  <si>
    <t>Construcciones y edificaciones propiedades de inversión</t>
  </si>
  <si>
    <t>Total Cuentas por cobrar partes relacionadas y asociada Corr</t>
  </si>
  <si>
    <t>Total Activos por impuestos corrientes, corriente</t>
  </si>
  <si>
    <t>Total Cuentas comerciales por cobrar y otras CxC Corrientes</t>
  </si>
  <si>
    <t>Total Otros activos financieros corrientes</t>
  </si>
  <si>
    <t>Total Efectivo y equivalentes al efectivo</t>
  </si>
  <si>
    <t>S1605_1</t>
  </si>
  <si>
    <t>Crédito mercantil</t>
  </si>
  <si>
    <t>S1290_0</t>
  </si>
  <si>
    <t>Instrumentos derivados</t>
  </si>
  <si>
    <t>S1564_1</t>
  </si>
  <si>
    <t>Plantaciones agrícolas y forestales</t>
  </si>
  <si>
    <t>Muebles y enseres</t>
  </si>
  <si>
    <t>Equipos de procesamiento de datos</t>
  </si>
  <si>
    <t>G152805101</t>
  </si>
  <si>
    <t>Leasing Fciero Equipos de procesamiento de datos</t>
  </si>
  <si>
    <t>S159265_1</t>
  </si>
  <si>
    <t>Dep. Acum. - Envases y empaques</t>
  </si>
  <si>
    <t>S159260_1</t>
  </si>
  <si>
    <t>Dep. Acum. - Armamento de vigilancia</t>
  </si>
  <si>
    <t>S159255_1</t>
  </si>
  <si>
    <t>Dep. Acum. - Acueductos, plantas y redes</t>
  </si>
  <si>
    <t>S159240_1</t>
  </si>
  <si>
    <t>Dep. Acum. - Flota y equipo fluvial y/o marítimo</t>
  </si>
  <si>
    <t>Dep. Acum. - Flota y equipo de transporte</t>
  </si>
  <si>
    <t>S159230_1</t>
  </si>
  <si>
    <t>Dep. Acum. - Equipo de hoteles y restaurantes</t>
  </si>
  <si>
    <t>Dep. Acum. - Equipo de computación y comunicación</t>
  </si>
  <si>
    <t>Dep. Acum. - Equipo de oficina</t>
  </si>
  <si>
    <t>S159210_1</t>
  </si>
  <si>
    <t>Dep. Acum. - Maquinaria y equipo</t>
  </si>
  <si>
    <t>S159205_MPA</t>
  </si>
  <si>
    <t>Dep. acum. Edific. Mejoras en propiedades ajenas</t>
  </si>
  <si>
    <t>S159205_1</t>
  </si>
  <si>
    <t>Dep. Acum. - Construcciones y edificaciones</t>
  </si>
  <si>
    <t>S1588_1</t>
  </si>
  <si>
    <t>S1562_1</t>
  </si>
  <si>
    <t>S1560_1</t>
  </si>
  <si>
    <t>S1710_MPA</t>
  </si>
  <si>
    <t>S1556_1</t>
  </si>
  <si>
    <t>S1544_1</t>
  </si>
  <si>
    <t>S1536_1</t>
  </si>
  <si>
    <t>S1520_1</t>
  </si>
  <si>
    <t>S1512_1</t>
  </si>
  <si>
    <t>S1516_1</t>
  </si>
  <si>
    <t>S1290_1</t>
  </si>
  <si>
    <t>S169840_1</t>
  </si>
  <si>
    <t>Deprec. y/o amort. acum. -Licencias</t>
  </si>
  <si>
    <t>S169830_1</t>
  </si>
  <si>
    <t>Deprec. y/o amort. acum. -Derechos</t>
  </si>
  <si>
    <t>S169820_1</t>
  </si>
  <si>
    <t>Deprec. y/o amort. acum. -Concesiones y franquicias</t>
  </si>
  <si>
    <t>S169810_1</t>
  </si>
  <si>
    <t>Deprec. y/o amort. acum. -Marcas</t>
  </si>
  <si>
    <t>Programas para computador (software)</t>
  </si>
  <si>
    <t>S1610_1</t>
  </si>
  <si>
    <t>Marcas</t>
  </si>
  <si>
    <t>S1620_1</t>
  </si>
  <si>
    <t>Concesiones y franquicias</t>
  </si>
  <si>
    <t>Licencias</t>
  </si>
  <si>
    <t>S1625_1</t>
  </si>
  <si>
    <t>Derechos</t>
  </si>
  <si>
    <t>Total Cuen por cob partes relacionadas y asociadas no corrie</t>
  </si>
  <si>
    <t>Total Cuentas comerciales por cobrar y otras c por cobrar no</t>
  </si>
  <si>
    <t>S150_1</t>
  </si>
  <si>
    <t>S155_1</t>
  </si>
  <si>
    <t>Total Activos por impuestos corrientes, no corriente</t>
  </si>
  <si>
    <t>Total Otros activos financieros no corrientes</t>
  </si>
  <si>
    <t>S2532_1</t>
  </si>
  <si>
    <t>Pensiones por pagar</t>
  </si>
  <si>
    <t>S2620_1</t>
  </si>
  <si>
    <t>Pensiones de jubilación</t>
  </si>
  <si>
    <t>Subtotal Provisiones corrientes por beneficios a los emplead</t>
  </si>
  <si>
    <t>S2532_0</t>
  </si>
  <si>
    <t>S205_1</t>
  </si>
  <si>
    <t>Subtotal Provisiones no corr por benef a los empleados</t>
  </si>
  <si>
    <t>Anticipos y avances recibidos</t>
  </si>
  <si>
    <t>S2890_0</t>
  </si>
  <si>
    <t>S2815_0</t>
  </si>
  <si>
    <t>S2890_1</t>
  </si>
  <si>
    <t>S2805_1</t>
  </si>
  <si>
    <t>Total Cuentas por pagar comerciales y otras cuentas por paga</t>
  </si>
  <si>
    <t>Total Obligaciones financieras corrientes</t>
  </si>
  <si>
    <t>Total Pasivos por impuestos corrientes, corriente</t>
  </si>
  <si>
    <t>Total Otros pasivos financieros corrientes</t>
  </si>
  <si>
    <t>Total Obligaciones Financieras Arrendamientos Corriente</t>
  </si>
  <si>
    <t>Total Cuentas por pagar part relac y asociadas corrientes</t>
  </si>
  <si>
    <t>Total Cuentas por pagar partes relac y asociadas no corrien</t>
  </si>
  <si>
    <t>Total Obligaciones financieras no corrientes</t>
  </si>
  <si>
    <t>Total Cuentas com por pagar y otras cuentas por pagar no c</t>
  </si>
  <si>
    <t>Total Obligaciones Financieras Arrendamientos No Corriente</t>
  </si>
  <si>
    <t>S230_1</t>
  </si>
  <si>
    <t>Total Pasivos por impuestos corrientes, no corriente</t>
  </si>
  <si>
    <t>S235_1</t>
  </si>
  <si>
    <t>Total Otros pasivos financieros no corrientes</t>
  </si>
  <si>
    <t>Total Ganancias (pérdidas) acumuladas</t>
  </si>
  <si>
    <t>Total Otras participaciones en el patrimonio</t>
  </si>
  <si>
    <t>Total Reservas</t>
  </si>
  <si>
    <t>Total Otras reservas</t>
  </si>
  <si>
    <t>Total Capital emitido</t>
  </si>
  <si>
    <t>Total Prima de emisión</t>
  </si>
  <si>
    <t>Total Resultado del ejercicio</t>
  </si>
  <si>
    <t>Interés Minoritario (Patrimonio)</t>
  </si>
  <si>
    <t>S330510_0</t>
  </si>
  <si>
    <t>Reservas por disposiciones fiscales</t>
  </si>
  <si>
    <t>Utilidades acumuladas</t>
  </si>
  <si>
    <t>Pérdidas acumuladas</t>
  </si>
  <si>
    <t>S421020</t>
  </si>
  <si>
    <t>Provisión de deudores</t>
  </si>
  <si>
    <t>S529910</t>
  </si>
  <si>
    <t>S5220</t>
  </si>
  <si>
    <t>S530525</t>
  </si>
  <si>
    <t>S7320</t>
  </si>
  <si>
    <t>S112510_0</t>
  </si>
  <si>
    <t>S1305_0</t>
  </si>
  <si>
    <t>S130505_0</t>
  </si>
  <si>
    <t>S130510_0</t>
  </si>
  <si>
    <t>S1335_0</t>
  </si>
  <si>
    <t>S133515_0</t>
  </si>
  <si>
    <t>S138020_0</t>
  </si>
  <si>
    <t>S115_0</t>
  </si>
  <si>
    <t>S1435_0</t>
  </si>
  <si>
    <t>S143501_0</t>
  </si>
  <si>
    <t>S1455_0</t>
  </si>
  <si>
    <t>S145501_0</t>
  </si>
  <si>
    <t>S1465_0</t>
  </si>
  <si>
    <t>S133096_0</t>
  </si>
  <si>
    <t>S146501_0</t>
  </si>
  <si>
    <t>S1499_0</t>
  </si>
  <si>
    <t>S149915_0</t>
  </si>
  <si>
    <t>S149995_0</t>
  </si>
  <si>
    <t>S135510_0</t>
  </si>
  <si>
    <t>S135517_0</t>
  </si>
  <si>
    <t>S135518_0</t>
  </si>
  <si>
    <t>S135535_0</t>
  </si>
  <si>
    <t>S129005_0</t>
  </si>
  <si>
    <t>S170535_0</t>
  </si>
  <si>
    <t>S152005_1</t>
  </si>
  <si>
    <t>S154020_1</t>
  </si>
  <si>
    <t>S133097_0</t>
  </si>
  <si>
    <t>S171024_1</t>
  </si>
  <si>
    <t>G179824100</t>
  </si>
  <si>
    <t>G159210100</t>
  </si>
  <si>
    <t>G151304100</t>
  </si>
  <si>
    <t>G151318100</t>
  </si>
  <si>
    <t>G151320100</t>
  </si>
  <si>
    <t>G151328100</t>
  </si>
  <si>
    <t>G151340100</t>
  </si>
  <si>
    <t>G159213104</t>
  </si>
  <si>
    <t>G159213120</t>
  </si>
  <si>
    <t>G159213118</t>
  </si>
  <si>
    <t>G159213128</t>
  </si>
  <si>
    <t>G159213140</t>
  </si>
  <si>
    <t>G169840100</t>
  </si>
  <si>
    <t>S1710_1IRD</t>
  </si>
  <si>
    <t>S171076_1</t>
  </si>
  <si>
    <t>G171076100</t>
  </si>
  <si>
    <t>G211305118</t>
  </si>
  <si>
    <t>G211305120</t>
  </si>
  <si>
    <t>G211305128</t>
  </si>
  <si>
    <t>G211305140</t>
  </si>
  <si>
    <t>S2105_0</t>
  </si>
  <si>
    <t>S210510_0</t>
  </si>
  <si>
    <t>S2505_0</t>
  </si>
  <si>
    <t>S2605_0</t>
  </si>
  <si>
    <t>G211305004</t>
  </si>
  <si>
    <t>G211305018</t>
  </si>
  <si>
    <t>G211305020</t>
  </si>
  <si>
    <t>G211305028</t>
  </si>
  <si>
    <t>G211305040</t>
  </si>
  <si>
    <t>S2205_0</t>
  </si>
  <si>
    <t>S220505_0</t>
  </si>
  <si>
    <t>S2210_0</t>
  </si>
  <si>
    <t>S221005_0</t>
  </si>
  <si>
    <t>S233530_0</t>
  </si>
  <si>
    <t>S233540_0</t>
  </si>
  <si>
    <t>S233545_0</t>
  </si>
  <si>
    <t>S236505_0</t>
  </si>
  <si>
    <t>S236572_0</t>
  </si>
  <si>
    <t>S2456_0</t>
  </si>
  <si>
    <t>S245605_0</t>
  </si>
  <si>
    <t>S2495_0</t>
  </si>
  <si>
    <t>S249595_0</t>
  </si>
  <si>
    <t>S280505_0</t>
  </si>
  <si>
    <t>S281505_0</t>
  </si>
  <si>
    <t>G371010000</t>
  </si>
  <si>
    <t>S154008_1</t>
  </si>
  <si>
    <t>S1115_0</t>
  </si>
  <si>
    <t>S111510_0</t>
  </si>
  <si>
    <t>S1330_0</t>
  </si>
  <si>
    <t>S133005_0</t>
  </si>
  <si>
    <t>S133015_0</t>
  </si>
  <si>
    <t>S133095_0</t>
  </si>
  <si>
    <t>S1345_0</t>
  </si>
  <si>
    <t>S134525_0</t>
  </si>
  <si>
    <t>S136005_0</t>
  </si>
  <si>
    <t>S136525_0</t>
  </si>
  <si>
    <t>S1370_0</t>
  </si>
  <si>
    <t>S137005_0</t>
  </si>
  <si>
    <t>S1390_0</t>
  </si>
  <si>
    <t>S139005_0</t>
  </si>
  <si>
    <t>S139905_0</t>
  </si>
  <si>
    <t>S139975_0</t>
  </si>
  <si>
    <t>S131015_0</t>
  </si>
  <si>
    <t>S131025_0</t>
  </si>
  <si>
    <t>G139920000</t>
  </si>
  <si>
    <t>S1405_0</t>
  </si>
  <si>
    <t>S140501_0</t>
  </si>
  <si>
    <t>S1410_0</t>
  </si>
  <si>
    <t>S141001_0</t>
  </si>
  <si>
    <t>S1430_0</t>
  </si>
  <si>
    <t>S143005_0</t>
  </si>
  <si>
    <t>S1460_0</t>
  </si>
  <si>
    <t>S146001_0</t>
  </si>
  <si>
    <t>S149905_0</t>
  </si>
  <si>
    <t>S135530_0</t>
  </si>
  <si>
    <t>S135540_0</t>
  </si>
  <si>
    <t>S135595_0</t>
  </si>
  <si>
    <t>S1260_0</t>
  </si>
  <si>
    <t>S126005_0</t>
  </si>
  <si>
    <t>S170515_0</t>
  </si>
  <si>
    <t>S170525_0</t>
  </si>
  <si>
    <t>S170540_0</t>
  </si>
  <si>
    <t>S170545_0</t>
  </si>
  <si>
    <t>S170570_0</t>
  </si>
  <si>
    <t>S1710_0</t>
  </si>
  <si>
    <t>S171012_0</t>
  </si>
  <si>
    <t>S140_0</t>
  </si>
  <si>
    <t>S1815_1</t>
  </si>
  <si>
    <t>S1504_1MPV</t>
  </si>
  <si>
    <t>S150405_1MPV</t>
  </si>
  <si>
    <t>S1516_1MPV</t>
  </si>
  <si>
    <t>S151605_1MPV</t>
  </si>
  <si>
    <t>S151205_1</t>
  </si>
  <si>
    <t>S151210_1</t>
  </si>
  <si>
    <t>S151215_1</t>
  </si>
  <si>
    <t>S151230_1</t>
  </si>
  <si>
    <t>S151605_1</t>
  </si>
  <si>
    <t>S151610_1</t>
  </si>
  <si>
    <t>S151645_1</t>
  </si>
  <si>
    <t>S189510_1</t>
  </si>
  <si>
    <t>S152810_1</t>
  </si>
  <si>
    <t>S152820_1</t>
  </si>
  <si>
    <t>S154010_1</t>
  </si>
  <si>
    <t>S154017_1</t>
  </si>
  <si>
    <t>S154405_1</t>
  </si>
  <si>
    <t>S154410_1</t>
  </si>
  <si>
    <t>S155650_1</t>
  </si>
  <si>
    <t>S156001_1</t>
  </si>
  <si>
    <t>S158825_1</t>
  </si>
  <si>
    <t>G159205100</t>
  </si>
  <si>
    <t>G159205170</t>
  </si>
  <si>
    <t>G189515100</t>
  </si>
  <si>
    <t>G159205103</t>
  </si>
  <si>
    <t>G159210170</t>
  </si>
  <si>
    <t>G159220170</t>
  </si>
  <si>
    <t>G159235170</t>
  </si>
  <si>
    <t>G159240100</t>
  </si>
  <si>
    <t>G159240170</t>
  </si>
  <si>
    <t>G159255100</t>
  </si>
  <si>
    <t>G159260100</t>
  </si>
  <si>
    <t>S105_1</t>
  </si>
  <si>
    <t>S150405_1PI</t>
  </si>
  <si>
    <t>G150405101</t>
  </si>
  <si>
    <t>G150405171</t>
  </si>
  <si>
    <t>S151605_1PI</t>
  </si>
  <si>
    <t>G151605101</t>
  </si>
  <si>
    <t>G151605171</t>
  </si>
  <si>
    <t>S110_1</t>
  </si>
  <si>
    <t>S160510_1</t>
  </si>
  <si>
    <t>G160510100</t>
  </si>
  <si>
    <t>S161010_1</t>
  </si>
  <si>
    <t>S162005_1</t>
  </si>
  <si>
    <t>S162530_1</t>
  </si>
  <si>
    <t>S162535_1</t>
  </si>
  <si>
    <t>S162595_1</t>
  </si>
  <si>
    <t>G169820100</t>
  </si>
  <si>
    <t>G169830100</t>
  </si>
  <si>
    <t>S1270_1</t>
  </si>
  <si>
    <t>S127005_1</t>
  </si>
  <si>
    <t>G127005100</t>
  </si>
  <si>
    <t>S130_1</t>
  </si>
  <si>
    <t>S156405_1</t>
  </si>
  <si>
    <t>G156405100</t>
  </si>
  <si>
    <t>S158405_1</t>
  </si>
  <si>
    <t>G158405100</t>
  </si>
  <si>
    <t>G158405170</t>
  </si>
  <si>
    <t>G158405175</t>
  </si>
  <si>
    <t>S1335_1</t>
  </si>
  <si>
    <t>S133535_1</t>
  </si>
  <si>
    <t>G133535100</t>
  </si>
  <si>
    <t>S1390_1</t>
  </si>
  <si>
    <t>S139005_1</t>
  </si>
  <si>
    <t>G139005100</t>
  </si>
  <si>
    <t>S147_1</t>
  </si>
  <si>
    <t>S1430_1</t>
  </si>
  <si>
    <t>S143005_1</t>
  </si>
  <si>
    <t>G143005100</t>
  </si>
  <si>
    <t>S1810_1</t>
  </si>
  <si>
    <t>S181010_1</t>
  </si>
  <si>
    <t>G181010100</t>
  </si>
  <si>
    <t>S122710_1</t>
  </si>
  <si>
    <t>G122710100</t>
  </si>
  <si>
    <t>G122745100</t>
  </si>
  <si>
    <t>S129005_1</t>
  </si>
  <si>
    <t>G129005100</t>
  </si>
  <si>
    <t>S170520_1</t>
  </si>
  <si>
    <t>G170520100</t>
  </si>
  <si>
    <t>S170525_1</t>
  </si>
  <si>
    <t>G170525100</t>
  </si>
  <si>
    <t>S1710_1</t>
  </si>
  <si>
    <t>S171001_1</t>
  </si>
  <si>
    <t>S171012_1</t>
  </si>
  <si>
    <t>S171098_1</t>
  </si>
  <si>
    <t>S179812_1</t>
  </si>
  <si>
    <t>S1895_1</t>
  </si>
  <si>
    <t>S189535_1</t>
  </si>
  <si>
    <t>G189535100</t>
  </si>
  <si>
    <t>G211305104</t>
  </si>
  <si>
    <t>S2210_1</t>
  </si>
  <si>
    <t>S221005_1</t>
  </si>
  <si>
    <t>G221005100</t>
  </si>
  <si>
    <t>S2335_1</t>
  </si>
  <si>
    <t>S233595_1</t>
  </si>
  <si>
    <t>G233595100</t>
  </si>
  <si>
    <t>S2530_1</t>
  </si>
  <si>
    <t>S253005_1</t>
  </si>
  <si>
    <t>S253020_1</t>
  </si>
  <si>
    <t>S253205_1</t>
  </si>
  <si>
    <t>S262005_1</t>
  </si>
  <si>
    <t>S272595_1</t>
  </si>
  <si>
    <t>G272595100</t>
  </si>
  <si>
    <t>S2825_1</t>
  </si>
  <si>
    <t>S282515_1</t>
  </si>
  <si>
    <t>G282515100</t>
  </si>
  <si>
    <t>S210505_0</t>
  </si>
  <si>
    <t>S2195_0</t>
  </si>
  <si>
    <t>S219505_0</t>
  </si>
  <si>
    <t>S2530_0</t>
  </si>
  <si>
    <t>S2320_0</t>
  </si>
  <si>
    <t>S232005_0</t>
  </si>
  <si>
    <t>S233565_0</t>
  </si>
  <si>
    <t>S233575_0</t>
  </si>
  <si>
    <t>S233580_0</t>
  </si>
  <si>
    <t>S236545_0</t>
  </si>
  <si>
    <t>S236550_0</t>
  </si>
  <si>
    <t>S2305_0</t>
  </si>
  <si>
    <t>S230525_0</t>
  </si>
  <si>
    <t>S2404_0</t>
  </si>
  <si>
    <t>S240405_0</t>
  </si>
  <si>
    <t>S240406_0</t>
  </si>
  <si>
    <t>S2416_0</t>
  </si>
  <si>
    <t>S241605_0</t>
  </si>
  <si>
    <t>S2440_0</t>
  </si>
  <si>
    <t>S244005_0</t>
  </si>
  <si>
    <t>S2472_0</t>
  </si>
  <si>
    <t>S247201_0</t>
  </si>
  <si>
    <t>S2810_0</t>
  </si>
  <si>
    <t>S281015_0</t>
  </si>
  <si>
    <t>S281095_0</t>
  </si>
  <si>
    <t>S281510_0</t>
  </si>
  <si>
    <t>S2825_0</t>
  </si>
  <si>
    <t>S282515_0</t>
  </si>
  <si>
    <t>S2840_0</t>
  </si>
  <si>
    <t>S284005_0</t>
  </si>
  <si>
    <t>S289005_0</t>
  </si>
  <si>
    <t>S240_0</t>
  </si>
  <si>
    <t>S270530_0</t>
  </si>
  <si>
    <t>S270545_0</t>
  </si>
  <si>
    <t>S270595_0</t>
  </si>
  <si>
    <t>G330510000</t>
  </si>
  <si>
    <t>G330595000</t>
  </si>
  <si>
    <t>S3310_0</t>
  </si>
  <si>
    <t>S331005_0</t>
  </si>
  <si>
    <t>G331005000</t>
  </si>
  <si>
    <t>S331010_0</t>
  </si>
  <si>
    <t>G331010000</t>
  </si>
  <si>
    <t>S331015_0</t>
  </si>
  <si>
    <t>G331015000</t>
  </si>
  <si>
    <t>S331530_0</t>
  </si>
  <si>
    <t>G331530000</t>
  </si>
  <si>
    <t>S331535_0</t>
  </si>
  <si>
    <t>G331535000</t>
  </si>
  <si>
    <t>G331595000</t>
  </si>
  <si>
    <t>G381008000</t>
  </si>
  <si>
    <t>G381008005</t>
  </si>
  <si>
    <t>G381012000</t>
  </si>
  <si>
    <t>G381012005</t>
  </si>
  <si>
    <t>G381020000</t>
  </si>
  <si>
    <t>G381020005</t>
  </si>
  <si>
    <t>G381032000</t>
  </si>
  <si>
    <t>G381032005</t>
  </si>
  <si>
    <t>S381036_0</t>
  </si>
  <si>
    <t>G381036000</t>
  </si>
  <si>
    <t>G381505000</t>
  </si>
  <si>
    <t>G381505005</t>
  </si>
  <si>
    <t>G381520000</t>
  </si>
  <si>
    <t>S3895_0</t>
  </si>
  <si>
    <t>S389595_0</t>
  </si>
  <si>
    <t>G389595000</t>
  </si>
  <si>
    <t>MONEDA_T</t>
  </si>
  <si>
    <t>Peso colombiano</t>
  </si>
  <si>
    <t>MONEDA</t>
  </si>
  <si>
    <t>Descuentos tributarios</t>
  </si>
  <si>
    <t>Activo</t>
  </si>
  <si>
    <t>USUARIO</t>
  </si>
  <si>
    <t>CONTRASEÑA</t>
  </si>
  <si>
    <t>NROLEGAL_P</t>
  </si>
  <si>
    <t>NREVALPRO</t>
  </si>
  <si>
    <t>NROCASIONAL_P</t>
  </si>
  <si>
    <t>NROREADQUSICION_P</t>
  </si>
  <si>
    <t>Efectivo y equivalentes al efectivo restringido</t>
  </si>
  <si>
    <t>Reservas ocasional</t>
  </si>
  <si>
    <t>Reservas otras legal</t>
  </si>
  <si>
    <t>Revaluacion propia</t>
  </si>
  <si>
    <t>Utilidad del ejercicio-Transferencias del ORI</t>
  </si>
  <si>
    <t>Para contingencias</t>
  </si>
  <si>
    <t>GRUPO_T</t>
  </si>
  <si>
    <t>GRUPO COLINSA S. DE R.L.</t>
  </si>
  <si>
    <t>GRUPO EMPRESARIAL INVERNAC</t>
  </si>
  <si>
    <t>GRUPO VALOREM IFRS-AJUSTES CONSOLIDACIÓN NOTAS</t>
  </si>
  <si>
    <t>GVALOREM_IFRS_99</t>
  </si>
  <si>
    <t>G110515000</t>
  </si>
  <si>
    <t>Moneda extranjera</t>
  </si>
  <si>
    <t>G111005000</t>
  </si>
  <si>
    <t>Moneda nacional</t>
  </si>
  <si>
    <t>G111010000</t>
  </si>
  <si>
    <t>G111505000</t>
  </si>
  <si>
    <t>G111510000</t>
  </si>
  <si>
    <t>G123565000</t>
  </si>
  <si>
    <t>Títulos devolución de impuestos nacionales (TIDIS)</t>
  </si>
  <si>
    <t>G123565100</t>
  </si>
  <si>
    <t>G124505000</t>
  </si>
  <si>
    <t>Fideicomisos de inversión moneda nacional</t>
  </si>
  <si>
    <t>G124505100</t>
  </si>
  <si>
    <t>G126005000</t>
  </si>
  <si>
    <t>G129005000</t>
  </si>
  <si>
    <t>NIIF Contratos forward</t>
  </si>
  <si>
    <t>G129010000</t>
  </si>
  <si>
    <t>NIIF Contratos Swaps</t>
  </si>
  <si>
    <t>G129010100</t>
  </si>
  <si>
    <t>G129015000</t>
  </si>
  <si>
    <t>NIIF Contratos de futuros</t>
  </si>
  <si>
    <t>G129015100</t>
  </si>
  <si>
    <t>G129020000</t>
  </si>
  <si>
    <t>NIIF Opciones</t>
  </si>
  <si>
    <t>G129020100</t>
  </si>
  <si>
    <t>G130505000</t>
  </si>
  <si>
    <t>Nacionales</t>
  </si>
  <si>
    <t>G130505100</t>
  </si>
  <si>
    <t>G130510000</t>
  </si>
  <si>
    <t>G130510100</t>
  </si>
  <si>
    <t>S111505_0</t>
  </si>
  <si>
    <t>S123565_1</t>
  </si>
  <si>
    <t>S124505_1</t>
  </si>
  <si>
    <t>S129010_0</t>
  </si>
  <si>
    <t>S129010_1</t>
  </si>
  <si>
    <t>S129015_0</t>
  </si>
  <si>
    <t>S129015_1</t>
  </si>
  <si>
    <t>S129020_0</t>
  </si>
  <si>
    <t>S129020_1</t>
  </si>
  <si>
    <t>Clientes</t>
  </si>
  <si>
    <t>S1305_1</t>
  </si>
  <si>
    <t>S130505_1</t>
  </si>
  <si>
    <t>S130510_1</t>
  </si>
  <si>
    <t>Consorcios - Uniones temporales</t>
  </si>
  <si>
    <t>Anticipos y avances</t>
  </si>
  <si>
    <t>S1330_1</t>
  </si>
  <si>
    <t>Anticipos a proveedores</t>
  </si>
  <si>
    <t>S133005_1</t>
  </si>
  <si>
    <t>S133010_0</t>
  </si>
  <si>
    <t>Anticipos a contratistas</t>
  </si>
  <si>
    <t>S133010_1</t>
  </si>
  <si>
    <t>Anticipos a trabajadores</t>
  </si>
  <si>
    <t>S133015_1</t>
  </si>
  <si>
    <t>Anticipos otros en genral</t>
  </si>
  <si>
    <t>S133095_1</t>
  </si>
  <si>
    <t>Para compras de Inventarios</t>
  </si>
  <si>
    <t>S133096_1</t>
  </si>
  <si>
    <t>Para compras de activos fijos</t>
  </si>
  <si>
    <t>S133097_1</t>
  </si>
  <si>
    <t>Depósitos</t>
  </si>
  <si>
    <t>S133505_0</t>
  </si>
  <si>
    <t>Para importaciones</t>
  </si>
  <si>
    <t>S133505_1</t>
  </si>
  <si>
    <t>Para contratos</t>
  </si>
  <si>
    <t>S133515_1</t>
  </si>
  <si>
    <t>S133525_0</t>
  </si>
  <si>
    <t>Para juicios ejecutivos</t>
  </si>
  <si>
    <t>S133525_1</t>
  </si>
  <si>
    <t>S133535_0</t>
  </si>
  <si>
    <t>En garantía</t>
  </si>
  <si>
    <t>Ingresos por cobrar</t>
  </si>
  <si>
    <t>S1345_1</t>
  </si>
  <si>
    <t>S134505_0</t>
  </si>
  <si>
    <t>Dividendos y/o participaciones</t>
  </si>
  <si>
    <t>S134505_1</t>
  </si>
  <si>
    <t>S134510_0</t>
  </si>
  <si>
    <t>S134510_1</t>
  </si>
  <si>
    <t>S134515_0</t>
  </si>
  <si>
    <t>S134515_1</t>
  </si>
  <si>
    <t>S134520_0</t>
  </si>
  <si>
    <t>S134520_1</t>
  </si>
  <si>
    <t>S134525_1</t>
  </si>
  <si>
    <t>S134530_0</t>
  </si>
  <si>
    <t>S134530_1</t>
  </si>
  <si>
    <t>S135005_0</t>
  </si>
  <si>
    <t>De construcción</t>
  </si>
  <si>
    <t>S135005_1</t>
  </si>
  <si>
    <t>S135010_0</t>
  </si>
  <si>
    <t>De prestación de servicios</t>
  </si>
  <si>
    <t>S135010_1</t>
  </si>
  <si>
    <t>S135095_0</t>
  </si>
  <si>
    <t>S135095_1</t>
  </si>
  <si>
    <t>Impuesto a las ventas retenido</t>
  </si>
  <si>
    <t>Impuesto de industria y comercio retenido</t>
  </si>
  <si>
    <t>Sobrantes en liquidación privada de impuestos</t>
  </si>
  <si>
    <t>S135520_1</t>
  </si>
  <si>
    <t>S136095_1</t>
  </si>
  <si>
    <t>S136515_0</t>
  </si>
  <si>
    <t>Educación</t>
  </si>
  <si>
    <t>S136515_1</t>
  </si>
  <si>
    <t>S136520_0</t>
  </si>
  <si>
    <t>Médicos, odontológicos y similares</t>
  </si>
  <si>
    <t>S136520_1</t>
  </si>
  <si>
    <t>G131025000</t>
  </si>
  <si>
    <t>G133005000</t>
  </si>
  <si>
    <t>G133005100</t>
  </si>
  <si>
    <t>G133010000</t>
  </si>
  <si>
    <t>Calamidad doméstica</t>
  </si>
  <si>
    <t>S136525_1</t>
  </si>
  <si>
    <t>S136530_0</t>
  </si>
  <si>
    <t>Responsabilidades</t>
  </si>
  <si>
    <t>S136530_1</t>
  </si>
  <si>
    <t>S136595_1</t>
  </si>
  <si>
    <t>Libre inversión</t>
  </si>
  <si>
    <t>Deudores varios</t>
  </si>
  <si>
    <t>S138015_0</t>
  </si>
  <si>
    <t>Fondo de inversión</t>
  </si>
  <si>
    <t>S138015_1</t>
  </si>
  <si>
    <t>Cuentas por cobrar de terceros</t>
  </si>
  <si>
    <t>S138020_1</t>
  </si>
  <si>
    <t>S138025_0</t>
  </si>
  <si>
    <t>Pagos por cuenta de terceros</t>
  </si>
  <si>
    <t>S138025_1</t>
  </si>
  <si>
    <t>Deudas de difícil cobro</t>
  </si>
  <si>
    <t>G133010100</t>
  </si>
  <si>
    <t>G133015000</t>
  </si>
  <si>
    <t>G133015100</t>
  </si>
  <si>
    <t>S139905_1</t>
  </si>
  <si>
    <t>S139910_0</t>
  </si>
  <si>
    <t>S139910_1</t>
  </si>
  <si>
    <t>G133095000</t>
  </si>
  <si>
    <t>G133095100</t>
  </si>
  <si>
    <t>S139930_0</t>
  </si>
  <si>
    <t>S139930_1</t>
  </si>
  <si>
    <t>G133096000</t>
  </si>
  <si>
    <t>G133096100</t>
  </si>
  <si>
    <t>S139935_0</t>
  </si>
  <si>
    <t>G133097000</t>
  </si>
  <si>
    <t>S139935_1</t>
  </si>
  <si>
    <t>G133097100</t>
  </si>
  <si>
    <t>G133505000</t>
  </si>
  <si>
    <t>S139945_0</t>
  </si>
  <si>
    <t>S139945_1</t>
  </si>
  <si>
    <t>S139950_0</t>
  </si>
  <si>
    <t>Retención sobre contratos</t>
  </si>
  <si>
    <t>S139950_1</t>
  </si>
  <si>
    <t>G133505100</t>
  </si>
  <si>
    <t>G133515000</t>
  </si>
  <si>
    <t>G133515100</t>
  </si>
  <si>
    <t>G133525000</t>
  </si>
  <si>
    <t>G133525100</t>
  </si>
  <si>
    <t>G133535000</t>
  </si>
  <si>
    <t>G134505000</t>
  </si>
  <si>
    <t>G134505100</t>
  </si>
  <si>
    <t>G134510000</t>
  </si>
  <si>
    <t>S1425_0</t>
  </si>
  <si>
    <t>Cultivos en desarrollo</t>
  </si>
  <si>
    <t>S142501_0</t>
  </si>
  <si>
    <t>G134510100</t>
  </si>
  <si>
    <t>G134515000</t>
  </si>
  <si>
    <t>G134515100</t>
  </si>
  <si>
    <t>G134520000</t>
  </si>
  <si>
    <t>G134520100</t>
  </si>
  <si>
    <t>G134525000</t>
  </si>
  <si>
    <t>G134525100</t>
  </si>
  <si>
    <t>Productos manufacturados</t>
  </si>
  <si>
    <t>G134530000</t>
  </si>
  <si>
    <t>G134530100</t>
  </si>
  <si>
    <t>G135005000</t>
  </si>
  <si>
    <t>G135005100</t>
  </si>
  <si>
    <t>G135010000</t>
  </si>
  <si>
    <t>G135010100</t>
  </si>
  <si>
    <t>G135095000</t>
  </si>
  <si>
    <t>G135095100</t>
  </si>
  <si>
    <t>G135517000</t>
  </si>
  <si>
    <t>S1445_0</t>
  </si>
  <si>
    <t>S144501_0</t>
  </si>
  <si>
    <t>S1450_0</t>
  </si>
  <si>
    <t>G135518000</t>
  </si>
  <si>
    <t>G135520000</t>
  </si>
  <si>
    <t>G135520100</t>
  </si>
  <si>
    <t>G136095000</t>
  </si>
  <si>
    <t>G136095100</t>
  </si>
  <si>
    <t>G136515000</t>
  </si>
  <si>
    <t>G136515100</t>
  </si>
  <si>
    <t>G136520000</t>
  </si>
  <si>
    <t>G136520100</t>
  </si>
  <si>
    <t>G136525000</t>
  </si>
  <si>
    <t>G136525100</t>
  </si>
  <si>
    <t>G136530000</t>
  </si>
  <si>
    <t>G136530100</t>
  </si>
  <si>
    <t>G136595000</t>
  </si>
  <si>
    <t>G136595100</t>
  </si>
  <si>
    <t>G136596000</t>
  </si>
  <si>
    <t>G138015000</t>
  </si>
  <si>
    <t>G138015100</t>
  </si>
  <si>
    <t>G138020000</t>
  </si>
  <si>
    <t>G138020100</t>
  </si>
  <si>
    <t>G138025000</t>
  </si>
  <si>
    <t>G138025100</t>
  </si>
  <si>
    <t>G138095000</t>
  </si>
  <si>
    <t>G139005000</t>
  </si>
  <si>
    <t>G139905000</t>
  </si>
  <si>
    <t>G139905100</t>
  </si>
  <si>
    <t>G139910000</t>
  </si>
  <si>
    <t>G139910100</t>
  </si>
  <si>
    <t>G139930000</t>
  </si>
  <si>
    <t>G139930100</t>
  </si>
  <si>
    <t>G139935000</t>
  </si>
  <si>
    <t>G139935100</t>
  </si>
  <si>
    <t>G139945000</t>
  </si>
  <si>
    <t>G139945100</t>
  </si>
  <si>
    <t>G139950000</t>
  </si>
  <si>
    <t>G139950100</t>
  </si>
  <si>
    <t>G139975000</t>
  </si>
  <si>
    <t>G142501000</t>
  </si>
  <si>
    <t>G143005000</t>
  </si>
  <si>
    <t>G144501000</t>
  </si>
  <si>
    <t>G146001000</t>
  </si>
  <si>
    <t>S156201_1</t>
  </si>
  <si>
    <t>G152495100</t>
  </si>
  <si>
    <t>S158805_1</t>
  </si>
  <si>
    <t>S158810_1</t>
  </si>
  <si>
    <t>G152895100</t>
  </si>
  <si>
    <t>S158830_1</t>
  </si>
  <si>
    <t>G156001100</t>
  </si>
  <si>
    <t>G156201100</t>
  </si>
  <si>
    <t>G156405170</t>
  </si>
  <si>
    <t>G156405180</t>
  </si>
  <si>
    <t>G158805100</t>
  </si>
  <si>
    <t>G158810100</t>
  </si>
  <si>
    <t>G158830100</t>
  </si>
  <si>
    <t>S161005_1</t>
  </si>
  <si>
    <t>Adquiridas</t>
  </si>
  <si>
    <t>G159265100</t>
  </si>
  <si>
    <t>S161505_1</t>
  </si>
  <si>
    <t>G161005100</t>
  </si>
  <si>
    <t>G161505100</t>
  </si>
  <si>
    <t>G162595100</t>
  </si>
  <si>
    <t>G169925100</t>
  </si>
  <si>
    <t>G170505000</t>
  </si>
  <si>
    <t>G170505100</t>
  </si>
  <si>
    <t>G170510000</t>
  </si>
  <si>
    <t>G170510100</t>
  </si>
  <si>
    <t>G170515000</t>
  </si>
  <si>
    <t>G170515100</t>
  </si>
  <si>
    <t>G170520000</t>
  </si>
  <si>
    <t>Seguros y fianzas</t>
  </si>
  <si>
    <t>G170525000</t>
  </si>
  <si>
    <t>G170530000</t>
  </si>
  <si>
    <t>Bodegajes</t>
  </si>
  <si>
    <t>G170530100</t>
  </si>
  <si>
    <t>G170535000</t>
  </si>
  <si>
    <t>Mantenimiento equipos</t>
  </si>
  <si>
    <t>G170535100</t>
  </si>
  <si>
    <t>G170540000</t>
  </si>
  <si>
    <t>G170540100</t>
  </si>
  <si>
    <t>G170545000</t>
  </si>
  <si>
    <t>G170545100</t>
  </si>
  <si>
    <t>G170570000</t>
  </si>
  <si>
    <t>NIIF Beneficios a empleados</t>
  </si>
  <si>
    <t>G170595000</t>
  </si>
  <si>
    <t>S169925_1</t>
  </si>
  <si>
    <t>S170505_0</t>
  </si>
  <si>
    <t>S170505_1</t>
  </si>
  <si>
    <t>S170510_0</t>
  </si>
  <si>
    <t>S170510_1</t>
  </si>
  <si>
    <t>S170515_1</t>
  </si>
  <si>
    <t>G170595100</t>
  </si>
  <si>
    <t>S170530_0</t>
  </si>
  <si>
    <t>S170530_1</t>
  </si>
  <si>
    <t>S170535_1</t>
  </si>
  <si>
    <t>G171004000</t>
  </si>
  <si>
    <t>Organización y preoperativos</t>
  </si>
  <si>
    <t>G171004100</t>
  </si>
  <si>
    <t>G171008000</t>
  </si>
  <si>
    <t>Remodelaciones</t>
  </si>
  <si>
    <t>S170540_1</t>
  </si>
  <si>
    <t>G171008100</t>
  </si>
  <si>
    <t>G171012000</t>
  </si>
  <si>
    <t>Estudios, investigaciones y proyectos</t>
  </si>
  <si>
    <t>G171012100</t>
  </si>
  <si>
    <t>G171024000</t>
  </si>
  <si>
    <t>Mejoras a propiedades ajenas</t>
  </si>
  <si>
    <t>G171024100</t>
  </si>
  <si>
    <t>G171028000</t>
  </si>
  <si>
    <t>Contribuciones y afiliaciones</t>
  </si>
  <si>
    <t>S170545_1</t>
  </si>
  <si>
    <t>S170595_1</t>
  </si>
  <si>
    <t>G171028100</t>
  </si>
  <si>
    <t>S171004_0</t>
  </si>
  <si>
    <t>S171004_1</t>
  </si>
  <si>
    <t>G171032000</t>
  </si>
  <si>
    <t>Entrenamiento de personal</t>
  </si>
  <si>
    <t>G171032100</t>
  </si>
  <si>
    <t>G171060000</t>
  </si>
  <si>
    <t>Dotación y suministro a trabajadores</t>
  </si>
  <si>
    <t>S171008_0</t>
  </si>
  <si>
    <t>S171008_1</t>
  </si>
  <si>
    <t>G171060100</t>
  </si>
  <si>
    <t>S171024_0</t>
  </si>
  <si>
    <t>G171095000</t>
  </si>
  <si>
    <t>G171095100</t>
  </si>
  <si>
    <t>G171515000</t>
  </si>
  <si>
    <t>Otros costos de exploración</t>
  </si>
  <si>
    <t>G171515100</t>
  </si>
  <si>
    <t>G172005000</t>
  </si>
  <si>
    <t>Perforación y explotación</t>
  </si>
  <si>
    <t>G172005100</t>
  </si>
  <si>
    <t>G173001000</t>
  </si>
  <si>
    <t>Cargos por corrección monetaria diferida</t>
  </si>
  <si>
    <t>G173001100</t>
  </si>
  <si>
    <t>S171028_0</t>
  </si>
  <si>
    <t>S171028_1</t>
  </si>
  <si>
    <t>S171032_0</t>
  </si>
  <si>
    <t>S171032_1</t>
  </si>
  <si>
    <t>S171060_0</t>
  </si>
  <si>
    <t>S171060_1</t>
  </si>
  <si>
    <t>S171095_0</t>
  </si>
  <si>
    <t>S171095_1</t>
  </si>
  <si>
    <t>S171515_0</t>
  </si>
  <si>
    <t>S171515_1</t>
  </si>
  <si>
    <t>S172005_0</t>
  </si>
  <si>
    <t>S172005_1</t>
  </si>
  <si>
    <t>S1730_0</t>
  </si>
  <si>
    <t>G189510100</t>
  </si>
  <si>
    <t>Bienes entregados en comodato</t>
  </si>
  <si>
    <t>G189520100</t>
  </si>
  <si>
    <t>Bienes recibidos en pago</t>
  </si>
  <si>
    <t>G189995100</t>
  </si>
  <si>
    <t>Diversos</t>
  </si>
  <si>
    <t>S1730_1</t>
  </si>
  <si>
    <t>S173001_0</t>
  </si>
  <si>
    <t>S173001_1</t>
  </si>
  <si>
    <t>S189520_1</t>
  </si>
  <si>
    <t>G110505000</t>
  </si>
  <si>
    <t>Caja general</t>
  </si>
  <si>
    <t>G110510000</t>
  </si>
  <si>
    <t>Cajas menores</t>
  </si>
  <si>
    <t>G112005000</t>
  </si>
  <si>
    <t>Bancos</t>
  </si>
  <si>
    <t>G112505000</t>
  </si>
  <si>
    <t>Fondos rotatorios en moneda nacional</t>
  </si>
  <si>
    <t>G112510000</t>
  </si>
  <si>
    <t>Fondos rotatorios en moneda extranjera</t>
  </si>
  <si>
    <t>G122505100</t>
  </si>
  <si>
    <t>Certificados de depósito a término (CDT)</t>
  </si>
  <si>
    <t>G122710000</t>
  </si>
  <si>
    <t>Depositos bancarios restringidos moneda nal CP</t>
  </si>
  <si>
    <t>Depositos bancarios restringidos moneda nal LP</t>
  </si>
  <si>
    <t>G122745000</t>
  </si>
  <si>
    <t>Fideicomisos de inversión moneda nacional-Restring</t>
  </si>
  <si>
    <t>G122745010</t>
  </si>
  <si>
    <t>Fideicomisos de inversión moneda Exterior-Restring</t>
  </si>
  <si>
    <t>Fideicomisos inversión moneda nacional LP-Restring</t>
  </si>
  <si>
    <t>Fideicomisos inversión moneda Exterior LP-Restring</t>
  </si>
  <si>
    <t>NIIF Subsidiarias</t>
  </si>
  <si>
    <t>NIIF Negocios conjuntos</t>
  </si>
  <si>
    <t>NIIF Asociadas</t>
  </si>
  <si>
    <t>G128010100</t>
  </si>
  <si>
    <t>NIIF Costo amortizado</t>
  </si>
  <si>
    <t>G128505100</t>
  </si>
  <si>
    <t>NIIF Derechos fiduciarios</t>
  </si>
  <si>
    <t>G131010000</t>
  </si>
  <si>
    <t>G131015000</t>
  </si>
  <si>
    <t>Accionistas o Socios</t>
  </si>
  <si>
    <t>G131015100</t>
  </si>
  <si>
    <t>Accionistas o socios</t>
  </si>
  <si>
    <t>Activo Corriente</t>
  </si>
  <si>
    <t>Activo No Corriente</t>
  </si>
  <si>
    <t>activos ctes dist de activos no ctes mantnidos p venta</t>
  </si>
  <si>
    <t>S101_0</t>
  </si>
  <si>
    <t>Derechos de Uso</t>
  </si>
  <si>
    <t>Caja</t>
  </si>
  <si>
    <t>Remesas en transito</t>
  </si>
  <si>
    <t>Cuentas de ahorro</t>
  </si>
  <si>
    <t>Fondos</t>
  </si>
  <si>
    <t>activos intangibles distintos de la plusvalía</t>
  </si>
  <si>
    <t>S1225_0</t>
  </si>
  <si>
    <t>Certificados</t>
  </si>
  <si>
    <t>S122505_0</t>
  </si>
  <si>
    <t>S122505_1</t>
  </si>
  <si>
    <t>Depositos bancarios restringidos</t>
  </si>
  <si>
    <t>Fideicomisos de inversión restringidos</t>
  </si>
  <si>
    <t>Fideicomisos de inversión restingidos</t>
  </si>
  <si>
    <t>Títulos</t>
  </si>
  <si>
    <t>S1235_1</t>
  </si>
  <si>
    <t>Derechos Fiduciarios</t>
  </si>
  <si>
    <t>S1245_1</t>
  </si>
  <si>
    <t>S125_0</t>
  </si>
  <si>
    <t>Inversiones en subsidiarias, negocios conjuntos y asoc</t>
  </si>
  <si>
    <t>Obligatorias</t>
  </si>
  <si>
    <t>S126_0</t>
  </si>
  <si>
    <t>Subsidiarias</t>
  </si>
  <si>
    <t>Asociadas</t>
  </si>
  <si>
    <t>Instrumentos financieros</t>
  </si>
  <si>
    <t>S128010_1</t>
  </si>
  <si>
    <t>S1285_1</t>
  </si>
  <si>
    <t>Derechos fiduciarios</t>
  </si>
  <si>
    <t>S128505_1</t>
  </si>
  <si>
    <t>S131015_1</t>
  </si>
  <si>
    <t>S133530_0</t>
  </si>
  <si>
    <t>Para adquisición de acciones, cuotas o derechos sociales</t>
  </si>
  <si>
    <t>S133530_1</t>
  </si>
  <si>
    <t>S1350_0</t>
  </si>
  <si>
    <t>Retenciones sobre contratos</t>
  </si>
  <si>
    <t>S1350_1</t>
  </si>
  <si>
    <t>Anticipo de impuestos y contribuciones o saldos a favor</t>
  </si>
  <si>
    <t>S1355_1</t>
  </si>
  <si>
    <t>Anticipo de impuestos de renta y complementarios</t>
  </si>
  <si>
    <t>Anticipo de impuestos de industria y comercio</t>
  </si>
  <si>
    <t>Impuestos descontables</t>
  </si>
  <si>
    <t>Impuesto de delineación urbana</t>
  </si>
  <si>
    <t>S1360_1</t>
  </si>
  <si>
    <t>A compañías aseguradoras</t>
  </si>
  <si>
    <t>S136005_1</t>
  </si>
  <si>
    <t>S136010_0</t>
  </si>
  <si>
    <t>A transportadores</t>
  </si>
  <si>
    <t>S136010_1</t>
  </si>
  <si>
    <t>Cuentas por cobrar a trabajadores</t>
  </si>
  <si>
    <t>Vivienda</t>
  </si>
  <si>
    <t>Vehículos</t>
  </si>
  <si>
    <t>Préstamos a particulares</t>
  </si>
  <si>
    <t>S1370_1</t>
  </si>
  <si>
    <t>Con garantía real</t>
  </si>
  <si>
    <t>S137005_1</t>
  </si>
  <si>
    <t>S137010_0</t>
  </si>
  <si>
    <t>Con garantía personal</t>
  </si>
  <si>
    <t>S137010_1</t>
  </si>
  <si>
    <t>mantenidos para la venta</t>
  </si>
  <si>
    <t>Materias primas</t>
  </si>
  <si>
    <t>Productos en proceso</t>
  </si>
  <si>
    <t>G122505000</t>
  </si>
  <si>
    <t>G133530000</t>
  </si>
  <si>
    <t>Para adquisición de acciones, cuotas o derechos so</t>
  </si>
  <si>
    <t>G133530100</t>
  </si>
  <si>
    <t>S1415_0</t>
  </si>
  <si>
    <t>Obras de construcción en curso</t>
  </si>
  <si>
    <t>S141501_0</t>
  </si>
  <si>
    <t>S1417_0</t>
  </si>
  <si>
    <t>Obras de urbanismo</t>
  </si>
  <si>
    <t>S141701_0</t>
  </si>
  <si>
    <t>S1420_0</t>
  </si>
  <si>
    <t>Contratos en ejecución</t>
  </si>
  <si>
    <t>S142001_0</t>
  </si>
  <si>
    <t>S1428_0</t>
  </si>
  <si>
    <t>Plantaciones agrícolas</t>
  </si>
  <si>
    <t>S142801_0</t>
  </si>
  <si>
    <t>Productos terminados</t>
  </si>
  <si>
    <t>G135505000</t>
  </si>
  <si>
    <t>S143010_0</t>
  </si>
  <si>
    <t>Productos extraídos y/o procesados</t>
  </si>
  <si>
    <t>S143015_0</t>
  </si>
  <si>
    <t>Productos agrícolas y forestales</t>
  </si>
  <si>
    <t>S143020_0</t>
  </si>
  <si>
    <t>Subproductos</t>
  </si>
  <si>
    <t>S143025_0</t>
  </si>
  <si>
    <t>Productos de pesca</t>
  </si>
  <si>
    <t>Mercancías no fabricadas por la empresa</t>
  </si>
  <si>
    <t>G135510000</t>
  </si>
  <si>
    <t>G135515000</t>
  </si>
  <si>
    <t>G135515030</t>
  </si>
  <si>
    <t>Rte Fte impuesto a los dividendos</t>
  </si>
  <si>
    <t>S1440_0</t>
  </si>
  <si>
    <t>Bienes raíces para la venta</t>
  </si>
  <si>
    <t>S144001_0</t>
  </si>
  <si>
    <t>G135530000</t>
  </si>
  <si>
    <t>G135535000</t>
  </si>
  <si>
    <t>S145005_0</t>
  </si>
  <si>
    <t>Por urbanizar</t>
  </si>
  <si>
    <t>S145010_0</t>
  </si>
  <si>
    <t>Urbanizados por construir</t>
  </si>
  <si>
    <t>G135540000</t>
  </si>
  <si>
    <t>G135595000</t>
  </si>
  <si>
    <t>Anticipos imptos/Contribuc./saldos a favor Otros</t>
  </si>
  <si>
    <t>G136005000</t>
  </si>
  <si>
    <t>G136005100</t>
  </si>
  <si>
    <t>G136010000</t>
  </si>
  <si>
    <t>G136010100</t>
  </si>
  <si>
    <t>G136505000</t>
  </si>
  <si>
    <t>G136510000</t>
  </si>
  <si>
    <t>Materiales, repuestos y accesorios</t>
  </si>
  <si>
    <t>Inventarios en transito</t>
  </si>
  <si>
    <t>Provisión de inventarios</t>
  </si>
  <si>
    <t>Para obsolescencia</t>
  </si>
  <si>
    <t>S149910_0</t>
  </si>
  <si>
    <t>Para diferencia de inventario físico</t>
  </si>
  <si>
    <t>Para pérdidas de inventarios</t>
  </si>
  <si>
    <t>G137005000</t>
  </si>
  <si>
    <t>G137005100</t>
  </si>
  <si>
    <t>G137010000</t>
  </si>
  <si>
    <t>G137010100</t>
  </si>
  <si>
    <t>Por otros conceptos</t>
  </si>
  <si>
    <t>Subcosto propiedades, planta y equipo</t>
  </si>
  <si>
    <t>Terrenos mantenidos para la venta</t>
  </si>
  <si>
    <t>Urbanos</t>
  </si>
  <si>
    <t>Terrenos propiedades de inversion</t>
  </si>
  <si>
    <t>Rurales</t>
  </si>
  <si>
    <t>Provisiones partes relacionadas</t>
  </si>
  <si>
    <t>Construcciones y edificaciones en curso</t>
  </si>
  <si>
    <t>Maquinaria y equipo en montaje</t>
  </si>
  <si>
    <t>Equipo de oficina en montaje</t>
  </si>
  <si>
    <t>Equipo de computación y comunicación en montaje</t>
  </si>
  <si>
    <t>Flota y equipo de transporte en montaje</t>
  </si>
  <si>
    <t>SubCosto Derechos de Uso</t>
  </si>
  <si>
    <t>G140501000</t>
  </si>
  <si>
    <t>G141001000</t>
  </si>
  <si>
    <t>G141501000</t>
  </si>
  <si>
    <t>G141701000</t>
  </si>
  <si>
    <t>SubDepreciación Derechos de Uso</t>
  </si>
  <si>
    <t>G142001000</t>
  </si>
  <si>
    <t>G142801000</t>
  </si>
  <si>
    <t>G143010000</t>
  </si>
  <si>
    <t>G143015000</t>
  </si>
  <si>
    <t>G143020000</t>
  </si>
  <si>
    <t>G143025000</t>
  </si>
  <si>
    <t>G143501000</t>
  </si>
  <si>
    <t>G144001000</t>
  </si>
  <si>
    <t>G145005000</t>
  </si>
  <si>
    <t>G145010000</t>
  </si>
  <si>
    <t>G145501000</t>
  </si>
  <si>
    <t>Construcciones y edificaciones mantenidos para la venta</t>
  </si>
  <si>
    <t>Oficinas</t>
  </si>
  <si>
    <t>Casetas y Campamentos</t>
  </si>
  <si>
    <t>G146501000</t>
  </si>
  <si>
    <t>G149905000</t>
  </si>
  <si>
    <t>G149910000</t>
  </si>
  <si>
    <t>G149915000</t>
  </si>
  <si>
    <t>S151680_1</t>
  </si>
  <si>
    <t>Bodegas</t>
  </si>
  <si>
    <t>G149995000</t>
  </si>
  <si>
    <t>G150405100</t>
  </si>
  <si>
    <t>Urbanos Costo</t>
  </si>
  <si>
    <t>Urbanos Costo Propiedades de inversión</t>
  </si>
  <si>
    <t>G150405102</t>
  </si>
  <si>
    <t>Terrenos mantenidos para la venta - Costo</t>
  </si>
  <si>
    <t>G150405170</t>
  </si>
  <si>
    <t>Urbanos Valorización</t>
  </si>
  <si>
    <t>Urbanos Valorización Propiedades de inversión</t>
  </si>
  <si>
    <t>G150405172</t>
  </si>
  <si>
    <t>NIIF-Terrenos mantenidos p´la venta - Valorización</t>
  </si>
  <si>
    <t>G150405175</t>
  </si>
  <si>
    <t>Urbanos Deterioro</t>
  </si>
  <si>
    <t>Maquinaria y Equipo</t>
  </si>
  <si>
    <t>Equipos</t>
  </si>
  <si>
    <t>G150405176</t>
  </si>
  <si>
    <t>Urbanos Deterioro Propiedades de inversión</t>
  </si>
  <si>
    <t>G150410100</t>
  </si>
  <si>
    <t>Rurales Costo</t>
  </si>
  <si>
    <t>G150410170</t>
  </si>
  <si>
    <t>Rurales Valorización</t>
  </si>
  <si>
    <t>G150410175</t>
  </si>
  <si>
    <t>Rurales Deterioro</t>
  </si>
  <si>
    <t>G150805100</t>
  </si>
  <si>
    <t>G151205100</t>
  </si>
  <si>
    <t>G151210100</t>
  </si>
  <si>
    <t>G151215100</t>
  </si>
  <si>
    <t>G151605100</t>
  </si>
  <si>
    <t>Edificios Costo</t>
  </si>
  <si>
    <t>Edificios Costo - Propiedades de inversion</t>
  </si>
  <si>
    <t>Equipos de Procesamiento de Datos</t>
  </si>
  <si>
    <t>Equipos de telecomunicaciones</t>
  </si>
  <si>
    <t>Satélites y antenas</t>
  </si>
  <si>
    <t>S152825_1</t>
  </si>
  <si>
    <t>Líneas telefónicas</t>
  </si>
  <si>
    <t>S153610_1</t>
  </si>
  <si>
    <t>De comestibles y bebidas</t>
  </si>
  <si>
    <t>G151605102</t>
  </si>
  <si>
    <t>Edificios Costo - Mantenidos p´la venta</t>
  </si>
  <si>
    <t>Autos, camionetas y camperos</t>
  </si>
  <si>
    <t>Camiones, volquetas y furgones</t>
  </si>
  <si>
    <t>Tractomulas y remolques</t>
  </si>
  <si>
    <t>S154015_1</t>
  </si>
  <si>
    <t>Buses y busetas</t>
  </si>
  <si>
    <t>Equipo transp. Recolectores y contenedores</t>
  </si>
  <si>
    <t>Montacargas</t>
  </si>
  <si>
    <t>Motocicletas</t>
  </si>
  <si>
    <t>S154040_1</t>
  </si>
  <si>
    <t>Estibas y Carretas</t>
  </si>
  <si>
    <t>G151605170</t>
  </si>
  <si>
    <t>Edificios Valorización</t>
  </si>
  <si>
    <t>Edificios Valorización  - Propiedades de inversion</t>
  </si>
  <si>
    <t>G151605172</t>
  </si>
  <si>
    <t>NIIF Edificios Valorización  - Mantenidos p´la ven</t>
  </si>
  <si>
    <t>G151605175</t>
  </si>
  <si>
    <t>Edificios Deterioro</t>
  </si>
  <si>
    <t>Lanchas</t>
  </si>
  <si>
    <t>G151605176</t>
  </si>
  <si>
    <t>Edificios Deterioro - Propiedades de inversion</t>
  </si>
  <si>
    <t>G151610100</t>
  </si>
  <si>
    <t>Oficinas Costo</t>
  </si>
  <si>
    <t>S154420_1</t>
  </si>
  <si>
    <t>Botes</t>
  </si>
  <si>
    <t>G151610170</t>
  </si>
  <si>
    <t>Oficinas Valorización</t>
  </si>
  <si>
    <t>G151610175</t>
  </si>
  <si>
    <t>Oficinas Deterioro</t>
  </si>
  <si>
    <t>G151645100</t>
  </si>
  <si>
    <t>Casetas y campamentos Costo</t>
  </si>
  <si>
    <t>G151645170</t>
  </si>
  <si>
    <t>Casetas y campamentos Valorización</t>
  </si>
  <si>
    <t>G151645175</t>
  </si>
  <si>
    <t>Casetas y campamentos Deterioro</t>
  </si>
  <si>
    <t>G151680100</t>
  </si>
  <si>
    <t>Bodegas Costo</t>
  </si>
  <si>
    <t>G151680170</t>
  </si>
  <si>
    <t>Bodegas Valorización</t>
  </si>
  <si>
    <t>Redes de distribución</t>
  </si>
  <si>
    <t>G151680175</t>
  </si>
  <si>
    <t>Bodegas Deterioro</t>
  </si>
  <si>
    <t>G152005100</t>
  </si>
  <si>
    <t>Maquinaria y equipo Costo</t>
  </si>
  <si>
    <t>G152005101</t>
  </si>
  <si>
    <t>Leasing Fciero Maquinaria y Equipo</t>
  </si>
  <si>
    <t>G152005170</t>
  </si>
  <si>
    <t>Maquinaria y equipo Valorización</t>
  </si>
  <si>
    <t>G152005175</t>
  </si>
  <si>
    <t>Maquinaria y equipo Deterioro</t>
  </si>
  <si>
    <t>G152410100</t>
  </si>
  <si>
    <t>G152495101</t>
  </si>
  <si>
    <t>Equipo ofic. Otros Leasing Financiero</t>
  </si>
  <si>
    <t>G152810100</t>
  </si>
  <si>
    <t>G152810170</t>
  </si>
  <si>
    <t>Eq. computo Telecomunic - Valorización</t>
  </si>
  <si>
    <t>G152810175</t>
  </si>
  <si>
    <t>Eq. computo Telecomunic - Deterioro</t>
  </si>
  <si>
    <t>G152820100</t>
  </si>
  <si>
    <t>G152825100</t>
  </si>
  <si>
    <t>G153610100</t>
  </si>
  <si>
    <t>G154005100</t>
  </si>
  <si>
    <t>G154005101</t>
  </si>
  <si>
    <t>Leasing Fciero Autos, camionetas y camperos</t>
  </si>
  <si>
    <t>G154008100</t>
  </si>
  <si>
    <t>G154008101</t>
  </si>
  <si>
    <t>Leasing Fciero Camiones, volquetas y furgones</t>
  </si>
  <si>
    <t>Equipo de hoteles y restaurantes</t>
  </si>
  <si>
    <t>G154008170</t>
  </si>
  <si>
    <t>Eq transp Camiones,volquetas,furgones-Valorización</t>
  </si>
  <si>
    <t>SubDepreciación Acumulada</t>
  </si>
  <si>
    <t>G154010100</t>
  </si>
  <si>
    <t>Tractomulas y remolques Costo</t>
  </si>
  <si>
    <t>G154010101</t>
  </si>
  <si>
    <t>Leasing Financiero - Tractomulas y remolques Costo</t>
  </si>
  <si>
    <t>G154010170</t>
  </si>
  <si>
    <t>Tractomulas y remolques Valorización</t>
  </si>
  <si>
    <t>G154010171</t>
  </si>
  <si>
    <t>Leasing Financiero - Tractomulas y remolques Valor</t>
  </si>
  <si>
    <t>G151230100</t>
  </si>
  <si>
    <t>Flota y Equipo de Transporte en montaje</t>
  </si>
  <si>
    <t>G154010175</t>
  </si>
  <si>
    <t>Tractomulas y remolques Deterioro</t>
  </si>
  <si>
    <t>G154010176</t>
  </si>
  <si>
    <t>Leasing Financiero - Tractomulas y remolques Deter</t>
  </si>
  <si>
    <t>G154015100</t>
  </si>
  <si>
    <t>G154020100</t>
  </si>
  <si>
    <t>G154030100</t>
  </si>
  <si>
    <t>G154405100</t>
  </si>
  <si>
    <t>G154405170</t>
  </si>
  <si>
    <t>Buques - Valorización</t>
  </si>
  <si>
    <t>G154405175</t>
  </si>
  <si>
    <t>Equipo fluvial maritimo Buques - Deterioro</t>
  </si>
  <si>
    <t>G154410100</t>
  </si>
  <si>
    <t>G154410170</t>
  </si>
  <si>
    <t>Equipo fluvial maritimo Lanchas - Valorización</t>
  </si>
  <si>
    <t>G154420100</t>
  </si>
  <si>
    <t>G155650100</t>
  </si>
  <si>
    <t>Subcosto Activos intangibles distintos de la plusvalía</t>
  </si>
  <si>
    <t>G156405175</t>
  </si>
  <si>
    <t>Cultivos en desarrollo - Deterioro</t>
  </si>
  <si>
    <t>Semovientes - Valorización</t>
  </si>
  <si>
    <t>Semovientes - Deterioro</t>
  </si>
  <si>
    <t>Dep. acum. Construc. y edificac.  Valorización</t>
  </si>
  <si>
    <t>Dep Acum Derecho de uso Edificios</t>
  </si>
  <si>
    <t>Dep Acum Derecho de uso Maquinaria y Equipos</t>
  </si>
  <si>
    <t>Dep Acum Derecho de uso Equipo de Oficina</t>
  </si>
  <si>
    <t>Dep Acum Derecho uso Equipo Computo y Comunicación</t>
  </si>
  <si>
    <t>Dep Acum Derecho de uso Flota y Equipo Transporte</t>
  </si>
  <si>
    <t>Adquirido o comprado</t>
  </si>
  <si>
    <t>Dep acum Eq comput y comunicación-Valorización</t>
  </si>
  <si>
    <t>G159230100</t>
  </si>
  <si>
    <t>Dep. acum. Flota y equipo fluvial - valorización</t>
  </si>
  <si>
    <t>Formadas</t>
  </si>
  <si>
    <t>S1615_1</t>
  </si>
  <si>
    <t>Patentes</t>
  </si>
  <si>
    <t>G161010100</t>
  </si>
  <si>
    <t>G162005100</t>
  </si>
  <si>
    <t>Concesiones</t>
  </si>
  <si>
    <t>G154017170</t>
  </si>
  <si>
    <t>Recolectores y contenedores - Valorización</t>
  </si>
  <si>
    <t>G154017100</t>
  </si>
  <si>
    <t>Equipo transp. Recolectores y contenedores - Costo</t>
  </si>
  <si>
    <t>G162505100</t>
  </si>
  <si>
    <t>Derechos de autor</t>
  </si>
  <si>
    <t>G162510100</t>
  </si>
  <si>
    <t>Puesto de bolsa</t>
  </si>
  <si>
    <t>G154040100</t>
  </si>
  <si>
    <t>Estibas y carretas</t>
  </si>
  <si>
    <t>S162505_1</t>
  </si>
  <si>
    <t>S162510_1</t>
  </si>
  <si>
    <t>G162515100</t>
  </si>
  <si>
    <t>En fideicomisos inmobiliarios</t>
  </si>
  <si>
    <t>G162520100</t>
  </si>
  <si>
    <t>En fideicomisos de garantía</t>
  </si>
  <si>
    <t>G162525100</t>
  </si>
  <si>
    <t>En fideicomisos de administración</t>
  </si>
  <si>
    <t>G162530100</t>
  </si>
  <si>
    <t>De exhibición - películas</t>
  </si>
  <si>
    <t>G162531100</t>
  </si>
  <si>
    <t>De exhibición - Formatos</t>
  </si>
  <si>
    <t>G162532100</t>
  </si>
  <si>
    <t>De exhibición - Eventos deportivos</t>
  </si>
  <si>
    <t>S162515_1</t>
  </si>
  <si>
    <t>S162520_1</t>
  </si>
  <si>
    <t>G162535100</t>
  </si>
  <si>
    <t>En bienes recibidos en arrendamiento financiero (l</t>
  </si>
  <si>
    <t>S162525_1</t>
  </si>
  <si>
    <t>G163505100</t>
  </si>
  <si>
    <t>G169810100</t>
  </si>
  <si>
    <t>G169815100</t>
  </si>
  <si>
    <t>S162531_1</t>
  </si>
  <si>
    <t>Dep. y/o amort. Acum.  Licencias</t>
  </si>
  <si>
    <t>G158825100</t>
  </si>
  <si>
    <t>Equipo de hoteles y restaurantes en transito</t>
  </si>
  <si>
    <t>S162532_1</t>
  </si>
  <si>
    <t>En bienes recibidos en arrendamiento financiero (leasing)</t>
  </si>
  <si>
    <t>G171024192</t>
  </si>
  <si>
    <t>Cgos dif. Mejoras propiedades ajenas-Amortización</t>
  </si>
  <si>
    <t>Depreciación y/o amortización acumulada</t>
  </si>
  <si>
    <t>S169815_1</t>
  </si>
  <si>
    <t>Deprec. y/o amort. acum. -Patentes</t>
  </si>
  <si>
    <t>S1699_1</t>
  </si>
  <si>
    <t>Gastos pagados por anticipado</t>
  </si>
  <si>
    <t>G171016000</t>
  </si>
  <si>
    <t>G171020000</t>
  </si>
  <si>
    <t>Útiles y papelería</t>
  </si>
  <si>
    <t>G171020100</t>
  </si>
  <si>
    <t>G171024092</t>
  </si>
  <si>
    <t>Cargos diferidos</t>
  </si>
  <si>
    <t>S1710_0IRD</t>
  </si>
  <si>
    <t>Subcosto cargos diferidos</t>
  </si>
  <si>
    <t>G171044000</t>
  </si>
  <si>
    <t>Publicidad, propaganda y promoción</t>
  </si>
  <si>
    <t>G171044100</t>
  </si>
  <si>
    <t>S171016_0</t>
  </si>
  <si>
    <t>S171020_0</t>
  </si>
  <si>
    <t>S171020_1</t>
  </si>
  <si>
    <t>G171076000</t>
  </si>
  <si>
    <t>Impuesto de renta diferido “débitos” por diferenci</t>
  </si>
  <si>
    <t>G179804100</t>
  </si>
  <si>
    <t>Amort Acum Organización y preoperativos</t>
  </si>
  <si>
    <t>G179812100</t>
  </si>
  <si>
    <t>Amort Acum Estudios, investigaciones y proyectos</t>
  </si>
  <si>
    <t>Amort Acum Mejoras en propiedades ajenas</t>
  </si>
  <si>
    <t>Obras de arte</t>
  </si>
  <si>
    <t>NIIF Impuesto de renta diferido “débitos”</t>
  </si>
  <si>
    <t>G181015100</t>
  </si>
  <si>
    <t>NIIF Excesos de renta presuntiva acumulados</t>
  </si>
  <si>
    <t>G181020100</t>
  </si>
  <si>
    <t>NIIF Pérdidas fiscales acumuladas</t>
  </si>
  <si>
    <t>G181205100</t>
  </si>
  <si>
    <t>NIIF Operaciones discontinuadas (Inversiones)</t>
  </si>
  <si>
    <t>G181512100</t>
  </si>
  <si>
    <t>Inversiones mantenidas para la venta</t>
  </si>
  <si>
    <t>G181515104</t>
  </si>
  <si>
    <t>G181515116</t>
  </si>
  <si>
    <t>Edificios mantenidos para la venta</t>
  </si>
  <si>
    <t>S171044_0</t>
  </si>
  <si>
    <t>S171044_1</t>
  </si>
  <si>
    <t>S171076_0</t>
  </si>
  <si>
    <t>Impuesto de renta diferido “débitos” por dif temporales</t>
  </si>
  <si>
    <t>Subamortización cargos diferidos</t>
  </si>
  <si>
    <t>S1715_0</t>
  </si>
  <si>
    <t>Costos de exploración por amortizar</t>
  </si>
  <si>
    <t>S1715_1</t>
  </si>
  <si>
    <t>S1720_0</t>
  </si>
  <si>
    <t>Costos de explotación y desarrollo</t>
  </si>
  <si>
    <t>S1720_1</t>
  </si>
  <si>
    <t>G181595100</t>
  </si>
  <si>
    <t>Otros activos diversos mantenidos para la venta</t>
  </si>
  <si>
    <t>Amortización acumulada de bienes entregados en com</t>
  </si>
  <si>
    <t>G150405103</t>
  </si>
  <si>
    <t>Terrenos - Mejoras en propieades ajenas</t>
  </si>
  <si>
    <t>G151605103</t>
  </si>
  <si>
    <t>Edificios - Mejoras en propieades ajenas</t>
  </si>
  <si>
    <t>S179804_1</t>
  </si>
  <si>
    <t>Bienes de arte y cultura</t>
  </si>
  <si>
    <t>Impuesto de renta diferido “débitos”</t>
  </si>
  <si>
    <t>S181015_1</t>
  </si>
  <si>
    <t>S181020_1</t>
  </si>
  <si>
    <t>S1812_1</t>
  </si>
  <si>
    <t>Operaciones discontinuadas (Inversiones)</t>
  </si>
  <si>
    <t>G210505000</t>
  </si>
  <si>
    <t>Sobregiros</t>
  </si>
  <si>
    <t>G210505100</t>
  </si>
  <si>
    <t>S181205_1</t>
  </si>
  <si>
    <t>G210510000</t>
  </si>
  <si>
    <t>Pagarés</t>
  </si>
  <si>
    <t>Mantenidos para la venta</t>
  </si>
  <si>
    <t>S181512_1</t>
  </si>
  <si>
    <t>G211005000</t>
  </si>
  <si>
    <t>G211005100</t>
  </si>
  <si>
    <t>S181595_1</t>
  </si>
  <si>
    <t>G211010000</t>
  </si>
  <si>
    <t>G211010100</t>
  </si>
  <si>
    <t>S189995_1</t>
  </si>
  <si>
    <t>Interés minoritario (Patrimonio)</t>
  </si>
  <si>
    <t>G200505000</t>
  </si>
  <si>
    <t>G211520000</t>
  </si>
  <si>
    <t>Contratos de arrendamiento financiero (leasing)</t>
  </si>
  <si>
    <t>G211520100</t>
  </si>
  <si>
    <t>S210505_1</t>
  </si>
  <si>
    <t>G212020000</t>
  </si>
  <si>
    <t>G219505000</t>
  </si>
  <si>
    <t>Particulares</t>
  </si>
  <si>
    <t>S211005_0</t>
  </si>
  <si>
    <t>G220505000</t>
  </si>
  <si>
    <t>G220505100</t>
  </si>
  <si>
    <t>G221005000</t>
  </si>
  <si>
    <t>G230525000</t>
  </si>
  <si>
    <t>G231505000</t>
  </si>
  <si>
    <t>A compañías vinculadas</t>
  </si>
  <si>
    <t>G232005000</t>
  </si>
  <si>
    <t>A contratistas</t>
  </si>
  <si>
    <t>G232005100</t>
  </si>
  <si>
    <t>G233505000</t>
  </si>
  <si>
    <t>Gastos financieros</t>
  </si>
  <si>
    <t>G233505100</t>
  </si>
  <si>
    <t>G233510000</t>
  </si>
  <si>
    <t>G233510100</t>
  </si>
  <si>
    <t>G233515000</t>
  </si>
  <si>
    <t>Libros, suscripciones, periódicos y revistas</t>
  </si>
  <si>
    <t>G233515100</t>
  </si>
  <si>
    <t>G233520000</t>
  </si>
  <si>
    <t>S211005_1</t>
  </si>
  <si>
    <t>G233520100</t>
  </si>
  <si>
    <t>G233525000</t>
  </si>
  <si>
    <t>S211010_0</t>
  </si>
  <si>
    <t>S211010_1</t>
  </si>
  <si>
    <t>S211520_0</t>
  </si>
  <si>
    <t>S211520_1</t>
  </si>
  <si>
    <t>G233525100</t>
  </si>
  <si>
    <t>G233530000</t>
  </si>
  <si>
    <t>Servicios técnicos</t>
  </si>
  <si>
    <t>G233530100</t>
  </si>
  <si>
    <t>G233535000</t>
  </si>
  <si>
    <t>Servicios de mantenimiento</t>
  </si>
  <si>
    <t>G233535100</t>
  </si>
  <si>
    <t>G233540000</t>
  </si>
  <si>
    <t>G233540100</t>
  </si>
  <si>
    <t>S2205_1</t>
  </si>
  <si>
    <t>S220505_1</t>
  </si>
  <si>
    <t>G233545000</t>
  </si>
  <si>
    <t>Transporte, fletes y acarreos</t>
  </si>
  <si>
    <t>G233545100</t>
  </si>
  <si>
    <t>G233550000</t>
  </si>
  <si>
    <t>Servicios públicos</t>
  </si>
  <si>
    <t>G233550100</t>
  </si>
  <si>
    <t>G233555000</t>
  </si>
  <si>
    <t>G233555100</t>
  </si>
  <si>
    <t>G233560000</t>
  </si>
  <si>
    <t>G233560100</t>
  </si>
  <si>
    <t>G233565000</t>
  </si>
  <si>
    <t>Gastos de representación y relaciones públicas</t>
  </si>
  <si>
    <t>G233565100</t>
  </si>
  <si>
    <t>G233570000</t>
  </si>
  <si>
    <t>Servicios aduaneros</t>
  </si>
  <si>
    <t>G233570100</t>
  </si>
  <si>
    <t>G233575000</t>
  </si>
  <si>
    <t>G233575100</t>
  </si>
  <si>
    <t>G233580000</t>
  </si>
  <si>
    <t>Afiliaciones y sostenimiento</t>
  </si>
  <si>
    <t>G233580100</t>
  </si>
  <si>
    <t>G233595000</t>
  </si>
  <si>
    <t>G235005000</t>
  </si>
  <si>
    <t>Regalías por pagar</t>
  </si>
  <si>
    <t>G235005100</t>
  </si>
  <si>
    <t>G235505000</t>
  </si>
  <si>
    <t>Accionistas</t>
  </si>
  <si>
    <t>G235505100</t>
  </si>
  <si>
    <t>G235510000</t>
  </si>
  <si>
    <t>Socios</t>
  </si>
  <si>
    <t>G235510100</t>
  </si>
  <si>
    <t>G236005000</t>
  </si>
  <si>
    <t>G236005100</t>
  </si>
  <si>
    <t>G236510000</t>
  </si>
  <si>
    <t>G236515000</t>
  </si>
  <si>
    <t>G236520000</t>
  </si>
  <si>
    <t>G236525000</t>
  </si>
  <si>
    <t>G236530000</t>
  </si>
  <si>
    <t>G236545000</t>
  </si>
  <si>
    <t>Loterías, rifas, apuestas y similares</t>
  </si>
  <si>
    <t>S2320_1</t>
  </si>
  <si>
    <t>S232005_1</t>
  </si>
  <si>
    <t>G236705000</t>
  </si>
  <si>
    <t>S233505_1</t>
  </si>
  <si>
    <t>S233510_1</t>
  </si>
  <si>
    <t>S233515_1</t>
  </si>
  <si>
    <t>G236805000</t>
  </si>
  <si>
    <t>S233520_1</t>
  </si>
  <si>
    <t>G237030000</t>
  </si>
  <si>
    <t>Libranzas</t>
  </si>
  <si>
    <t>G237035000</t>
  </si>
  <si>
    <t>Sindicatos</t>
  </si>
  <si>
    <t>G238095000</t>
  </si>
  <si>
    <t>S233525_1</t>
  </si>
  <si>
    <t>S233530_1</t>
  </si>
  <si>
    <t>S233535_1</t>
  </si>
  <si>
    <t>S233540_1</t>
  </si>
  <si>
    <t>S233545_1</t>
  </si>
  <si>
    <t>G240805000</t>
  </si>
  <si>
    <t>Impuesto sobre las ventas por pagar</t>
  </si>
  <si>
    <t>S233550_1</t>
  </si>
  <si>
    <t>G241205000</t>
  </si>
  <si>
    <t>Vigencia fiscal corriente</t>
  </si>
  <si>
    <t>G241210000</t>
  </si>
  <si>
    <t>Vigencias fiscales anteriores</t>
  </si>
  <si>
    <t>S233555_1</t>
  </si>
  <si>
    <t>G241605000</t>
  </si>
  <si>
    <t>A la propiedad raíz</t>
  </si>
  <si>
    <t>G242405000</t>
  </si>
  <si>
    <t>G242805000</t>
  </si>
  <si>
    <t>De turismo</t>
  </si>
  <si>
    <t>G243205000</t>
  </si>
  <si>
    <t>Tasa por utilización de puertos</t>
  </si>
  <si>
    <t>G243605000</t>
  </si>
  <si>
    <t>G243610000</t>
  </si>
  <si>
    <t>G244005000</t>
  </si>
  <si>
    <t>De espectáculos públicos</t>
  </si>
  <si>
    <t>G245605000</t>
  </si>
  <si>
    <t>A las importaciones</t>
  </si>
  <si>
    <t>G247201000</t>
  </si>
  <si>
    <t>Al azar y juegos</t>
  </si>
  <si>
    <t>G249505000</t>
  </si>
  <si>
    <t>Impuesto de patrimonio</t>
  </si>
  <si>
    <t>S233560_1</t>
  </si>
  <si>
    <t>S233565_1</t>
  </si>
  <si>
    <t>S233570_0</t>
  </si>
  <si>
    <t>S233570_1</t>
  </si>
  <si>
    <t>G249505100</t>
  </si>
  <si>
    <t>G249510000</t>
  </si>
  <si>
    <t>Impuesto consumo bolsas plásticas</t>
  </si>
  <si>
    <t>G249595000</t>
  </si>
  <si>
    <t>S233575_1</t>
  </si>
  <si>
    <t>S233580_1</t>
  </si>
  <si>
    <t>G249595100</t>
  </si>
  <si>
    <t>G250505000</t>
  </si>
  <si>
    <t>Salarios por pagar</t>
  </si>
  <si>
    <t>G251005000</t>
  </si>
  <si>
    <t>Ley laboral anterior</t>
  </si>
  <si>
    <t>G251510000</t>
  </si>
  <si>
    <t>Intereses sobre cesantías</t>
  </si>
  <si>
    <t>G252010000</t>
  </si>
  <si>
    <t>Prima de servicios</t>
  </si>
  <si>
    <t>G252510000</t>
  </si>
  <si>
    <t>Vacaciones consolidadas</t>
  </si>
  <si>
    <t>S2350_0</t>
  </si>
  <si>
    <t>S2350_1</t>
  </si>
  <si>
    <t>G253005000</t>
  </si>
  <si>
    <t>Primas</t>
  </si>
  <si>
    <t>S235005_0</t>
  </si>
  <si>
    <t>G253005100</t>
  </si>
  <si>
    <t>S235005_1</t>
  </si>
  <si>
    <t>G253020000</t>
  </si>
  <si>
    <t>Bonificaciones</t>
  </si>
  <si>
    <t>G253020100</t>
  </si>
  <si>
    <t>G253205000</t>
  </si>
  <si>
    <t>G253205100</t>
  </si>
  <si>
    <t>G254005000</t>
  </si>
  <si>
    <t>Indemnizaciones laborales</t>
  </si>
  <si>
    <t>G254005100</t>
  </si>
  <si>
    <t>G260505000</t>
  </si>
  <si>
    <t>G260505100</t>
  </si>
  <si>
    <t>G260510000</t>
  </si>
  <si>
    <t>G260510100</t>
  </si>
  <si>
    <t>G260515000</t>
  </si>
  <si>
    <t>G260515100</t>
  </si>
  <si>
    <t>G260520000</t>
  </si>
  <si>
    <t>G260520100</t>
  </si>
  <si>
    <t>G260525000</t>
  </si>
  <si>
    <t>Transportes, fletes y acarreos</t>
  </si>
  <si>
    <t>G260525100</t>
  </si>
  <si>
    <t>G260530000</t>
  </si>
  <si>
    <t>S235505_0</t>
  </si>
  <si>
    <t>G260530100</t>
  </si>
  <si>
    <t>S235505_1</t>
  </si>
  <si>
    <t>G260535000</t>
  </si>
  <si>
    <t>G260535100</t>
  </si>
  <si>
    <t>G260540000</t>
  </si>
  <si>
    <t>Regalías</t>
  </si>
  <si>
    <t>G260540100</t>
  </si>
  <si>
    <t>S235510_0</t>
  </si>
  <si>
    <t>S235510_1</t>
  </si>
  <si>
    <t>G260550000</t>
  </si>
  <si>
    <t>Materiales y repuestos</t>
  </si>
  <si>
    <t>G260550100</t>
  </si>
  <si>
    <t>G260595000</t>
  </si>
  <si>
    <t>G260595100</t>
  </si>
  <si>
    <t>S236005_1</t>
  </si>
  <si>
    <t>G261505000</t>
  </si>
  <si>
    <t>De renta y complementarios</t>
  </si>
  <si>
    <t>G261505100</t>
  </si>
  <si>
    <t>G261510000</t>
  </si>
  <si>
    <t>De industria y comercio</t>
  </si>
  <si>
    <t>G261510100</t>
  </si>
  <si>
    <t>G261520000</t>
  </si>
  <si>
    <t>De vehículos</t>
  </si>
  <si>
    <t>G261520100</t>
  </si>
  <si>
    <t>G261595000</t>
  </si>
  <si>
    <t>G261595100</t>
  </si>
  <si>
    <t>G263505000</t>
  </si>
  <si>
    <t>Multas y sanciones autoridades administrativas</t>
  </si>
  <si>
    <t>G263505100</t>
  </si>
  <si>
    <t>G263510000</t>
  </si>
  <si>
    <t>Intereses por multas y sanciones</t>
  </si>
  <si>
    <t>G263510100</t>
  </si>
  <si>
    <t>G263520000</t>
  </si>
  <si>
    <t>Laborales</t>
  </si>
  <si>
    <t>G263520100</t>
  </si>
  <si>
    <t>G263525000</t>
  </si>
  <si>
    <t>Civiles</t>
  </si>
  <si>
    <t>G263525100</t>
  </si>
  <si>
    <t>G263595000</t>
  </si>
  <si>
    <t>S236510_0</t>
  </si>
  <si>
    <t>G263595100</t>
  </si>
  <si>
    <t>G264005000</t>
  </si>
  <si>
    <t>Para obligaciones de garantías</t>
  </si>
  <si>
    <t>G264005100</t>
  </si>
  <si>
    <t>G269505000</t>
  </si>
  <si>
    <t>Para beneficencia</t>
  </si>
  <si>
    <t>G269505100</t>
  </si>
  <si>
    <t>G269595000</t>
  </si>
  <si>
    <t>G269595100</t>
  </si>
  <si>
    <t>G270510000</t>
  </si>
  <si>
    <t>G270510100</t>
  </si>
  <si>
    <t>G270530000</t>
  </si>
  <si>
    <t>De suscriptores</t>
  </si>
  <si>
    <t>G270530100</t>
  </si>
  <si>
    <t>G270545000</t>
  </si>
  <si>
    <t>Matriculas y pensiones</t>
  </si>
  <si>
    <t>G270595000</t>
  </si>
  <si>
    <t>G270595100</t>
  </si>
  <si>
    <t>G271005000</t>
  </si>
  <si>
    <t>Reajuste del sistema</t>
  </si>
  <si>
    <t>G271005100</t>
  </si>
  <si>
    <t>G271505000</t>
  </si>
  <si>
    <t>Utilidad diferida en ventas a plazo</t>
  </si>
  <si>
    <t>G271505100</t>
  </si>
  <si>
    <t>G272005000</t>
  </si>
  <si>
    <t>Crédito por corrección monetaria diferida</t>
  </si>
  <si>
    <t>G272005100</t>
  </si>
  <si>
    <t>G272505000</t>
  </si>
  <si>
    <t>Por depreciación flexible</t>
  </si>
  <si>
    <t>G272505100</t>
  </si>
  <si>
    <t>G272595000</t>
  </si>
  <si>
    <t>G280505000</t>
  </si>
  <si>
    <t>De clientes</t>
  </si>
  <si>
    <t>G280505100</t>
  </si>
  <si>
    <t>G280510000</t>
  </si>
  <si>
    <t>Sobre contratos</t>
  </si>
  <si>
    <t>G280510100</t>
  </si>
  <si>
    <t>G280515000</t>
  </si>
  <si>
    <t>Para obras en proceso</t>
  </si>
  <si>
    <t>G280515100</t>
  </si>
  <si>
    <t>G280595000</t>
  </si>
  <si>
    <t>G280595100</t>
  </si>
  <si>
    <t>G281005000</t>
  </si>
  <si>
    <t>Para futura suscripción de acciones</t>
  </si>
  <si>
    <t>G281005100</t>
  </si>
  <si>
    <t>G281010000</t>
  </si>
  <si>
    <t>Para futuro pago de cuotas o derechos sociales</t>
  </si>
  <si>
    <t>G281010100</t>
  </si>
  <si>
    <t>G281015000</t>
  </si>
  <si>
    <t>Para garantía en la prestación de servicios</t>
  </si>
  <si>
    <t>G281015100</t>
  </si>
  <si>
    <t>G281020000</t>
  </si>
  <si>
    <t>Para garantía de contratos</t>
  </si>
  <si>
    <t>G281020100</t>
  </si>
  <si>
    <t>G281095000</t>
  </si>
  <si>
    <t>G281095100</t>
  </si>
  <si>
    <t>G281505000</t>
  </si>
  <si>
    <t>Valores recibidos para terceros</t>
  </si>
  <si>
    <t>G281505100</t>
  </si>
  <si>
    <t>G281510000</t>
  </si>
  <si>
    <t>Venta por cuenta de terceros</t>
  </si>
  <si>
    <t>G281510100</t>
  </si>
  <si>
    <t>G282505000</t>
  </si>
  <si>
    <t>Cumplimiento obligaciones laborales</t>
  </si>
  <si>
    <t>G282505100</t>
  </si>
  <si>
    <t>G282515000</t>
  </si>
  <si>
    <t>Garantía cumplimiento de contratos</t>
  </si>
  <si>
    <t>G284005000</t>
  </si>
  <si>
    <t>G284005100</t>
  </si>
  <si>
    <t>G289005000</t>
  </si>
  <si>
    <t>G289005100</t>
  </si>
  <si>
    <t>G289010000</t>
  </si>
  <si>
    <t>G289010100</t>
  </si>
  <si>
    <t>G289015000</t>
  </si>
  <si>
    <t>G289015100</t>
  </si>
  <si>
    <t>G289020000</t>
  </si>
  <si>
    <t>G289020100</t>
  </si>
  <si>
    <t>G289505000</t>
  </si>
  <si>
    <t>Préstamos de productos</t>
  </si>
  <si>
    <t>G289505100</t>
  </si>
  <si>
    <t>G290505000</t>
  </si>
  <si>
    <t>Bonos en circulación</t>
  </si>
  <si>
    <t>G290505100</t>
  </si>
  <si>
    <t>G291505000</t>
  </si>
  <si>
    <t>Papeles comerciales</t>
  </si>
  <si>
    <t>G291505100</t>
  </si>
  <si>
    <t>Cuotas o partes de interés social</t>
  </si>
  <si>
    <t>G314005000</t>
  </si>
  <si>
    <t>Fondo social</t>
  </si>
  <si>
    <t>G284512100</t>
  </si>
  <si>
    <t>Pasivos mantenidos para la venta</t>
  </si>
  <si>
    <t>S237030_0</t>
  </si>
  <si>
    <t>S237035_0</t>
  </si>
  <si>
    <t>S238_0</t>
  </si>
  <si>
    <t>Titulos Emitidos</t>
  </si>
  <si>
    <t>S238_1</t>
  </si>
  <si>
    <t>Para futuras capitalizaciones</t>
  </si>
  <si>
    <t>Para futuros ensanches</t>
  </si>
  <si>
    <t>G331095000</t>
  </si>
  <si>
    <t>G350505000</t>
  </si>
  <si>
    <t>Dividendos decretados en acciones</t>
  </si>
  <si>
    <t>Utilidad del ejercicio</t>
  </si>
  <si>
    <t>Pérdida del ejercicio</t>
  </si>
  <si>
    <t>G380510000</t>
  </si>
  <si>
    <t>G381016000</t>
  </si>
  <si>
    <t>G389505000</t>
  </si>
  <si>
    <t>G389510000</t>
  </si>
  <si>
    <t>G389515000</t>
  </si>
  <si>
    <t>G389520000</t>
  </si>
  <si>
    <t>Inventario de semovientes</t>
  </si>
  <si>
    <t>S241_0</t>
  </si>
  <si>
    <t>S242405_0</t>
  </si>
  <si>
    <t>S2428_0</t>
  </si>
  <si>
    <t>S242805_0</t>
  </si>
  <si>
    <t>S2432_0</t>
  </si>
  <si>
    <t>S243205_0</t>
  </si>
  <si>
    <t>S2436_0</t>
  </si>
  <si>
    <t>S243605_0</t>
  </si>
  <si>
    <t>S243610_0</t>
  </si>
  <si>
    <t>S2495_1</t>
  </si>
  <si>
    <t>S249505_0</t>
  </si>
  <si>
    <t>S249505_1</t>
  </si>
  <si>
    <t>S249510_0</t>
  </si>
  <si>
    <t>S249595_1</t>
  </si>
  <si>
    <t>S250505_0</t>
  </si>
  <si>
    <t>S251005_0</t>
  </si>
  <si>
    <t>S251510_0</t>
  </si>
  <si>
    <t>S252010_0</t>
  </si>
  <si>
    <t>S252510_0</t>
  </si>
  <si>
    <t>S253005_0</t>
  </si>
  <si>
    <t>S253020_0</t>
  </si>
  <si>
    <t>S253205_0</t>
  </si>
  <si>
    <t>S2540_0</t>
  </si>
  <si>
    <t>S2540_1</t>
  </si>
  <si>
    <t>S254005_0</t>
  </si>
  <si>
    <t>S254005_1</t>
  </si>
  <si>
    <t>S260505_0</t>
  </si>
  <si>
    <t>S260505_1</t>
  </si>
  <si>
    <t>S260510_0</t>
  </si>
  <si>
    <t>S260510_1</t>
  </si>
  <si>
    <t>S260515_0</t>
  </si>
  <si>
    <t>S260515_1</t>
  </si>
  <si>
    <t>S260520_0</t>
  </si>
  <si>
    <t>S260520_1</t>
  </si>
  <si>
    <t>S260525_0</t>
  </si>
  <si>
    <t>S260525_1</t>
  </si>
  <si>
    <t>S260530_0</t>
  </si>
  <si>
    <t>S260530_1</t>
  </si>
  <si>
    <t>S260535_0</t>
  </si>
  <si>
    <t>S260535_1</t>
  </si>
  <si>
    <t>S260540_0</t>
  </si>
  <si>
    <t>S260540_1</t>
  </si>
  <si>
    <t>S260550_0</t>
  </si>
  <si>
    <t>S260550_1</t>
  </si>
  <si>
    <t>S260595_0</t>
  </si>
  <si>
    <t>S261505_0</t>
  </si>
  <si>
    <t>S261505_1</t>
  </si>
  <si>
    <t>S261510_0</t>
  </si>
  <si>
    <t>S261510_1</t>
  </si>
  <si>
    <t>S261520_0</t>
  </si>
  <si>
    <t>S261520_1</t>
  </si>
  <si>
    <t>S261595_0</t>
  </si>
  <si>
    <t>S261595_1</t>
  </si>
  <si>
    <t>S263505_0</t>
  </si>
  <si>
    <t>S263505_1</t>
  </si>
  <si>
    <t>S263510_0</t>
  </si>
  <si>
    <t>S263510_1</t>
  </si>
  <si>
    <t>S263520_0</t>
  </si>
  <si>
    <t>S263520_1</t>
  </si>
  <si>
    <t>S263525_0</t>
  </si>
  <si>
    <t>S263525_1</t>
  </si>
  <si>
    <t>S263595_0</t>
  </si>
  <si>
    <t>S2640_0</t>
  </si>
  <si>
    <t>S2640_1</t>
  </si>
  <si>
    <t>S264005_0</t>
  </si>
  <si>
    <t>S264005_1</t>
  </si>
  <si>
    <t>S269505_0</t>
  </si>
  <si>
    <t>S269505_1</t>
  </si>
  <si>
    <t>S269595_0</t>
  </si>
  <si>
    <t>S269595_1</t>
  </si>
  <si>
    <t>S270510_0</t>
  </si>
  <si>
    <t>S270510_1</t>
  </si>
  <si>
    <t>S270530_1</t>
  </si>
  <si>
    <t>S270595_1</t>
  </si>
  <si>
    <t>S271005_0</t>
  </si>
  <si>
    <t>S271005_1</t>
  </si>
  <si>
    <t>S2715_0</t>
  </si>
  <si>
    <t>Utilidad diferida en ventas a plazos</t>
  </si>
  <si>
    <t>S2715_1</t>
  </si>
  <si>
    <t>S271505_0</t>
  </si>
  <si>
    <t>S271505_1</t>
  </si>
  <si>
    <t>S2720_0</t>
  </si>
  <si>
    <t>S2720_1</t>
  </si>
  <si>
    <t>S272005_0</t>
  </si>
  <si>
    <t>S272005_1</t>
  </si>
  <si>
    <t>S2725_0</t>
  </si>
  <si>
    <t>Impuestos diferidos</t>
  </si>
  <si>
    <t>S272505_0</t>
  </si>
  <si>
    <t>S272505_1</t>
  </si>
  <si>
    <t>S272595_0</t>
  </si>
  <si>
    <t>S280505_1</t>
  </si>
  <si>
    <t>S280510_0</t>
  </si>
  <si>
    <t>S280510_1</t>
  </si>
  <si>
    <t>S280515_0</t>
  </si>
  <si>
    <t>S280515_1</t>
  </si>
  <si>
    <t>S280595_1</t>
  </si>
  <si>
    <t>S281005_0</t>
  </si>
  <si>
    <t>S281005_1</t>
  </si>
  <si>
    <t>S281010_0</t>
  </si>
  <si>
    <t>S281010_1</t>
  </si>
  <si>
    <t>S281015_1</t>
  </si>
  <si>
    <t>S281020_0</t>
  </si>
  <si>
    <t>S281020_1</t>
  </si>
  <si>
    <t>S281095_1</t>
  </si>
  <si>
    <t>S281505_1</t>
  </si>
  <si>
    <t>S281510_1</t>
  </si>
  <si>
    <t>S282505_0</t>
  </si>
  <si>
    <t>S282505_1</t>
  </si>
  <si>
    <t>S2840_1</t>
  </si>
  <si>
    <t>S284005_1</t>
  </si>
  <si>
    <t>S2845_1</t>
  </si>
  <si>
    <t>S284512_1</t>
  </si>
  <si>
    <t>S289005_1</t>
  </si>
  <si>
    <t>S289010_0</t>
  </si>
  <si>
    <t>S289010_1</t>
  </si>
  <si>
    <t>S289015_0</t>
  </si>
  <si>
    <t>S289015_1</t>
  </si>
  <si>
    <t>S289020_0</t>
  </si>
  <si>
    <t>S289020_1</t>
  </si>
  <si>
    <t>S2895_0</t>
  </si>
  <si>
    <t>S2895_1</t>
  </si>
  <si>
    <t>S289505_0</t>
  </si>
  <si>
    <t>S289505_1</t>
  </si>
  <si>
    <t>S2905_0</t>
  </si>
  <si>
    <t>S2905_1</t>
  </si>
  <si>
    <t>S290505_0</t>
  </si>
  <si>
    <t>S290505_1</t>
  </si>
  <si>
    <t>S2915_0</t>
  </si>
  <si>
    <t>S2915_1</t>
  </si>
  <si>
    <t>S291505_0</t>
  </si>
  <si>
    <t>S291505_1</t>
  </si>
  <si>
    <t>S3140_0</t>
  </si>
  <si>
    <t>S314005_0</t>
  </si>
  <si>
    <t>S331095_0</t>
  </si>
  <si>
    <t>S3505_0</t>
  </si>
  <si>
    <t>S350505_0</t>
  </si>
  <si>
    <t>S381016_0</t>
  </si>
  <si>
    <t>S389505_0</t>
  </si>
  <si>
    <t>S389510_0</t>
  </si>
  <si>
    <t>S389515_0</t>
  </si>
  <si>
    <t>S389520_0</t>
  </si>
  <si>
    <t>Estado Situación financiera</t>
  </si>
  <si>
    <t>Oblig fcieras Arrend CP - Terrenos</t>
  </si>
  <si>
    <t>Oblig fcieras Arrend CP - Edificios</t>
  </si>
  <si>
    <t>Oblig fcieras Arrend CP - Intangibles</t>
  </si>
  <si>
    <t>Oblig fcieras Arrend CP - Maquinaria y equipo</t>
  </si>
  <si>
    <t>Oblig fcieras Arrend CP - Equipo de oficina</t>
  </si>
  <si>
    <t>Oblig fcieras Arrend CP - Eq Computo-Comunicación</t>
  </si>
  <si>
    <t>Oblig fcieras Arrend CP - Flota Equipo Transporte</t>
  </si>
  <si>
    <t>Oblig fcieras Arrend LP - Terrenos</t>
  </si>
  <si>
    <t>Oblig fcieras Arrend LP - Edificios</t>
  </si>
  <si>
    <t>Oblig fcieras Arrend LP - Intangibles</t>
  </si>
  <si>
    <t>Oblig fcieras Arrend LP - Maquinaria y equipo</t>
  </si>
  <si>
    <t>Pasivo</t>
  </si>
  <si>
    <t>Oblig fcieras Arrend LP - Equipo de oficina</t>
  </si>
  <si>
    <t>Pasivo Corriente</t>
  </si>
  <si>
    <t>Pasivo No Corriente</t>
  </si>
  <si>
    <t>Interés minoritario</t>
  </si>
  <si>
    <t>Efecto neto de las eliminaciones</t>
  </si>
  <si>
    <t>provisiones corrientes</t>
  </si>
  <si>
    <t>S210_0E</t>
  </si>
  <si>
    <t>SubOtras provisiones no corrientes</t>
  </si>
  <si>
    <t>Oblig fcieras Arrend LP - Eq Computo-Comunicación</t>
  </si>
  <si>
    <t>Oblig fcieras Arrend LP - Flota Equipo Transporte</t>
  </si>
  <si>
    <t>Bancos nacionales</t>
  </si>
  <si>
    <t>S2110_0</t>
  </si>
  <si>
    <t>Bancos del exterior</t>
  </si>
  <si>
    <t>S2110_1</t>
  </si>
  <si>
    <t>S2115_0</t>
  </si>
  <si>
    <t>Corporaciones financieras</t>
  </si>
  <si>
    <t>S2115_1</t>
  </si>
  <si>
    <t>Compañías de financiamiento comercial</t>
  </si>
  <si>
    <t>SubOtras provisiones corrientes</t>
  </si>
  <si>
    <t>S215_0E</t>
  </si>
  <si>
    <t>Otras obligaciones</t>
  </si>
  <si>
    <t>provisiones no corrientes</t>
  </si>
  <si>
    <t>G236505000</t>
  </si>
  <si>
    <t>Salarios y pagos laborales</t>
  </si>
  <si>
    <t>G236535000</t>
  </si>
  <si>
    <t>Rendimientos financieros</t>
  </si>
  <si>
    <t>G236540000</t>
  </si>
  <si>
    <t>G236550000</t>
  </si>
  <si>
    <t>Pagos al exterior - Países convenio doble tributac</t>
  </si>
  <si>
    <t>G236551000</t>
  </si>
  <si>
    <t>Pagos al exterior - Países sin convenio doble trib</t>
  </si>
  <si>
    <t>G236570000</t>
  </si>
  <si>
    <t>Otras retenciones y patrimonio</t>
  </si>
  <si>
    <t>S2305_1</t>
  </si>
  <si>
    <t>Cuentas no corrientes comerciales</t>
  </si>
  <si>
    <t>S230525_1</t>
  </si>
  <si>
    <t>G236571000</t>
  </si>
  <si>
    <t>A trabajadores por cuenta propia</t>
  </si>
  <si>
    <t>G236572000</t>
  </si>
  <si>
    <t>Contratos de construcción</t>
  </si>
  <si>
    <t>Costos y gastos por pagar</t>
  </si>
  <si>
    <t>G236575000</t>
  </si>
  <si>
    <t>Autoretenciones - RENTA</t>
  </si>
  <si>
    <t>G236576000</t>
  </si>
  <si>
    <t>Autoretenciones - CREE</t>
  </si>
  <si>
    <t>G236590000</t>
  </si>
  <si>
    <t>RETENCIONES DE RENTA-CREE POR PAGAR</t>
  </si>
  <si>
    <t>G236790000</t>
  </si>
  <si>
    <t>RETENCIONES DE IVA POR PAGAR</t>
  </si>
  <si>
    <t>G236890000</t>
  </si>
  <si>
    <t>RETENCIONES DE ICA POR PAGAR</t>
  </si>
  <si>
    <t>G237005000</t>
  </si>
  <si>
    <t>Aportes a entidades promotoras de salud - EPS</t>
  </si>
  <si>
    <t>G237006000</t>
  </si>
  <si>
    <t>Aportes a administradoras de riesgos profesionales</t>
  </si>
  <si>
    <t>G237010000</t>
  </si>
  <si>
    <t>Aportes al ICBF, SENA y cajas de compensación</t>
  </si>
  <si>
    <t>G237025000</t>
  </si>
  <si>
    <t>Embargos judiciales</t>
  </si>
  <si>
    <t>G237040000</t>
  </si>
  <si>
    <t>Cooperativas</t>
  </si>
  <si>
    <t>G237045000</t>
  </si>
  <si>
    <t>Fondos diferentes a los de cesantías y/o pensiones</t>
  </si>
  <si>
    <t>G237046000</t>
  </si>
  <si>
    <t>Fondos de cesantías y/o pensiones</t>
  </si>
  <si>
    <t>G237095000</t>
  </si>
  <si>
    <t>Otras retenciones y aportes de nómina</t>
  </si>
  <si>
    <t>G238020000</t>
  </si>
  <si>
    <t>Reintegros por pagar</t>
  </si>
  <si>
    <t>G240405000</t>
  </si>
  <si>
    <t>RENTA Vigencia fiscal corriente</t>
  </si>
  <si>
    <t>G240406000</t>
  </si>
  <si>
    <t>CREE Vigencia fiscal corriente</t>
  </si>
  <si>
    <t>G240410000</t>
  </si>
  <si>
    <t>RENTA Vigencias fiscales anteriores</t>
  </si>
  <si>
    <t>G240411000</t>
  </si>
  <si>
    <t>CREE Vigencias fiscales anteriores</t>
  </si>
  <si>
    <t>G251010000</t>
  </si>
  <si>
    <t>Ley 50 de 1990 y normas posteriores</t>
  </si>
  <si>
    <t>S2355_0</t>
  </si>
  <si>
    <t>Deudas con accionistas o socios</t>
  </si>
  <si>
    <t>S2355_1</t>
  </si>
  <si>
    <t>Dividendos o participaciones por pagar</t>
  </si>
  <si>
    <t>S2360_1</t>
  </si>
  <si>
    <t>G262005100</t>
  </si>
  <si>
    <t>Cálculo actuarila pensiones de jubilacion</t>
  </si>
  <si>
    <t>G262010100</t>
  </si>
  <si>
    <t>Pensiones de jubilacion por amortizar (DB)</t>
  </si>
  <si>
    <t>G263535100</t>
  </si>
  <si>
    <t>Administrativos</t>
  </si>
  <si>
    <t>Retenciones en la fuente</t>
  </si>
  <si>
    <t>Pagos al exterior - Países convenio doble tributación</t>
  </si>
  <si>
    <t>Pagos al exterior - Países sin convenio doble tributación</t>
  </si>
  <si>
    <t>S236571_0</t>
  </si>
  <si>
    <t>G272510000</t>
  </si>
  <si>
    <t>"NIIF Impuesto de renta diferido “créditos"""</t>
  </si>
  <si>
    <t>Retenciones y aportes de nómina</t>
  </si>
  <si>
    <t>S237005_0</t>
  </si>
  <si>
    <t>Capital autorizado</t>
  </si>
  <si>
    <t>Capital por suscribir (DB)</t>
  </si>
  <si>
    <t>G310515000</t>
  </si>
  <si>
    <t>Capital suscrito por cobrar (DB)</t>
  </si>
  <si>
    <t>Prima en colocación de acciones</t>
  </si>
  <si>
    <t>Prima colocación acciones recib Sub/Asoc/Neg Conj</t>
  </si>
  <si>
    <t>G320510000</t>
  </si>
  <si>
    <t>Prima en colocación de acciones por cobrar (DB)</t>
  </si>
  <si>
    <t>G320515000</t>
  </si>
  <si>
    <t>Prima en colocación de cuotas o partes de interés</t>
  </si>
  <si>
    <t>G321005000</t>
  </si>
  <si>
    <t>En dinero</t>
  </si>
  <si>
    <t>G321015000</t>
  </si>
  <si>
    <t>En bienes muebles</t>
  </si>
  <si>
    <t>G321020000</t>
  </si>
  <si>
    <t>En bienes inmuebles</t>
  </si>
  <si>
    <t>Dep. recib. Para futura suscripción de acciones</t>
  </si>
  <si>
    <t>S237006_0</t>
  </si>
  <si>
    <t>Aportes a administradoras de riesgos profesionales, ARP</t>
  </si>
  <si>
    <t>S237010_0</t>
  </si>
  <si>
    <t>S237025_0</t>
  </si>
  <si>
    <t>S237040_0</t>
  </si>
  <si>
    <t>S237045_0</t>
  </si>
  <si>
    <t>S237046_0</t>
  </si>
  <si>
    <t>S237095_0</t>
  </si>
  <si>
    <t>Acreedores varios</t>
  </si>
  <si>
    <t>Reserva para readquisición de acciones</t>
  </si>
  <si>
    <t>Acciones propias readquiridas (DB)</t>
  </si>
  <si>
    <t>G330517000</t>
  </si>
  <si>
    <t>Reserva para readquisición de cuotas o partes de i</t>
  </si>
  <si>
    <t>G330518000</t>
  </si>
  <si>
    <t>Cuotas o partes de interés social propias readquir</t>
  </si>
  <si>
    <t>G330520000</t>
  </si>
  <si>
    <t>Reserva para extensión agropecuaria</t>
  </si>
  <si>
    <t>G330525000</t>
  </si>
  <si>
    <t>Reserva Ley 7ª de 1990</t>
  </si>
  <si>
    <t>G330530000</t>
  </si>
  <si>
    <t>Reserva para reposición de semovientes</t>
  </si>
  <si>
    <t>Para reposición de activos</t>
  </si>
  <si>
    <t>G331505000</t>
  </si>
  <si>
    <t>Para beneficencia y civismo</t>
  </si>
  <si>
    <t>G331520000</t>
  </si>
  <si>
    <t>Para adquisición o reposición de propiedades, plan</t>
  </si>
  <si>
    <t>G331525000</t>
  </si>
  <si>
    <t>Para investigaciones y desarrollo</t>
  </si>
  <si>
    <t>Para fomento económico</t>
  </si>
  <si>
    <t>Para capital de trabajo</t>
  </si>
  <si>
    <t>A disposición del máximo órgano social</t>
  </si>
  <si>
    <t>Para futuras inversiones</t>
  </si>
  <si>
    <t>Reservas recibidas de Sub/Asoc/Neg Conj</t>
  </si>
  <si>
    <t>G351005000</t>
  </si>
  <si>
    <t>Participaciones decretadas en cuotas o partes de i</t>
  </si>
  <si>
    <t>Util ejercicio-Transf del ORI recib Sub/Asoc/Neg C</t>
  </si>
  <si>
    <t>Utilidades acumuladas recibidas Sub/Asoc/Neg Conj</t>
  </si>
  <si>
    <t>NIIF Utilidad adopción por privera vez</t>
  </si>
  <si>
    <t>Util adopción NIIF 1ra vez recib Sub/Asoc/Neg C</t>
  </si>
  <si>
    <t>G351505000</t>
  </si>
  <si>
    <t>Dividendos eliminados</t>
  </si>
  <si>
    <t>Pérdidas acumuladas  recibidas Sub/Asoc/Neg Conj</t>
  </si>
  <si>
    <t>NIIF Pérdidas adopción por privera vez</t>
  </si>
  <si>
    <t>Pérdida adopción NIIF 1ra vez recib Sub/Asoc/Neg C</t>
  </si>
  <si>
    <t>G380505000</t>
  </si>
  <si>
    <t>Acciones</t>
  </si>
  <si>
    <t>G380515000</t>
  </si>
  <si>
    <t>Sup Val Terrenos - Impuesto diferido</t>
  </si>
  <si>
    <t>Valorizac. Terrenos recib Sub/Asoc/Neg Conj</t>
  </si>
  <si>
    <t>Val Terrenos-Impto diferido recib Sub/Asoc/NegConj</t>
  </si>
  <si>
    <t>Sup Val Construc/edific - Impto diferido</t>
  </si>
  <si>
    <t>Valorizac. Construc/edificacion recib Sub/Asoc/Neg</t>
  </si>
  <si>
    <t>Val Construc/edific-Impto diferido recib S/A/NC</t>
  </si>
  <si>
    <t>Super. Valorizac. Maquin y equipo impto diferido</t>
  </si>
  <si>
    <t>Valorizac. Maquinaria y equipo recib Sub/Asoc/Neg</t>
  </si>
  <si>
    <t>Val Maq y equipo-Impto diferido recib Sub/Asoc/NC</t>
  </si>
  <si>
    <t>Valoriz Equipo de comput. y comunic Impto Diferido</t>
  </si>
  <si>
    <t>Valoriz Equipo Comput/comunic recib Sub/Asoc/Neg C</t>
  </si>
  <si>
    <t>Val Equipo Computo impto dife recib Sub/Asoc/Neg C</t>
  </si>
  <si>
    <t>G381016032</t>
  </si>
  <si>
    <t>Valorización equipo de oficina recib Sub/Asoc/Neg C</t>
  </si>
  <si>
    <t>Super Valorizac Flota de transporte impto diferido</t>
  </si>
  <si>
    <t>Valoriz Flota/equipo transpor recib Sub/Asoc/Neg C</t>
  </si>
  <si>
    <t>Val equipo transp Impto Difer recib Sub/Asoc/Neg C</t>
  </si>
  <si>
    <t>G381036005</t>
  </si>
  <si>
    <t>Sup Valoriz Flota/equipo fluvial-impto diferido</t>
  </si>
  <si>
    <t>G381036032</t>
  </si>
  <si>
    <t>Val Flota y equipo fluvial recib Sub/Asoc/Neg Conj</t>
  </si>
  <si>
    <t>G381036035</t>
  </si>
  <si>
    <t>Val Flota/equip fluvial-Impto diferid recib S/A/NC</t>
  </si>
  <si>
    <t>G381060000</t>
  </si>
  <si>
    <t>NIIF Util/Pérd. no realizadas en cálculo actuarial</t>
  </si>
  <si>
    <t>Util/Pérd no realizada cálculo actuarial-Impto Dif</t>
  </si>
  <si>
    <t>Util/Pérd cálculo actuarial ORI recib Sub/Asoc/Neg</t>
  </si>
  <si>
    <t>Util/Pérd Calc Actuaria Imp Dif recib Sub/Asoc/Neg</t>
  </si>
  <si>
    <t>G381060032</t>
  </si>
  <si>
    <t>Valorización Plantaciones agrícolas y forestales recib Sub/A</t>
  </si>
  <si>
    <t>NIIF Util/Pérd. instrum. Fcieros a traves de otros</t>
  </si>
  <si>
    <t>NIIF Util/Pérd. instrum. Fcieros al ORI-Impto Dife</t>
  </si>
  <si>
    <t>Util/Pérd instrum Fcieros ORI recib Sub/Asoc/Neg C</t>
  </si>
  <si>
    <t>Util/Pérd instrum Fcieros-Impto Difer recib S/A/NC</t>
  </si>
  <si>
    <t>NIIF Util/Pérd. en conversión de estados financier</t>
  </si>
  <si>
    <t>Ajte conversión estad fcieros recib Sub/Asoc/Neg C</t>
  </si>
  <si>
    <t>G381525000</t>
  </si>
  <si>
    <t>NIIF Util/Pérd. Valoración instrumentos de cobertu</t>
  </si>
  <si>
    <t>G410505000</t>
  </si>
  <si>
    <t>Ventas nacionales de productos</t>
  </si>
  <si>
    <t>G410510000</t>
  </si>
  <si>
    <t>Ventas al exterior de productos</t>
  </si>
  <si>
    <t>G410570000</t>
  </si>
  <si>
    <t>Venta de subproductos y otros</t>
  </si>
  <si>
    <t>G411005000</t>
  </si>
  <si>
    <t>Ventas nacionales de servicios</t>
  </si>
  <si>
    <t>G411010000</t>
  </si>
  <si>
    <t>Ventas al exterior de servicios</t>
  </si>
  <si>
    <t>G411505000</t>
  </si>
  <si>
    <t>Venta de inversiones en acciones, cuotas o asimila</t>
  </si>
  <si>
    <t>G389595032</t>
  </si>
  <si>
    <t>Valorización otros activos diversos recib Sub/Asoc/Neg C</t>
  </si>
  <si>
    <t>S238020_0</t>
  </si>
  <si>
    <t>S410505</t>
  </si>
  <si>
    <t>S410510</t>
  </si>
  <si>
    <t>S410570</t>
  </si>
  <si>
    <t>S411005</t>
  </si>
  <si>
    <t>S411010</t>
  </si>
  <si>
    <t>S411505</t>
  </si>
  <si>
    <t>Venta de inversiones en acciones, cuotas o asimiladas</t>
  </si>
  <si>
    <t>S411510</t>
  </si>
  <si>
    <t>Dividendos sociedades anónimas, cuotas o asimiladas</t>
  </si>
  <si>
    <t>S411515</t>
  </si>
  <si>
    <t>Ingresos método de participación</t>
  </si>
  <si>
    <t>S411520</t>
  </si>
  <si>
    <t>Utilidad liquidación de sociedades</t>
  </si>
  <si>
    <t>S411525</t>
  </si>
  <si>
    <t>Utilidad en compra-venta de otras inversiones</t>
  </si>
  <si>
    <t>S411530</t>
  </si>
  <si>
    <t>Utilidad en cuentas en participación</t>
  </si>
  <si>
    <t>S411544</t>
  </si>
  <si>
    <t>Valorización de inversiones</t>
  </si>
  <si>
    <t>S412505</t>
  </si>
  <si>
    <t>Arrendamientos de bienes muebles</t>
  </si>
  <si>
    <t>S412510</t>
  </si>
  <si>
    <t>Arrendamientos de bienes inmuebles</t>
  </si>
  <si>
    <t>S413304</t>
  </si>
  <si>
    <t>Propiedades de inversión - Terrenos</t>
  </si>
  <si>
    <t>S413316</t>
  </si>
  <si>
    <t>Propiedades de inversión - Construcciones y edificaciones</t>
  </si>
  <si>
    <t>S413364</t>
  </si>
  <si>
    <t>Plantaciones agricolas y forestales</t>
  </si>
  <si>
    <t>S413380</t>
  </si>
  <si>
    <t>Instrumentos financieros a traves de resultados</t>
  </si>
  <si>
    <t>S415405</t>
  </si>
  <si>
    <t>Impuesto diferido (El exceso sobre el impuesto de renta)</t>
  </si>
  <si>
    <t>S417505</t>
  </si>
  <si>
    <t>Devoluciones en ventas (DB)</t>
  </si>
  <si>
    <t>S417510</t>
  </si>
  <si>
    <t>Descuentos comerciales otorgados (DB)</t>
  </si>
  <si>
    <t>S417520</t>
  </si>
  <si>
    <t>Descuentos por redondeo en el precio venta (DB)</t>
  </si>
  <si>
    <t>S419505</t>
  </si>
  <si>
    <t>S419510</t>
  </si>
  <si>
    <t>G411510000</t>
  </si>
  <si>
    <t>Dividendos sociedades anónimas, cuotas o asimilada</t>
  </si>
  <si>
    <t>G411515000</t>
  </si>
  <si>
    <t>G411520000</t>
  </si>
  <si>
    <t>Liquidación de sociedades</t>
  </si>
  <si>
    <t>G411525000</t>
  </si>
  <si>
    <t>En compra-venta de otras inversiones</t>
  </si>
  <si>
    <t>G411530000</t>
  </si>
  <si>
    <t>En cuentas en participación</t>
  </si>
  <si>
    <t>G411544000</t>
  </si>
  <si>
    <t>Valorizacion de inversiones</t>
  </si>
  <si>
    <t>G412005000</t>
  </si>
  <si>
    <t>G412010000</t>
  </si>
  <si>
    <t>G412015000</t>
  </si>
  <si>
    <t>Utilidad operaciones Derivados, forward, cobertura</t>
  </si>
  <si>
    <t>G412020000</t>
  </si>
  <si>
    <t>G412505000</t>
  </si>
  <si>
    <t>G412510000</t>
  </si>
  <si>
    <t>G413304000</t>
  </si>
  <si>
    <t>Actualización VR razonable Prop. Inv. - Terrenos</t>
  </si>
  <si>
    <t>G413316000</t>
  </si>
  <si>
    <t>Propiedades de inversión - Construcciones y edific</t>
  </si>
  <si>
    <t>G413364000</t>
  </si>
  <si>
    <t>Actualización VR razonable Plantaciones agricolas</t>
  </si>
  <si>
    <t>G413380000</t>
  </si>
  <si>
    <t>G417505000</t>
  </si>
  <si>
    <t>G417510000</t>
  </si>
  <si>
    <t>G417520000</t>
  </si>
  <si>
    <t>G419505000</t>
  </si>
  <si>
    <t>G419510000</t>
  </si>
  <si>
    <t>G420505000</t>
  </si>
  <si>
    <t>Materia prima</t>
  </si>
  <si>
    <t>G415405000</t>
  </si>
  <si>
    <t>Impuesto diferido (el exceso sobre el impuesto de renta)</t>
  </si>
  <si>
    <t>G420510000</t>
  </si>
  <si>
    <t>Material de desecho</t>
  </si>
  <si>
    <t>G420515000</t>
  </si>
  <si>
    <t>Materiales varios</t>
  </si>
  <si>
    <t>G420530000</t>
  </si>
  <si>
    <t>G420535000</t>
  </si>
  <si>
    <t>Productos agrícolas</t>
  </si>
  <si>
    <t>G421005000</t>
  </si>
  <si>
    <t>S412005</t>
  </si>
  <si>
    <t>S412010</t>
  </si>
  <si>
    <t>S412015</t>
  </si>
  <si>
    <t>Utilidad operaciones Derivados, forward, coberturas y simil</t>
  </si>
  <si>
    <t>S421096</t>
  </si>
  <si>
    <t>Derivados, forward, coberturas y similares</t>
  </si>
  <si>
    <t>S421005</t>
  </si>
  <si>
    <t>Financieros - Intereses</t>
  </si>
  <si>
    <t>S421010</t>
  </si>
  <si>
    <t>Financieros - Reajuste monetario</t>
  </si>
  <si>
    <t>S421015</t>
  </si>
  <si>
    <t>Financieros - Descuentos amortizados</t>
  </si>
  <si>
    <t>S421035</t>
  </si>
  <si>
    <t>Financieros - Aceptaciones bancarias</t>
  </si>
  <si>
    <t>S421040</t>
  </si>
  <si>
    <t>Financieros - Descuentos comerciales condicionados</t>
  </si>
  <si>
    <t>S421045</t>
  </si>
  <si>
    <t>Financieros - Descuentos bancarios</t>
  </si>
  <si>
    <t>S421050</t>
  </si>
  <si>
    <t>Financieros - Comisiones cheques de otras plazas</t>
  </si>
  <si>
    <t>S421055</t>
  </si>
  <si>
    <t>Financieros - Multas y recargos</t>
  </si>
  <si>
    <t>S421060</t>
  </si>
  <si>
    <t>Financieros - Sanciones cheques devueltos</t>
  </si>
  <si>
    <t>S421095</t>
  </si>
  <si>
    <t>Financieros Otros - Utilidad en operaciones forward y simila</t>
  </si>
  <si>
    <t>S420505</t>
  </si>
  <si>
    <t>Otras ventas-Materia prima</t>
  </si>
  <si>
    <t>S420510</t>
  </si>
  <si>
    <t>Otras ventas-Material de desecho</t>
  </si>
  <si>
    <t>S420535</t>
  </si>
  <si>
    <t>Otras ventas-Productos agricolas</t>
  </si>
  <si>
    <t>S420515</t>
  </si>
  <si>
    <t>Otras ventas-Materiales varios</t>
  </si>
  <si>
    <t>S420530</t>
  </si>
  <si>
    <t>Otras ventas-Envases y empaques</t>
  </si>
  <si>
    <t>G421010000</t>
  </si>
  <si>
    <t>Reajuste monetario-UPAC</t>
  </si>
  <si>
    <t>G421015000</t>
  </si>
  <si>
    <t>Descuentos amortizados</t>
  </si>
  <si>
    <t>G421020000</t>
  </si>
  <si>
    <t>G421035000</t>
  </si>
  <si>
    <t>Aceptaciones bancarias</t>
  </si>
  <si>
    <t>G421040000</t>
  </si>
  <si>
    <t>Descuentos comerciales condicionados</t>
  </si>
  <si>
    <t>G421045000</t>
  </si>
  <si>
    <t>Descuentos bancarios</t>
  </si>
  <si>
    <t>G421050000</t>
  </si>
  <si>
    <t>Comisiones cheques de otras plazas</t>
  </si>
  <si>
    <t>G421055000</t>
  </si>
  <si>
    <t>Multas y recargos</t>
  </si>
  <si>
    <t>G421060000</t>
  </si>
  <si>
    <t>Sanciones cheques devueltos</t>
  </si>
  <si>
    <t>G421095000</t>
  </si>
  <si>
    <t>G421096000</t>
  </si>
  <si>
    <t>G421505000</t>
  </si>
  <si>
    <t>De sociedades anónimas y/o asimiladas</t>
  </si>
  <si>
    <t>G421510000</t>
  </si>
  <si>
    <t>De sociedades limitadas y/o asimiladas</t>
  </si>
  <si>
    <t>G421805000</t>
  </si>
  <si>
    <t>G422005000</t>
  </si>
  <si>
    <t>G421095005</t>
  </si>
  <si>
    <t>G422010000</t>
  </si>
  <si>
    <t>Construcciones y edificios</t>
  </si>
  <si>
    <t>G422015000</t>
  </si>
  <si>
    <t>S421505</t>
  </si>
  <si>
    <t>Dividendos sociedades anónimas y/o asimiladas</t>
  </si>
  <si>
    <t>S421510</t>
  </si>
  <si>
    <t>Participaciones sociedades limitadas y/o asimiladas</t>
  </si>
  <si>
    <t>G422025000</t>
  </si>
  <si>
    <t>G422505000</t>
  </si>
  <si>
    <t>Sobre inversiones</t>
  </si>
  <si>
    <t>S421805</t>
  </si>
  <si>
    <t>G422530000</t>
  </si>
  <si>
    <t>Por ingresos para terceros</t>
  </si>
  <si>
    <t>S422015</t>
  </si>
  <si>
    <t>Arrendamientos de maquinaria y equipo</t>
  </si>
  <si>
    <t>S422025</t>
  </si>
  <si>
    <t>Arrendamientos de equipo de computación y comunicación</t>
  </si>
  <si>
    <t>S422010</t>
  </si>
  <si>
    <t>Arrendamientos de construcciones y edificaciones</t>
  </si>
  <si>
    <t>S422005</t>
  </si>
  <si>
    <t>Arrendamientos de terrenos</t>
  </si>
  <si>
    <t>G422535000</t>
  </si>
  <si>
    <t>Por distribución de películas</t>
  </si>
  <si>
    <t>G422537000</t>
  </si>
  <si>
    <t>Por venta y exhibición de productos</t>
  </si>
  <si>
    <t>G423005000</t>
  </si>
  <si>
    <t>Asesorías</t>
  </si>
  <si>
    <t>G423010000</t>
  </si>
  <si>
    <t>Asistencia técnica</t>
  </si>
  <si>
    <t>S422505</t>
  </si>
  <si>
    <t>S422530</t>
  </si>
  <si>
    <t>S422535</t>
  </si>
  <si>
    <t>S422537</t>
  </si>
  <si>
    <t>G423316000</t>
  </si>
  <si>
    <t>Prop. inversión Edificaciones-Ajte valor razonable</t>
  </si>
  <si>
    <t>G423384000</t>
  </si>
  <si>
    <t>Semovientes -Ajuste al valor razonable</t>
  </si>
  <si>
    <t>G423520000</t>
  </si>
  <si>
    <t>G423575000</t>
  </si>
  <si>
    <t>De casino</t>
  </si>
  <si>
    <t>S423005</t>
  </si>
  <si>
    <t>Honorarios por asesorías</t>
  </si>
  <si>
    <t>S423010</t>
  </si>
  <si>
    <t>Honorarios por asistencia técnica</t>
  </si>
  <si>
    <t>G423595000</t>
  </si>
  <si>
    <t>G424005000</t>
  </si>
  <si>
    <t>S423316</t>
  </si>
  <si>
    <t>Actualización valor razonable</t>
  </si>
  <si>
    <t>S423384</t>
  </si>
  <si>
    <t>Actualización valor razonable - semovientes</t>
  </si>
  <si>
    <t>G424010000</t>
  </si>
  <si>
    <t>G424015000</t>
  </si>
  <si>
    <t>Bonos</t>
  </si>
  <si>
    <t>S423520</t>
  </si>
  <si>
    <t>S423575</t>
  </si>
  <si>
    <t>Servicios de casino</t>
  </si>
  <si>
    <t>S423595</t>
  </si>
  <si>
    <t>Servicios otros</t>
  </si>
  <si>
    <t>G424035000</t>
  </si>
  <si>
    <t>G424045000</t>
  </si>
  <si>
    <t>G424095000</t>
  </si>
  <si>
    <t>S424096</t>
  </si>
  <si>
    <t>S424095</t>
  </si>
  <si>
    <t>Utilidad en venta de otras inversiones</t>
  </si>
  <si>
    <t>S424045</t>
  </si>
  <si>
    <t>Utilidad en venta de derechos fiduciarios</t>
  </si>
  <si>
    <t>S424035</t>
  </si>
  <si>
    <t>Utilidad en venta de títulos</t>
  </si>
  <si>
    <t>S424015</t>
  </si>
  <si>
    <t>Utilidad en venta de Bonos</t>
  </si>
  <si>
    <t>S424010</t>
  </si>
  <si>
    <t>Utilidad en venta de cuotas o partes de interés social</t>
  </si>
  <si>
    <t>S424005</t>
  </si>
  <si>
    <t>Utilidad en venta de acciones</t>
  </si>
  <si>
    <t>G424096000</t>
  </si>
  <si>
    <t>G424504000</t>
  </si>
  <si>
    <t>G424516000</t>
  </si>
  <si>
    <t>G424520000</t>
  </si>
  <si>
    <t>G424524000</t>
  </si>
  <si>
    <t>G424528000</t>
  </si>
  <si>
    <t>G424540000</t>
  </si>
  <si>
    <t>S424504</t>
  </si>
  <si>
    <t>Utilidad venta terrenos</t>
  </si>
  <si>
    <t>S424516</t>
  </si>
  <si>
    <t>Utilidad venta construcciones y edificaciones</t>
  </si>
  <si>
    <t>S424520</t>
  </si>
  <si>
    <t>Utilidad venta maquinaria y equipo</t>
  </si>
  <si>
    <t>S424524</t>
  </si>
  <si>
    <t>Utilidad venta equipo de oficina</t>
  </si>
  <si>
    <t>S424528</t>
  </si>
  <si>
    <t>Utilidad venta equipo de computación y comunicación</t>
  </si>
  <si>
    <t>S424540</t>
  </si>
  <si>
    <t>Utilidad venta flota y equipo de transporte</t>
  </si>
  <si>
    <t>S424560</t>
  </si>
  <si>
    <t>Utilidad venta armamento de vigilancia</t>
  </si>
  <si>
    <t>S424562</t>
  </si>
  <si>
    <t>S424564</t>
  </si>
  <si>
    <t>G424560000</t>
  </si>
  <si>
    <t>G424562000</t>
  </si>
  <si>
    <t>G424564000</t>
  </si>
  <si>
    <t>G424805000</t>
  </si>
  <si>
    <t>G424810000</t>
  </si>
  <si>
    <t>G424813000</t>
  </si>
  <si>
    <t>G425005000</t>
  </si>
  <si>
    <t>Deudas malas</t>
  </si>
  <si>
    <t>G425010000</t>
  </si>
  <si>
    <t>G425014000</t>
  </si>
  <si>
    <t>S424805</t>
  </si>
  <si>
    <t>Utilidad en venta de intangibles</t>
  </si>
  <si>
    <t>S424810</t>
  </si>
  <si>
    <t>Utilidad en venta de otros activos</t>
  </si>
  <si>
    <t>G425030000</t>
  </si>
  <si>
    <t>Descuentos concedidos</t>
  </si>
  <si>
    <t>G425035000</t>
  </si>
  <si>
    <t>G425036000</t>
  </si>
  <si>
    <t>S425061</t>
  </si>
  <si>
    <t>NIIF De deterioro</t>
  </si>
  <si>
    <t>S425055</t>
  </si>
  <si>
    <t>Recuperaciones por suministros</t>
  </si>
  <si>
    <t>S425050</t>
  </si>
  <si>
    <t>Reintegro de otros costos y gastos</t>
  </si>
  <si>
    <t>S425045</t>
  </si>
  <si>
    <t>Recuperación de depreciación</t>
  </si>
  <si>
    <t>S425040</t>
  </si>
  <si>
    <t>Recuperación gastos bancarios</t>
  </si>
  <si>
    <t>S425039</t>
  </si>
  <si>
    <t>S425038</t>
  </si>
  <si>
    <t>Recuperación provisión de propiedad, planta y equipo</t>
  </si>
  <si>
    <t>S425037</t>
  </si>
  <si>
    <t>S425036</t>
  </si>
  <si>
    <t>S425030</t>
  </si>
  <si>
    <t>Recuperación descuentos concedidos</t>
  </si>
  <si>
    <t>S425014</t>
  </si>
  <si>
    <t>S425010</t>
  </si>
  <si>
    <t>Recuperación de seguros</t>
  </si>
  <si>
    <t>G425037000</t>
  </si>
  <si>
    <t>G425038000</t>
  </si>
  <si>
    <t>Recuperación provisión de propiedad, planta y equi</t>
  </si>
  <si>
    <t>G425039000</t>
  </si>
  <si>
    <t>G425040000</t>
  </si>
  <si>
    <t>Gastos bancarios</t>
  </si>
  <si>
    <t>G425045000</t>
  </si>
  <si>
    <t>De depreciación</t>
  </si>
  <si>
    <t>G425035005</t>
  </si>
  <si>
    <t>G425035010</t>
  </si>
  <si>
    <t>G425035015</t>
  </si>
  <si>
    <t>G425035020</t>
  </si>
  <si>
    <t>G425035025</t>
  </si>
  <si>
    <t>G425050000</t>
  </si>
  <si>
    <t>G425055000</t>
  </si>
  <si>
    <t>G425061000</t>
  </si>
  <si>
    <t>G425505000</t>
  </si>
  <si>
    <t>Por siniestro</t>
  </si>
  <si>
    <t>G425515000</t>
  </si>
  <si>
    <t>Lucro cesante compañías de seguros</t>
  </si>
  <si>
    <t>G425525000</t>
  </si>
  <si>
    <t>Por pérdida de mercancía</t>
  </si>
  <si>
    <t>G425530000</t>
  </si>
  <si>
    <t>Por incumplimiento de contratos</t>
  </si>
  <si>
    <t>G425535000</t>
  </si>
  <si>
    <t>De terceros</t>
  </si>
  <si>
    <t>G425540000</t>
  </si>
  <si>
    <t>Por incapacidades ISS</t>
  </si>
  <si>
    <t>S425595</t>
  </si>
  <si>
    <t>Indemnizaciones otras</t>
  </si>
  <si>
    <t>S425505</t>
  </si>
  <si>
    <t>Indemnizaciones por siniestros</t>
  </si>
  <si>
    <t>S425515</t>
  </si>
  <si>
    <t>Indemnizaciones lucro cesante compañias de seguros</t>
  </si>
  <si>
    <t>S425525</t>
  </si>
  <si>
    <t>Indemnizaciones por pérdida de mercancía</t>
  </si>
  <si>
    <t>S425530</t>
  </si>
  <si>
    <t>S425535</t>
  </si>
  <si>
    <t>Indemnizaciones de terceros</t>
  </si>
  <si>
    <t>S425540</t>
  </si>
  <si>
    <t>Indemnizaciones por incapacidades ISS</t>
  </si>
  <si>
    <t>G425595000</t>
  </si>
  <si>
    <t>G427501000</t>
  </si>
  <si>
    <t>Devoluciones en otras ventas (DB)</t>
  </si>
  <si>
    <t>G429505000</t>
  </si>
  <si>
    <t>Aprovechamientos</t>
  </si>
  <si>
    <t>G429509000</t>
  </si>
  <si>
    <t>Subvenciones</t>
  </si>
  <si>
    <t>G429514000</t>
  </si>
  <si>
    <t>Diversos Sobrantes de inventarios</t>
  </si>
  <si>
    <t>G429515000</t>
  </si>
  <si>
    <t>S427501</t>
  </si>
  <si>
    <t>Devoluciones en otras ventas DB</t>
  </si>
  <si>
    <t>G429521000</t>
  </si>
  <si>
    <t>De la actividad ganadera</t>
  </si>
  <si>
    <t>G429533000</t>
  </si>
  <si>
    <t>G429535000</t>
  </si>
  <si>
    <t>Preavisos descontados</t>
  </si>
  <si>
    <t>G429549000</t>
  </si>
  <si>
    <t>Reconocimientos ISS</t>
  </si>
  <si>
    <t>G429551000</t>
  </si>
  <si>
    <t>Excedentes</t>
  </si>
  <si>
    <t>G429553000</t>
  </si>
  <si>
    <t>Sobrantes de caja</t>
  </si>
  <si>
    <t>G429557000</t>
  </si>
  <si>
    <t>Subsidios estatales</t>
  </si>
  <si>
    <t>G429567000</t>
  </si>
  <si>
    <t>Útiles, papelería y fotocopias</t>
  </si>
  <si>
    <t>G429575000</t>
  </si>
  <si>
    <t>Manejo de carga</t>
  </si>
  <si>
    <t>G429581000</t>
  </si>
  <si>
    <t>Ajuste al peso</t>
  </si>
  <si>
    <t>G429583000</t>
  </si>
  <si>
    <t>Llamadas telefónicas</t>
  </si>
  <si>
    <t>G510503000</t>
  </si>
  <si>
    <t>Salario integral</t>
  </si>
  <si>
    <t>G510506000</t>
  </si>
  <si>
    <t>Sueldos</t>
  </si>
  <si>
    <t>G510515000</t>
  </si>
  <si>
    <t>Horas extras y recargos</t>
  </si>
  <si>
    <t>G510518000</t>
  </si>
  <si>
    <t>G510521000</t>
  </si>
  <si>
    <t>Viáticos</t>
  </si>
  <si>
    <t>S4248</t>
  </si>
  <si>
    <t>Utilidad en venta y retiro de otros activos</t>
  </si>
  <si>
    <t>S430E</t>
  </si>
  <si>
    <t>S4250</t>
  </si>
  <si>
    <t>S429581</t>
  </si>
  <si>
    <t>Diversos - Ajustes al peso</t>
  </si>
  <si>
    <t>S429575</t>
  </si>
  <si>
    <t>Diversos - Manejo de carga</t>
  </si>
  <si>
    <t>S429567</t>
  </si>
  <si>
    <t>Diversos - Útiles, papelería y fotocopias</t>
  </si>
  <si>
    <t>S429557</t>
  </si>
  <si>
    <t>Diversos - Subsidios estatales</t>
  </si>
  <si>
    <t>S429553</t>
  </si>
  <si>
    <t>Diversos - Sobrantes de caja</t>
  </si>
  <si>
    <t>S429551</t>
  </si>
  <si>
    <t>Diversos - Excedentes</t>
  </si>
  <si>
    <t>S429549</t>
  </si>
  <si>
    <t>Diversos - Reconocimientos ISS y otros</t>
  </si>
  <si>
    <t>S429535</t>
  </si>
  <si>
    <t>Diversos - Preavisos descontados</t>
  </si>
  <si>
    <t>S429533</t>
  </si>
  <si>
    <t>Diversos - Multas y recargos</t>
  </si>
  <si>
    <t>S429521</t>
  </si>
  <si>
    <t>Diversos - De la actividad ganadera</t>
  </si>
  <si>
    <t>S429515</t>
  </si>
  <si>
    <t>Diversos - Regalías</t>
  </si>
  <si>
    <t>S429514</t>
  </si>
  <si>
    <t>S429509</t>
  </si>
  <si>
    <t>Diversos - Subvenciones</t>
  </si>
  <si>
    <t>S429505</t>
  </si>
  <si>
    <t>Diversos - Aprovechamientos</t>
  </si>
  <si>
    <t>S429583</t>
  </si>
  <si>
    <t>Diversos - Llamadas telefónicas</t>
  </si>
  <si>
    <t>S4275</t>
  </si>
  <si>
    <t>S4255</t>
  </si>
  <si>
    <t>S4233</t>
  </si>
  <si>
    <t>S4235</t>
  </si>
  <si>
    <t>S4230</t>
  </si>
  <si>
    <t>S4240</t>
  </si>
  <si>
    <t>Utilidad en venta de inversiones</t>
  </si>
  <si>
    <t>S4225</t>
  </si>
  <si>
    <t>S4220</t>
  </si>
  <si>
    <t>S4218</t>
  </si>
  <si>
    <t>S4245</t>
  </si>
  <si>
    <t>Utilidad en venta de propiedades, planta y equipo</t>
  </si>
  <si>
    <t>S4205</t>
  </si>
  <si>
    <t>S4215</t>
  </si>
  <si>
    <t>S582005</t>
  </si>
  <si>
    <t>S580505</t>
  </si>
  <si>
    <t>Interés minoritario - Resultados</t>
  </si>
  <si>
    <t>S510_2</t>
  </si>
  <si>
    <t>Gastos de venta</t>
  </si>
  <si>
    <t>S510_1</t>
  </si>
  <si>
    <t>G510524000</t>
  </si>
  <si>
    <t>Incapacidades</t>
  </si>
  <si>
    <t>G510527000</t>
  </si>
  <si>
    <t>Auxilio de transporte</t>
  </si>
  <si>
    <t>G510530000</t>
  </si>
  <si>
    <t>Cesantías</t>
  </si>
  <si>
    <t>G510533000</t>
  </si>
  <si>
    <t>G510536000</t>
  </si>
  <si>
    <t>G510539000</t>
  </si>
  <si>
    <t>Vacaciones</t>
  </si>
  <si>
    <t>G510542000</t>
  </si>
  <si>
    <t>Primas extralegales</t>
  </si>
  <si>
    <t>G510545000</t>
  </si>
  <si>
    <t>Auxilios</t>
  </si>
  <si>
    <t>G510548000</t>
  </si>
  <si>
    <t>G510551000</t>
  </si>
  <si>
    <t>G510554000</t>
  </si>
  <si>
    <t>G510557000</t>
  </si>
  <si>
    <t>Cuotas partes pensiones de jubilación</t>
  </si>
  <si>
    <t>G510558000</t>
  </si>
  <si>
    <t>Amortización cálculo actuarial pensiones de jubila</t>
  </si>
  <si>
    <t>G510559000</t>
  </si>
  <si>
    <t>G510560000</t>
  </si>
  <si>
    <t>G510563000</t>
  </si>
  <si>
    <t>Capacitación al personal</t>
  </si>
  <si>
    <t>G510566000</t>
  </si>
  <si>
    <t>Gastos deportivos y de recreación</t>
  </si>
  <si>
    <t>G510568000</t>
  </si>
  <si>
    <t>G510569000</t>
  </si>
  <si>
    <t>Aportes a entidades promotoras de salud, EPS</t>
  </si>
  <si>
    <t>G510570000</t>
  </si>
  <si>
    <t>Aportes a fondos de pensiones y/o cesantías</t>
  </si>
  <si>
    <t>G510572000</t>
  </si>
  <si>
    <t>Aportes cajas de compensación familiar</t>
  </si>
  <si>
    <t>G510575000</t>
  </si>
  <si>
    <t>Aportes ICBF</t>
  </si>
  <si>
    <t>G510578000</t>
  </si>
  <si>
    <t>SENA</t>
  </si>
  <si>
    <t>G510581000</t>
  </si>
  <si>
    <t>Aportes sindicales</t>
  </si>
  <si>
    <t>G510584000</t>
  </si>
  <si>
    <t>Gastos médicos y drogas</t>
  </si>
  <si>
    <t>G510585000</t>
  </si>
  <si>
    <t>G510586000</t>
  </si>
  <si>
    <t>Suministro habitual de alimentación</t>
  </si>
  <si>
    <t>G510587000</t>
  </si>
  <si>
    <t>Suministro habitual de alojamiento</t>
  </si>
  <si>
    <t>G510588000</t>
  </si>
  <si>
    <t>Suministro habitual de transporte</t>
  </si>
  <si>
    <t>G510589000</t>
  </si>
  <si>
    <t>Atenciones y obsequios al personal</t>
  </si>
  <si>
    <t>G510595000</t>
  </si>
  <si>
    <t>G511005000</t>
  </si>
  <si>
    <t>Junta directiva</t>
  </si>
  <si>
    <t>G511010000</t>
  </si>
  <si>
    <t>Revisoría fiscal</t>
  </si>
  <si>
    <t>G511015000</t>
  </si>
  <si>
    <t>Auditoría externa</t>
  </si>
  <si>
    <t>G511020000</t>
  </si>
  <si>
    <t>Avalúos</t>
  </si>
  <si>
    <t>G511025000</t>
  </si>
  <si>
    <t>Asesoría jurídica</t>
  </si>
  <si>
    <t>G510595010</t>
  </si>
  <si>
    <t>Otros gastos de personal- Campañas de motivación</t>
  </si>
  <si>
    <t>G510595020</t>
  </si>
  <si>
    <t>Otros gastos de personal - Vales de alimentación</t>
  </si>
  <si>
    <t>G510595030</t>
  </si>
  <si>
    <t>Otros gastos de personal - Suministro de alimentación</t>
  </si>
  <si>
    <t>G510595035</t>
  </si>
  <si>
    <t>Otros gastos de personal - Salud ocupacional</t>
  </si>
  <si>
    <t>G510595040</t>
  </si>
  <si>
    <t>Otros gastos de personal - Transporte</t>
  </si>
  <si>
    <t>G510595099</t>
  </si>
  <si>
    <t>Refocosta - distribución gastos</t>
  </si>
  <si>
    <t>S5165</t>
  </si>
  <si>
    <t>S5161</t>
  </si>
  <si>
    <t>NIIF Deterioro</t>
  </si>
  <si>
    <t>S516013</t>
  </si>
  <si>
    <t>Depreciación derechos de uso</t>
  </si>
  <si>
    <t>S5160</t>
  </si>
  <si>
    <t>S5155</t>
  </si>
  <si>
    <t>S5170</t>
  </si>
  <si>
    <t>S5150</t>
  </si>
  <si>
    <t>Adecuación e instalación</t>
  </si>
  <si>
    <t>S5140</t>
  </si>
  <si>
    <t>S5145</t>
  </si>
  <si>
    <t>S519916</t>
  </si>
  <si>
    <t>S519915</t>
  </si>
  <si>
    <t>Provisión de propiedades, planta y equipo</t>
  </si>
  <si>
    <t>S519914</t>
  </si>
  <si>
    <t>S519905</t>
  </si>
  <si>
    <t>Provisión de Inversiones</t>
  </si>
  <si>
    <t>S519595</t>
  </si>
  <si>
    <t>Otros gastos operacionales de Administración</t>
  </si>
  <si>
    <t>S519594</t>
  </si>
  <si>
    <t>Diversos - Gastos de semovientes</t>
  </si>
  <si>
    <t>S519587</t>
  </si>
  <si>
    <t>Diversos - Regalias</t>
  </si>
  <si>
    <t>S519584</t>
  </si>
  <si>
    <t>Diversos - Reintegro de otros costos y gastos</t>
  </si>
  <si>
    <t>S519582</t>
  </si>
  <si>
    <t>Diversos - Materiales, repuestos y accesorios</t>
  </si>
  <si>
    <t>S519580</t>
  </si>
  <si>
    <t>Diversos - Elementos fungibles de oficina</t>
  </si>
  <si>
    <t>S519578</t>
  </si>
  <si>
    <t>Diversos - Reembolsos de caja menor</t>
  </si>
  <si>
    <t>S519577</t>
  </si>
  <si>
    <t>Diversos - Peajes</t>
  </si>
  <si>
    <t>S519576</t>
  </si>
  <si>
    <t>Diversos - Publicidad Institucional</t>
  </si>
  <si>
    <t>S519570</t>
  </si>
  <si>
    <t>Diversos - Indemnizaciones por daños a terceros</t>
  </si>
  <si>
    <t>S519565</t>
  </si>
  <si>
    <t>Diversos - Parqueaderos</t>
  </si>
  <si>
    <t>S519560</t>
  </si>
  <si>
    <t>Diversos - Casino y Restaurante</t>
  </si>
  <si>
    <t>S519555</t>
  </si>
  <si>
    <t>Diversos - Microfilmación</t>
  </si>
  <si>
    <t>S519550</t>
  </si>
  <si>
    <t>Diversos - Estampillas</t>
  </si>
  <si>
    <t>S519545</t>
  </si>
  <si>
    <t>Diversos - Taxis y buses</t>
  </si>
  <si>
    <t>S519540</t>
  </si>
  <si>
    <t>Diversos - Envases y empaques</t>
  </si>
  <si>
    <t>S519535</t>
  </si>
  <si>
    <t>Diversos - Combustibles y lubricantes</t>
  </si>
  <si>
    <t>S519530</t>
  </si>
  <si>
    <t>Diversos - Utiles, papelería y fotocopias</t>
  </si>
  <si>
    <t>S519525</t>
  </si>
  <si>
    <t>Diversos - Elementos de aseo y cafetería</t>
  </si>
  <si>
    <t>S519520</t>
  </si>
  <si>
    <t>Diversos - Gastos de representación y relaciones públicas</t>
  </si>
  <si>
    <t>S519510</t>
  </si>
  <si>
    <t>Diversos - Libros, suscripciones, periódicos y revistas</t>
  </si>
  <si>
    <t>S518035</t>
  </si>
  <si>
    <t>Pérdida por desvalorización de inversiones</t>
  </si>
  <si>
    <t>S518025</t>
  </si>
  <si>
    <t>Diversos - Pérdida operaciones en corto</t>
  </si>
  <si>
    <t>S518020</t>
  </si>
  <si>
    <t>Pérdida liquidación de sociedades</t>
  </si>
  <si>
    <t>S518015</t>
  </si>
  <si>
    <t>Pérdida aplicación método de participación</t>
  </si>
  <si>
    <t>S519995</t>
  </si>
  <si>
    <t>Provisión otros activos</t>
  </si>
  <si>
    <t>S5135</t>
  </si>
  <si>
    <t>S5133</t>
  </si>
  <si>
    <t>S5130</t>
  </si>
  <si>
    <t>S5125</t>
  </si>
  <si>
    <t>S5115</t>
  </si>
  <si>
    <t>S5110</t>
  </si>
  <si>
    <t>S529546</t>
  </si>
  <si>
    <t>Diversos - Participación en ventas</t>
  </si>
  <si>
    <t>S529545</t>
  </si>
  <si>
    <t>S529540</t>
  </si>
  <si>
    <t>S529535</t>
  </si>
  <si>
    <t>S529530</t>
  </si>
  <si>
    <t>S529525</t>
  </si>
  <si>
    <t>S529522</t>
  </si>
  <si>
    <t>Diversos - Degustaciones</t>
  </si>
  <si>
    <t>S529520</t>
  </si>
  <si>
    <t>S529515</t>
  </si>
  <si>
    <t>Diversos - Musica ambiental</t>
  </si>
  <si>
    <t>S529510</t>
  </si>
  <si>
    <t>S5270</t>
  </si>
  <si>
    <t>S5265</t>
  </si>
  <si>
    <t>S5261</t>
  </si>
  <si>
    <t>S526013</t>
  </si>
  <si>
    <t>S5260</t>
  </si>
  <si>
    <t>S5255</t>
  </si>
  <si>
    <t>S5250</t>
  </si>
  <si>
    <t>S5245</t>
  </si>
  <si>
    <t>S529995</t>
  </si>
  <si>
    <t>S529916</t>
  </si>
  <si>
    <t>S529915</t>
  </si>
  <si>
    <t>S529914</t>
  </si>
  <si>
    <t>S529905</t>
  </si>
  <si>
    <t>S529595</t>
  </si>
  <si>
    <t>Otros gastos operacionales de ventas</t>
  </si>
  <si>
    <t>S529586</t>
  </si>
  <si>
    <t>Diversos - Premios en efectivo</t>
  </si>
  <si>
    <t>S529585</t>
  </si>
  <si>
    <t>Diversos - Premios en especie</t>
  </si>
  <si>
    <t>S529584</t>
  </si>
  <si>
    <t>S529582</t>
  </si>
  <si>
    <t>S529580</t>
  </si>
  <si>
    <t>S529578</t>
  </si>
  <si>
    <t>S529577</t>
  </si>
  <si>
    <t>S529570</t>
  </si>
  <si>
    <t>S529565</t>
  </si>
  <si>
    <t>S529560</t>
  </si>
  <si>
    <t>S529555</t>
  </si>
  <si>
    <t>S529550</t>
  </si>
  <si>
    <t>S5235</t>
  </si>
  <si>
    <t>S5240</t>
  </si>
  <si>
    <t>S5230</t>
  </si>
  <si>
    <t>S5225</t>
  </si>
  <si>
    <t>S5210</t>
  </si>
  <si>
    <t>S5215</t>
  </si>
  <si>
    <t>S511005</t>
  </si>
  <si>
    <t>Honorarios junta directiva</t>
  </si>
  <si>
    <t>S511010</t>
  </si>
  <si>
    <t>Honorarios revisoría fiscal</t>
  </si>
  <si>
    <t>S511015</t>
  </si>
  <si>
    <t>Honorarios auditoría externa</t>
  </si>
  <si>
    <t>S511020</t>
  </si>
  <si>
    <t>Honorarios avalúos</t>
  </si>
  <si>
    <t>S511030</t>
  </si>
  <si>
    <t>Honorarios asesorías financieras</t>
  </si>
  <si>
    <t>S511035</t>
  </si>
  <si>
    <t>Honorarios asesorías técnicas</t>
  </si>
  <si>
    <t>S511095</t>
  </si>
  <si>
    <t>Honorarios otros</t>
  </si>
  <si>
    <t>S511096</t>
  </si>
  <si>
    <t>Reintegro de gastos a consultores</t>
  </si>
  <si>
    <t>S511025</t>
  </si>
  <si>
    <t>Honorarios asesorías jurídicas</t>
  </si>
  <si>
    <t>G511030000</t>
  </si>
  <si>
    <t>Asesoría financiera</t>
  </si>
  <si>
    <t>G511035000</t>
  </si>
  <si>
    <t>Asesoría técnica</t>
  </si>
  <si>
    <t>G511095000</t>
  </si>
  <si>
    <t>G511096000</t>
  </si>
  <si>
    <t>G511505000</t>
  </si>
  <si>
    <t>Industria y comercio</t>
  </si>
  <si>
    <t>G511510000</t>
  </si>
  <si>
    <t>De timbres</t>
  </si>
  <si>
    <t>G511515000</t>
  </si>
  <si>
    <t>G511525000</t>
  </si>
  <si>
    <t>De valorización</t>
  </si>
  <si>
    <t>G511540000</t>
  </si>
  <si>
    <t>S511595</t>
  </si>
  <si>
    <t>Impuestos - otros</t>
  </si>
  <si>
    <t>S511505</t>
  </si>
  <si>
    <t>Impuesto de Industria y Comercio</t>
  </si>
  <si>
    <t>S511510</t>
  </si>
  <si>
    <t>Impuesto de timbre</t>
  </si>
  <si>
    <t>S511515</t>
  </si>
  <si>
    <t>Impuesto a la propiedad raíz</t>
  </si>
  <si>
    <t>S511525</t>
  </si>
  <si>
    <t>Impuesto de Valorización</t>
  </si>
  <si>
    <t>S511570</t>
  </si>
  <si>
    <t>Impuesto IVA descontable</t>
  </si>
  <si>
    <t>S511545</t>
  </si>
  <si>
    <t>Impuesto de espectáculos públicos</t>
  </si>
  <si>
    <t>S511540</t>
  </si>
  <si>
    <t>Impuesto de vehículos</t>
  </si>
  <si>
    <t>G511545000</t>
  </si>
  <si>
    <t>G511570000</t>
  </si>
  <si>
    <t>IVA descontable</t>
  </si>
  <si>
    <t>G511595000</t>
  </si>
  <si>
    <t>G512010000</t>
  </si>
  <si>
    <t>G512015000</t>
  </si>
  <si>
    <t>G512020000</t>
  </si>
  <si>
    <t>G512025000</t>
  </si>
  <si>
    <t>G512035000</t>
  </si>
  <si>
    <t>G511595005</t>
  </si>
  <si>
    <t>Impuestos otros - Al consumo</t>
  </si>
  <si>
    <t>G511595099</t>
  </si>
  <si>
    <t>S512010</t>
  </si>
  <si>
    <t>Arrendamiento construcciones y edificaciones</t>
  </si>
  <si>
    <t>S512095</t>
  </si>
  <si>
    <t>Arrendamiento - Otros</t>
  </si>
  <si>
    <t>S512015</t>
  </si>
  <si>
    <t>Arrendamiento maquinaria y equipo</t>
  </si>
  <si>
    <t>S512020</t>
  </si>
  <si>
    <t>Arrendamiento equipo de oficina</t>
  </si>
  <si>
    <t>S512025</t>
  </si>
  <si>
    <t>Arrendamiento equipo de computo y comunicación</t>
  </si>
  <si>
    <t>S512040</t>
  </si>
  <si>
    <t>Arrendamiento flota y equipo de transporte</t>
  </si>
  <si>
    <t>S512035</t>
  </si>
  <si>
    <t>Arrendamiento equipo de hoteles y restaurantes</t>
  </si>
  <si>
    <t>G512040000</t>
  </si>
  <si>
    <t>G512095000</t>
  </si>
  <si>
    <t>G512505000</t>
  </si>
  <si>
    <t>G512510000</t>
  </si>
  <si>
    <t>G513005000</t>
  </si>
  <si>
    <t>Manejo</t>
  </si>
  <si>
    <t>G513010000</t>
  </si>
  <si>
    <t>Cumplimiento</t>
  </si>
  <si>
    <t>G513015000</t>
  </si>
  <si>
    <t>Corriente débil</t>
  </si>
  <si>
    <t>G512095099</t>
  </si>
  <si>
    <t>S512510</t>
  </si>
  <si>
    <t>S512505</t>
  </si>
  <si>
    <t>G513020000</t>
  </si>
  <si>
    <t>Vida colectiva</t>
  </si>
  <si>
    <t>G513025000</t>
  </si>
  <si>
    <t>Incendio</t>
  </si>
  <si>
    <t>S513095</t>
  </si>
  <si>
    <t>Seguros - otros</t>
  </si>
  <si>
    <t>S513087</t>
  </si>
  <si>
    <t>Seguro Multiriesgo Comercial</t>
  </si>
  <si>
    <t>S513086</t>
  </si>
  <si>
    <t>Seguro Infidelidad y riesgo financiero</t>
  </si>
  <si>
    <t>S513085</t>
  </si>
  <si>
    <t>Seguros transporte de mercancía</t>
  </si>
  <si>
    <t>S513080</t>
  </si>
  <si>
    <t>Seguros lucro cesante</t>
  </si>
  <si>
    <t>S513075</t>
  </si>
  <si>
    <t>Seguros obligatorio accidente de tránsito</t>
  </si>
  <si>
    <t>S513070</t>
  </si>
  <si>
    <t>Seguros rotura de maquinaria</t>
  </si>
  <si>
    <t>S513060</t>
  </si>
  <si>
    <t>Seguros responsabilidad civil y extracontractual</t>
  </si>
  <si>
    <t>S513045</t>
  </si>
  <si>
    <t>Seguros flota y equipo fluvial y/o marítimo</t>
  </si>
  <si>
    <t>S513040</t>
  </si>
  <si>
    <t>Seguros flota y equipo de transporte</t>
  </si>
  <si>
    <t>S513035</t>
  </si>
  <si>
    <t>Seguros sustracción y hurto</t>
  </si>
  <si>
    <t>S513030</t>
  </si>
  <si>
    <t>Seguros terremoto</t>
  </si>
  <si>
    <t>S513025</t>
  </si>
  <si>
    <t>Seguros incendio</t>
  </si>
  <si>
    <t>S513020</t>
  </si>
  <si>
    <t>Seguros vida colectiva</t>
  </si>
  <si>
    <t>S513015</t>
  </si>
  <si>
    <t>Seguros corriente débil</t>
  </si>
  <si>
    <t>S513010</t>
  </si>
  <si>
    <t>Seguros cumplimiento</t>
  </si>
  <si>
    <t>S513005</t>
  </si>
  <si>
    <t>Seguros manejo</t>
  </si>
  <si>
    <t>G513030000</t>
  </si>
  <si>
    <t>Terremoto</t>
  </si>
  <si>
    <t>G513035000</t>
  </si>
  <si>
    <t>Sustracción y hurto</t>
  </si>
  <si>
    <t>G513040000</t>
  </si>
  <si>
    <t>G513045000</t>
  </si>
  <si>
    <t>G513060000</t>
  </si>
  <si>
    <t>Responsabilidad civil y extracontractual</t>
  </si>
  <si>
    <t>G513070000</t>
  </si>
  <si>
    <t>Rotura de maquinaria</t>
  </si>
  <si>
    <t>G513075000</t>
  </si>
  <si>
    <t>Obligatorio accidente de tránsito</t>
  </si>
  <si>
    <t>G513080000</t>
  </si>
  <si>
    <t>Lucro cesante</t>
  </si>
  <si>
    <t>G513085000</t>
  </si>
  <si>
    <t>Transporte de mercancía</t>
  </si>
  <si>
    <t>G513086000</t>
  </si>
  <si>
    <t>G513087000</t>
  </si>
  <si>
    <t>G513095000</t>
  </si>
  <si>
    <t>G513304000</t>
  </si>
  <si>
    <t>G513364000</t>
  </si>
  <si>
    <t>G513380000</t>
  </si>
  <si>
    <t>G513505000</t>
  </si>
  <si>
    <t>Aseo y vigilancia</t>
  </si>
  <si>
    <t>G513510000</t>
  </si>
  <si>
    <t>Temporales</t>
  </si>
  <si>
    <t>G513095002</t>
  </si>
  <si>
    <t>Seguros otros - Multiriesgo comercial</t>
  </si>
  <si>
    <t>G513095003</t>
  </si>
  <si>
    <t>Seguros otros - Asistencia en viajes al exterior</t>
  </si>
  <si>
    <t>G513095004</t>
  </si>
  <si>
    <t>Seguros otros - Infidelidad y riesgo financiero</t>
  </si>
  <si>
    <t>G513095095</t>
  </si>
  <si>
    <t>Seguros otros - Diversos</t>
  </si>
  <si>
    <t>G513095099</t>
  </si>
  <si>
    <t>S513380</t>
  </si>
  <si>
    <t>Actualización valor razonable - Instrumentos financieros</t>
  </si>
  <si>
    <t>G513515000</t>
  </si>
  <si>
    <t>G513520000</t>
  </si>
  <si>
    <t>Procesamiento electrónico de datos</t>
  </si>
  <si>
    <t>G513525000</t>
  </si>
  <si>
    <t>Acueducto y alcantarillado</t>
  </si>
  <si>
    <t>S513565</t>
  </si>
  <si>
    <t>Cuotas de admón y otros Servicios administrativos</t>
  </si>
  <si>
    <t>S513555</t>
  </si>
  <si>
    <t>Servicios de gas</t>
  </si>
  <si>
    <t>S513550</t>
  </si>
  <si>
    <t>Servicios transporte, fletes y acarreos</t>
  </si>
  <si>
    <t>S513567</t>
  </si>
  <si>
    <t>Servicios otros - Redes y comunicaciones</t>
  </si>
  <si>
    <t>S513545</t>
  </si>
  <si>
    <t>Servicios fax y télex</t>
  </si>
  <si>
    <t>S513540</t>
  </si>
  <si>
    <t>Servicios correo, portes y telegramas</t>
  </si>
  <si>
    <t>S513535</t>
  </si>
  <si>
    <t>Servicios de teléfono (fijo y móvil)</t>
  </si>
  <si>
    <t>S513530</t>
  </si>
  <si>
    <t>Servicios de energía eléctrica</t>
  </si>
  <si>
    <t>S513525</t>
  </si>
  <si>
    <t>Servicios de acueducto y alcantarillado</t>
  </si>
  <si>
    <t>S513520</t>
  </si>
  <si>
    <t>Servicios procesamiento electrónico de datos</t>
  </si>
  <si>
    <t>S513515</t>
  </si>
  <si>
    <t>Servicios de asistencia técnica</t>
  </si>
  <si>
    <t>S513510</t>
  </si>
  <si>
    <t>Servicios temporales</t>
  </si>
  <si>
    <t>S513505</t>
  </si>
  <si>
    <t>Servicios de aseo y vigilancia</t>
  </si>
  <si>
    <t>S513575</t>
  </si>
  <si>
    <t>Servicios otros - Ratin</t>
  </si>
  <si>
    <t>S513573</t>
  </si>
  <si>
    <t>Servicios otros - Televisión por cable</t>
  </si>
  <si>
    <t>S513571</t>
  </si>
  <si>
    <t>Servicios otros - Encuadernaciones y empastes</t>
  </si>
  <si>
    <t>S513569</t>
  </si>
  <si>
    <t>Servicios otros - Eventos</t>
  </si>
  <si>
    <t>S513595</t>
  </si>
  <si>
    <t>G513530000</t>
  </si>
  <si>
    <t>Energía eléctrica</t>
  </si>
  <si>
    <t>G513535000</t>
  </si>
  <si>
    <t>Teléfono</t>
  </si>
  <si>
    <t>G513540000</t>
  </si>
  <si>
    <t>Correo, portes y telegramas</t>
  </si>
  <si>
    <t>G513545000</t>
  </si>
  <si>
    <t>Fax y télex</t>
  </si>
  <si>
    <t>G513550000</t>
  </si>
  <si>
    <t>G513555000</t>
  </si>
  <si>
    <t>Gas</t>
  </si>
  <si>
    <t>G513565000</t>
  </si>
  <si>
    <t>Servicios otros - Administrativos</t>
  </si>
  <si>
    <t>G513567000</t>
  </si>
  <si>
    <t>G513569000</t>
  </si>
  <si>
    <t>G513571000</t>
  </si>
  <si>
    <t>G513573000</t>
  </si>
  <si>
    <t>G513575000</t>
  </si>
  <si>
    <t>G513595000</t>
  </si>
  <si>
    <t>G514005000</t>
  </si>
  <si>
    <t>Notariales</t>
  </si>
  <si>
    <t>G514010000</t>
  </si>
  <si>
    <t>Registro mercantil</t>
  </si>
  <si>
    <t>G514015000</t>
  </si>
  <si>
    <t>Trámites y licencias</t>
  </si>
  <si>
    <t>G514020000</t>
  </si>
  <si>
    <t>Aduaneros</t>
  </si>
  <si>
    <t>G514025000</t>
  </si>
  <si>
    <t>Consulares</t>
  </si>
  <si>
    <t>G513595002</t>
  </si>
  <si>
    <t>G513595001</t>
  </si>
  <si>
    <t>G513595010</t>
  </si>
  <si>
    <t>G513595015</t>
  </si>
  <si>
    <t>G513595095</t>
  </si>
  <si>
    <t>Servicios otros - Diversos</t>
  </si>
  <si>
    <t>G513595099</t>
  </si>
  <si>
    <t>S514095</t>
  </si>
  <si>
    <t>Gastos legales otros diversos</t>
  </si>
  <si>
    <t>S514025</t>
  </si>
  <si>
    <t>Gastos legales consulares</t>
  </si>
  <si>
    <t>S514020</t>
  </si>
  <si>
    <t>Gastos legales aduaneros</t>
  </si>
  <si>
    <t>S514015</t>
  </si>
  <si>
    <t>Gastos legales trámites y licencias</t>
  </si>
  <si>
    <t>S514010</t>
  </si>
  <si>
    <t>Gastos legales registro mercantil</t>
  </si>
  <si>
    <t>S514005</t>
  </si>
  <si>
    <t>Gastos legales notariales</t>
  </si>
  <si>
    <t>G514095000</t>
  </si>
  <si>
    <t>G514505000</t>
  </si>
  <si>
    <t>G514510000</t>
  </si>
  <si>
    <t>G514515000</t>
  </si>
  <si>
    <t>G514520000</t>
  </si>
  <si>
    <t>G514525000</t>
  </si>
  <si>
    <t>S514565</t>
  </si>
  <si>
    <t>S514560</t>
  </si>
  <si>
    <t>S514545</t>
  </si>
  <si>
    <t>Mtto flota y equipo fluvial y/o marítimo</t>
  </si>
  <si>
    <t>S514540</t>
  </si>
  <si>
    <t>Mtto flota y equipo de transporte</t>
  </si>
  <si>
    <t>S514525</t>
  </si>
  <si>
    <t>Mtto equipo de computación y comunicación</t>
  </si>
  <si>
    <t>S514520</t>
  </si>
  <si>
    <t>Mtto equipo de oficina</t>
  </si>
  <si>
    <t>S514515</t>
  </si>
  <si>
    <t>Mtto maquinaria y equipo</t>
  </si>
  <si>
    <t>S514510</t>
  </si>
  <si>
    <t>Mtto construcciones y edificaciones</t>
  </si>
  <si>
    <t>S514505</t>
  </si>
  <si>
    <t>Mtto terrenos</t>
  </si>
  <si>
    <t>G514525016</t>
  </si>
  <si>
    <t>Mtto Sofware y licencias</t>
  </si>
  <si>
    <t>G514540000</t>
  </si>
  <si>
    <t>G514545000</t>
  </si>
  <si>
    <t>G514560000</t>
  </si>
  <si>
    <t>G514565000</t>
  </si>
  <si>
    <t>G515005000</t>
  </si>
  <si>
    <t>Instalaciones eléctricas</t>
  </si>
  <si>
    <t>G515010000</t>
  </si>
  <si>
    <t>Arreglos ornamentales</t>
  </si>
  <si>
    <t>G515015000</t>
  </si>
  <si>
    <t>Reparaciones locativas</t>
  </si>
  <si>
    <t>G515095000</t>
  </si>
  <si>
    <t>G515505000</t>
  </si>
  <si>
    <t>Alojamiento y manutención</t>
  </si>
  <si>
    <t>S515_2</t>
  </si>
  <si>
    <t>Gastos por beneficios a los empleados Ventas</t>
  </si>
  <si>
    <t>S515_1</t>
  </si>
  <si>
    <t>Gastos por beneficios a los empleados Admon</t>
  </si>
  <si>
    <t>S515005</t>
  </si>
  <si>
    <t>Adecuación instalaciones eléctricas</t>
  </si>
  <si>
    <t>S515010</t>
  </si>
  <si>
    <t>Adecuación arreglos ornamentales</t>
  </si>
  <si>
    <t>S515015</t>
  </si>
  <si>
    <t>S515095</t>
  </si>
  <si>
    <t>Adecuaciones y reparaciones otras</t>
  </si>
  <si>
    <t>G515515000</t>
  </si>
  <si>
    <t>Pasajes aéreos</t>
  </si>
  <si>
    <t>G515520000</t>
  </si>
  <si>
    <t>Pasajes terrestres</t>
  </si>
  <si>
    <t>G515525000</t>
  </si>
  <si>
    <t>Pasajes férreos</t>
  </si>
  <si>
    <t>G515595000</t>
  </si>
  <si>
    <t>G515095099</t>
  </si>
  <si>
    <t>S515505</t>
  </si>
  <si>
    <t>Gtos viaje alojamiento y manutención</t>
  </si>
  <si>
    <t>S515515</t>
  </si>
  <si>
    <t>Gtos de viaje pasajes aéreos</t>
  </si>
  <si>
    <t>S515520</t>
  </si>
  <si>
    <t>Gtos de viaje pasajes terrestres</t>
  </si>
  <si>
    <t>S515525</t>
  </si>
  <si>
    <t>Gtos de viaje pasajes férreos</t>
  </si>
  <si>
    <t>S515595</t>
  </si>
  <si>
    <t>Gastos de viaje otros</t>
  </si>
  <si>
    <t>G516005000</t>
  </si>
  <si>
    <t>G516010000</t>
  </si>
  <si>
    <t>G515595099</t>
  </si>
  <si>
    <t>S510503</t>
  </si>
  <si>
    <t>Salario Integral</t>
  </si>
  <si>
    <t>S510506</t>
  </si>
  <si>
    <t>S510515</t>
  </si>
  <si>
    <t>S510518</t>
  </si>
  <si>
    <t>S510521</t>
  </si>
  <si>
    <t>S510524</t>
  </si>
  <si>
    <t>S510527</t>
  </si>
  <si>
    <t>S510530</t>
  </si>
  <si>
    <t>S510533</t>
  </si>
  <si>
    <t>Intereses sobre Cesantías</t>
  </si>
  <si>
    <t>S510536</t>
  </si>
  <si>
    <t>S510539</t>
  </si>
  <si>
    <t>S510542</t>
  </si>
  <si>
    <t>S510545</t>
  </si>
  <si>
    <t>S510548</t>
  </si>
  <si>
    <t>S510551</t>
  </si>
  <si>
    <t>S510554</t>
  </si>
  <si>
    <t>S510557</t>
  </si>
  <si>
    <t>S510558</t>
  </si>
  <si>
    <t>Amortización cálculo actuarial pensiones de jubilación</t>
  </si>
  <si>
    <t>S510559</t>
  </si>
  <si>
    <t>Pensiones de jubilación - Administración</t>
  </si>
  <si>
    <t>S510560</t>
  </si>
  <si>
    <t>S510563</t>
  </si>
  <si>
    <t>S510566</t>
  </si>
  <si>
    <t>S510568</t>
  </si>
  <si>
    <t>S510569</t>
  </si>
  <si>
    <t>S510570</t>
  </si>
  <si>
    <t>Aportes a fondos de pensiones y/o Cesantías</t>
  </si>
  <si>
    <t>S510572</t>
  </si>
  <si>
    <t>Aportes a Cajas de Compensación Familiar</t>
  </si>
  <si>
    <t>S510575</t>
  </si>
  <si>
    <t>S510578</t>
  </si>
  <si>
    <t>Aportes al SENA</t>
  </si>
  <si>
    <t>S510581</t>
  </si>
  <si>
    <t>S510584</t>
  </si>
  <si>
    <t>S510585</t>
  </si>
  <si>
    <t>S510586</t>
  </si>
  <si>
    <t>S510587</t>
  </si>
  <si>
    <t>Alojamiento habitual</t>
  </si>
  <si>
    <t>S510588</t>
  </si>
  <si>
    <t>S510589</t>
  </si>
  <si>
    <t>S510595</t>
  </si>
  <si>
    <t>S520554</t>
  </si>
  <si>
    <t>S520551</t>
  </si>
  <si>
    <t>S520548</t>
  </si>
  <si>
    <t>S520545</t>
  </si>
  <si>
    <t>S520542</t>
  </si>
  <si>
    <t>S520539</t>
  </si>
  <si>
    <t>S520536</t>
  </si>
  <si>
    <t>S520533</t>
  </si>
  <si>
    <t>S520530</t>
  </si>
  <si>
    <t>S520527</t>
  </si>
  <si>
    <t>S520524</t>
  </si>
  <si>
    <t>S520521</t>
  </si>
  <si>
    <t>S520518</t>
  </si>
  <si>
    <t>S520515</t>
  </si>
  <si>
    <t>S520506</t>
  </si>
  <si>
    <t>S520503</t>
  </si>
  <si>
    <t>S520595</t>
  </si>
  <si>
    <t>S520589</t>
  </si>
  <si>
    <t>S520588</t>
  </si>
  <si>
    <t>S520587</t>
  </si>
  <si>
    <t>S520586</t>
  </si>
  <si>
    <t>Suministro alimentación habitual</t>
  </si>
  <si>
    <t>S520585</t>
  </si>
  <si>
    <t>S520584</t>
  </si>
  <si>
    <t>S520578</t>
  </si>
  <si>
    <t>S520575</t>
  </si>
  <si>
    <t>S520557</t>
  </si>
  <si>
    <t>S520558</t>
  </si>
  <si>
    <t>S520559</t>
  </si>
  <si>
    <t>Pensiones de jubilación - Ventas</t>
  </si>
  <si>
    <t>S520560</t>
  </si>
  <si>
    <t>S520563</t>
  </si>
  <si>
    <t>S520566</t>
  </si>
  <si>
    <t>S520568</t>
  </si>
  <si>
    <t>S520569</t>
  </si>
  <si>
    <t>S520570</t>
  </si>
  <si>
    <t>S520572</t>
  </si>
  <si>
    <t>S516005</t>
  </si>
  <si>
    <t>Depreciación-Construcciones y edificaciones</t>
  </si>
  <si>
    <t>S516010</t>
  </si>
  <si>
    <t>Depreciación-Maquinaria y equipo</t>
  </si>
  <si>
    <t>S516015</t>
  </si>
  <si>
    <t>Depreciación-Equipo de oficina</t>
  </si>
  <si>
    <t>S516020</t>
  </si>
  <si>
    <t>Depreciación-Equipo de computo y comunicación</t>
  </si>
  <si>
    <t>S516035</t>
  </si>
  <si>
    <t>Depreciación-Flota y equipo de transporte</t>
  </si>
  <si>
    <t>S516040</t>
  </si>
  <si>
    <t>Depreciación-Flota y equipo fluvial y/o marítimo</t>
  </si>
  <si>
    <t>S516060</t>
  </si>
  <si>
    <t>Depreciación-Armamento de vigilancia</t>
  </si>
  <si>
    <t>S516055</t>
  </si>
  <si>
    <t>Depreciación-Acueducto, plantas y redes</t>
  </si>
  <si>
    <t>S51601304</t>
  </si>
  <si>
    <t>S51601305</t>
  </si>
  <si>
    <t>S51601310</t>
  </si>
  <si>
    <t>S51601315</t>
  </si>
  <si>
    <t>S51601318</t>
  </si>
  <si>
    <t>S51601320</t>
  </si>
  <si>
    <t>S51601335</t>
  </si>
  <si>
    <t>G516015000</t>
  </si>
  <si>
    <t>G516020000</t>
  </si>
  <si>
    <t>G516035000</t>
  </si>
  <si>
    <t>G516040000</t>
  </si>
  <si>
    <t>G516055000</t>
  </si>
  <si>
    <t>S240410_0</t>
  </si>
  <si>
    <t>S240411_0</t>
  </si>
  <si>
    <t>S2424_0</t>
  </si>
  <si>
    <t>S245_1</t>
  </si>
  <si>
    <t>Cesantías consolidadas</t>
  </si>
  <si>
    <t>S251010_0</t>
  </si>
  <si>
    <t>Prestaciones extralegales</t>
  </si>
  <si>
    <t>Para costos y gastos</t>
  </si>
  <si>
    <t>S2615_0</t>
  </si>
  <si>
    <t>Para obligaciones fiscales</t>
  </si>
  <si>
    <t>S2615_1</t>
  </si>
  <si>
    <t>S262010_1</t>
  </si>
  <si>
    <t>S263535_1</t>
  </si>
  <si>
    <t>S2695_0</t>
  </si>
  <si>
    <t>Provisiones diversas</t>
  </si>
  <si>
    <t>S2695_1</t>
  </si>
  <si>
    <t>S2710_0</t>
  </si>
  <si>
    <t>Abonos diferidos</t>
  </si>
  <si>
    <t>S2710_1</t>
  </si>
  <si>
    <t>S272510_0</t>
  </si>
  <si>
    <t>NIIF Impuesto de renta diferido “créditos"</t>
  </si>
  <si>
    <t>Depósitos recibidos</t>
  </si>
  <si>
    <t>S2810_1</t>
  </si>
  <si>
    <t>Retenciones a terceros sobre contratos</t>
  </si>
  <si>
    <t>Pasivo + Patrimonio</t>
  </si>
  <si>
    <t>S3105_0</t>
  </si>
  <si>
    <t>Capital suscrito y pagado</t>
  </si>
  <si>
    <t>S310515_0</t>
  </si>
  <si>
    <t>S3115_0</t>
  </si>
  <si>
    <t>Aportes sociales</t>
  </si>
  <si>
    <t>S3205_0</t>
  </si>
  <si>
    <t>Prima en colocación de acciones, cuotas o partes de interés</t>
  </si>
  <si>
    <t>S320510_0</t>
  </si>
  <si>
    <t>S320515_0</t>
  </si>
  <si>
    <t>Prima en colocación de cuotas o partes de interés social</t>
  </si>
  <si>
    <t>S3210_0</t>
  </si>
  <si>
    <t>S321005_0</t>
  </si>
  <si>
    <t>S321015_0</t>
  </si>
  <si>
    <t>S321020_0</t>
  </si>
  <si>
    <t>Anticipos recibidos a futura capitalización</t>
  </si>
  <si>
    <t>S3301_0</t>
  </si>
  <si>
    <t>Acciones propias readquiridas</t>
  </si>
  <si>
    <t>SubReservas obligatorias</t>
  </si>
  <si>
    <t>S330517_0</t>
  </si>
  <si>
    <t>Reserva readquisición de cuotas o partes de interés social</t>
  </si>
  <si>
    <t>S330518_0</t>
  </si>
  <si>
    <t>Cuotas o partes de interés social propias readquiridas (DB)</t>
  </si>
  <si>
    <t>S330520_0</t>
  </si>
  <si>
    <t>S330525_0</t>
  </si>
  <si>
    <t>S330530_0</t>
  </si>
  <si>
    <t>SubReservas estatutarias</t>
  </si>
  <si>
    <t>SubReservas ocasionales</t>
  </si>
  <si>
    <t>S331505_0</t>
  </si>
  <si>
    <t>S331520_0</t>
  </si>
  <si>
    <t>Para adquisición o reposición de ppe</t>
  </si>
  <si>
    <t>S331525_0</t>
  </si>
  <si>
    <t>S3510_0</t>
  </si>
  <si>
    <t>Participaciones decretadas en cuotas o partes de interés</t>
  </si>
  <si>
    <t>S351005_0</t>
  </si>
  <si>
    <t>Participaciones decretadas cuotas o partes de interés social</t>
  </si>
  <si>
    <t>S3515_0</t>
  </si>
  <si>
    <t>Dividendos eliminados en consolidación</t>
  </si>
  <si>
    <t>S351505_0</t>
  </si>
  <si>
    <t>Dividendos eliminados en la consolidación</t>
  </si>
  <si>
    <t>Utilidad del ejercicio transferencia ORI</t>
  </si>
  <si>
    <t>Utilidades acumuladas adopcion por primera vez</t>
  </si>
  <si>
    <t>NIIF Utilidad adopción por primera vez</t>
  </si>
  <si>
    <t>Pérdidas acumuladasa adopcion por primera vez</t>
  </si>
  <si>
    <t>NIIF Pérdidas adopción por primera vez</t>
  </si>
  <si>
    <t>De propiedades, planta y equipo</t>
  </si>
  <si>
    <t>S381060_0</t>
  </si>
  <si>
    <t>Plantaciones agricolas recib Sub/Asoc/Neg</t>
  </si>
  <si>
    <t>NIIF Otros resultados integrales (ORI)</t>
  </si>
  <si>
    <t>NIIF Util/Pérd. instrum. Fcieros a traves de ori</t>
  </si>
  <si>
    <t>NIIF Util/Pérd. en conversión de estados financieros</t>
  </si>
  <si>
    <t>S381525_0</t>
  </si>
  <si>
    <t>NIIF Util/Pérd. Valoración instrumentos de cobertura</t>
  </si>
  <si>
    <t>De otros activos</t>
  </si>
  <si>
    <t>G516060000</t>
  </si>
  <si>
    <t>G516104000</t>
  </si>
  <si>
    <t>NIIF Terrenos</t>
  </si>
  <si>
    <t>G516105000</t>
  </si>
  <si>
    <t>NIIF Construcciones y edificaciones</t>
  </si>
  <si>
    <t>G516110000</t>
  </si>
  <si>
    <t>NIIF Maquinaria y equipo</t>
  </si>
  <si>
    <t>G516112000</t>
  </si>
  <si>
    <t>NIIF Deterioro Inversiones</t>
  </si>
  <si>
    <t>G516116000</t>
  </si>
  <si>
    <t>NIIF Intangibles</t>
  </si>
  <si>
    <t>S516164</t>
  </si>
  <si>
    <t>NIIF Deterioro cultivos en desarrollo</t>
  </si>
  <si>
    <t>S516140</t>
  </si>
  <si>
    <t>NIIF Deterioro Flota y equipo fluvial y/o marítimo</t>
  </si>
  <si>
    <t>S516135</t>
  </si>
  <si>
    <t>NIIF Flota y equipo de transporte</t>
  </si>
  <si>
    <t>S516128</t>
  </si>
  <si>
    <t>NIIF Deterioro equipo de computo y comunicaciones</t>
  </si>
  <si>
    <t>S516116</t>
  </si>
  <si>
    <t>S516112</t>
  </si>
  <si>
    <t>NIIF Deterioro de inversion</t>
  </si>
  <si>
    <t>S516110</t>
  </si>
  <si>
    <t>S516105</t>
  </si>
  <si>
    <t>S516104</t>
  </si>
  <si>
    <t>G516128000</t>
  </si>
  <si>
    <t>G516135000</t>
  </si>
  <si>
    <t>G516140000</t>
  </si>
  <si>
    <t>G516164000</t>
  </si>
  <si>
    <t>G516504000</t>
  </si>
  <si>
    <t>Amortizaciones gastos organización y preoperativos</t>
  </si>
  <si>
    <t>G516510000</t>
  </si>
  <si>
    <t>G516515000</t>
  </si>
  <si>
    <t>G516520000</t>
  </si>
  <si>
    <t>G516595000</t>
  </si>
  <si>
    <t>S516504</t>
  </si>
  <si>
    <t>S516510</t>
  </si>
  <si>
    <t>Amortizaciones de intangibles</t>
  </si>
  <si>
    <t>S516515</t>
  </si>
  <si>
    <t>Amortización cargos diferidos</t>
  </si>
  <si>
    <t>S516520</t>
  </si>
  <si>
    <t>S516595</t>
  </si>
  <si>
    <t>Amortizaciones otras</t>
  </si>
  <si>
    <t>G517005000</t>
  </si>
  <si>
    <t>G517010000</t>
  </si>
  <si>
    <t>G517015000</t>
  </si>
  <si>
    <t>Pérdida operaciones Derivados, forward, coberturas</t>
  </si>
  <si>
    <t>G517020000</t>
  </si>
  <si>
    <t>G518015000</t>
  </si>
  <si>
    <t>S517010</t>
  </si>
  <si>
    <t>G518020000</t>
  </si>
  <si>
    <t>G518025000</t>
  </si>
  <si>
    <t>Pérdida en compra-venta de otras inversiones</t>
  </si>
  <si>
    <t>G518035000</t>
  </si>
  <si>
    <t>Pérdida en desvalorizacion de inversiones</t>
  </si>
  <si>
    <t>G519510000</t>
  </si>
  <si>
    <t>Diversos - Libros, suscripciones, periódicos y rev</t>
  </si>
  <si>
    <t>G519520000</t>
  </si>
  <si>
    <t>Diversos - Gastos de representación y relaciones p</t>
  </si>
  <si>
    <t>G519525000</t>
  </si>
  <si>
    <t>G519530000</t>
  </si>
  <si>
    <t>G519535000</t>
  </si>
  <si>
    <t>G519540000</t>
  </si>
  <si>
    <t>G519545000</t>
  </si>
  <si>
    <t>G519550000</t>
  </si>
  <si>
    <t>G519555000</t>
  </si>
  <si>
    <t>G519560000</t>
  </si>
  <si>
    <t>G519565000</t>
  </si>
  <si>
    <t>G519570000</t>
  </si>
  <si>
    <t>G519576000</t>
  </si>
  <si>
    <t>G519577000</t>
  </si>
  <si>
    <t>G519578000</t>
  </si>
  <si>
    <t>G519580000</t>
  </si>
  <si>
    <t>G519582000</t>
  </si>
  <si>
    <t>G519584000</t>
  </si>
  <si>
    <t>G519587000</t>
  </si>
  <si>
    <t>G519594000</t>
  </si>
  <si>
    <t>G519595000</t>
  </si>
  <si>
    <t>Diversos - Otros</t>
  </si>
  <si>
    <t>G519905000</t>
  </si>
  <si>
    <t>G519910000</t>
  </si>
  <si>
    <t>G519914000</t>
  </si>
  <si>
    <t>G519595022</t>
  </si>
  <si>
    <t>Diversos - Munición para armamentos</t>
  </si>
  <si>
    <t>G519915000</t>
  </si>
  <si>
    <t>G519595030</t>
  </si>
  <si>
    <t>Diversos - Insumos tratamiento y filtración de agua</t>
  </si>
  <si>
    <t>G519595095</t>
  </si>
  <si>
    <t>G519595099</t>
  </si>
  <si>
    <t>G519595003</t>
  </si>
  <si>
    <t>Diversos - Reintegro gastos a consultores</t>
  </si>
  <si>
    <t>G519595008</t>
  </si>
  <si>
    <t>Diversos - Avisos no publicitarios</t>
  </si>
  <si>
    <t>G519595012</t>
  </si>
  <si>
    <t>G519595013</t>
  </si>
  <si>
    <t>G519595016</t>
  </si>
  <si>
    <t>Diversos - Reintegros de gastos varios</t>
  </si>
  <si>
    <t>G519595018</t>
  </si>
  <si>
    <t>G519595020</t>
  </si>
  <si>
    <t>G519916000</t>
  </si>
  <si>
    <t>G519995000</t>
  </si>
  <si>
    <t>G520503000</t>
  </si>
  <si>
    <t>G520506000</t>
  </si>
  <si>
    <t>G520515000</t>
  </si>
  <si>
    <t>G520518000</t>
  </si>
  <si>
    <t>G520521000</t>
  </si>
  <si>
    <t>G520524000</t>
  </si>
  <si>
    <t>G520527000</t>
  </si>
  <si>
    <t>G520530000</t>
  </si>
  <si>
    <t>G520533000</t>
  </si>
  <si>
    <t>G520536000</t>
  </si>
  <si>
    <t>G520539000</t>
  </si>
  <si>
    <t>G520542000</t>
  </si>
  <si>
    <t>G520545000</t>
  </si>
  <si>
    <t>G520548000</t>
  </si>
  <si>
    <t>G520551000</t>
  </si>
  <si>
    <t>G520554000</t>
  </si>
  <si>
    <t>G520557000</t>
  </si>
  <si>
    <t>G520558000</t>
  </si>
  <si>
    <t>G520559000</t>
  </si>
  <si>
    <t>G520560000</t>
  </si>
  <si>
    <t>G520563000</t>
  </si>
  <si>
    <t>G520566000</t>
  </si>
  <si>
    <t>G520568000</t>
  </si>
  <si>
    <t>G520569000</t>
  </si>
  <si>
    <t>G520570000</t>
  </si>
  <si>
    <t>G520572000</t>
  </si>
  <si>
    <t>G520575000</t>
  </si>
  <si>
    <t>G520578000</t>
  </si>
  <si>
    <t>G520584000</t>
  </si>
  <si>
    <t>G520585000</t>
  </si>
  <si>
    <t>G520586000</t>
  </si>
  <si>
    <t>G520587000</t>
  </si>
  <si>
    <t>G520588000</t>
  </si>
  <si>
    <t>G520589000</t>
  </si>
  <si>
    <t>G520595000</t>
  </si>
  <si>
    <t>G521005000</t>
  </si>
  <si>
    <t>G521010000</t>
  </si>
  <si>
    <t>G521015000</t>
  </si>
  <si>
    <t>G520595020</t>
  </si>
  <si>
    <t>G520595035</t>
  </si>
  <si>
    <t>G521020000</t>
  </si>
  <si>
    <t>S521096</t>
  </si>
  <si>
    <t>S521095</t>
  </si>
  <si>
    <t>S521035</t>
  </si>
  <si>
    <t>S521030</t>
  </si>
  <si>
    <t>S521005</t>
  </si>
  <si>
    <t>S521025</t>
  </si>
  <si>
    <t>S521020</t>
  </si>
  <si>
    <t>Honorarios avalios</t>
  </si>
  <si>
    <t>S521010</t>
  </si>
  <si>
    <t>S521015</t>
  </si>
  <si>
    <t>G521025000</t>
  </si>
  <si>
    <t>G521030000</t>
  </si>
  <si>
    <t>G521035000</t>
  </si>
  <si>
    <t>G521095000</t>
  </si>
  <si>
    <t>G521096000</t>
  </si>
  <si>
    <t>G521505000</t>
  </si>
  <si>
    <t>G521510000</t>
  </si>
  <si>
    <t>G521515000</t>
  </si>
  <si>
    <t>G521525000</t>
  </si>
  <si>
    <t>S521596</t>
  </si>
  <si>
    <t>Impuestos Al consumo</t>
  </si>
  <si>
    <t>S521595</t>
  </si>
  <si>
    <t>Impuestos otros</t>
  </si>
  <si>
    <t>S521570</t>
  </si>
  <si>
    <t>S521545</t>
  </si>
  <si>
    <t>S521525</t>
  </si>
  <si>
    <t>S521515</t>
  </si>
  <si>
    <t>S521510</t>
  </si>
  <si>
    <t>S521540</t>
  </si>
  <si>
    <t>S521505</t>
  </si>
  <si>
    <t>G521540000</t>
  </si>
  <si>
    <t>G521545000</t>
  </si>
  <si>
    <t>G521570000</t>
  </si>
  <si>
    <t>G521595000</t>
  </si>
  <si>
    <t>G521596000</t>
  </si>
  <si>
    <t>G522005000</t>
  </si>
  <si>
    <t>Arrendam. Terrenos</t>
  </si>
  <si>
    <t>G522010000</t>
  </si>
  <si>
    <t>G522015000</t>
  </si>
  <si>
    <t>G521595005</t>
  </si>
  <si>
    <t>G522020000</t>
  </si>
  <si>
    <t>S522095</t>
  </si>
  <si>
    <t>Arrendamiento - Otros diversos</t>
  </si>
  <si>
    <t>S522015</t>
  </si>
  <si>
    <t>S522010</t>
  </si>
  <si>
    <t>S522005</t>
  </si>
  <si>
    <t>S522040</t>
  </si>
  <si>
    <t>S522025</t>
  </si>
  <si>
    <t>S522020</t>
  </si>
  <si>
    <t>G522025000</t>
  </si>
  <si>
    <t>G522040000</t>
  </si>
  <si>
    <t>G522095000</t>
  </si>
  <si>
    <t>G522505000</t>
  </si>
  <si>
    <t>G522510000</t>
  </si>
  <si>
    <t>G523005000</t>
  </si>
  <si>
    <t>G523010000</t>
  </si>
  <si>
    <t>S522505</t>
  </si>
  <si>
    <t>S522510</t>
  </si>
  <si>
    <t>G523015000</t>
  </si>
  <si>
    <t>G523020000</t>
  </si>
  <si>
    <t>S523015</t>
  </si>
  <si>
    <t>S523020</t>
  </si>
  <si>
    <t>S523025</t>
  </si>
  <si>
    <t>S523030</t>
  </si>
  <si>
    <t>S523035</t>
  </si>
  <si>
    <t>S523040</t>
  </si>
  <si>
    <t>S523010</t>
  </si>
  <si>
    <t>S523045</t>
  </si>
  <si>
    <t>S523060</t>
  </si>
  <si>
    <t>S523070</t>
  </si>
  <si>
    <t>S523075</t>
  </si>
  <si>
    <t>S523080</t>
  </si>
  <si>
    <t>S523085</t>
  </si>
  <si>
    <t>Seguros Transporte de mercancía</t>
  </si>
  <si>
    <t>S523095</t>
  </si>
  <si>
    <t>Seguros otros</t>
  </si>
  <si>
    <t>S523005</t>
  </si>
  <si>
    <t>G523025000</t>
  </si>
  <si>
    <t>G523030000</t>
  </si>
  <si>
    <t>G523035000</t>
  </si>
  <si>
    <t>G523040000</t>
  </si>
  <si>
    <t>G523045000</t>
  </si>
  <si>
    <t>G523060000</t>
  </si>
  <si>
    <t>G523070000</t>
  </si>
  <si>
    <t>G523075000</t>
  </si>
  <si>
    <t>G523080000</t>
  </si>
  <si>
    <t>G523085000</t>
  </si>
  <si>
    <t>G523095000</t>
  </si>
  <si>
    <t>Otros diversos</t>
  </si>
  <si>
    <t>G523505000</t>
  </si>
  <si>
    <t>G523510000</t>
  </si>
  <si>
    <t>G523515000</t>
  </si>
  <si>
    <t>G523095002</t>
  </si>
  <si>
    <t>G523095004</t>
  </si>
  <si>
    <t>G523520000</t>
  </si>
  <si>
    <t>S523595</t>
  </si>
  <si>
    <t>S523505</t>
  </si>
  <si>
    <t>S523510</t>
  </si>
  <si>
    <t>S523515</t>
  </si>
  <si>
    <t>S523520</t>
  </si>
  <si>
    <t>S523525</t>
  </si>
  <si>
    <t>S523530</t>
  </si>
  <si>
    <t>S523535</t>
  </si>
  <si>
    <t>Servicios de teléfono</t>
  </si>
  <si>
    <t>S523540</t>
  </si>
  <si>
    <t>S523545</t>
  </si>
  <si>
    <t>S523550</t>
  </si>
  <si>
    <t>S523555</t>
  </si>
  <si>
    <t>S523560</t>
  </si>
  <si>
    <t>S523565</t>
  </si>
  <si>
    <t>S523567</t>
  </si>
  <si>
    <t>S523569</t>
  </si>
  <si>
    <t>S523571</t>
  </si>
  <si>
    <t>S523573</t>
  </si>
  <si>
    <t>S523575</t>
  </si>
  <si>
    <t>G523525000</t>
  </si>
  <si>
    <t>G523530000</t>
  </si>
  <si>
    <t>G523535000</t>
  </si>
  <si>
    <t>G523540000</t>
  </si>
  <si>
    <t>G523545000</t>
  </si>
  <si>
    <t>G523550000</t>
  </si>
  <si>
    <t>G523555000</t>
  </si>
  <si>
    <t>G523560000</t>
  </si>
  <si>
    <t>G523565000</t>
  </si>
  <si>
    <t>G523567000</t>
  </si>
  <si>
    <t>G523569000</t>
  </si>
  <si>
    <t>G523571000</t>
  </si>
  <si>
    <t>G523573000</t>
  </si>
  <si>
    <t>G523575000</t>
  </si>
  <si>
    <t>G523595000</t>
  </si>
  <si>
    <t>G524005000</t>
  </si>
  <si>
    <t>G524010000</t>
  </si>
  <si>
    <t>G524015000</t>
  </si>
  <si>
    <t>G524020000</t>
  </si>
  <si>
    <t>G523595001</t>
  </si>
  <si>
    <t>G523595002</t>
  </si>
  <si>
    <t>G523595010</t>
  </si>
  <si>
    <t>G523595015</t>
  </si>
  <si>
    <t>G523595095</t>
  </si>
  <si>
    <t>S524015</t>
  </si>
  <si>
    <t>S524020</t>
  </si>
  <si>
    <t>S524005</t>
  </si>
  <si>
    <t>S524010</t>
  </si>
  <si>
    <t>S524095</t>
  </si>
  <si>
    <t>S524025</t>
  </si>
  <si>
    <t>G524025000</t>
  </si>
  <si>
    <t>G524095000</t>
  </si>
  <si>
    <t>G524505000</t>
  </si>
  <si>
    <t>G524510000</t>
  </si>
  <si>
    <t>G524515000</t>
  </si>
  <si>
    <t>G524520000</t>
  </si>
  <si>
    <t>S524525</t>
  </si>
  <si>
    <t>S524540</t>
  </si>
  <si>
    <t>S524545</t>
  </si>
  <si>
    <t>S524560</t>
  </si>
  <si>
    <t>S524565</t>
  </si>
  <si>
    <t>S524570</t>
  </si>
  <si>
    <t>Mtto y reparac. Vias de comunicación</t>
  </si>
  <si>
    <t>S524505</t>
  </si>
  <si>
    <t>S524510</t>
  </si>
  <si>
    <t>S524515</t>
  </si>
  <si>
    <t>S524520</t>
  </si>
  <si>
    <t>G524525000</t>
  </si>
  <si>
    <t>G524525016</t>
  </si>
  <si>
    <t>G524540000</t>
  </si>
  <si>
    <t>G524545000</t>
  </si>
  <si>
    <t>G524560000</t>
  </si>
  <si>
    <t>Mtto y reparac. Acueductos, plantas y redes</t>
  </si>
  <si>
    <t>G524565000</t>
  </si>
  <si>
    <t>G524570000</t>
  </si>
  <si>
    <t>G525005000</t>
  </si>
  <si>
    <t>G525010000</t>
  </si>
  <si>
    <t>G525015000</t>
  </si>
  <si>
    <t>G525095000</t>
  </si>
  <si>
    <t>S525095</t>
  </si>
  <si>
    <t>Adecuaciones y reparaciones otras diversas</t>
  </si>
  <si>
    <t>S525015</t>
  </si>
  <si>
    <t>Adecuación reparaciones locativas</t>
  </si>
  <si>
    <t>S525010</t>
  </si>
  <si>
    <t>S525005</t>
  </si>
  <si>
    <t>G525505000</t>
  </si>
  <si>
    <t>G525510000</t>
  </si>
  <si>
    <t>Pasajes fluviales y/o marítimos</t>
  </si>
  <si>
    <t>G525515000</t>
  </si>
  <si>
    <t>G525520000</t>
  </si>
  <si>
    <t>S525505</t>
  </si>
  <si>
    <t>S525510</t>
  </si>
  <si>
    <t>Gtos viaje Pasajes fluviales y/o marítimos</t>
  </si>
  <si>
    <t>S525515</t>
  </si>
  <si>
    <t>S525520</t>
  </si>
  <si>
    <t>S525525</t>
  </si>
  <si>
    <t>S525595</t>
  </si>
  <si>
    <t>Gastos de viaje otros diversos</t>
  </si>
  <si>
    <t>G525525000</t>
  </si>
  <si>
    <t>G525595000</t>
  </si>
  <si>
    <t>G526005000</t>
  </si>
  <si>
    <t>G526010000</t>
  </si>
  <si>
    <t>S526060</t>
  </si>
  <si>
    <t>S526040</t>
  </si>
  <si>
    <t>S526035</t>
  </si>
  <si>
    <t>S526020</t>
  </si>
  <si>
    <t>S526015</t>
  </si>
  <si>
    <t>S526010</t>
  </si>
  <si>
    <t>S526005</t>
  </si>
  <si>
    <t>S52601315</t>
  </si>
  <si>
    <t>S52601318</t>
  </si>
  <si>
    <t>S52601320</t>
  </si>
  <si>
    <t>S52601335</t>
  </si>
  <si>
    <t>S52601310</t>
  </si>
  <si>
    <t>S52601305</t>
  </si>
  <si>
    <t>S52601304</t>
  </si>
  <si>
    <t>G526015000</t>
  </si>
  <si>
    <t>G526020000</t>
  </si>
  <si>
    <t>G526035000</t>
  </si>
  <si>
    <t>G526040000</t>
  </si>
  <si>
    <t>G526060000</t>
  </si>
  <si>
    <t>G526104000</t>
  </si>
  <si>
    <t>G526105000</t>
  </si>
  <si>
    <t>G526110000</t>
  </si>
  <si>
    <t>G526116000</t>
  </si>
  <si>
    <t>S526104</t>
  </si>
  <si>
    <t>S526105</t>
  </si>
  <si>
    <t>S526110</t>
  </si>
  <si>
    <t>S526116</t>
  </si>
  <si>
    <t>S526135</t>
  </si>
  <si>
    <t>G526135000</t>
  </si>
  <si>
    <t>G526504000</t>
  </si>
  <si>
    <t>G526510000</t>
  </si>
  <si>
    <t>G526515000</t>
  </si>
  <si>
    <t>G526520000</t>
  </si>
  <si>
    <t>S526515</t>
  </si>
  <si>
    <t>S526520</t>
  </si>
  <si>
    <t>S526595</t>
  </si>
  <si>
    <t>S526510</t>
  </si>
  <si>
    <t>S526504</t>
  </si>
  <si>
    <t>G526595000</t>
  </si>
  <si>
    <t>G527010000</t>
  </si>
  <si>
    <t>G529510000</t>
  </si>
  <si>
    <t>G529515000</t>
  </si>
  <si>
    <t>Diversos - Música ambiental</t>
  </si>
  <si>
    <t>S527010</t>
  </si>
  <si>
    <t>G529520000</t>
  </si>
  <si>
    <t>G529522000</t>
  </si>
  <si>
    <t>G529525000</t>
  </si>
  <si>
    <t>G529530000</t>
  </si>
  <si>
    <t>G529535000</t>
  </si>
  <si>
    <t>G529540000</t>
  </si>
  <si>
    <t>G529545000</t>
  </si>
  <si>
    <t>G529546000</t>
  </si>
  <si>
    <t>G529550000</t>
  </si>
  <si>
    <t>G529555000</t>
  </si>
  <si>
    <t>G529560000</t>
  </si>
  <si>
    <t>G529565000</t>
  </si>
  <si>
    <t>G529570000</t>
  </si>
  <si>
    <t>G529577000</t>
  </si>
  <si>
    <t>G529578000</t>
  </si>
  <si>
    <t>G529580000</t>
  </si>
  <si>
    <t>G529582000</t>
  </si>
  <si>
    <t>G529584000</t>
  </si>
  <si>
    <t>G529585000</t>
  </si>
  <si>
    <t>G529586000</t>
  </si>
  <si>
    <t>G529595000</t>
  </si>
  <si>
    <t>G529905000</t>
  </si>
  <si>
    <t>G529910000</t>
  </si>
  <si>
    <t>G529595003</t>
  </si>
  <si>
    <t>G529595012</t>
  </si>
  <si>
    <t>G529595018</t>
  </si>
  <si>
    <t>G529914000</t>
  </si>
  <si>
    <t>G529595095</t>
  </si>
  <si>
    <t>G529915000</t>
  </si>
  <si>
    <t>G529995000</t>
  </si>
  <si>
    <t>G530505000</t>
  </si>
  <si>
    <t>G530513004</t>
  </si>
  <si>
    <t>Int Obligac x arrendamto - Terrenos</t>
  </si>
  <si>
    <t>G529916000</t>
  </si>
  <si>
    <t>G530513016</t>
  </si>
  <si>
    <t>Int Obligac x arrendamto - Edificios</t>
  </si>
  <si>
    <t>S5310</t>
  </si>
  <si>
    <t>Perdida en venta y retiro de bienes</t>
  </si>
  <si>
    <t>S5313</t>
  </si>
  <si>
    <t>Pérdidas método de participación</t>
  </si>
  <si>
    <t>S5315</t>
  </si>
  <si>
    <t>S539581</t>
  </si>
  <si>
    <t>S539537</t>
  </si>
  <si>
    <t>Patrocinios</t>
  </si>
  <si>
    <t>S539535</t>
  </si>
  <si>
    <t>Amortización de bienes entregados en comodato</t>
  </si>
  <si>
    <t>S5333</t>
  </si>
  <si>
    <t>S539505</t>
  </si>
  <si>
    <t>S539510</t>
  </si>
  <si>
    <t>Demandas por incumplimientos de contrato</t>
  </si>
  <si>
    <t>S539530</t>
  </si>
  <si>
    <t>Constitución de garantías</t>
  </si>
  <si>
    <t>S539515</t>
  </si>
  <si>
    <t>S539520</t>
  </si>
  <si>
    <t>S539525</t>
  </si>
  <si>
    <t>G530513018</t>
  </si>
  <si>
    <t>Int Obligac x arrendamto - Intangibles</t>
  </si>
  <si>
    <t>G530513020</t>
  </si>
  <si>
    <t>Int Obligac x arrendamto - Maquinaria y equipo</t>
  </si>
  <si>
    <t>G530513024</t>
  </si>
  <si>
    <t>Int Obligac x arrendamto - Equipo de oficina</t>
  </si>
  <si>
    <t>G530513028</t>
  </si>
  <si>
    <t>Int Obligac x arrendamto - Eq Computo-Comunicación</t>
  </si>
  <si>
    <t>G530513040</t>
  </si>
  <si>
    <t>Int Obligac x arrendamto - Flota-Equipo Transporte</t>
  </si>
  <si>
    <t>G530515000</t>
  </si>
  <si>
    <t>G530520000</t>
  </si>
  <si>
    <t>G530525000</t>
  </si>
  <si>
    <t>G530535000</t>
  </si>
  <si>
    <t>G530540000</t>
  </si>
  <si>
    <t>Gastos manejo y emisión de bonos</t>
  </si>
  <si>
    <t>G530545000</t>
  </si>
  <si>
    <t>Prima amortizada</t>
  </si>
  <si>
    <t>G530595000</t>
  </si>
  <si>
    <t>G530596000</t>
  </si>
  <si>
    <t>G530598000</t>
  </si>
  <si>
    <t>Contribución 4 x mil</t>
  </si>
  <si>
    <t>G531005000</t>
  </si>
  <si>
    <t>G530595003</t>
  </si>
  <si>
    <t>Financieros Otros - Pérdida en operaciones forward y similar</t>
  </si>
  <si>
    <t>G530595010</t>
  </si>
  <si>
    <t>Financieros Otros - contribución 4 x mil</t>
  </si>
  <si>
    <t>G530595015</t>
  </si>
  <si>
    <t>Financieros Otros - Provisiones de gastos financieros</t>
  </si>
  <si>
    <t>G530595095</t>
  </si>
  <si>
    <t>Financieros Otros - Diversos</t>
  </si>
  <si>
    <t>G531010000</t>
  </si>
  <si>
    <t>Venta de cartera</t>
  </si>
  <si>
    <t>G531013000</t>
  </si>
  <si>
    <t>Pérdida en retiro de derechos de uso</t>
  </si>
  <si>
    <t>S531005</t>
  </si>
  <si>
    <t>Pérdida en venta de inversiones</t>
  </si>
  <si>
    <t>S531010</t>
  </si>
  <si>
    <t>Pérdida en venta de cartera</t>
  </si>
  <si>
    <t>S531013</t>
  </si>
  <si>
    <t>Pérdida en retiro derechos de uso</t>
  </si>
  <si>
    <t>S531015</t>
  </si>
  <si>
    <t>Pérdida en venta de propiedades, planta y equipo</t>
  </si>
  <si>
    <t>S531020</t>
  </si>
  <si>
    <t>Pérdida en venta de intangibles</t>
  </si>
  <si>
    <t>S531025</t>
  </si>
  <si>
    <t>Pérdida en venta de otros activos</t>
  </si>
  <si>
    <t>S531030</t>
  </si>
  <si>
    <t>Pérdida en retiro propiedades, planta y equipo</t>
  </si>
  <si>
    <t>S531035</t>
  </si>
  <si>
    <t>Pérdida en retiro de otros activos</t>
  </si>
  <si>
    <t>S531040</t>
  </si>
  <si>
    <t>prédidas por siniestros</t>
  </si>
  <si>
    <t>S531096</t>
  </si>
  <si>
    <t>Pérdida en liquidación de inversiones</t>
  </si>
  <si>
    <t>G531015000</t>
  </si>
  <si>
    <t>Venta de propiedades, planta y equipo</t>
  </si>
  <si>
    <t>G531020000</t>
  </si>
  <si>
    <t>Venta de intangibles</t>
  </si>
  <si>
    <t>G531025000</t>
  </si>
  <si>
    <t>Venta de otros activos</t>
  </si>
  <si>
    <t>G531030000</t>
  </si>
  <si>
    <t>Retiro de propiedades, planta y equipo</t>
  </si>
  <si>
    <t>G531035000</t>
  </si>
  <si>
    <t>Retiro de otros activos</t>
  </si>
  <si>
    <t>G531040000</t>
  </si>
  <si>
    <t>Pérdidas por siniestros</t>
  </si>
  <si>
    <t>G531096000</t>
  </si>
  <si>
    <t>G531305000</t>
  </si>
  <si>
    <t>G531310000</t>
  </si>
  <si>
    <t>G531505000</t>
  </si>
  <si>
    <t>Costas y procesos judiciales</t>
  </si>
  <si>
    <t>S531305</t>
  </si>
  <si>
    <t>S531310</t>
  </si>
  <si>
    <t>G531510000</t>
  </si>
  <si>
    <t>Actividades culturales y cívicas</t>
  </si>
  <si>
    <t>G531515000</t>
  </si>
  <si>
    <t>Costos y gastos de ejercicios anteriores</t>
  </si>
  <si>
    <t>S531505</t>
  </si>
  <si>
    <t>S531510</t>
  </si>
  <si>
    <t>Actividades culturales y cóvicas</t>
  </si>
  <si>
    <t>S531595</t>
  </si>
  <si>
    <t>Otros gastos extraordinarios</t>
  </si>
  <si>
    <t>S531522</t>
  </si>
  <si>
    <t>S531520</t>
  </si>
  <si>
    <t>Impuestos asumidos - Otros</t>
  </si>
  <si>
    <t>G531520000</t>
  </si>
  <si>
    <t>Impuestos asumidos (diferentes de patrimonio)</t>
  </si>
  <si>
    <t>G531522000</t>
  </si>
  <si>
    <t>G531595000</t>
  </si>
  <si>
    <t>G531520010</t>
  </si>
  <si>
    <t>Impuesto De patrimonio</t>
  </si>
  <si>
    <t>G533384000</t>
  </si>
  <si>
    <t>G539505000</t>
  </si>
  <si>
    <t>G539510000</t>
  </si>
  <si>
    <t>Demandas por incumplimiento de contratos</t>
  </si>
  <si>
    <t>G539515000</t>
  </si>
  <si>
    <t>G539520000</t>
  </si>
  <si>
    <t>G539525000</t>
  </si>
  <si>
    <t>G539530000</t>
  </si>
  <si>
    <t>G539535000</t>
  </si>
  <si>
    <t>G539537000</t>
  </si>
  <si>
    <t>G539581000</t>
  </si>
  <si>
    <t>G540505000</t>
  </si>
  <si>
    <t>G540505003</t>
  </si>
  <si>
    <t>Impto renta/complementarios-Otras vigencias</t>
  </si>
  <si>
    <t>G540510000</t>
  </si>
  <si>
    <t>G540515000</t>
  </si>
  <si>
    <t>G540505005</t>
  </si>
  <si>
    <t>G610505000</t>
  </si>
  <si>
    <t>De bienes producidos por la empresa</t>
  </si>
  <si>
    <t>S517015</t>
  </si>
  <si>
    <t>Pérdida operaciones Derivados, forward, coberturas y simil</t>
  </si>
  <si>
    <t>S530505</t>
  </si>
  <si>
    <t>Financieros - Gastos bancarios</t>
  </si>
  <si>
    <t>S530515</t>
  </si>
  <si>
    <t>Financieros - Comisiones</t>
  </si>
  <si>
    <t>S530520</t>
  </si>
  <si>
    <t>S530535</t>
  </si>
  <si>
    <t>S530540</t>
  </si>
  <si>
    <t>Financieros - Gastos manejo y emisión de bonos</t>
  </si>
  <si>
    <t>S530545</t>
  </si>
  <si>
    <t>Financieros - Prima amortizada</t>
  </si>
  <si>
    <t>S530595</t>
  </si>
  <si>
    <t>Financieros - Otros</t>
  </si>
  <si>
    <t>S530596</t>
  </si>
  <si>
    <t>S530598</t>
  </si>
  <si>
    <t>S517005</t>
  </si>
  <si>
    <t>G580505000</t>
  </si>
  <si>
    <t>Interós minoritario - Resultados</t>
  </si>
  <si>
    <t>G582005000</t>
  </si>
  <si>
    <t>S61</t>
  </si>
  <si>
    <t>Costos de ventas</t>
  </si>
  <si>
    <t>S7</t>
  </si>
  <si>
    <t>Costos de producción o de operación</t>
  </si>
  <si>
    <t>S619595</t>
  </si>
  <si>
    <t>Ditribucion Gastos</t>
  </si>
  <si>
    <t>S619510</t>
  </si>
  <si>
    <t>S611530</t>
  </si>
  <si>
    <t>De cuentas en participación</t>
  </si>
  <si>
    <t>S611505</t>
  </si>
  <si>
    <t>De valores mobiliarios</t>
  </si>
  <si>
    <t>S611005</t>
  </si>
  <si>
    <t>De servicios prestados por la empresa</t>
  </si>
  <si>
    <t>S610510</t>
  </si>
  <si>
    <t>De bienes no producidos por la empresa o comprados</t>
  </si>
  <si>
    <t>S610505</t>
  </si>
  <si>
    <t>G610510000</t>
  </si>
  <si>
    <t>G611005000</t>
  </si>
  <si>
    <t>G611505000</t>
  </si>
  <si>
    <t>G611530000</t>
  </si>
  <si>
    <t>G619510000</t>
  </si>
  <si>
    <t>Activ conexas-Bonos de carbono</t>
  </si>
  <si>
    <t>G710505000</t>
  </si>
  <si>
    <t>S72</t>
  </si>
  <si>
    <t>Mano de Obra</t>
  </si>
  <si>
    <t>S73</t>
  </si>
  <si>
    <t>Costos indirectos</t>
  </si>
  <si>
    <t>S71</t>
  </si>
  <si>
    <t>S74</t>
  </si>
  <si>
    <t>Contratos de servicios</t>
  </si>
  <si>
    <t>S715905</t>
  </si>
  <si>
    <t>Distribucion de costos de materias primas (CR)</t>
  </si>
  <si>
    <t>S710505</t>
  </si>
  <si>
    <t>G715905000</t>
  </si>
  <si>
    <t>Distribución costos materias primas (CR)</t>
  </si>
  <si>
    <t>G720503000</t>
  </si>
  <si>
    <t>S720503</t>
  </si>
  <si>
    <t>S720506</t>
  </si>
  <si>
    <t>S720515</t>
  </si>
  <si>
    <t>S725905</t>
  </si>
  <si>
    <t>Distribución de costos de mano de obra (CR)</t>
  </si>
  <si>
    <t>S720595</t>
  </si>
  <si>
    <t>S720589</t>
  </si>
  <si>
    <t>S720588</t>
  </si>
  <si>
    <t>S720518</t>
  </si>
  <si>
    <t>S720521</t>
  </si>
  <si>
    <t>S720524</t>
  </si>
  <si>
    <t>S720527</t>
  </si>
  <si>
    <t>S720530</t>
  </si>
  <si>
    <t>cesantías</t>
  </si>
  <si>
    <t>S720533</t>
  </si>
  <si>
    <t>S720536</t>
  </si>
  <si>
    <t>S720539</t>
  </si>
  <si>
    <t>S720542</t>
  </si>
  <si>
    <t>S720545</t>
  </si>
  <si>
    <t>S720548</t>
  </si>
  <si>
    <t>S720551</t>
  </si>
  <si>
    <t>S720554</t>
  </si>
  <si>
    <t>S720557</t>
  </si>
  <si>
    <t>S720558</t>
  </si>
  <si>
    <t>Amortización cólculo actuarial pensiones de jubilación</t>
  </si>
  <si>
    <t>S720559</t>
  </si>
  <si>
    <t>S720560</t>
  </si>
  <si>
    <t>S720563</t>
  </si>
  <si>
    <t>S720566</t>
  </si>
  <si>
    <t>S720568</t>
  </si>
  <si>
    <t>S720569</t>
  </si>
  <si>
    <t>S720570</t>
  </si>
  <si>
    <t>S720572</t>
  </si>
  <si>
    <t>S720575</t>
  </si>
  <si>
    <t>S720586</t>
  </si>
  <si>
    <t>S720585</t>
  </si>
  <si>
    <t>S720584</t>
  </si>
  <si>
    <t>S720581</t>
  </si>
  <si>
    <t>S720578</t>
  </si>
  <si>
    <t>G720506000</t>
  </si>
  <si>
    <t>G720515000</t>
  </si>
  <si>
    <t>G720518000</t>
  </si>
  <si>
    <t>G720521000</t>
  </si>
  <si>
    <t>G720524000</t>
  </si>
  <si>
    <t>G720527000</t>
  </si>
  <si>
    <t>G720530000</t>
  </si>
  <si>
    <t>G720533000</t>
  </si>
  <si>
    <t>G720536000</t>
  </si>
  <si>
    <t>G720539000</t>
  </si>
  <si>
    <t>G720542000</t>
  </si>
  <si>
    <t>G720545000</t>
  </si>
  <si>
    <t>G720548000</t>
  </si>
  <si>
    <t>G720551000</t>
  </si>
  <si>
    <t>G720554000</t>
  </si>
  <si>
    <t>G720557000</t>
  </si>
  <si>
    <t>G720558000</t>
  </si>
  <si>
    <t>G720559000</t>
  </si>
  <si>
    <t>G720560000</t>
  </si>
  <si>
    <t>G720563000</t>
  </si>
  <si>
    <t>G720566000</t>
  </si>
  <si>
    <t>G720568000</t>
  </si>
  <si>
    <t>G720569000</t>
  </si>
  <si>
    <t>G720570000</t>
  </si>
  <si>
    <t>G720572000</t>
  </si>
  <si>
    <t>G720575000</t>
  </si>
  <si>
    <t>G720578000</t>
  </si>
  <si>
    <t>G720581000</t>
  </si>
  <si>
    <t>G720584000</t>
  </si>
  <si>
    <t>G720585000</t>
  </si>
  <si>
    <t>G720586000</t>
  </si>
  <si>
    <t>G720588000</t>
  </si>
  <si>
    <t>G720589000</t>
  </si>
  <si>
    <t>G720595000</t>
  </si>
  <si>
    <t>G725905000</t>
  </si>
  <si>
    <t>Distribución costos mano de obra directa (CR)</t>
  </si>
  <si>
    <t>G730500000</t>
  </si>
  <si>
    <t>Mano de obra indirecta</t>
  </si>
  <si>
    <t>S739555</t>
  </si>
  <si>
    <t>S739550</t>
  </si>
  <si>
    <t>S739545</t>
  </si>
  <si>
    <t>S739540</t>
  </si>
  <si>
    <t>S739535</t>
  </si>
  <si>
    <t>S739530</t>
  </si>
  <si>
    <t>S739560</t>
  </si>
  <si>
    <t>S739565</t>
  </si>
  <si>
    <t>S7335</t>
  </si>
  <si>
    <t>S739570</t>
  </si>
  <si>
    <t>S739576</t>
  </si>
  <si>
    <t>S739577</t>
  </si>
  <si>
    <t>S739525</t>
  </si>
  <si>
    <t>S739520</t>
  </si>
  <si>
    <t>S739510</t>
  </si>
  <si>
    <t>S739505</t>
  </si>
  <si>
    <t>Diversos - Comisiones</t>
  </si>
  <si>
    <t>S7365</t>
  </si>
  <si>
    <t>S7361</t>
  </si>
  <si>
    <t>Deterioro</t>
  </si>
  <si>
    <t>S736013</t>
  </si>
  <si>
    <t>S7360</t>
  </si>
  <si>
    <t>S7345</t>
  </si>
  <si>
    <t>Mantenimiento y Reparación</t>
  </si>
  <si>
    <t>S7350</t>
  </si>
  <si>
    <t>S735905</t>
  </si>
  <si>
    <t>Distribucion de costos indirectos (CR)</t>
  </si>
  <si>
    <t>S7340</t>
  </si>
  <si>
    <t>S7355</t>
  </si>
  <si>
    <t>Gastos de Viaje</t>
  </si>
  <si>
    <t>S7305</t>
  </si>
  <si>
    <t>S7310</t>
  </si>
  <si>
    <t>S7315</t>
  </si>
  <si>
    <t>S739995</t>
  </si>
  <si>
    <t>S739915</t>
  </si>
  <si>
    <t>S739914</t>
  </si>
  <si>
    <t>S739595</t>
  </si>
  <si>
    <t>S7325</t>
  </si>
  <si>
    <t>S739593</t>
  </si>
  <si>
    <t>Diversos - Impuestos asumidos diversos</t>
  </si>
  <si>
    <t>S739592</t>
  </si>
  <si>
    <t>Diversos - Elementos de arte</t>
  </si>
  <si>
    <t>S7330</t>
  </si>
  <si>
    <t>S739591</t>
  </si>
  <si>
    <t>Diversos - Frecuencias UHF - VHF</t>
  </si>
  <si>
    <t>S739590</t>
  </si>
  <si>
    <t>Diversos - Bienes entregados en dación de pago</t>
  </si>
  <si>
    <t>S739589</t>
  </si>
  <si>
    <t>Diversos - Derechos de autor y musicalización</t>
  </si>
  <si>
    <t>S739588</t>
  </si>
  <si>
    <t>Diversos - Gasto y/o prédidas en cuentas en particpación</t>
  </si>
  <si>
    <t>S739587</t>
  </si>
  <si>
    <t>S739586</t>
  </si>
  <si>
    <t>S739585</t>
  </si>
  <si>
    <t>S739584</t>
  </si>
  <si>
    <t>S739583</t>
  </si>
  <si>
    <t>Diversos - Obsequios a concursantes</t>
  </si>
  <si>
    <t>S739582</t>
  </si>
  <si>
    <t>S739580</t>
  </si>
  <si>
    <t>S739578</t>
  </si>
  <si>
    <t>S730500</t>
  </si>
  <si>
    <t>G731005000</t>
  </si>
  <si>
    <t>S731010</t>
  </si>
  <si>
    <t>S731015</t>
  </si>
  <si>
    <t>S731005</t>
  </si>
  <si>
    <t>S731020</t>
  </si>
  <si>
    <t>S731025</t>
  </si>
  <si>
    <t>S731030</t>
  </si>
  <si>
    <t>S731035</t>
  </si>
  <si>
    <t>S731095</t>
  </si>
  <si>
    <t>S731096</t>
  </si>
  <si>
    <t>G731010000</t>
  </si>
  <si>
    <t>G731015000</t>
  </si>
  <si>
    <t>G731020000</t>
  </si>
  <si>
    <t>G731025000</t>
  </si>
  <si>
    <t>G731030000</t>
  </si>
  <si>
    <t>G731035000</t>
  </si>
  <si>
    <t>G731095000</t>
  </si>
  <si>
    <t>G731096000</t>
  </si>
  <si>
    <t>G731505000</t>
  </si>
  <si>
    <t>S731505</t>
  </si>
  <si>
    <t>S731510</t>
  </si>
  <si>
    <t>S731515</t>
  </si>
  <si>
    <t>S731525</t>
  </si>
  <si>
    <t>S731540</t>
  </si>
  <si>
    <t>S731545</t>
  </si>
  <si>
    <t>S731570</t>
  </si>
  <si>
    <t>S731595</t>
  </si>
  <si>
    <t>G731510000</t>
  </si>
  <si>
    <t>G731515000</t>
  </si>
  <si>
    <t>G731525000</t>
  </si>
  <si>
    <t>G731540000</t>
  </si>
  <si>
    <t>G731545000</t>
  </si>
  <si>
    <t>G731570000</t>
  </si>
  <si>
    <t>G731595000</t>
  </si>
  <si>
    <t>G732010000</t>
  </si>
  <si>
    <t>S732050</t>
  </si>
  <si>
    <t>Flota y equipo aereo</t>
  </si>
  <si>
    <t>S732040</t>
  </si>
  <si>
    <t>S732070</t>
  </si>
  <si>
    <t>S732075</t>
  </si>
  <si>
    <t>Locaciones</t>
  </si>
  <si>
    <t>S732080</t>
  </si>
  <si>
    <t>Elementos de arte</t>
  </si>
  <si>
    <t>S732095</t>
  </si>
  <si>
    <t>S732035</t>
  </si>
  <si>
    <t>S732025</t>
  </si>
  <si>
    <t>S732010</t>
  </si>
  <si>
    <t>S732015</t>
  </si>
  <si>
    <t>S732020</t>
  </si>
  <si>
    <t>G732015000</t>
  </si>
  <si>
    <t>G732020000</t>
  </si>
  <si>
    <t>G732025000</t>
  </si>
  <si>
    <t>G732035000</t>
  </si>
  <si>
    <t>G732040000</t>
  </si>
  <si>
    <t>G732050000</t>
  </si>
  <si>
    <t>G732070000</t>
  </si>
  <si>
    <t>G732075000</t>
  </si>
  <si>
    <t>G732080000</t>
  </si>
  <si>
    <t>G732095000</t>
  </si>
  <si>
    <t>G732505000</t>
  </si>
  <si>
    <t>S732505</t>
  </si>
  <si>
    <t>S732510</t>
  </si>
  <si>
    <t>G732510000</t>
  </si>
  <si>
    <t>G733005000</t>
  </si>
  <si>
    <t>S733095</t>
  </si>
  <si>
    <t>S733085</t>
  </si>
  <si>
    <t>S733080</t>
  </si>
  <si>
    <t>S733075</t>
  </si>
  <si>
    <t>S733070</t>
  </si>
  <si>
    <t>S733060</t>
  </si>
  <si>
    <t>S733045</t>
  </si>
  <si>
    <t>S733040</t>
  </si>
  <si>
    <t>S733035</t>
  </si>
  <si>
    <t>S733030</t>
  </si>
  <si>
    <t>S733025</t>
  </si>
  <si>
    <t>S733020</t>
  </si>
  <si>
    <t>S733015</t>
  </si>
  <si>
    <t>S733010</t>
  </si>
  <si>
    <t>S733005</t>
  </si>
  <si>
    <t>G733010000</t>
  </si>
  <si>
    <t>G733015000</t>
  </si>
  <si>
    <t>G733020000</t>
  </si>
  <si>
    <t>G733025000</t>
  </si>
  <si>
    <t>G733030000</t>
  </si>
  <si>
    <t>G733035000</t>
  </si>
  <si>
    <t>G733040000</t>
  </si>
  <si>
    <t>G733045000</t>
  </si>
  <si>
    <t>G733060000</t>
  </si>
  <si>
    <t>G733070000</t>
  </si>
  <si>
    <t>G733075000</t>
  </si>
  <si>
    <t>G733080000</t>
  </si>
  <si>
    <t>G733085000</t>
  </si>
  <si>
    <t>G733095000</t>
  </si>
  <si>
    <t>G733505000</t>
  </si>
  <si>
    <t>S733535</t>
  </si>
  <si>
    <t>S733540</t>
  </si>
  <si>
    <t>S733545</t>
  </si>
  <si>
    <t>S733550</t>
  </si>
  <si>
    <t>S733555</t>
  </si>
  <si>
    <t>S733560</t>
  </si>
  <si>
    <t>S733530</t>
  </si>
  <si>
    <t>S733525</t>
  </si>
  <si>
    <t>S733520</t>
  </si>
  <si>
    <t>S733515</t>
  </si>
  <si>
    <t>S733510</t>
  </si>
  <si>
    <t>S733565</t>
  </si>
  <si>
    <t>S733505</t>
  </si>
  <si>
    <t>S733595</t>
  </si>
  <si>
    <t>S733573</t>
  </si>
  <si>
    <t>S733571</t>
  </si>
  <si>
    <t>S733569</t>
  </si>
  <si>
    <t>S733567</t>
  </si>
  <si>
    <t>G733510000</t>
  </si>
  <si>
    <t>G733515000</t>
  </si>
  <si>
    <t>G733520000</t>
  </si>
  <si>
    <t>G733525000</t>
  </si>
  <si>
    <t>G733530000</t>
  </si>
  <si>
    <t>G733535000</t>
  </si>
  <si>
    <t>G733540000</t>
  </si>
  <si>
    <t>G733545000</t>
  </si>
  <si>
    <t>G733550000</t>
  </si>
  <si>
    <t>G733555000</t>
  </si>
  <si>
    <t>G733560000</t>
  </si>
  <si>
    <t>G733565000</t>
  </si>
  <si>
    <t>G733567000</t>
  </si>
  <si>
    <t>G733569000</t>
  </si>
  <si>
    <t>G733571000</t>
  </si>
  <si>
    <t>G733573000</t>
  </si>
  <si>
    <t>G733595000</t>
  </si>
  <si>
    <t>G734005000</t>
  </si>
  <si>
    <t>S734005</t>
  </si>
  <si>
    <t>S734010</t>
  </si>
  <si>
    <t>S734095</t>
  </si>
  <si>
    <t>S734025</t>
  </si>
  <si>
    <t>S734020</t>
  </si>
  <si>
    <t>S734015</t>
  </si>
  <si>
    <t>G734010000</t>
  </si>
  <si>
    <t>G734015000</t>
  </si>
  <si>
    <t>G734020000</t>
  </si>
  <si>
    <t>G734025000</t>
  </si>
  <si>
    <t>G734095000</t>
  </si>
  <si>
    <t>G734505000</t>
  </si>
  <si>
    <t>S734505</t>
  </si>
  <si>
    <t>S734510</t>
  </si>
  <si>
    <t>S734515</t>
  </si>
  <si>
    <t>S734520</t>
  </si>
  <si>
    <t>S734525</t>
  </si>
  <si>
    <t>S734540</t>
  </si>
  <si>
    <t>S734545</t>
  </si>
  <si>
    <t>S734560</t>
  </si>
  <si>
    <t>S734565</t>
  </si>
  <si>
    <t>G734510000</t>
  </si>
  <si>
    <t>G734515000</t>
  </si>
  <si>
    <t>G734520000</t>
  </si>
  <si>
    <t>G734525000</t>
  </si>
  <si>
    <t>G734525016</t>
  </si>
  <si>
    <t>G734540000</t>
  </si>
  <si>
    <t>G734545000</t>
  </si>
  <si>
    <t>G734560000</t>
  </si>
  <si>
    <t>G734565000</t>
  </si>
  <si>
    <t>G735005000</t>
  </si>
  <si>
    <t>S735005</t>
  </si>
  <si>
    <t>S735010</t>
  </si>
  <si>
    <t>S735015</t>
  </si>
  <si>
    <t>S735095</t>
  </si>
  <si>
    <t>G735010000</t>
  </si>
  <si>
    <t>G735015000</t>
  </si>
  <si>
    <t>G735095000</t>
  </si>
  <si>
    <t>G735505000</t>
  </si>
  <si>
    <t>S735520</t>
  </si>
  <si>
    <t>S735505</t>
  </si>
  <si>
    <t>S735510</t>
  </si>
  <si>
    <t>Gastos de viaje pasajes fluviales y/o marítimos</t>
  </si>
  <si>
    <t>S735515</t>
  </si>
  <si>
    <t>S735525</t>
  </si>
  <si>
    <t>S735595</t>
  </si>
  <si>
    <t>G735510000</t>
  </si>
  <si>
    <t>G735515000</t>
  </si>
  <si>
    <t>G735520000</t>
  </si>
  <si>
    <t>G735525000</t>
  </si>
  <si>
    <t>G735595000</t>
  </si>
  <si>
    <t>G735905000</t>
  </si>
  <si>
    <t>Distribución costos indirectos (CR)</t>
  </si>
  <si>
    <t>G736005000</t>
  </si>
  <si>
    <t>S736060</t>
  </si>
  <si>
    <t>S736055</t>
  </si>
  <si>
    <t>S736040</t>
  </si>
  <si>
    <t>S736035</t>
  </si>
  <si>
    <t>S736020</t>
  </si>
  <si>
    <t>S736015</t>
  </si>
  <si>
    <t>S736010</t>
  </si>
  <si>
    <t>S736005</t>
  </si>
  <si>
    <t>G736010000</t>
  </si>
  <si>
    <t>S73601318</t>
  </si>
  <si>
    <t>S73601320</t>
  </si>
  <si>
    <t>S73601335</t>
  </si>
  <si>
    <t>S73601315</t>
  </si>
  <si>
    <t>S73601310</t>
  </si>
  <si>
    <t>S73601305</t>
  </si>
  <si>
    <t>S73601304</t>
  </si>
  <si>
    <t>G736015000</t>
  </si>
  <si>
    <t>G736020000</t>
  </si>
  <si>
    <t>G736035000</t>
  </si>
  <si>
    <t>G736040000</t>
  </si>
  <si>
    <t>G736055000</t>
  </si>
  <si>
    <t>G736060000</t>
  </si>
  <si>
    <t>G736104000</t>
  </si>
  <si>
    <t>S736104</t>
  </si>
  <si>
    <t>S736105</t>
  </si>
  <si>
    <t>S736110</t>
  </si>
  <si>
    <t>S736116</t>
  </si>
  <si>
    <t>S736128</t>
  </si>
  <si>
    <t>NIIF</t>
  </si>
  <si>
    <t>S736135</t>
  </si>
  <si>
    <t>G736105000</t>
  </si>
  <si>
    <t>G736110000</t>
  </si>
  <si>
    <t>G736116000</t>
  </si>
  <si>
    <t>G736128000</t>
  </si>
  <si>
    <t>G736135000</t>
  </si>
  <si>
    <t>G736504000</t>
  </si>
  <si>
    <t>S736595</t>
  </si>
  <si>
    <t>S736520</t>
  </si>
  <si>
    <t>S736515</t>
  </si>
  <si>
    <t>S736510</t>
  </si>
  <si>
    <t>S736504</t>
  </si>
  <si>
    <t>G736510000</t>
  </si>
  <si>
    <t>G736515000</t>
  </si>
  <si>
    <t>G736520000</t>
  </si>
  <si>
    <t>G736595000</t>
  </si>
  <si>
    <t>G739505000</t>
  </si>
  <si>
    <t>G739510000</t>
  </si>
  <si>
    <t>G739520000</t>
  </si>
  <si>
    <t>G739525000</t>
  </si>
  <si>
    <t>G739530000</t>
  </si>
  <si>
    <t>G739535000</t>
  </si>
  <si>
    <t>G739540000</t>
  </si>
  <si>
    <t>G739545000</t>
  </si>
  <si>
    <t>G739550000</t>
  </si>
  <si>
    <t>G739555000</t>
  </si>
  <si>
    <t>G739560000</t>
  </si>
  <si>
    <t>G739565000</t>
  </si>
  <si>
    <t>G739570000</t>
  </si>
  <si>
    <t>G739576000</t>
  </si>
  <si>
    <t>G739577000</t>
  </si>
  <si>
    <t>G739578000</t>
  </si>
  <si>
    <t>G739580000</t>
  </si>
  <si>
    <t>G739582000</t>
  </si>
  <si>
    <t>G739583000</t>
  </si>
  <si>
    <t>Diversos - obsequios a concursantes</t>
  </si>
  <si>
    <t>G739584000</t>
  </si>
  <si>
    <t>G739585000</t>
  </si>
  <si>
    <t>G739586000</t>
  </si>
  <si>
    <t>G739587000</t>
  </si>
  <si>
    <t>G739588000</t>
  </si>
  <si>
    <t>Diversos - Gasto y/o prédidas en cuentas en partic</t>
  </si>
  <si>
    <t>G739589000</t>
  </si>
  <si>
    <t>G739590000</t>
  </si>
  <si>
    <t>G739591000</t>
  </si>
  <si>
    <t>G739592000</t>
  </si>
  <si>
    <t>G739593000</t>
  </si>
  <si>
    <t>G739595000</t>
  </si>
  <si>
    <t>G739595099</t>
  </si>
  <si>
    <t>Refocosta - Distribución gastos</t>
  </si>
  <si>
    <t>G739595095</t>
  </si>
  <si>
    <t>G739595022</t>
  </si>
  <si>
    <t>G739595020</t>
  </si>
  <si>
    <t>G739595018</t>
  </si>
  <si>
    <t>G739595016</t>
  </si>
  <si>
    <t>G739595013</t>
  </si>
  <si>
    <t>G739595012</t>
  </si>
  <si>
    <t>G739595008</t>
  </si>
  <si>
    <t>G739595003</t>
  </si>
  <si>
    <t>G739914000</t>
  </si>
  <si>
    <t>G739915000</t>
  </si>
  <si>
    <t>G739995000</t>
  </si>
  <si>
    <t>S740505</t>
  </si>
  <si>
    <t>S7435</t>
  </si>
  <si>
    <t>S745905</t>
  </si>
  <si>
    <t>Distribucion de costos contratos de servicios (CR)</t>
  </si>
  <si>
    <t>G740505000</t>
  </si>
  <si>
    <t>S743552</t>
  </si>
  <si>
    <t>Cargue y descargue</t>
  </si>
  <si>
    <t>G743552000</t>
  </si>
  <si>
    <t>Servicio de cargue y descargue</t>
  </si>
  <si>
    <t>G745905000</t>
  </si>
  <si>
    <t>Distribución costos contratos de servicios (CR)</t>
  </si>
  <si>
    <t>S40</t>
  </si>
  <si>
    <t>S45</t>
  </si>
  <si>
    <t>S40E</t>
  </si>
  <si>
    <t>S41</t>
  </si>
  <si>
    <t>S42</t>
  </si>
  <si>
    <t>S420</t>
  </si>
  <si>
    <t>S43</t>
  </si>
  <si>
    <t>Ganancia (pérdida) por actividades de operacion</t>
  </si>
  <si>
    <t>S570</t>
  </si>
  <si>
    <t>S515</t>
  </si>
  <si>
    <t>S510</t>
  </si>
  <si>
    <t>S44</t>
  </si>
  <si>
    <t>Ganancia (pérdida) Bruta</t>
  </si>
  <si>
    <t>S530</t>
  </si>
  <si>
    <t>S600</t>
  </si>
  <si>
    <t>S49505</t>
  </si>
  <si>
    <t>Gananc (pérd), atribuible a participaciones no controladoras</t>
  </si>
  <si>
    <t>S495E</t>
  </si>
  <si>
    <t>Ganancia/pérdida atribuido a propietarios de la controladora</t>
  </si>
  <si>
    <t>VERSION:</t>
  </si>
  <si>
    <t>REAL_01</t>
  </si>
  <si>
    <t>REAL_VF</t>
  </si>
  <si>
    <t>HOMOLOGACION</t>
  </si>
  <si>
    <t>REAL_COP</t>
  </si>
  <si>
    <t>PRUEBAS</t>
  </si>
  <si>
    <t>GRUPO CARACOL</t>
  </si>
  <si>
    <t>GCARACOL</t>
  </si>
  <si>
    <t>GRUPO INV-GABES</t>
  </si>
  <si>
    <t>GINVERNAC_GABES</t>
  </si>
  <si>
    <t>GRUPO SUPPLA</t>
  </si>
  <si>
    <t>GSUPPLA</t>
  </si>
  <si>
    <t>GRUPO VALOREM + OTROS 4</t>
  </si>
  <si>
    <t>GVAL-OTROS 4</t>
  </si>
  <si>
    <t>GRUPO VALOREM</t>
  </si>
  <si>
    <t>GVALOREM</t>
  </si>
  <si>
    <t>GRUPO VALOREM 2012</t>
  </si>
  <si>
    <t>GVAL_2012</t>
  </si>
  <si>
    <t>GRUPO N.A.</t>
  </si>
  <si>
    <t>G_NONE</t>
  </si>
  <si>
    <t>11701004_C11701002</t>
  </si>
  <si>
    <t>12803002_C12801002</t>
  </si>
  <si>
    <t>12803002_C12801003</t>
  </si>
  <si>
    <t>PrimeValueService S.A.S.</t>
  </si>
  <si>
    <t>San Francisco Investments S.A.S.</t>
  </si>
  <si>
    <t>PrimeOther S.A.S.</t>
  </si>
  <si>
    <t>12000000_C12001000</t>
  </si>
  <si>
    <t>12000000_C12001001</t>
  </si>
  <si>
    <t>13509002_C12912001</t>
  </si>
  <si>
    <t>13509003_C12912001</t>
  </si>
  <si>
    <t>PrimeFinanzas S.A.S.</t>
  </si>
  <si>
    <t>900000</t>
  </si>
  <si>
    <t>900002</t>
  </si>
  <si>
    <t>900003</t>
  </si>
  <si>
    <t>900004</t>
  </si>
  <si>
    <t>900005</t>
  </si>
  <si>
    <t>900006</t>
  </si>
  <si>
    <t>900007</t>
  </si>
  <si>
    <t>900008</t>
  </si>
  <si>
    <t>900001</t>
  </si>
  <si>
    <t>12501001_C12501002</t>
  </si>
  <si>
    <t>12501002_C12501002</t>
  </si>
  <si>
    <t>12501003_C12501002</t>
  </si>
  <si>
    <t>NUM_NOTAS</t>
  </si>
  <si>
    <t>CD_VERSION</t>
  </si>
  <si>
    <t>PAIS</t>
  </si>
  <si>
    <t>SUBGRUPO</t>
  </si>
  <si>
    <t>Agencia de Aduana Suppla S.A.S. Nivel 1</t>
  </si>
  <si>
    <t>Miembros del mismo grupo</t>
  </si>
  <si>
    <t>Caracol America Productions LLC</t>
  </si>
  <si>
    <t>Estados Unidos</t>
  </si>
  <si>
    <t>Caracol TV America Corp.</t>
  </si>
  <si>
    <t>Caracol Television Inc.</t>
  </si>
  <si>
    <t>Fideicomiso P.A. Inmueble Getsemaní</t>
  </si>
  <si>
    <t>Fideicomiso P.A. San Francisco Hotel</t>
  </si>
  <si>
    <t>Invernac &amp; Cia. S.A.S.</t>
  </si>
  <si>
    <t>Koba Internacional Group (Panamá)</t>
  </si>
  <si>
    <t>Mambo LLC.</t>
  </si>
  <si>
    <t>SPV Villanueva S.A.S.</t>
  </si>
  <si>
    <t>Serviceuticos Ltda.</t>
  </si>
  <si>
    <t>Suppla Cargo S.A.S.</t>
  </si>
  <si>
    <t>Suppla S.A.</t>
  </si>
  <si>
    <t xml:space="preserve">Valorem S.A.S. </t>
  </si>
  <si>
    <t>Otras compañias del grupo colinsa</t>
  </si>
  <si>
    <t>USA</t>
  </si>
  <si>
    <t>Santo Domingo &amp; Cia. S. en C.</t>
  </si>
  <si>
    <t>CGPE VI L.P. USA 419 Accionista</t>
  </si>
  <si>
    <t>Cipef VI Kuma Spain S.L.</t>
  </si>
  <si>
    <t>Forestal Monterrey</t>
  </si>
  <si>
    <t>Harinera del Valle S.A.</t>
  </si>
  <si>
    <t>Jhon Restrepo A. &amp; Cia. S.A.</t>
  </si>
  <si>
    <t>Nils Brandes</t>
  </si>
  <si>
    <t>Prime Participations L.L.</t>
  </si>
  <si>
    <t>Equipamientos Urbanos Nacionales de Colombia S.A.</t>
  </si>
  <si>
    <t>Gases del Caribe S.A.</t>
  </si>
  <si>
    <t>La Heroica Investment S.A.S.</t>
  </si>
  <si>
    <t>Paute Facil.Com S.A.S.</t>
  </si>
  <si>
    <t>Playa Blanca Barú S.A.</t>
  </si>
  <si>
    <t>Miembros de junta directiva</t>
  </si>
  <si>
    <t>ICCK S.A.S. - En liquidación</t>
  </si>
  <si>
    <t>Miembros del mismo grupo (No consolidan)</t>
  </si>
  <si>
    <t>Sugranel S.A.S. - En Liquidación</t>
  </si>
  <si>
    <t>Biofilm S.A.</t>
  </si>
  <si>
    <t>Medios y Servicios Integrados Ltda</t>
  </si>
  <si>
    <t>Verticales S.A.S.</t>
  </si>
  <si>
    <t>Consorcios Canales Privados</t>
  </si>
  <si>
    <t>Operación Conjunta</t>
  </si>
  <si>
    <t>Unión Temporal TQM</t>
  </si>
  <si>
    <t>Unión Temporal Unitalcargo</t>
  </si>
  <si>
    <t>Unión temporal UGD</t>
  </si>
  <si>
    <t>Otras Compañías del Grupo Colinsa</t>
  </si>
  <si>
    <t>Subtotal miembos del mismo grupo (Consolidan)</t>
  </si>
  <si>
    <t>Subtotal accionistas</t>
  </si>
  <si>
    <t>Subtotal asociadas</t>
  </si>
  <si>
    <t>Subtotal miembros de Junta Directiva</t>
  </si>
  <si>
    <t>Subtotal miembos del mismo grupo (No consolidan)</t>
  </si>
  <si>
    <t>Subtotal negocios conjuntos</t>
  </si>
  <si>
    <t>Subtotal operaciones conjuntas</t>
  </si>
  <si>
    <t xml:space="preserve"> Colombia</t>
  </si>
  <si>
    <t>C11601005</t>
  </si>
  <si>
    <t>11602037</t>
  </si>
  <si>
    <t>11602049</t>
  </si>
  <si>
    <t>11602057</t>
  </si>
  <si>
    <t>11602064</t>
  </si>
  <si>
    <t>11602068</t>
  </si>
  <si>
    <t>11602072</t>
  </si>
  <si>
    <t>11602076</t>
  </si>
  <si>
    <t>11602081</t>
  </si>
  <si>
    <t>11602082</t>
  </si>
  <si>
    <t>11602001</t>
  </si>
  <si>
    <t>Entidad 1</t>
  </si>
  <si>
    <t>11602002</t>
  </si>
  <si>
    <t>Entidad 2</t>
  </si>
  <si>
    <t>11602003</t>
  </si>
  <si>
    <t>Entidad 3</t>
  </si>
  <si>
    <t>11602004</t>
  </si>
  <si>
    <t>Entidad 4</t>
  </si>
  <si>
    <t>11602005</t>
  </si>
  <si>
    <t>Entidad 5</t>
  </si>
  <si>
    <t>11602006</t>
  </si>
  <si>
    <t>Entidad 6</t>
  </si>
  <si>
    <t>11602007</t>
  </si>
  <si>
    <t>Entidad 7</t>
  </si>
  <si>
    <t>11602008</t>
  </si>
  <si>
    <t>Entidad 8</t>
  </si>
  <si>
    <t>11602009</t>
  </si>
  <si>
    <t>Entidad 9</t>
  </si>
  <si>
    <t>11602010</t>
  </si>
  <si>
    <t>Entidad 10</t>
  </si>
  <si>
    <t>11602011</t>
  </si>
  <si>
    <t>Entidad 11</t>
  </si>
  <si>
    <t>11602012</t>
  </si>
  <si>
    <t>Entidad 12</t>
  </si>
  <si>
    <t>11602013</t>
  </si>
  <si>
    <t>Entidad 13</t>
  </si>
  <si>
    <t>11602014</t>
  </si>
  <si>
    <t>Entidad 14</t>
  </si>
  <si>
    <t>11602015</t>
  </si>
  <si>
    <t>Entidad 15</t>
  </si>
  <si>
    <t>11602016</t>
  </si>
  <si>
    <t>Entidad 16</t>
  </si>
  <si>
    <t>11602017</t>
  </si>
  <si>
    <t>Entidad 17</t>
  </si>
  <si>
    <t>11602018</t>
  </si>
  <si>
    <t>Entidad 18</t>
  </si>
  <si>
    <t>11602019</t>
  </si>
  <si>
    <t>Entidad 19</t>
  </si>
  <si>
    <t>11602020</t>
  </si>
  <si>
    <t>Entidad 20</t>
  </si>
  <si>
    <t>11602021</t>
  </si>
  <si>
    <t>Entidad 21</t>
  </si>
  <si>
    <t>11602022</t>
  </si>
  <si>
    <t>Entidad 22</t>
  </si>
  <si>
    <t>11602023</t>
  </si>
  <si>
    <t>Entidad 23</t>
  </si>
  <si>
    <t>11602024</t>
  </si>
  <si>
    <t>Entidad 24</t>
  </si>
  <si>
    <t>11602025</t>
  </si>
  <si>
    <t>Entidad 25</t>
  </si>
  <si>
    <t>11602026</t>
  </si>
  <si>
    <t>Entidad 26</t>
  </si>
  <si>
    <t>11602027</t>
  </si>
  <si>
    <t>Entidad 27</t>
  </si>
  <si>
    <t>11602028</t>
  </si>
  <si>
    <t>Entidad 28</t>
  </si>
  <si>
    <t>11602029</t>
  </si>
  <si>
    <t>Entidad 29</t>
  </si>
  <si>
    <t>11602030</t>
  </si>
  <si>
    <t>Entidad 30</t>
  </si>
  <si>
    <t>11602031</t>
  </si>
  <si>
    <t>Entidad 31</t>
  </si>
  <si>
    <t>11602032</t>
  </si>
  <si>
    <t>Entidad 32</t>
  </si>
  <si>
    <t>11602033</t>
  </si>
  <si>
    <t>Entidad 33</t>
  </si>
  <si>
    <t>11602034</t>
  </si>
  <si>
    <t>Entidad 34</t>
  </si>
  <si>
    <t>11602035</t>
  </si>
  <si>
    <t>Entidad 35</t>
  </si>
  <si>
    <t>11602036</t>
  </si>
  <si>
    <t>Entidad 36</t>
  </si>
  <si>
    <t>11602038</t>
  </si>
  <si>
    <t>Entidad 37</t>
  </si>
  <si>
    <t>11602039</t>
  </si>
  <si>
    <t>Entidad 38</t>
  </si>
  <si>
    <t>11602040</t>
  </si>
  <si>
    <t>Entidad 39</t>
  </si>
  <si>
    <t>11602041</t>
  </si>
  <si>
    <t>Entidad 40</t>
  </si>
  <si>
    <t>11602042</t>
  </si>
  <si>
    <t>Entidad 41</t>
  </si>
  <si>
    <t>11602043</t>
  </si>
  <si>
    <t>Entidad 42</t>
  </si>
  <si>
    <t>11602044</t>
  </si>
  <si>
    <t>Entidad 43</t>
  </si>
  <si>
    <t>11602045</t>
  </si>
  <si>
    <t>Entidad 44</t>
  </si>
  <si>
    <t>11602046</t>
  </si>
  <si>
    <t>Entidad 45</t>
  </si>
  <si>
    <t>11602047</t>
  </si>
  <si>
    <t>Entidad 46</t>
  </si>
  <si>
    <t>11602048</t>
  </si>
  <si>
    <t>Entidad 47</t>
  </si>
  <si>
    <t>11602050</t>
  </si>
  <si>
    <t>Entidad 48</t>
  </si>
  <si>
    <t>11602051</t>
  </si>
  <si>
    <t>Entidad 49</t>
  </si>
  <si>
    <t>11602052</t>
  </si>
  <si>
    <t>Entidad 50</t>
  </si>
  <si>
    <t>11602053</t>
  </si>
  <si>
    <t>Entidad 51</t>
  </si>
  <si>
    <t>11602054</t>
  </si>
  <si>
    <t>Entidad 52</t>
  </si>
  <si>
    <t>11602055</t>
  </si>
  <si>
    <t>Entidad 53</t>
  </si>
  <si>
    <t>11602056</t>
  </si>
  <si>
    <t>Entidad 54</t>
  </si>
  <si>
    <t>11602058</t>
  </si>
  <si>
    <t>Entidad 55</t>
  </si>
  <si>
    <t>11602059</t>
  </si>
  <si>
    <t>Entidad 56</t>
  </si>
  <si>
    <t>11602060</t>
  </si>
  <si>
    <t>Entidad 57</t>
  </si>
  <si>
    <t>11602061</t>
  </si>
  <si>
    <t>Entidad 58</t>
  </si>
  <si>
    <t>11602062</t>
  </si>
  <si>
    <t>Entidad 59</t>
  </si>
  <si>
    <t>11602063</t>
  </si>
  <si>
    <t>Entidad 60</t>
  </si>
  <si>
    <t>11602065</t>
  </si>
  <si>
    <t>Entidad 61</t>
  </si>
  <si>
    <t>11602066</t>
  </si>
  <si>
    <t>Entidad 62</t>
  </si>
  <si>
    <t>11602067</t>
  </si>
  <si>
    <t>Entidad 63</t>
  </si>
  <si>
    <t>11602069</t>
  </si>
  <si>
    <t>Entidad 64</t>
  </si>
  <si>
    <t>11602070</t>
  </si>
  <si>
    <t>Entidad 65</t>
  </si>
  <si>
    <t>11602071</t>
  </si>
  <si>
    <t>Entidad 66</t>
  </si>
  <si>
    <t>11602073</t>
  </si>
  <si>
    <t>Entidad 67</t>
  </si>
  <si>
    <t>11602074</t>
  </si>
  <si>
    <t>Entidad 68</t>
  </si>
  <si>
    <t>11602075</t>
  </si>
  <si>
    <t>Entidad 69</t>
  </si>
  <si>
    <t>11602077</t>
  </si>
  <si>
    <t>Entidad 70</t>
  </si>
  <si>
    <t>11602078</t>
  </si>
  <si>
    <t>Entidad 71</t>
  </si>
  <si>
    <t>11602079</t>
  </si>
  <si>
    <t>Entidad 72</t>
  </si>
  <si>
    <t>11602080</t>
  </si>
  <si>
    <t>Entidad 73</t>
  </si>
  <si>
    <t>12603036</t>
  </si>
  <si>
    <t>12603045</t>
  </si>
  <si>
    <t>12603046</t>
  </si>
  <si>
    <t>12603001</t>
  </si>
  <si>
    <t>ORGANIZACION 1</t>
  </si>
  <si>
    <t>12603002</t>
  </si>
  <si>
    <t>ORGANIZACION 2</t>
  </si>
  <si>
    <t>12603003</t>
  </si>
  <si>
    <t>ORGANIZACION 3</t>
  </si>
  <si>
    <t>12603004</t>
  </si>
  <si>
    <t>ORGANIZACION 4</t>
  </si>
  <si>
    <t>12603005</t>
  </si>
  <si>
    <t>ORGANIZACION 5</t>
  </si>
  <si>
    <t>12603006</t>
  </si>
  <si>
    <t>ORGANIZACION 6</t>
  </si>
  <si>
    <t>12603007</t>
  </si>
  <si>
    <t>ORGANIZACION 7</t>
  </si>
  <si>
    <t>12603008</t>
  </si>
  <si>
    <t>ORGANIZACION 8</t>
  </si>
  <si>
    <t>12603009</t>
  </si>
  <si>
    <t>ORGANIZACION 9</t>
  </si>
  <si>
    <t>12603010</t>
  </si>
  <si>
    <t>ORGANIZACION 10</t>
  </si>
  <si>
    <t>12603011</t>
  </si>
  <si>
    <t>ORGANIZACION 11</t>
  </si>
  <si>
    <t>12603012</t>
  </si>
  <si>
    <t>ORGANIZACION 12</t>
  </si>
  <si>
    <t>12603013</t>
  </si>
  <si>
    <t>ORGANIZACION 13</t>
  </si>
  <si>
    <t>12603014</t>
  </si>
  <si>
    <t>ORGANIZACION 14</t>
  </si>
  <si>
    <t>12603015</t>
  </si>
  <si>
    <t>ORGANIZACION 15</t>
  </si>
  <si>
    <t>12603016</t>
  </si>
  <si>
    <t>ORGANIZACION 16</t>
  </si>
  <si>
    <t>12603017</t>
  </si>
  <si>
    <t>ORGANIZACION 17</t>
  </si>
  <si>
    <t>12603018</t>
  </si>
  <si>
    <t>ORGANIZACION 18</t>
  </si>
  <si>
    <t>12603019</t>
  </si>
  <si>
    <t>ORGANIZACION 19</t>
  </si>
  <si>
    <t>12603020</t>
  </si>
  <si>
    <t>ORGANIZACION 20</t>
  </si>
  <si>
    <t>12603021</t>
  </si>
  <si>
    <t>ORGANIZACION 21</t>
  </si>
  <si>
    <t>12603022</t>
  </si>
  <si>
    <t>ORGANIZACION 22</t>
  </si>
  <si>
    <t>12603023</t>
  </si>
  <si>
    <t>ORGANIZACION 23</t>
  </si>
  <si>
    <t>12603024</t>
  </si>
  <si>
    <t>ORGANIZACION 24</t>
  </si>
  <si>
    <t>12603025</t>
  </si>
  <si>
    <t>ORGANIZACION 25</t>
  </si>
  <si>
    <t>12603026</t>
  </si>
  <si>
    <t>ORGANIZACION 26</t>
  </si>
  <si>
    <t>12603027</t>
  </si>
  <si>
    <t>ORGANIZACION 27</t>
  </si>
  <si>
    <t>12603028</t>
  </si>
  <si>
    <t>ORGANIZACION 28</t>
  </si>
  <si>
    <t>12603029</t>
  </si>
  <si>
    <t>ORGANIZACION 29</t>
  </si>
  <si>
    <t>12603030</t>
  </si>
  <si>
    <t>ORGANIZACION 30</t>
  </si>
  <si>
    <t>12603031</t>
  </si>
  <si>
    <t>ORGANIZACION 31</t>
  </si>
  <si>
    <t>12603032</t>
  </si>
  <si>
    <t>ORGANIZACION 32</t>
  </si>
  <si>
    <t>12603033</t>
  </si>
  <si>
    <t>ORGANIZACION 33</t>
  </si>
  <si>
    <t>12603034</t>
  </si>
  <si>
    <t>ORGANIZACION 34</t>
  </si>
  <si>
    <t>12603035</t>
  </si>
  <si>
    <t>ORGANIZACION 35</t>
  </si>
  <si>
    <t>12603037</t>
  </si>
  <si>
    <t>ORGANIZACION 36</t>
  </si>
  <si>
    <t>12603038</t>
  </si>
  <si>
    <t>ORGANIZACION 37</t>
  </si>
  <si>
    <t>12603039</t>
  </si>
  <si>
    <t>ORGANIZACION 38</t>
  </si>
  <si>
    <t>12603040</t>
  </si>
  <si>
    <t>ORGANIZACION 39</t>
  </si>
  <si>
    <t>12603041</t>
  </si>
  <si>
    <t>ORGANIZACION 40</t>
  </si>
  <si>
    <t>12603042</t>
  </si>
  <si>
    <t>ORGANIZACION 41</t>
  </si>
  <si>
    <t>12603043</t>
  </si>
  <si>
    <t>ORGANIZACION 42</t>
  </si>
  <si>
    <t>12603044</t>
  </si>
  <si>
    <t>ORGANIZACION 43</t>
  </si>
  <si>
    <t>13702001</t>
  </si>
  <si>
    <t>13702030</t>
  </si>
  <si>
    <t>13702031</t>
  </si>
  <si>
    <t>13702038</t>
  </si>
  <si>
    <t>13702039</t>
  </si>
  <si>
    <t>13702043</t>
  </si>
  <si>
    <t>13702044</t>
  </si>
  <si>
    <t>13702049</t>
  </si>
  <si>
    <t>13702050</t>
  </si>
  <si>
    <t>13702002</t>
  </si>
  <si>
    <t>EMPRESA 1</t>
  </si>
  <si>
    <t>13702003</t>
  </si>
  <si>
    <t>EMPRESA 2</t>
  </si>
  <si>
    <t>13702004</t>
  </si>
  <si>
    <t>EMPRESA 3</t>
  </si>
  <si>
    <t>13702005</t>
  </si>
  <si>
    <t>EMPRESA 4</t>
  </si>
  <si>
    <t>13702006</t>
  </si>
  <si>
    <t>EMPRESA 5</t>
  </si>
  <si>
    <t>13702007</t>
  </si>
  <si>
    <t>EMPRESA 6</t>
  </si>
  <si>
    <t>13702008</t>
  </si>
  <si>
    <t>EMPRESA 7</t>
  </si>
  <si>
    <t>13702009</t>
  </si>
  <si>
    <t>EMPRESA 8</t>
  </si>
  <si>
    <t>13702010</t>
  </si>
  <si>
    <t>EMPRESA 9</t>
  </si>
  <si>
    <t>13702011</t>
  </si>
  <si>
    <t>EMPRESA 10</t>
  </si>
  <si>
    <t>13702012</t>
  </si>
  <si>
    <t>EMPRESA 11</t>
  </si>
  <si>
    <t>13702013</t>
  </si>
  <si>
    <t>EMPRESA 12</t>
  </si>
  <si>
    <t>13702014</t>
  </si>
  <si>
    <t>EMPRESA 13</t>
  </si>
  <si>
    <t>13702015</t>
  </si>
  <si>
    <t>EMPRESA 14</t>
  </si>
  <si>
    <t>13702016</t>
  </si>
  <si>
    <t>EMPRESA 15</t>
  </si>
  <si>
    <t>13702017</t>
  </si>
  <si>
    <t>EMPRESA 16</t>
  </si>
  <si>
    <t>13702018</t>
  </si>
  <si>
    <t>EMPRESA 17</t>
  </si>
  <si>
    <t>13702019</t>
  </si>
  <si>
    <t>EMPRESA 18</t>
  </si>
  <si>
    <t>13702020</t>
  </si>
  <si>
    <t>EMPRESA 19</t>
  </si>
  <si>
    <t>13702021</t>
  </si>
  <si>
    <t>EMPRESA 20</t>
  </si>
  <si>
    <t>13702022</t>
  </si>
  <si>
    <t>EMPRESA 21</t>
  </si>
  <si>
    <t>13702023</t>
  </si>
  <si>
    <t>EMPRESA 22</t>
  </si>
  <si>
    <t>13702024</t>
  </si>
  <si>
    <t>EMPRESA 23</t>
  </si>
  <si>
    <t>13702025</t>
  </si>
  <si>
    <t>EMPRESA 24</t>
  </si>
  <si>
    <t>13702026</t>
  </si>
  <si>
    <t>EMPRESA 25</t>
  </si>
  <si>
    <t>13702027</t>
  </si>
  <si>
    <t>EMPRESA 26</t>
  </si>
  <si>
    <t>13702028</t>
  </si>
  <si>
    <t>EMPRESA 27</t>
  </si>
  <si>
    <t>13702029</t>
  </si>
  <si>
    <t>EMPRESA 28</t>
  </si>
  <si>
    <t>13702032</t>
  </si>
  <si>
    <t>EMPRESA 29</t>
  </si>
  <si>
    <t>13702033</t>
  </si>
  <si>
    <t>EMPRESA 30</t>
  </si>
  <si>
    <t>13702034</t>
  </si>
  <si>
    <t>EMPRESA 31</t>
  </si>
  <si>
    <t>13702035</t>
  </si>
  <si>
    <t>EMPRESA 32</t>
  </si>
  <si>
    <t>13702036</t>
  </si>
  <si>
    <t>EMPRESA 33</t>
  </si>
  <si>
    <t>13702037</t>
  </si>
  <si>
    <t>EMPRESA 34</t>
  </si>
  <si>
    <t>13702040</t>
  </si>
  <si>
    <t>EMPRESA 35</t>
  </si>
  <si>
    <t>13702041</t>
  </si>
  <si>
    <t>EMPRESA 36</t>
  </si>
  <si>
    <t>13702042</t>
  </si>
  <si>
    <t>EMPRESA 37</t>
  </si>
  <si>
    <t>13702045</t>
  </si>
  <si>
    <t>EMPRESA 38</t>
  </si>
  <si>
    <t>13702046</t>
  </si>
  <si>
    <t>EMPRESA 39</t>
  </si>
  <si>
    <t>13702047</t>
  </si>
  <si>
    <t>EMPRESA 40</t>
  </si>
  <si>
    <t>13702048</t>
  </si>
  <si>
    <t>EMPRESA 41</t>
  </si>
  <si>
    <t>C12601003</t>
  </si>
  <si>
    <t>C13701007</t>
  </si>
  <si>
    <t>03202011_C03202030</t>
  </si>
  <si>
    <t>01201072_C01201001</t>
  </si>
  <si>
    <t>01201071_C01201001</t>
  </si>
  <si>
    <t>01201070_C01201001</t>
  </si>
  <si>
    <t>01201067_C01201001</t>
  </si>
  <si>
    <t>01201045_C01201001</t>
  </si>
  <si>
    <t>01201044_C01201001</t>
  </si>
  <si>
    <t>01201043_C01201001</t>
  </si>
  <si>
    <t>01201081_C01201001</t>
  </si>
  <si>
    <t>01201082_C01201001</t>
  </si>
  <si>
    <t>01201080_C01201001</t>
  </si>
  <si>
    <t>01201026_C01201001</t>
  </si>
  <si>
    <t>01201018_C01201001</t>
  </si>
  <si>
    <t>01201013_C01201001</t>
  </si>
  <si>
    <t>01201009_C01201001</t>
  </si>
  <si>
    <t>01201007_C01201001</t>
  </si>
  <si>
    <t>01201006_C01201001</t>
  </si>
  <si>
    <t>01201004_C01201001</t>
  </si>
  <si>
    <t>01201031_C01201001</t>
  </si>
  <si>
    <t>01201040_C01201001</t>
  </si>
  <si>
    <t>01701003_C01701002</t>
  </si>
  <si>
    <t>01701003_C01701018</t>
  </si>
  <si>
    <t>01701003_C01701090</t>
  </si>
  <si>
    <t>01804006_C01804002</t>
  </si>
  <si>
    <t>02201311_C02201001</t>
  </si>
  <si>
    <t>02201316_C02201001</t>
  </si>
  <si>
    <t>02201074_C02201001</t>
  </si>
  <si>
    <t>02201108_C02201001</t>
  </si>
  <si>
    <t>02201030_C02201001</t>
  </si>
  <si>
    <t>02201026_C02201001</t>
  </si>
  <si>
    <t>02201004_C02201001</t>
  </si>
  <si>
    <t>02201005_C02201001</t>
  </si>
  <si>
    <t>03202011_C03202031</t>
  </si>
  <si>
    <t>03202011_C03202039</t>
  </si>
  <si>
    <t>13201013_C13201001</t>
  </si>
  <si>
    <t>13201021_C13201001</t>
  </si>
  <si>
    <t>08101082_C08101001</t>
  </si>
  <si>
    <t>08101081_C08101001</t>
  </si>
  <si>
    <t>08101080_C08101001</t>
  </si>
  <si>
    <t>08101007_C08101001</t>
  </si>
  <si>
    <t>08101013_C08101001</t>
  </si>
  <si>
    <t>08101018_C08101001</t>
  </si>
  <si>
    <t>08101057_C08101001</t>
  </si>
  <si>
    <t>08101072_C08101001</t>
  </si>
  <si>
    <t>08101071_C08101001</t>
  </si>
  <si>
    <t>08101070_C08101001</t>
  </si>
  <si>
    <t>08101067_C08101001</t>
  </si>
  <si>
    <t>08101044_C08101001</t>
  </si>
  <si>
    <t>08101043_C08101001</t>
  </si>
  <si>
    <t>08101026_C08101001</t>
  </si>
  <si>
    <t>08101031_C08101001</t>
  </si>
  <si>
    <t>08101040_C08101001</t>
  </si>
  <si>
    <t>08101045_C08101001</t>
  </si>
  <si>
    <t>08101006_C08101001</t>
  </si>
  <si>
    <t>08101004_C08101001</t>
  </si>
  <si>
    <t>08101009_C08101001</t>
  </si>
  <si>
    <t>03202011_C03202049</t>
  </si>
  <si>
    <t>01301011_C01301001</t>
  </si>
  <si>
    <t>01301009_C01301001</t>
  </si>
  <si>
    <t>01301008_C01301001</t>
  </si>
  <si>
    <t>01301026_C01301001</t>
  </si>
  <si>
    <t>01301017_C01301001</t>
  </si>
  <si>
    <t>01301018_C01301001</t>
  </si>
  <si>
    <t>01301023_C01301001</t>
  </si>
  <si>
    <t>01301003_C01301001</t>
  </si>
  <si>
    <t>01301004_C01301001</t>
  </si>
  <si>
    <t>01301006_C01301001</t>
  </si>
  <si>
    <t>02301105_C02301001</t>
  </si>
  <si>
    <t>02301108_C02301001</t>
  </si>
  <si>
    <t>02301041_C02301001</t>
  </si>
  <si>
    <t>02301093_C02301001</t>
  </si>
  <si>
    <t>02301089_C02301001</t>
  </si>
  <si>
    <t>02301060_C02301001</t>
  </si>
  <si>
    <t>02301059_C02301001</t>
  </si>
  <si>
    <t>02301113_C02301001</t>
  </si>
  <si>
    <t>02301088_C02301001</t>
  </si>
  <si>
    <t>02301011_C02301001</t>
  </si>
  <si>
    <t>02301032_C02301001</t>
  </si>
  <si>
    <t>07501010_C07501001</t>
  </si>
  <si>
    <t>12907028_C12901001</t>
  </si>
  <si>
    <t>12901002_C12901001</t>
  </si>
  <si>
    <t>12907011_C12901001</t>
  </si>
  <si>
    <t>12907013_C12901001</t>
  </si>
  <si>
    <t>13801002_C13801001</t>
  </si>
  <si>
    <t>08201018_C08201001</t>
  </si>
  <si>
    <t>08201017_C08201001</t>
  </si>
  <si>
    <t>08201011_C08201001</t>
  </si>
  <si>
    <t>08201008_C08201001</t>
  </si>
  <si>
    <t>08201003_C08201001</t>
  </si>
  <si>
    <t>08201023_C08201001</t>
  </si>
  <si>
    <t>08201004_C08201001</t>
  </si>
  <si>
    <t>08201006_C08201001</t>
  </si>
  <si>
    <t>02301155_C02301001</t>
  </si>
  <si>
    <t>26201011_C26201001</t>
  </si>
  <si>
    <t>02301164_C02301001</t>
  </si>
  <si>
    <t>26201010_C26201001</t>
  </si>
  <si>
    <t>02301154_C02301001</t>
  </si>
  <si>
    <t>26201009_C26201001</t>
  </si>
  <si>
    <t>02301153_C02301001</t>
  </si>
  <si>
    <t>09902002_C09903003</t>
  </si>
  <si>
    <t>11101013_C11101002</t>
  </si>
  <si>
    <t>11101007_C11101004</t>
  </si>
  <si>
    <t>11101007_C11101002</t>
  </si>
  <si>
    <t>11101007_C11101003</t>
  </si>
  <si>
    <t>11101012_C11101003</t>
  </si>
  <si>
    <t>11101012_C11101002</t>
  </si>
  <si>
    <t>11101012_C11101004</t>
  </si>
  <si>
    <t>12010002_C12001042</t>
  </si>
  <si>
    <t>12004014_C12002003</t>
  </si>
  <si>
    <t>12006016_C12001042</t>
  </si>
  <si>
    <t>11101017_C11101002</t>
  </si>
  <si>
    <t>12905004_C12905002</t>
  </si>
  <si>
    <t>12905004_C12910002</t>
  </si>
  <si>
    <t>11302002_C11302002</t>
  </si>
  <si>
    <t>11302002_C11302003</t>
  </si>
  <si>
    <t>11101015_C11101002</t>
  </si>
  <si>
    <t>11101010_C11101002</t>
  </si>
  <si>
    <t>12906002_C12906002</t>
  </si>
  <si>
    <t>11101003_C11101002</t>
  </si>
  <si>
    <t>11101004_C11101002</t>
  </si>
  <si>
    <t>11101009_C11101002</t>
  </si>
  <si>
    <t>12908085_C12902003</t>
  </si>
  <si>
    <t>12806001_C12801002</t>
  </si>
  <si>
    <t>12904040_C12912001</t>
  </si>
  <si>
    <t>09902003_C09903003</t>
  </si>
  <si>
    <t>09902003_C09901019</t>
  </si>
  <si>
    <t>07501011_C07501001</t>
  </si>
  <si>
    <t>12907016_C12901001</t>
  </si>
  <si>
    <t>02201008_C02201001</t>
  </si>
  <si>
    <t>12908081_C12902003</t>
  </si>
  <si>
    <t>12912006_C12912001</t>
  </si>
  <si>
    <t>Porción no corriente</t>
  </si>
  <si>
    <t>E001 - AGENCIA DE ADUANAS SUPPLA</t>
  </si>
  <si>
    <t>E002 - ALMAGRAN S.A. (ECUADOR)</t>
  </si>
  <si>
    <t>Dólar estadounidense</t>
  </si>
  <si>
    <t>E004 - CANAL CLIMA S.A.S.</t>
  </si>
  <si>
    <t>E005 - CARACOL AMERICA PRODUCTIONS LLC (USA)</t>
  </si>
  <si>
    <t>E006 - CARACOL TELEVISION INC. (USA)</t>
  </si>
  <si>
    <t>E008 - CARACOL TV AMERICA CORP. (USA)</t>
  </si>
  <si>
    <t>E010 - DITRANSA S.A.</t>
  </si>
  <si>
    <t>E013 - DATAIFX S.A.S.</t>
  </si>
  <si>
    <t>E015 - ICCK NET S.A.S.</t>
  </si>
  <si>
    <t>E016 - FAMOSA S.A.S.</t>
  </si>
  <si>
    <t>E017 - INVERSIONES CROMOS S.A.S.</t>
  </si>
  <si>
    <t>E018 - INVERSIONES CTV S.A.S.</t>
  </si>
  <si>
    <t>E019 - KOBA INTERNATIONAL GROUP</t>
  </si>
  <si>
    <t>E020 - MAMBO LLC (USA)</t>
  </si>
  <si>
    <t>E021 - NAVIAGRO</t>
  </si>
  <si>
    <t>E024 - SERVICEUTICOS LTDA.</t>
  </si>
  <si>
    <t>E025 - STOCK MODELS Y TALENT SAS</t>
  </si>
  <si>
    <t>E026 - SUGRANEL S.A.S.</t>
  </si>
  <si>
    <t>E027 - SUPPLA CARGO S.A.S.</t>
  </si>
  <si>
    <t>E028 - SUPPLA S.A.</t>
  </si>
  <si>
    <t>E029 - TELEVISION EQUIPMENT SERVICES CORP (PANAMA)</t>
  </si>
  <si>
    <t>E030 - TERRANUM S.A.</t>
  </si>
  <si>
    <t>E031 - TIERRA SOLIDA S.A.S.</t>
  </si>
  <si>
    <t>E033 - WISENTHUNT GLOBAL LOGISTI</t>
  </si>
  <si>
    <t>Bolívar</t>
  </si>
  <si>
    <t>VEB</t>
  </si>
  <si>
    <t>E034 - GREEN AGCO S. DE R.L.</t>
  </si>
  <si>
    <t>E036 - NEUVOL HOLDINGS CORP.</t>
  </si>
  <si>
    <t>E037 - PCA S.A. -EN LIQUIDACIÓN</t>
  </si>
  <si>
    <t>E039 - CORSE TRADING S.A. (PANAMA)</t>
  </si>
  <si>
    <t>E040 - ORIGIN ENTERTAINMENT S.A.S.</t>
  </si>
  <si>
    <t>E041 - PRIMEOTHER S.A.S.</t>
  </si>
  <si>
    <t>E042 - PRIMEVALUESERVICE S.A.S.</t>
  </si>
  <si>
    <t>E043 - PRIMEFINANZAS S.A.S.</t>
  </si>
  <si>
    <t>E045 - COMTEVE MERCADEO Y SERVICIOS S.A.S.</t>
  </si>
  <si>
    <t>E047 - SANTO DOMINGO Y CIA SENC</t>
  </si>
  <si>
    <t>E048 - MAXUS S.A. EN LIQUIDACION</t>
  </si>
  <si>
    <t>E049 - GABES</t>
  </si>
  <si>
    <t>E055 - SAN FRANCISCO INVESTMENT S.A.S.</t>
  </si>
  <si>
    <t>E056 - RADIAL BOGOTÁ S.A.</t>
  </si>
  <si>
    <t>E057 - KOBA COLOMBIA S.A.S. - PPA</t>
  </si>
  <si>
    <t>E058 - FIDEICOMISO P.A. SAN FRANCISCO HOTEL</t>
  </si>
  <si>
    <t>E059 - FIDEICOMISO P.A. INMUEBLE GETSEMANI</t>
  </si>
  <si>
    <t>E060 - FIDEICOMISO FAI GRAND SUITES SF</t>
  </si>
  <si>
    <t>E061 - FIDEICOMISO FAI HOTEL SF</t>
  </si>
  <si>
    <t>E062 - REFOMASS S.A.S</t>
  </si>
  <si>
    <t>E063 - SPV VILLANUEVA S.A.S</t>
  </si>
  <si>
    <t>E064 - INQLAB S.A.S.</t>
  </si>
  <si>
    <t>E065 - FITPAL SAS</t>
  </si>
  <si>
    <t>E066 - R360</t>
  </si>
  <si>
    <t>E067 - SYMPLIFICA SAS</t>
  </si>
  <si>
    <t>E068 - CARIBBEAN EQUITY INVESTMENTS CORP.</t>
  </si>
  <si>
    <t>E069 - COLINSA S. DE R.L.</t>
  </si>
  <si>
    <t>E070 - EIH S. DE R. L.</t>
  </si>
  <si>
    <t>E071 - MARISCALA S. DE R.L.</t>
  </si>
  <si>
    <t>E072 - MBH 1 LLC</t>
  </si>
  <si>
    <t>E073 - MIH2 LLC</t>
  </si>
  <si>
    <t>E074 - VISENCIO INVESTMENTS</t>
  </si>
  <si>
    <t>E075 - WEIRSDALE HOLDINGS</t>
  </si>
  <si>
    <t>E076 - WEISSENER S. DE R.L.</t>
  </si>
  <si>
    <t>E077 - WIEISAN S. DE R.L.</t>
  </si>
  <si>
    <t>E078 - REFOENERGY BITA SAS ESP</t>
  </si>
  <si>
    <t>E079 - KARTAL S.A.</t>
  </si>
  <si>
    <t>E080 - REFOPANEL ZOMAC SAS</t>
  </si>
  <si>
    <t>E081 - ZINEA LTDA.</t>
  </si>
  <si>
    <t>E082 - UNOSAN S.A.</t>
  </si>
  <si>
    <t>E083 - REFOSER SAS</t>
  </si>
  <si>
    <t>03202007_C03202007</t>
  </si>
  <si>
    <t>03202007_C03202030</t>
  </si>
  <si>
    <t>03202007_C03202059</t>
  </si>
  <si>
    <t>03202007_C03202073</t>
  </si>
  <si>
    <t>03202007_C03202022</t>
  </si>
  <si>
    <t>03202007_C03202004</t>
  </si>
  <si>
    <t>03202007_C03202078</t>
  </si>
  <si>
    <t>03202007_C03202023</t>
  </si>
  <si>
    <t>03202007_C03202045</t>
  </si>
  <si>
    <t>03202007_C03202069</t>
  </si>
  <si>
    <t>03202007_C03202068</t>
  </si>
  <si>
    <t>03202007_C03202008</t>
  </si>
  <si>
    <t>03202007_C03202089</t>
  </si>
  <si>
    <t>03202007_C03202084</t>
  </si>
  <si>
    <t>03202007_C03202064</t>
  </si>
  <si>
    <t>03202007_C03202074</t>
  </si>
  <si>
    <t>03202007_C03202094</t>
  </si>
  <si>
    <t>03202007_C03202003</t>
  </si>
  <si>
    <t>03202007_C03202050</t>
  </si>
  <si>
    <t>03202007_C03202031</t>
  </si>
  <si>
    <t>03202007_C03202040</t>
  </si>
  <si>
    <t>03202007_C03202049</t>
  </si>
  <si>
    <t>03202007_C03202054</t>
  </si>
  <si>
    <t>03202007_C03202083</t>
  </si>
  <si>
    <t>03202007_C03202044</t>
  </si>
  <si>
    <t>03202007_C03202065</t>
  </si>
  <si>
    <t>03202007_C03202093</t>
  </si>
  <si>
    <t>03202007_C03202088</t>
  </si>
  <si>
    <t>03202007_C03202060</t>
  </si>
  <si>
    <t>03202007_C03202026</t>
  </si>
  <si>
    <t>03202007_C03202018</t>
  </si>
  <si>
    <t>03202007_C03202055</t>
  </si>
  <si>
    <t>03202007_C03202039</t>
  </si>
  <si>
    <t>03202007_C03202017</t>
  </si>
  <si>
    <t>03202007_C03202027</t>
  </si>
  <si>
    <t>03202007_C03202079</t>
  </si>
  <si>
    <t>05502007_C05502046</t>
  </si>
  <si>
    <t>05502007_C05502018</t>
  </si>
  <si>
    <t>05502007_C05502011</t>
  </si>
  <si>
    <t>05502007_C05502050</t>
  </si>
  <si>
    <t>05502007_C05502010</t>
  </si>
  <si>
    <t>05502007_C05502062</t>
  </si>
  <si>
    <t>05502007_C05502022</t>
  </si>
  <si>
    <t>05502007_C05502023</t>
  </si>
  <si>
    <t>05502007_C05502078</t>
  </si>
  <si>
    <t>05502007_C05502090</t>
  </si>
  <si>
    <t>05502007_C05502035</t>
  </si>
  <si>
    <t>05502007_C05502038</t>
  </si>
  <si>
    <t>05502007_C05502059</t>
  </si>
  <si>
    <t>05502007_C05502070</t>
  </si>
  <si>
    <t>05502007_C05502063</t>
  </si>
  <si>
    <t>05502007_C05502003</t>
  </si>
  <si>
    <t>05502007_C05502047</t>
  </si>
  <si>
    <t>05502007_C05502074</t>
  </si>
  <si>
    <t>05502007_C05502082</t>
  </si>
  <si>
    <t>05502007_C05502079</t>
  </si>
  <si>
    <t>05502007_C05502094</t>
  </si>
  <si>
    <t>05502007_C05502058</t>
  </si>
  <si>
    <t>05502007_C05502086</t>
  </si>
  <si>
    <t>05502007_C05502095</t>
  </si>
  <si>
    <t>05502007_C05502071</t>
  </si>
  <si>
    <t>05502007_C05502006</t>
  </si>
  <si>
    <t>05502007_C05502002</t>
  </si>
  <si>
    <t>05502007_C05502039</t>
  </si>
  <si>
    <t>05502007_C05502099</t>
  </si>
  <si>
    <t>05502007_C05502091</t>
  </si>
  <si>
    <t>05502007_C05502034</t>
  </si>
  <si>
    <t>05502007_C05502019</t>
  </si>
  <si>
    <t>05502007_C05502083</t>
  </si>
  <si>
    <t>05502007_C05502098</t>
  </si>
  <si>
    <t>05502007_C05502007</t>
  </si>
  <si>
    <t>05502007_C05502026</t>
  </si>
  <si>
    <t>05502007_C05502075</t>
  </si>
  <si>
    <t>05502007_C05502087</t>
  </si>
  <si>
    <t>05502007_C05502051</t>
  </si>
  <si>
    <t>05502007_C05502027</t>
  </si>
  <si>
    <t>05802018_C05802002</t>
  </si>
  <si>
    <t>05802018_C05802003</t>
  </si>
  <si>
    <t>06002010_C06002001</t>
  </si>
  <si>
    <t>06002010_C06002002</t>
  </si>
  <si>
    <t>05902037_C05902002</t>
  </si>
  <si>
    <t>05902037_C05902001</t>
  </si>
  <si>
    <t>01801006_C01801001</t>
  </si>
  <si>
    <t>01801014_C01801001</t>
  </si>
  <si>
    <t>02901004_C02901001</t>
  </si>
  <si>
    <t>03202007_C03202095</t>
  </si>
  <si>
    <t>03202007_C03202005</t>
  </si>
  <si>
    <t>03202007_C03202090</t>
  </si>
  <si>
    <t>03202007_C03202041</t>
  </si>
  <si>
    <t>03202007_C03202011</t>
  </si>
  <si>
    <t>03202007_C03202028</t>
  </si>
  <si>
    <t>03202007_C03202032</t>
  </si>
  <si>
    <t>03202007_C03202056</t>
  </si>
  <si>
    <t>03202007_C03202019</t>
  </si>
  <si>
    <t>03202007_C03202046</t>
  </si>
  <si>
    <t>03202007_C03202061</t>
  </si>
  <si>
    <t>03202007_C03202066</t>
  </si>
  <si>
    <t>03202007_C03202051</t>
  </si>
  <si>
    <t>03202007_C03202080</t>
  </si>
  <si>
    <t>03202007_C03202009</t>
  </si>
  <si>
    <t>03202007_C03202075</t>
  </si>
  <si>
    <t>03202007_C03202085</t>
  </si>
  <si>
    <t>03202007_C03202070</t>
  </si>
  <si>
    <t>03202007_C03202013</t>
  </si>
  <si>
    <t>03202007_C03202024</t>
  </si>
  <si>
    <t>05502007_C05502052</t>
  </si>
  <si>
    <t>05502007_C05502092</t>
  </si>
  <si>
    <t>05502007_C05502008</t>
  </si>
  <si>
    <t>05502007_C05502012</t>
  </si>
  <si>
    <t>05502007_C05502096</t>
  </si>
  <si>
    <t>05502007_C05502072</t>
  </si>
  <si>
    <t>05502007_C05502015</t>
  </si>
  <si>
    <t>05502007_C05502024</t>
  </si>
  <si>
    <t>05502007_C05502042</t>
  </si>
  <si>
    <t>05502007_C05502088</t>
  </si>
  <si>
    <t>05502007_C05502060</t>
  </si>
  <si>
    <t>05502007_C05502020</t>
  </si>
  <si>
    <t>05502007_C05502067</t>
  </si>
  <si>
    <t>05502007_C05502084</t>
  </si>
  <si>
    <t>05502007_C05502004</t>
  </si>
  <si>
    <t>05502007_C05502066</t>
  </si>
  <si>
    <t>05502007_C05502080</t>
  </si>
  <si>
    <t>05502007_C05502064</t>
  </si>
  <si>
    <t>05502007_C05502054</t>
  </si>
  <si>
    <t>05502007_C05502014</t>
  </si>
  <si>
    <t>05502007_C05502048</t>
  </si>
  <si>
    <t>05502007_C05502100</t>
  </si>
  <si>
    <t>05502007_C05502102</t>
  </si>
  <si>
    <t>05502007_C05502030</t>
  </si>
  <si>
    <t>05502007_C05502036</t>
  </si>
  <si>
    <t>05502007_C05502031</t>
  </si>
  <si>
    <t>05502007_C05502043</t>
  </si>
  <si>
    <t>05502007_C05502055</t>
  </si>
  <si>
    <t>05502007_C05502040</t>
  </si>
  <si>
    <t>05502007_C05502076</t>
  </si>
  <si>
    <t>05502007_C05502028</t>
  </si>
  <si>
    <t>05502007_C05502103</t>
  </si>
  <si>
    <t>06002010_C06002004</t>
  </si>
  <si>
    <t>05902037_C05902004</t>
  </si>
  <si>
    <t>05502007_C05502068</t>
  </si>
  <si>
    <t>05502007_C05502032</t>
  </si>
  <si>
    <t>05502007_C05502056</t>
  </si>
  <si>
    <t>05502007_C05502016</t>
  </si>
  <si>
    <t>05502007_C05502104</t>
  </si>
  <si>
    <t>05502007_C05502044</t>
  </si>
  <si>
    <t>03202007_C03202014</t>
  </si>
  <si>
    <t>03202007_C03202036</t>
  </si>
  <si>
    <t>03202007_C03202098</t>
  </si>
  <si>
    <t>03202007_C03202099</t>
  </si>
  <si>
    <t>03202007_C03202100</t>
  </si>
  <si>
    <t>03202007_C03202035</t>
  </si>
  <si>
    <t>03202007_C03202034</t>
  </si>
  <si>
    <t>05502007_C05502107</t>
  </si>
  <si>
    <t>05502007_C05502106</t>
  </si>
  <si>
    <t>05502007_C05502108</t>
  </si>
  <si>
    <t>08002007_C08002001</t>
  </si>
  <si>
    <t>03202011_C03202032</t>
  </si>
  <si>
    <t>03202011_C03202100</t>
  </si>
  <si>
    <t>03202011_C03202050</t>
  </si>
  <si>
    <t>03202011_C03202035</t>
  </si>
  <si>
    <t>03202011_C03202034</t>
  </si>
  <si>
    <t>03202011_C03202036</t>
  </si>
  <si>
    <t>03202011_C03202041</t>
  </si>
  <si>
    <t>03202011_C03202051</t>
  </si>
  <si>
    <t>03202011_C03202098</t>
  </si>
  <si>
    <t>03202011_C03202099</t>
  </si>
  <si>
    <t>01701003_C01701096</t>
  </si>
  <si>
    <t>01701003_C01701098</t>
  </si>
  <si>
    <t>01701003_C01701104</t>
  </si>
  <si>
    <t>01701003_C01701024</t>
  </si>
  <si>
    <t>01701003_C01701008</t>
  </si>
  <si>
    <t>01701003_C01701074</t>
  </si>
  <si>
    <t>01701003_C01701114</t>
  </si>
  <si>
    <t>01701003_C01701120</t>
  </si>
  <si>
    <t>01701003_C01701080</t>
  </si>
  <si>
    <t>03202016_C03202099</t>
  </si>
  <si>
    <t>03202016_C03202051</t>
  </si>
  <si>
    <t>03202016_C03202036</t>
  </si>
  <si>
    <t>03202016_C03202031</t>
  </si>
  <si>
    <t>03202016_C03202032</t>
  </si>
  <si>
    <t>03202016_C03202035</t>
  </si>
  <si>
    <t>03202016_C03202050</t>
  </si>
  <si>
    <t>03202016_C03202100</t>
  </si>
  <si>
    <t>03202013_C03202098</t>
  </si>
  <si>
    <t>03202013_C03202030</t>
  </si>
  <si>
    <t>03202013_C03202100</t>
  </si>
  <si>
    <t>03202013_C03202034</t>
  </si>
  <si>
    <t>03202013_C03202036</t>
  </si>
  <si>
    <t>03202013_C03202032</t>
  </si>
  <si>
    <t>01701006_C01701114</t>
  </si>
  <si>
    <t>01701006_C01701096</t>
  </si>
  <si>
    <t>01701006_C01701098</t>
  </si>
  <si>
    <t>01701006_C01701090</t>
  </si>
  <si>
    <t>01701006_C01701104</t>
  </si>
  <si>
    <t>01701006_C01701120</t>
  </si>
  <si>
    <t>03202030_C03202041</t>
  </si>
  <si>
    <t>03202030_C03202039</t>
  </si>
  <si>
    <t>03202030_C03202051</t>
  </si>
  <si>
    <t>03202030_C03202098</t>
  </si>
  <si>
    <t>03202030_C03202049</t>
  </si>
  <si>
    <t>03202030_C03202100</t>
  </si>
  <si>
    <t>03701004_C03701021</t>
  </si>
  <si>
    <t>03701004_C03701008</t>
  </si>
  <si>
    <t>03701004_C03701006</t>
  </si>
  <si>
    <t>03701004_C03701007</t>
  </si>
  <si>
    <t>01701013_C01701104</t>
  </si>
  <si>
    <t>01701013_C01701120</t>
  </si>
  <si>
    <t>01701013_C01701090</t>
  </si>
  <si>
    <t>01701013_C01701096</t>
  </si>
  <si>
    <t>01701013_C01701114</t>
  </si>
  <si>
    <t>01701013_C01701098</t>
  </si>
  <si>
    <t>04403004_C04403019</t>
  </si>
  <si>
    <t>04403004_C04403005</t>
  </si>
  <si>
    <t>04403004_C04403006</t>
  </si>
  <si>
    <t>03501004_C03501002</t>
  </si>
  <si>
    <t>03501004_C03501005</t>
  </si>
  <si>
    <t>03402004_C03402008</t>
  </si>
  <si>
    <t>03402004_C03402006</t>
  </si>
  <si>
    <t>03402004_C03402005</t>
  </si>
  <si>
    <t>01804006_C01804004</t>
  </si>
  <si>
    <t>03102029_C03102012</t>
  </si>
  <si>
    <t>03102029_C03102013</t>
  </si>
  <si>
    <t>03102030_C03102013</t>
  </si>
  <si>
    <t>03102030_C03102012</t>
  </si>
  <si>
    <t>03102030_C03102011</t>
  </si>
  <si>
    <t>02002004_C02002004</t>
  </si>
  <si>
    <t>02002005_C02002004</t>
  </si>
  <si>
    <t>02002006_C02002004</t>
  </si>
  <si>
    <t>07103011_C07103001</t>
  </si>
  <si>
    <t>07103022_C07103001</t>
  </si>
  <si>
    <t>07601009_C07601001</t>
  </si>
  <si>
    <t>02201409_C02201001</t>
  </si>
  <si>
    <t>01401002_C01401001</t>
  </si>
  <si>
    <t>02301086_C02301001</t>
  </si>
  <si>
    <t>02301111_C02301001</t>
  </si>
  <si>
    <t>02301078_C02301001</t>
  </si>
  <si>
    <t>02301115_C02301001</t>
  </si>
  <si>
    <t>02201413_C02201001</t>
  </si>
  <si>
    <t>02201410_C02201001</t>
  </si>
  <si>
    <t>02201414_C02201001</t>
  </si>
  <si>
    <t>06201023_C06201002</t>
  </si>
  <si>
    <t>02301106_C02301001</t>
  </si>
  <si>
    <t>02301178_C02301001</t>
  </si>
  <si>
    <t>01601004_C01601001</t>
  </si>
  <si>
    <t>07401012_C07401001</t>
  </si>
  <si>
    <t>02101050_C02101001</t>
  </si>
  <si>
    <t>02101003_C02101001</t>
  </si>
  <si>
    <t>02301107_C02301001</t>
  </si>
  <si>
    <t>01601013_C01601001</t>
  </si>
  <si>
    <t>02301104_C02301001</t>
  </si>
  <si>
    <t>01601012_C01601001</t>
  </si>
  <si>
    <t>02201156_C02201001</t>
  </si>
  <si>
    <t>01601016_C01601001</t>
  </si>
  <si>
    <t>02501012_C02501001</t>
  </si>
  <si>
    <t>01601017_C01601001</t>
  </si>
  <si>
    <t>01601011_C01601001</t>
  </si>
  <si>
    <t>02201175_C02201001</t>
  </si>
  <si>
    <t>01601006_C01601001</t>
  </si>
  <si>
    <t>01601020_C01601001</t>
  </si>
  <si>
    <t>02201028_C02201001</t>
  </si>
  <si>
    <t>01601046_C01601001</t>
  </si>
  <si>
    <t>06201015_C06201002</t>
  </si>
  <si>
    <t>13801002_C13801002</t>
  </si>
  <si>
    <t>03101007_C03101001</t>
  </si>
  <si>
    <t>01601036_C01601001</t>
  </si>
  <si>
    <t>06201011_C06201002</t>
  </si>
  <si>
    <t>04702005_C04702003</t>
  </si>
  <si>
    <t>11101013_C11101015</t>
  </si>
  <si>
    <t>01601028_C01601001</t>
  </si>
  <si>
    <t>01601007_C01601001</t>
  </si>
  <si>
    <t>11101007_C11101015</t>
  </si>
  <si>
    <t>04702004_C04702003</t>
  </si>
  <si>
    <t>01601021_C01601001</t>
  </si>
  <si>
    <t>01601026_C01601001</t>
  </si>
  <si>
    <t>08301002_C08301001</t>
  </si>
  <si>
    <t>02301110_C02301001</t>
  </si>
  <si>
    <t>02201122_C02201001</t>
  </si>
  <si>
    <t>11101012_C11101015</t>
  </si>
  <si>
    <t>01801011_C01801001</t>
  </si>
  <si>
    <t>21601033_C21601001</t>
  </si>
  <si>
    <t>21601034_C21601001</t>
  </si>
  <si>
    <t>11101017_C11101015</t>
  </si>
  <si>
    <t>01601045_C01601001</t>
  </si>
  <si>
    <t>21601017_C21601001</t>
  </si>
  <si>
    <t>21601035_C21601001</t>
  </si>
  <si>
    <t>21601032_C21601001</t>
  </si>
  <si>
    <t>11101015_C11101015</t>
  </si>
  <si>
    <t>11101010_C11101015</t>
  </si>
  <si>
    <t>21601006_C21601001</t>
  </si>
  <si>
    <t>13501015_C13501002</t>
  </si>
  <si>
    <t>11101003_C11101015</t>
  </si>
  <si>
    <t>21601046_C21601001</t>
  </si>
  <si>
    <t>11101004_C11101015</t>
  </si>
  <si>
    <t>08001012_C08001001</t>
  </si>
  <si>
    <t>21601020_C21601001</t>
  </si>
  <si>
    <t>08001013_C08001001</t>
  </si>
  <si>
    <t>11101009_C11101015</t>
  </si>
  <si>
    <t>13502003_C13501002</t>
  </si>
  <si>
    <t>13802025_C13801002</t>
  </si>
  <si>
    <t>08002008_C08002001</t>
  </si>
  <si>
    <t>13802026_C13801001</t>
  </si>
  <si>
    <t>13802035_C13801001</t>
  </si>
  <si>
    <t>21601026_C21601001</t>
  </si>
  <si>
    <t>13803001_C13801002</t>
  </si>
  <si>
    <t>13802026_C13801002</t>
  </si>
  <si>
    <t>13802035_C13801002</t>
  </si>
  <si>
    <t>21601022_C21601001</t>
  </si>
  <si>
    <t>13803001_C13801001</t>
  </si>
  <si>
    <t>21601021_C21601001</t>
  </si>
  <si>
    <t>13802058_C13801002</t>
  </si>
  <si>
    <t>21601075_C21601001</t>
  </si>
  <si>
    <t>14001005_C14001001</t>
  </si>
  <si>
    <t>21601036_C21601001</t>
  </si>
  <si>
    <t>13802025_C13801001</t>
  </si>
  <si>
    <t>13802058_C13801001</t>
  </si>
  <si>
    <t>21601028_C21601001</t>
  </si>
  <si>
    <t>08002004_C08002001</t>
  </si>
  <si>
    <t>14001004_C14001001</t>
  </si>
  <si>
    <t>13301028_C13301002</t>
  </si>
  <si>
    <t>13805001_C13801001</t>
  </si>
  <si>
    <t>08002009_C08002001</t>
  </si>
  <si>
    <t>13801004_C13801001</t>
  </si>
  <si>
    <t>13802019_C13801001</t>
  </si>
  <si>
    <t>13806002_C13801001</t>
  </si>
  <si>
    <t>13805003_C13801001</t>
  </si>
  <si>
    <t>13901001_C13801001</t>
  </si>
  <si>
    <t>21601045_C21601001</t>
  </si>
  <si>
    <t>13805002_C13801001</t>
  </si>
  <si>
    <t>08002018_C08002001</t>
  </si>
  <si>
    <t>13806001_C13801001</t>
  </si>
  <si>
    <t>13802019_C13801002</t>
  </si>
  <si>
    <t>12804001_C12801002</t>
  </si>
  <si>
    <t>01601084_C01601001</t>
  </si>
  <si>
    <t>21601072_C21601001</t>
  </si>
  <si>
    <t>13804005_C13801001</t>
  </si>
  <si>
    <t>11904004_C11904004</t>
  </si>
  <si>
    <t>03202011_C03202044</t>
  </si>
  <si>
    <t>03202011_C03202054</t>
  </si>
  <si>
    <t>03202011_C03202046</t>
  </si>
  <si>
    <t>03202011_C03202056</t>
  </si>
  <si>
    <t>01701003_C01701034</t>
  </si>
  <si>
    <t>01701003_C01701040</t>
  </si>
  <si>
    <t>03202013_C03202054</t>
  </si>
  <si>
    <t>03202013_C03202056</t>
  </si>
  <si>
    <t>01201074_C01201001</t>
  </si>
  <si>
    <t>02201318_C02201001</t>
  </si>
  <si>
    <t>08101075_C08101001</t>
  </si>
  <si>
    <t>12906002_C12911002</t>
  </si>
  <si>
    <t>13502003_C13501003</t>
  </si>
  <si>
    <t>13802047_C13801002</t>
  </si>
  <si>
    <t>13802047_C13801001</t>
  </si>
  <si>
    <t>13802030_C13801002</t>
  </si>
  <si>
    <t>13802030_C13801001</t>
  </si>
  <si>
    <t>13802027_C13801001</t>
  </si>
  <si>
    <t>02002004_C02002003</t>
  </si>
  <si>
    <t>02002005_C02002003</t>
  </si>
  <si>
    <t>02002006_C02002003</t>
  </si>
  <si>
    <t>02011007_C02011001</t>
  </si>
  <si>
    <t>02201029_C02201001</t>
  </si>
  <si>
    <t>11102005_C11102001</t>
  </si>
  <si>
    <t>11102002_C11102001</t>
  </si>
  <si>
    <t>11302003_C11302002</t>
  </si>
  <si>
    <t>11302004_C11302002</t>
  </si>
  <si>
    <t>11302005_C11302002</t>
  </si>
  <si>
    <t>12905004_C12910003</t>
  </si>
  <si>
    <t>12906002_C12911003</t>
  </si>
  <si>
    <t>08501003_C08501026</t>
  </si>
  <si>
    <t>08501003_C08501027</t>
  </si>
  <si>
    <t>08501003_C08501010</t>
  </si>
  <si>
    <t>08501003_C08501032</t>
  </si>
  <si>
    <t>08501006_C08501032</t>
  </si>
  <si>
    <t>01601085_C01601001</t>
  </si>
  <si>
    <t>12006012_C12001042</t>
  </si>
  <si>
    <t>12006004_C12001042</t>
  </si>
  <si>
    <t>12001003_C12001042</t>
  </si>
  <si>
    <t>12001011_C12001042</t>
  </si>
  <si>
    <t>12005004_C12001042</t>
  </si>
  <si>
    <t>12005012_C12001042</t>
  </si>
  <si>
    <t>12003011_C12002003</t>
  </si>
  <si>
    <t>12003004_C12002003</t>
  </si>
  <si>
    <t>12003003_C12002003</t>
  </si>
  <si>
    <t>03202011_C03202017</t>
  </si>
  <si>
    <t>01804005_C01804002</t>
  </si>
  <si>
    <t>02201021_C02201001</t>
  </si>
  <si>
    <t>02201020_C02201001</t>
  </si>
  <si>
    <t>02201099_C02201001</t>
  </si>
  <si>
    <t>01201073_C01201001</t>
  </si>
  <si>
    <t>01701003_C01701082</t>
  </si>
  <si>
    <t>08101073_C08101001</t>
  </si>
  <si>
    <t>03202011_C03202018</t>
  </si>
  <si>
    <t>13201010_C13201001</t>
  </si>
  <si>
    <t>13201020_C13201001</t>
  </si>
  <si>
    <t>12907012_C12901001</t>
  </si>
  <si>
    <t>08201007_C08201001</t>
  </si>
  <si>
    <t>02301042_C02301001</t>
  </si>
  <si>
    <t>08002003_C08002001</t>
  </si>
  <si>
    <t>03202011_C03202019</t>
  </si>
  <si>
    <t>03202016_C03202019</t>
  </si>
  <si>
    <t>03202016_C03202018</t>
  </si>
  <si>
    <t>03202013_C03202017</t>
  </si>
  <si>
    <t>03202013_C03202019</t>
  </si>
  <si>
    <t>03202030_C03202019</t>
  </si>
  <si>
    <t>03202030_C03202017</t>
  </si>
  <si>
    <t>01804005_C01804004</t>
  </si>
  <si>
    <t>13401003_C13401002</t>
  </si>
  <si>
    <t>13001010_C13001002</t>
  </si>
  <si>
    <t>13301007_C13301002</t>
  </si>
  <si>
    <t>12905008_C12905002</t>
  </si>
  <si>
    <t>12908043_C12902004</t>
  </si>
  <si>
    <t>13803002_C13801002</t>
  </si>
  <si>
    <t>13807001_C13801001</t>
  </si>
  <si>
    <t>13803002_C13801001</t>
  </si>
  <si>
    <t>Descripci�n de la naturaleza de cambios procedentes de per�odos anteriores en los m�todos de medición utilizados para determinar los resultados de los segmentos sobre los que deba informar y el efecto de tales cambios en la medida del resultado de los segmentos</t>
  </si>
  <si>
    <t>Ganancias (pérdidas) relacionadas con activos identificables adquiridos o pasivos asumidos en combinaciones de negocios y que es de tal tama�o, naturaleza o incidencia que revelar esta informaci�n es relevante para la comprensi�n de los estados financieros combinados de la entidad</t>
  </si>
  <si>
    <t>Explicaci�n de la ganancia o pérdida que relaciona activos identificables adquiridos o pasivos asumidos en combinaciones de negocios y que es del tal tama�o, naturaleza o incidencia que revelar esta informaci�n es relevante para la comprensi�n de los estados financieros combinados de la entidad</t>
  </si>
  <si>
    <t>Informaci�n a revelar sobre el efecto de las variaciones en la participaci�n de propiedad de la controladora en la subsidiaria que no dan lugar a la pérdida de control sobre el patrimonio atribuible a los propietarios de la controladora [bloque de texto]</t>
  </si>
  <si>
    <t>Activo por impuestos diferidos cuando la utilizaci�n depende de que las ganancias gravables futuras superen las ganancias procedentes de la reversi�n de las diferencias temporarias gravables y la entidad ha sufrido pérdidas en la jurisdicci�n con la que s</t>
  </si>
  <si>
    <t>Ganancias (pérdidas) que surgen de diferencias entre el costo amortizado anterior y el valor razonable de activos financieros reclasificados de la categoría de medición costo amortizado a la categoría de medición de valor razonable con cambios en resultados</t>
  </si>
  <si>
    <t>Ganancia (pérdida) acumulada anteriormente reconocida en otro resultado integral que surge de la reclasificación de activos financieros de la categoría de medición de valor razonable con cambios en otro resultado integral a la de valor razonable con cambios en resultados</t>
  </si>
  <si>
    <t>26801006_C26801004</t>
  </si>
  <si>
    <t>26801006_C26801006</t>
  </si>
  <si>
    <t>26801006_C26801005</t>
  </si>
  <si>
    <t>26801006_C26801001</t>
  </si>
  <si>
    <t>26801006_C26801002</t>
  </si>
  <si>
    <t>26801006_C26801007</t>
  </si>
  <si>
    <t>20201001_C20201007</t>
  </si>
  <si>
    <t>11201003_C11201004</t>
  </si>
  <si>
    <t>03202011_C03202055</t>
  </si>
  <si>
    <t>03202011_C03202045</t>
  </si>
  <si>
    <t>01701003_C01701088</t>
  </si>
  <si>
    <t>03202016_C03202055</t>
  </si>
  <si>
    <t>03202016_C03202056</t>
  </si>
  <si>
    <t>03202016_C03202045</t>
  </si>
  <si>
    <t>03202016_C03202046</t>
  </si>
  <si>
    <t>03202013_C03202039</t>
  </si>
  <si>
    <t>03202013_C03202041</t>
  </si>
  <si>
    <t>05508005_C05508116</t>
  </si>
  <si>
    <t>05508005_C05508026</t>
  </si>
  <si>
    <t>05508005_C05508106</t>
  </si>
  <si>
    <t>05508005_C05508114</t>
  </si>
  <si>
    <t>05508005_C05508030</t>
  </si>
  <si>
    <t>05508005_C05508032</t>
  </si>
  <si>
    <t>05508005_C05508108</t>
  </si>
  <si>
    <t>05508005_C05508028</t>
  </si>
  <si>
    <t>05502009_C05502028</t>
  </si>
  <si>
    <t>05502009_C05502030</t>
  </si>
  <si>
    <t>05502009_C05502108</t>
  </si>
  <si>
    <t>05502009_C05502106</t>
  </si>
  <si>
    <t>05502009_C05502026</t>
  </si>
  <si>
    <t>05502009_C05502032</t>
  </si>
  <si>
    <t>03202026_C03202098</t>
  </si>
  <si>
    <t>03202026_C03202019</t>
  </si>
  <si>
    <t>03202026_C03202017</t>
  </si>
  <si>
    <t>03202026_C03202100</t>
  </si>
  <si>
    <t>05508010_C05508108</t>
  </si>
  <si>
    <t>05508010_C05508027</t>
  </si>
  <si>
    <t>05508010_C05508031</t>
  </si>
  <si>
    <t>05508010_C05508028</t>
  </si>
  <si>
    <t>05508010_C05508116</t>
  </si>
  <si>
    <t>05508010_C05508115</t>
  </si>
  <si>
    <t>05508010_C05508107</t>
  </si>
  <si>
    <t>05508010_C05508032</t>
  </si>
  <si>
    <t>05502014_C05502028</t>
  </si>
  <si>
    <t>05502014_C05502031</t>
  </si>
  <si>
    <t>05502014_C05502027</t>
  </si>
  <si>
    <t>05502014_C05502108</t>
  </si>
  <si>
    <t>05502014_C05502107</t>
  </si>
  <si>
    <t>05502014_C05502032</t>
  </si>
  <si>
    <t>05508007_C05508114</t>
  </si>
  <si>
    <t>05508007_C05508028</t>
  </si>
  <si>
    <t>05508007_C05508030</t>
  </si>
  <si>
    <t>05508007_C05508032</t>
  </si>
  <si>
    <t>05508007_C05508026</t>
  </si>
  <si>
    <t>05508007_C05508116</t>
  </si>
  <si>
    <t>05508007_C05508108</t>
  </si>
  <si>
    <t>05508007_C05508106</t>
  </si>
  <si>
    <t>05502011_C05502030</t>
  </si>
  <si>
    <t>05502011_C05502106</t>
  </si>
  <si>
    <t>05502011_C05502108</t>
  </si>
  <si>
    <t>05502011_C05502032</t>
  </si>
  <si>
    <t>05502011_C05502026</t>
  </si>
  <si>
    <t>05502011_C05502028</t>
  </si>
  <si>
    <t>03202024_C03202017</t>
  </si>
  <si>
    <t>03202024_C03202054</t>
  </si>
  <si>
    <t>03202024_C03202056</t>
  </si>
  <si>
    <t>03202024_C03202019</t>
  </si>
  <si>
    <t>02301165_C02301001</t>
  </si>
  <si>
    <t>08501003_C08501030</t>
  </si>
  <si>
    <t>01201029_C01201001</t>
  </si>
  <si>
    <t>13501017_C13501002</t>
  </si>
  <si>
    <t>13501017_C13501005</t>
  </si>
  <si>
    <t>13501017_C13501007</t>
  </si>
  <si>
    <t>12905004_C12905003</t>
  </si>
  <si>
    <t>02201051_C02201001</t>
  </si>
  <si>
    <t>13501016_C13501002</t>
  </si>
  <si>
    <t>13501016_C13501007</t>
  </si>
  <si>
    <t>13501016_C13501005</t>
  </si>
  <si>
    <t>11601006_C11601001</t>
  </si>
  <si>
    <t>11601006_C11601003</t>
  </si>
  <si>
    <t>13501015_C13501005</t>
  </si>
  <si>
    <t>13501015_C13501007</t>
  </si>
  <si>
    <t>13501019_C13501002</t>
  </si>
  <si>
    <t>13501019_C13501005</t>
  </si>
  <si>
    <t>13501019_C13501003</t>
  </si>
  <si>
    <t>13501019_C13501007</t>
  </si>
  <si>
    <t>12906002_C12906003</t>
  </si>
  <si>
    <t>20201001_C20201008</t>
  </si>
  <si>
    <t>20201001_C20201004</t>
  </si>
  <si>
    <t>20201001_C20201003</t>
  </si>
  <si>
    <t>20201001_C20201002</t>
  </si>
  <si>
    <t>05508017_C05508108</t>
  </si>
  <si>
    <t>05508017_C05508114</t>
  </si>
  <si>
    <t>05508017_C05508028</t>
  </si>
  <si>
    <t>05508017_C05508026</t>
  </si>
  <si>
    <t>05508017_C05508030</t>
  </si>
  <si>
    <t>05508017_C05508106</t>
  </si>
  <si>
    <t>05508017_C05508032</t>
  </si>
  <si>
    <t>05508017_C05508116</t>
  </si>
  <si>
    <t>08001007_C08001001</t>
  </si>
  <si>
    <t>05502021_C05502028</t>
  </si>
  <si>
    <t>05502021_C05502030</t>
  </si>
  <si>
    <t>05502021_C05502106</t>
  </si>
  <si>
    <t>05502021_C05502026</t>
  </si>
  <si>
    <t>05502021_C05502108</t>
  </si>
  <si>
    <t>05502021_C05502032</t>
  </si>
  <si>
    <t>12904003_C12907002</t>
  </si>
  <si>
    <t>13501018_C13501007</t>
  </si>
  <si>
    <t>13501018_C13501005</t>
  </si>
  <si>
    <t>12904003_C12912001</t>
  </si>
  <si>
    <t>13501018_C13501002</t>
  </si>
  <si>
    <t>26801010_C26801007</t>
  </si>
  <si>
    <t>26801010_C26801010</t>
  </si>
  <si>
    <t>26801010_C26801011</t>
  </si>
  <si>
    <t>26801010_C26801009</t>
  </si>
  <si>
    <t>26801010_C26801004</t>
  </si>
  <si>
    <t>11201003_C11201002</t>
  </si>
  <si>
    <t>01601025_C01601001</t>
  </si>
  <si>
    <t>20101001_C20101003</t>
  </si>
  <si>
    <t>20201002_C20201002</t>
  </si>
  <si>
    <t>26801014_C26801010</t>
  </si>
  <si>
    <t>12006021_C12001042</t>
  </si>
  <si>
    <t>20101007_C20101002</t>
  </si>
  <si>
    <t>13302002_C13301002</t>
  </si>
  <si>
    <t>26801014_C26801011</t>
  </si>
  <si>
    <t>12003013_C12002003</t>
  </si>
  <si>
    <t>20101002_C20101002</t>
  </si>
  <si>
    <t>20101001_C20101004</t>
  </si>
  <si>
    <t>11601028_C11601004</t>
  </si>
  <si>
    <t>26801014_C26801009</t>
  </si>
  <si>
    <t>20101001_C20101002</t>
  </si>
  <si>
    <t>20101002_C20101007</t>
  </si>
  <si>
    <t>26801014_C26801007</t>
  </si>
  <si>
    <t>26801012_C26801011</t>
  </si>
  <si>
    <t>13802043_C13801001</t>
  </si>
  <si>
    <t>26801012_C26801009</t>
  </si>
  <si>
    <t>12003008_C12002003</t>
  </si>
  <si>
    <t>13802043_C13801002</t>
  </si>
  <si>
    <t>13001005_C13001002</t>
  </si>
  <si>
    <t>20101002_C20101008</t>
  </si>
  <si>
    <t>11601028_C11601003</t>
  </si>
  <si>
    <t>26801012_C26801004</t>
  </si>
  <si>
    <t>26801014_C26801004</t>
  </si>
  <si>
    <t>11601028_C11601002</t>
  </si>
  <si>
    <t>26801021_C26801011</t>
  </si>
  <si>
    <t>13802018_C13801001</t>
  </si>
  <si>
    <t>26301005_C26301001</t>
  </si>
  <si>
    <t>12905005_C12905002</t>
  </si>
  <si>
    <t>13001007_C13001002</t>
  </si>
  <si>
    <t>13201014_C13201001</t>
  </si>
  <si>
    <t>13802038_C13801002</t>
  </si>
  <si>
    <t>11601011_C11601001</t>
  </si>
  <si>
    <t>12908049_C12902004</t>
  </si>
  <si>
    <t>12902061_C12902007</t>
  </si>
  <si>
    <t>13301011_C13301002</t>
  </si>
  <si>
    <t>12904018_C12907002</t>
  </si>
  <si>
    <t>12904044_C12907002</t>
  </si>
  <si>
    <t>26801027_C26801004</t>
  </si>
  <si>
    <t>13301008_C13301002</t>
  </si>
  <si>
    <t>26801021_C26801004</t>
  </si>
  <si>
    <t>08101029_C08101001</t>
  </si>
  <si>
    <t>13301029_C13301002</t>
  </si>
  <si>
    <t>12902062_C12902007</t>
  </si>
  <si>
    <t>11601011_C11601003</t>
  </si>
  <si>
    <t>13802038_C13801001</t>
  </si>
  <si>
    <t>12902062_C12902004</t>
  </si>
  <si>
    <t>12902061_C12902004</t>
  </si>
  <si>
    <t>03202004_C03202017</t>
  </si>
  <si>
    <t>COSTO</t>
  </si>
  <si>
    <t>03202004_C03202030</t>
  </si>
  <si>
    <t>03202004_C03202039</t>
  </si>
  <si>
    <t>03202004_C03202049</t>
  </si>
  <si>
    <t>03202004_C03202019</t>
  </si>
  <si>
    <t>03202004_C03202041</t>
  </si>
  <si>
    <t>03202004_C03202051</t>
  </si>
  <si>
    <t>03202004_C03202054</t>
  </si>
  <si>
    <t>03202004_C03202056</t>
  </si>
  <si>
    <t>03202004_C03202032</t>
  </si>
  <si>
    <t>03202004_C03202040</t>
  </si>
  <si>
    <t>03202004_C03202044</t>
  </si>
  <si>
    <t>03202004_C03202018</t>
  </si>
  <si>
    <t>03202004_C03202035</t>
  </si>
  <si>
    <t>03202004_C03202036</t>
  </si>
  <si>
    <t>03202004_C03202045</t>
  </si>
  <si>
    <t>03202004_C03202046</t>
  </si>
  <si>
    <t>03202004_C03202050</t>
  </si>
  <si>
    <t>03202004_C03202055</t>
  </si>
  <si>
    <t>03202004_C03202031</t>
  </si>
  <si>
    <t>03202004_C03202034</t>
  </si>
  <si>
    <t>03202005_C03202017</t>
  </si>
  <si>
    <t>LINEA RECTA</t>
  </si>
  <si>
    <t>03202005_C03202039</t>
  </si>
  <si>
    <t>03202005_C03202049</t>
  </si>
  <si>
    <t>03202005_C03202019</t>
  </si>
  <si>
    <t>03202005_C03202030</t>
  </si>
  <si>
    <t>03202005_C03202041</t>
  </si>
  <si>
    <t>03202005_C03202044</t>
  </si>
  <si>
    <t>03202005_C03202051</t>
  </si>
  <si>
    <t>03202005_C03202054</t>
  </si>
  <si>
    <t>03202005_C03202056</t>
  </si>
  <si>
    <t>03202005_C03202018</t>
  </si>
  <si>
    <t>03202005_C03202032</t>
  </si>
  <si>
    <t>03202005_C03202034</t>
  </si>
  <si>
    <t>03202005_C03202040</t>
  </si>
  <si>
    <t>03202005_C03202045</t>
  </si>
  <si>
    <t>03202005_C03202046</t>
  </si>
  <si>
    <t>03202005_C03202050</t>
  </si>
  <si>
    <t>03202005_C03202055</t>
  </si>
  <si>
    <t>03202005_C03202031</t>
  </si>
  <si>
    <t>03202005_C03202035</t>
  </si>
  <si>
    <t>03202005_C03202036</t>
  </si>
  <si>
    <t>03202006_C03202017</t>
  </si>
  <si>
    <t>10 AÑOS</t>
  </si>
  <si>
    <t>03202006_C03202030</t>
  </si>
  <si>
    <t>03202006_C03202039</t>
  </si>
  <si>
    <t>03202006_C03202049</t>
  </si>
  <si>
    <t>5 AÑOS</t>
  </si>
  <si>
    <t>03202006_C03202041</t>
  </si>
  <si>
    <t>03202006_C03202044</t>
  </si>
  <si>
    <t>03202006_C03202051</t>
  </si>
  <si>
    <t>03202006_C03202054</t>
  </si>
  <si>
    <t>03202006_C03202056</t>
  </si>
  <si>
    <t>03202006_C03202018</t>
  </si>
  <si>
    <t>03202006_C03202019</t>
  </si>
  <si>
    <t>03202006_C03202031</t>
  </si>
  <si>
    <t>03202006_C03202032</t>
  </si>
  <si>
    <t>03202006_C03202034</t>
  </si>
  <si>
    <t>03202006_C03202035</t>
  </si>
  <si>
    <t>03202006_C03202036</t>
  </si>
  <si>
    <t>03202006_C03202040</t>
  </si>
  <si>
    <t>03202006_C03202045</t>
  </si>
  <si>
    <t>03202006_C03202046</t>
  </si>
  <si>
    <t>03202006_C03202050</t>
  </si>
  <si>
    <t>03202006_C03202055</t>
  </si>
  <si>
    <t>Servicios de monitoreo Meteorologico</t>
  </si>
  <si>
    <t>Servicios de instalacion</t>
  </si>
  <si>
    <t>Certificacion y registro de Bonos de carbono</t>
  </si>
  <si>
    <t>11601028_C11601001</t>
  </si>
  <si>
    <t>Gasto por menor valor pagado por el cliente</t>
  </si>
  <si>
    <t>Los ingresos por servicios meterologicos se reconocen en el momento de la prestacion del servicio./u000a/u000aEl plazo normal por el servicio prestado generalmente se realiza entre 30 y 60 días partiendo de la fecha de facturacion del servicio.</t>
  </si>
  <si>
    <t>12806001_C12801003</t>
  </si>
  <si>
    <t>La compañía proporciona servicios de instalacion, incluidos dentro del servicio de monitoreo meteorologico</t>
  </si>
  <si>
    <t>Los ingresos por el servicio de certificacion y registro publico de las inicitavias de mitigacion de gases efecto invernadero (GEI) /u000a/u000aEl plazo normal por el servicio prestado generalemt</t>
  </si>
  <si>
    <t>13509004_C12912001</t>
  </si>
  <si>
    <t>La Compañía arrienda dos activos que incluyen una bodega  y el arrendamiento de una oficina. Los contratos de arrendamiento no tienen opción de compra.</t>
  </si>
  <si>
    <t>Posterior al reconocimiento inicial, no se han incorporado nuevos activos por derecho de uso durante el periodo, las adiciones corresponden a un aumento de canon por arrendamiento</t>
  </si>
  <si>
    <t>12903001_C12907002</t>
  </si>
  <si>
    <t>12903002_C12907002</t>
  </si>
  <si>
    <t>12903003_C12907002</t>
  </si>
  <si>
    <t>12903004_C12907002</t>
  </si>
  <si>
    <t>11201005_C11201002</t>
  </si>
  <si>
    <t>11201004_C11201002</t>
  </si>
  <si>
    <t>DERECHO FIDUCIARIO</t>
  </si>
  <si>
    <t>13802013_C13801001</t>
  </si>
  <si>
    <t>13501024_C13501002</t>
  </si>
  <si>
    <t>13601000_C13601004</t>
  </si>
  <si>
    <t>13501025_C13501002</t>
  </si>
  <si>
    <t>13701002_C13701001</t>
  </si>
  <si>
    <t>11010001_C11001003</t>
  </si>
  <si>
    <t>11010002_C11001003</t>
  </si>
  <si>
    <t>11201006_C11201002</t>
  </si>
  <si>
    <t>2021-02-14</t>
  </si>
  <si>
    <t>01401035_C01401001</t>
  </si>
  <si>
    <t>02301179_C02301001</t>
  </si>
  <si>
    <t>02101051_C02101001</t>
  </si>
  <si>
    <t>01701011_C01701002</t>
  </si>
  <si>
    <t>01701011_C01701008</t>
  </si>
  <si>
    <t>03202030_C03202099</t>
  </si>
  <si>
    <t>03202030_C03202045</t>
  </si>
  <si>
    <t>03202030_C03202044</t>
  </si>
  <si>
    <t>03202030_C03202046</t>
  </si>
  <si>
    <t>01701013_C01701082</t>
  </si>
  <si>
    <t>01701013_C01701088</t>
  </si>
  <si>
    <t>03102029_C03102011</t>
  </si>
  <si>
    <t>05508010_C05508030</t>
  </si>
  <si>
    <t>05508010_C05508106</t>
  </si>
  <si>
    <t>05508010_C05508114</t>
  </si>
  <si>
    <t>05508010_C05508026</t>
  </si>
  <si>
    <t>05502014_C05502026</t>
  </si>
  <si>
    <t>05502014_C05502030</t>
  </si>
  <si>
    <t>05502014_C05502106</t>
  </si>
  <si>
    <t>01701011_C01701120</t>
  </si>
  <si>
    <t>01701011_C01701098</t>
  </si>
  <si>
    <t>01701011_C01701018</t>
  </si>
  <si>
    <t>01701011_C01701104</t>
  </si>
  <si>
    <t>01701011_C01701024</t>
  </si>
  <si>
    <t>01701011_C01701114</t>
  </si>
  <si>
    <t>01201021_C01201001</t>
  </si>
  <si>
    <t>04702005_C04702002</t>
  </si>
  <si>
    <t>04702004_C04702002</t>
  </si>
  <si>
    <t>01701012_C01701104</t>
  </si>
  <si>
    <t>01701012_C01701002</t>
  </si>
  <si>
    <t>01701012_C01701114</t>
  </si>
  <si>
    <t>01701012_C01701120</t>
  </si>
  <si>
    <t>01701012_C01701098</t>
  </si>
  <si>
    <t>01701012_C01701008</t>
  </si>
  <si>
    <t>04702005DU2_C04702001</t>
  </si>
  <si>
    <t>04702005DU2_C04702003</t>
  </si>
  <si>
    <t>13502004_C13501003</t>
  </si>
  <si>
    <t>08101021_C08101001</t>
  </si>
  <si>
    <t>13502004_C13501002</t>
  </si>
  <si>
    <t>13802013_C13801002</t>
  </si>
  <si>
    <t>12908051_C12902003</t>
  </si>
  <si>
    <t>12908043_C12902007</t>
  </si>
  <si>
    <t>12904018_C12909002</t>
  </si>
  <si>
    <t>11601006_C11601002</t>
  </si>
  <si>
    <t>No aplica</t>
  </si>
  <si>
    <t>01201023_C01201001</t>
  </si>
  <si>
    <t>06003004_C06003001</t>
  </si>
  <si>
    <t>02201064_C02201001</t>
  </si>
  <si>
    <t>01201008_C01201001</t>
  </si>
  <si>
    <t>06003003_C06003001</t>
  </si>
  <si>
    <t>02201062_C02201001</t>
  </si>
  <si>
    <t>02201180_C02201001</t>
  </si>
  <si>
    <t>02301031_C02301001</t>
  </si>
  <si>
    <t>01601070_C01601001</t>
  </si>
  <si>
    <t>13801003_C13801001</t>
  </si>
  <si>
    <t>08101023_C08101001</t>
  </si>
  <si>
    <t>08201019_C08201001</t>
  </si>
  <si>
    <t>13201012_C13201001</t>
  </si>
  <si>
    <t>08101008_C08101001</t>
  </si>
  <si>
    <t>13201011_C13201001</t>
  </si>
  <si>
    <t>12907009_C12901001</t>
  </si>
  <si>
    <t>11701007_C11701002</t>
  </si>
  <si>
    <t>07902004_C07902006</t>
  </si>
  <si>
    <t>07902004_C07902007</t>
  </si>
  <si>
    <t>07903004_C07903001</t>
  </si>
  <si>
    <t>07905004_C07905002</t>
  </si>
  <si>
    <t>07902017_C07902002</t>
  </si>
  <si>
    <t>07902017_C07902003</t>
  </si>
  <si>
    <t>07902017_C07902006</t>
  </si>
  <si>
    <t>07902017_C07902007</t>
  </si>
  <si>
    <t>07902017_C07902010</t>
  </si>
  <si>
    <t>07902017_C07902011</t>
  </si>
  <si>
    <t>07902020_C07902002</t>
  </si>
  <si>
    <t>07902020_C07902003</t>
  </si>
  <si>
    <t>07902020_C07902006</t>
  </si>
  <si>
    <t>07902020_C07902007</t>
  </si>
  <si>
    <t>07902020_C07902010</t>
  </si>
  <si>
    <t>07902020_C07902011</t>
  </si>
  <si>
    <t>07902014_C07902002</t>
  </si>
  <si>
    <t>07902016_C07902002</t>
  </si>
  <si>
    <t>07902016_C07902003</t>
  </si>
  <si>
    <t>07902014_C07902003</t>
  </si>
  <si>
    <t>07902016_C07902006</t>
  </si>
  <si>
    <t>07902014_C07902006</t>
  </si>
  <si>
    <t>07902014_C07902007</t>
  </si>
  <si>
    <t>07902016_C07902007</t>
  </si>
  <si>
    <t>07902014_C07902010</t>
  </si>
  <si>
    <t>07902016_C07902010</t>
  </si>
  <si>
    <t>07902004_C07902002</t>
  </si>
  <si>
    <t>07902004_C07902003</t>
  </si>
  <si>
    <t>07902004_C07902010</t>
  </si>
  <si>
    <t>07902010_C07902002</t>
  </si>
  <si>
    <t>07902010_C07902003</t>
  </si>
  <si>
    <t>07902010_C07902006</t>
  </si>
  <si>
    <t>07902010_C07902007</t>
  </si>
  <si>
    <t>07902010_C07902010</t>
  </si>
  <si>
    <t>07902012_C07902002</t>
  </si>
  <si>
    <t>07902012_C07902003</t>
  </si>
  <si>
    <t>07902012_C07902006</t>
  </si>
  <si>
    <t>07902012_C07902007</t>
  </si>
  <si>
    <t>07902012_C07902010</t>
  </si>
  <si>
    <t>13301001_C13301002</t>
  </si>
  <si>
    <t>01201014_C01201001</t>
  </si>
  <si>
    <t>01201016_C01201001</t>
  </si>
  <si>
    <t>01201033_C01201001</t>
  </si>
  <si>
    <t>01201034_C01201001</t>
  </si>
  <si>
    <t>01201042_C01201001</t>
  </si>
  <si>
    <t>01201048_C01201001</t>
  </si>
  <si>
    <t>01201050_C01201001</t>
  </si>
  <si>
    <t>01201064_C01201001</t>
  </si>
  <si>
    <t>01201065_C01201001</t>
  </si>
  <si>
    <t>01201076_C01201001</t>
  </si>
  <si>
    <t>01201078_C01201001</t>
  </si>
  <si>
    <t>01201079_C01201001</t>
  </si>
  <si>
    <t>01301013_C01301001</t>
  </si>
  <si>
    <t>01301022_C01301001</t>
  </si>
  <si>
    <t>01301024_C01301001</t>
  </si>
  <si>
    <t>01301028_C01301001</t>
  </si>
  <si>
    <t>01401032_C01401001</t>
  </si>
  <si>
    <t>01401034_C01401001</t>
  </si>
  <si>
    <t>01701018_C01701002</t>
  </si>
  <si>
    <t>01701018_C01701008</t>
  </si>
  <si>
    <t>01701018_C01701018</t>
  </si>
  <si>
    <t>01701018_C01701024</t>
  </si>
  <si>
    <t>01701018_C01701074</t>
  </si>
  <si>
    <t>01701018_C01701080</t>
  </si>
  <si>
    <t>01701008_C01701090</t>
  </si>
  <si>
    <t>01701017_C01701090</t>
  </si>
  <si>
    <t>01701018_C01701090</t>
  </si>
  <si>
    <t>01701008_C01701096</t>
  </si>
  <si>
    <t>01701017_C01701096</t>
  </si>
  <si>
    <t>01701018_C01701096</t>
  </si>
  <si>
    <t>01701008_C01701098</t>
  </si>
  <si>
    <t>01701017_C01701098</t>
  </si>
  <si>
    <t>01701018_C01701098</t>
  </si>
  <si>
    <t>01701008_C01701104</t>
  </si>
  <si>
    <t>01701017_C01701104</t>
  </si>
  <si>
    <t>01701018_C01701104</t>
  </si>
  <si>
    <t>01701008_C01701114</t>
  </si>
  <si>
    <t>01701017_C01701114</t>
  </si>
  <si>
    <t>01701018_C01701114</t>
  </si>
  <si>
    <t>01701008_C01701120</t>
  </si>
  <si>
    <t>01701017_C01701120</t>
  </si>
  <si>
    <t>01701018_C01701120</t>
  </si>
  <si>
    <t>08501003_C08501001</t>
  </si>
  <si>
    <t>08501020_C08501001</t>
  </si>
  <si>
    <t>08501006_C08501001</t>
  </si>
  <si>
    <t>08501008_C08501001</t>
  </si>
  <si>
    <t>08501017_C08501001</t>
  </si>
  <si>
    <t>08501018_C08501001</t>
  </si>
  <si>
    <t>08501003_C08501002</t>
  </si>
  <si>
    <t>08501020_C08501002</t>
  </si>
  <si>
    <t>08501006_C08501002</t>
  </si>
  <si>
    <t>08501008_C08501002</t>
  </si>
  <si>
    <t>08501017_C08501002</t>
  </si>
  <si>
    <t>08501018_C08501002</t>
  </si>
  <si>
    <t>08501003_C08501003</t>
  </si>
  <si>
    <t>08501020_C08501003</t>
  </si>
  <si>
    <t>08501006_C08501003</t>
  </si>
  <si>
    <t>08501008_C08501003</t>
  </si>
  <si>
    <t>08501017_C08501003</t>
  </si>
  <si>
    <t>08501018_C08501003</t>
  </si>
  <si>
    <t>08501003_C08501004</t>
  </si>
  <si>
    <t>08501020_C08501004</t>
  </si>
  <si>
    <t>08501006_C08501004</t>
  </si>
  <si>
    <t>08501008_C08501004</t>
  </si>
  <si>
    <t>08501017_C08501004</t>
  </si>
  <si>
    <t>08501018_C08501004</t>
  </si>
  <si>
    <t>08501003_C08501005</t>
  </si>
  <si>
    <t>08501020_C08501005</t>
  </si>
  <si>
    <t>08501006_C08501005</t>
  </si>
  <si>
    <t>08501008_C08501005</t>
  </si>
  <si>
    <t>08501017_C08501005</t>
  </si>
  <si>
    <t>08501018_C08501005</t>
  </si>
  <si>
    <t>08501003_C08501007</t>
  </si>
  <si>
    <t>08501020_C08501007</t>
  </si>
  <si>
    <t>08501020_C08501026</t>
  </si>
  <si>
    <t>08501018_C08501026</t>
  </si>
  <si>
    <t>08501020_C08501027</t>
  </si>
  <si>
    <t>08501018_C08501027</t>
  </si>
  <si>
    <t>08501020_C08501032</t>
  </si>
  <si>
    <t>08501008_C08501032</t>
  </si>
  <si>
    <t>08501017_C08501032</t>
  </si>
  <si>
    <t>08501018_C08501032</t>
  </si>
  <si>
    <t>08101014_C08101001</t>
  </si>
  <si>
    <t>08101016_C08101001</t>
  </si>
  <si>
    <t>08101033_C08101001</t>
  </si>
  <si>
    <t>08101034_C08101001</t>
  </si>
  <si>
    <t>08101042_C08101001</t>
  </si>
  <si>
    <t>08101048_C08101001</t>
  </si>
  <si>
    <t>08101050_C08101001</t>
  </si>
  <si>
    <t>08101064_C08101001</t>
  </si>
  <si>
    <t>08101065_C08101001</t>
  </si>
  <si>
    <t>08101076_C08101001</t>
  </si>
  <si>
    <t>08101078_C08101001</t>
  </si>
  <si>
    <t>08101079_C08101001</t>
  </si>
  <si>
    <t>08201013_C08201001</t>
  </si>
  <si>
    <t>08201022_C08201001</t>
  </si>
  <si>
    <t>08201024_C08201001</t>
  </si>
  <si>
    <t>08201026_C08201001</t>
  </si>
  <si>
    <t>08301032_C08301001</t>
  </si>
  <si>
    <t>08301034_C08301001</t>
  </si>
  <si>
    <t>12003002_C12002003</t>
  </si>
  <si>
    <t>12003009_C12002003</t>
  </si>
  <si>
    <t>12003001_C12002003</t>
  </si>
  <si>
    <t>11701005_C11701002</t>
  </si>
  <si>
    <t>11701003_C11701002</t>
  </si>
  <si>
    <t>Todas los erogaciones laborales, tales como salarios, bonificaciones, comisiones de exito, etc., que se deban pagar con acciones de la compañía o de otra entidad del grupo. Los valores relacionados en este punto, se deben excluir de los valores relacionados en los puntos anteriores</t>
  </si>
  <si>
    <t>13702025_C13701007</t>
  </si>
  <si>
    <t>San Francisco Investment S.A.S.</t>
  </si>
  <si>
    <t>13702026_C13701007</t>
  </si>
  <si>
    <t>13702027_C13701007</t>
  </si>
  <si>
    <t>13702028_C13701007</t>
  </si>
  <si>
    <t>13702029_C13701007</t>
  </si>
  <si>
    <t>13702032_C13701007</t>
  </si>
  <si>
    <t>Equipamientos Urbanos Nacionales de Colombia SA</t>
  </si>
  <si>
    <t>13702033_C13701007</t>
  </si>
  <si>
    <t>13702034_C13701007</t>
  </si>
  <si>
    <t>13702035_C13701007</t>
  </si>
  <si>
    <t>13702036_C13701007</t>
  </si>
  <si>
    <t>Paute Facil.Com S.AS.</t>
  </si>
  <si>
    <t>13702037_C13701007</t>
  </si>
  <si>
    <t>13702038_C13701007</t>
  </si>
  <si>
    <t>13702039_C13701007</t>
  </si>
  <si>
    <t>13702040_C13701007</t>
  </si>
  <si>
    <t>13702041_C13701007</t>
  </si>
  <si>
    <t>13702042_C13701007</t>
  </si>
  <si>
    <t>13702044_C13701007</t>
  </si>
  <si>
    <t>13702045_C13701007</t>
  </si>
  <si>
    <t>13702046_C13701007</t>
  </si>
  <si>
    <t>13702047_C13701007</t>
  </si>
  <si>
    <t>13702048_C13701007</t>
  </si>
  <si>
    <t>13702002_C13701007</t>
  </si>
  <si>
    <t>13702003_C13701007</t>
  </si>
  <si>
    <t>13702004_C13701007</t>
  </si>
  <si>
    <t>13702005_C13701007</t>
  </si>
  <si>
    <t>13702006_C13701007</t>
  </si>
  <si>
    <t>13702007_C13701007</t>
  </si>
  <si>
    <t>13702008_C13701007</t>
  </si>
  <si>
    <t>13702009_C13701007</t>
  </si>
  <si>
    <t>13702010_C13701007</t>
  </si>
  <si>
    <t>13702011_C13701007</t>
  </si>
  <si>
    <t>Fideicomiso FA Hotel SF</t>
  </si>
  <si>
    <t>13702012_C13701007</t>
  </si>
  <si>
    <t>Fideicomiso FA Residencias SF</t>
  </si>
  <si>
    <t>13702024_C13701007</t>
  </si>
  <si>
    <t>13702023_C13701007</t>
  </si>
  <si>
    <t>13702022_C13701007</t>
  </si>
  <si>
    <t>PrimeValueService S.A.S</t>
  </si>
  <si>
    <t>13702021_C13701007</t>
  </si>
  <si>
    <t>13702020_C13701007</t>
  </si>
  <si>
    <t>PrimeFinanzas SAS</t>
  </si>
  <si>
    <t>13702019_C13701007</t>
  </si>
  <si>
    <t>13702018_C13701007</t>
  </si>
  <si>
    <t>13702017_C13701007</t>
  </si>
  <si>
    <t>13702016_C13701007</t>
  </si>
  <si>
    <t>13702015_C13701007</t>
  </si>
  <si>
    <t>13702014_C13701007</t>
  </si>
  <si>
    <t>13702013_C13701007</t>
  </si>
  <si>
    <t>11602001_C11601005</t>
  </si>
  <si>
    <t>11602002_C11601005</t>
  </si>
  <si>
    <t>11602003_C11601005</t>
  </si>
  <si>
    <t>11602004_C11601005</t>
  </si>
  <si>
    <t>11602005_C11601005</t>
  </si>
  <si>
    <t>11602006_C11601005</t>
  </si>
  <si>
    <t>11602007_C11601005</t>
  </si>
  <si>
    <t>11602008_C11601005</t>
  </si>
  <si>
    <t>11602009_C11601005</t>
  </si>
  <si>
    <t>11602010_C11601005</t>
  </si>
  <si>
    <t>11602011_C11601005</t>
  </si>
  <si>
    <t>11602012_C11601005</t>
  </si>
  <si>
    <t>11602013_C11601005</t>
  </si>
  <si>
    <t>11602014_C11601005</t>
  </si>
  <si>
    <t>11602015_C11601005</t>
  </si>
  <si>
    <t>11602016_C11601005</t>
  </si>
  <si>
    <t>11602017_C11601005</t>
  </si>
  <si>
    <t>11602018_C11601005</t>
  </si>
  <si>
    <t>11602019_C11601005</t>
  </si>
  <si>
    <t>11602020_C11601005</t>
  </si>
  <si>
    <t>11602021_C11601005</t>
  </si>
  <si>
    <t>11602022_C11601005</t>
  </si>
  <si>
    <t>11602023_C11601005</t>
  </si>
  <si>
    <t>11602024_C11601005</t>
  </si>
  <si>
    <t>11602025_C11601005</t>
  </si>
  <si>
    <t>11602026_C11601005</t>
  </si>
  <si>
    <t>11602027_C11601005</t>
  </si>
  <si>
    <t>11602028_C11601005</t>
  </si>
  <si>
    <t>11602029_C11601005</t>
  </si>
  <si>
    <t>11602030_C11601005</t>
  </si>
  <si>
    <t>11602031_C11601005</t>
  </si>
  <si>
    <t>11602032_C11601005</t>
  </si>
  <si>
    <t>11602033_C11601005</t>
  </si>
  <si>
    <t>11602034_C11601005</t>
  </si>
  <si>
    <t>11602035_C11601005</t>
  </si>
  <si>
    <t>Valorem S.A.S.</t>
  </si>
  <si>
    <t>11602036_C11601005</t>
  </si>
  <si>
    <t>11602038_C11601005</t>
  </si>
  <si>
    <t>11602039_C11601005</t>
  </si>
  <si>
    <t>11602040_C11601005</t>
  </si>
  <si>
    <t>11602041_C11601005</t>
  </si>
  <si>
    <t>11602042_C11601005</t>
  </si>
  <si>
    <t>11602043_C11601005</t>
  </si>
  <si>
    <t>11602044_C11601005</t>
  </si>
  <si>
    <t>11602045_C11601005</t>
  </si>
  <si>
    <t>11602046_C11601005</t>
  </si>
  <si>
    <t>11602047_C11601005</t>
  </si>
  <si>
    <t>11602048_C11601005</t>
  </si>
  <si>
    <t>11602050_C11601005</t>
  </si>
  <si>
    <t>11602051_C11601005</t>
  </si>
  <si>
    <t>11602052_C11601005</t>
  </si>
  <si>
    <t>11602053_C11601005</t>
  </si>
  <si>
    <t>11602054_C11601005</t>
  </si>
  <si>
    <t>11602055_C11601005</t>
  </si>
  <si>
    <t>11602056_C11601005</t>
  </si>
  <si>
    <t>11602058_C11601005</t>
  </si>
  <si>
    <t>11602059_C11601005</t>
  </si>
  <si>
    <t>11602060_C11601005</t>
  </si>
  <si>
    <t>11602061_C11601005</t>
  </si>
  <si>
    <t>11602062_C11601005</t>
  </si>
  <si>
    <t>11602063_C11601005</t>
  </si>
  <si>
    <t>11602065_C11601005</t>
  </si>
  <si>
    <t>11602069_C11601005</t>
  </si>
  <si>
    <t>11602070_C11601005</t>
  </si>
  <si>
    <t>11602073_C11601005</t>
  </si>
  <si>
    <t>11602074_C11601005</t>
  </si>
  <si>
    <t>11602075_C11601005</t>
  </si>
  <si>
    <t>11602077_C11601005</t>
  </si>
  <si>
    <t>11602078_C11601005</t>
  </si>
  <si>
    <t>11602079_C11601005</t>
  </si>
  <si>
    <t>11602080_C11601005</t>
  </si>
  <si>
    <t>01301005_C01301001</t>
  </si>
  <si>
    <t>01701018_C01701034</t>
  </si>
  <si>
    <t>01701018_C01701040</t>
  </si>
  <si>
    <t>08501018_C08501007</t>
  </si>
  <si>
    <t>08501020_C08501010</t>
  </si>
  <si>
    <t>08501018_C08501010</t>
  </si>
  <si>
    <t>12603023_C12601003</t>
  </si>
  <si>
    <t>12603024_C12601003</t>
  </si>
  <si>
    <t>12603025_C12601003</t>
  </si>
  <si>
    <t>12603026_C12601003</t>
  </si>
  <si>
    <t>12603027_C12601003</t>
  </si>
  <si>
    <t>12603028_C12601003</t>
  </si>
  <si>
    <t>12603029_C12601003</t>
  </si>
  <si>
    <t>12603030_C12601003</t>
  </si>
  <si>
    <t>12603031_C12601003</t>
  </si>
  <si>
    <t>12603032_C12601003</t>
  </si>
  <si>
    <t>12603033_C12601003</t>
  </si>
  <si>
    <t>12603035_C12601003</t>
  </si>
  <si>
    <t>12603036_C12601003</t>
  </si>
  <si>
    <t>12603037_C12601003</t>
  </si>
  <si>
    <t>12603038_C12601003</t>
  </si>
  <si>
    <t>12603039_C12601003</t>
  </si>
  <si>
    <t>12603040_C12601003</t>
  </si>
  <si>
    <t>12603041_C12601003</t>
  </si>
  <si>
    <t>12603042_C12601003</t>
  </si>
  <si>
    <t>12603043_C12601003</t>
  </si>
  <si>
    <t>12603044_C12601003</t>
  </si>
  <si>
    <t>12603001_C12601003</t>
  </si>
  <si>
    <t>12603002_C12601003</t>
  </si>
  <si>
    <t>12603003_C12601003</t>
  </si>
  <si>
    <t>12603004_C12601003</t>
  </si>
  <si>
    <t>12603005_C12601003</t>
  </si>
  <si>
    <t>12603006_C12601003</t>
  </si>
  <si>
    <t>12603007_C12601003</t>
  </si>
  <si>
    <t>12603008_C12601003</t>
  </si>
  <si>
    <t>12603009_C12601003</t>
  </si>
  <si>
    <t>12603010_C12601003</t>
  </si>
  <si>
    <t>12603011_C12601003</t>
  </si>
  <si>
    <t>12603012_C12601003</t>
  </si>
  <si>
    <t>12603013_C12601003</t>
  </si>
  <si>
    <t>12603014_C12601003</t>
  </si>
  <si>
    <t>12603015_C12601003</t>
  </si>
  <si>
    <t>12603016_C12601003</t>
  </si>
  <si>
    <t>12603017_C12601003</t>
  </si>
  <si>
    <t>12603018_C12601003</t>
  </si>
  <si>
    <t>12603019_C12601003</t>
  </si>
  <si>
    <t>12603020_C12601003</t>
  </si>
  <si>
    <t>12603021_C12601003</t>
  </si>
  <si>
    <t>12603022_C12601003</t>
  </si>
  <si>
    <t>Además verifique que los terceros registrados en las cuentas anteriores corresponden a una parte relacionada definida en los renglones 10 y 11</t>
  </si>
  <si>
    <t>Cuenta Contable</t>
  </si>
  <si>
    <t>12901006_C12901001</t>
  </si>
  <si>
    <t>12907007_C12901001</t>
  </si>
  <si>
    <t>02201102_C02201001</t>
  </si>
  <si>
    <t>01701018_C01701082</t>
  </si>
  <si>
    <t>01701018_C01701088</t>
  </si>
  <si>
    <t>08501018_C08501030</t>
  </si>
  <si>
    <t>08501020_C08501030</t>
  </si>
  <si>
    <t>08201005_C08201001</t>
  </si>
  <si>
    <t>11102008_C11102001</t>
  </si>
  <si>
    <t xml:space="preserve">Según contrato con CENIT, el 10% del total de la facturación debe quedar en derecho fiduciario para poder cubrir cualquier contingencia o incumplimiento por parte de Canal Clima, y sólo CENIT podrá autorizar hacer movimientos de retiro de dinero de esa cuenta			</t>
  </si>
  <si>
    <t>11601011_C11601002</t>
  </si>
</sst>
</file>

<file path=xl/styles.xml><?xml version="1.0" encoding="utf-8"?>
<styleSheet xmlns="http://schemas.openxmlformats.org/spreadsheetml/2006/main" xmlns:mc="http://schemas.openxmlformats.org/markup-compatibility/2006" xmlns:x14ac="http://schemas.microsoft.com/office/spreadsheetml/2009/9/ac" mc:Ignorable="x14ac">
  <numFmts count="203">
    <numFmt numFmtId="5" formatCode="&quot;$&quot;\ #,##0;\-&quot;$&quot;\ #,##0"/>
    <numFmt numFmtId="6" formatCode="&quot;$&quot;\ #,##0;[Red]\-&quot;$&quot;\ #,##0"/>
    <numFmt numFmtId="8" formatCode="&quot;$&quot;\ #,##0.00;[Red]\-&quot;$&quot;\ #,##0.00"/>
    <numFmt numFmtId="42" formatCode="_-&quot;$&quot;\ * #,##0_-;\-&quot;$&quot;\ * #,##0_-;_-&quot;$&quot;\ * &quot;-&quot;_-;_-@_-"/>
    <numFmt numFmtId="41" formatCode="_-* #,##0_-;\-* #,##0_-;_-* &quot;-&quot;_-;_-@_-"/>
    <numFmt numFmtId="44" formatCode="_-&quot;$&quot;\ * #,##0.00_-;\-&quot;$&quot;\ * #,##0.00_-;_-&quot;$&quot;\ * &quot;-&quot;??_-;_-@_-"/>
    <numFmt numFmtId="43" formatCode="_-* #,##0.00_-;\-* #,##0.00_-;_-* &quot;-&quot;??_-;_-@_-"/>
    <numFmt numFmtId="164" formatCode="_ * #,##0.00_)_N_$_ ;_ * \(#,##0.00\)_N_$_ ;_ * &quot;-&quot;??_)_N_$_ ;_ @_ "/>
    <numFmt numFmtId="165" formatCode="_-* #,##0.00\ _$_-;\-* #,##0.00\ _$_-;_-* &quot;-&quot;??\ _$_-;_-@_-"/>
    <numFmt numFmtId="166" formatCode="#,##0;[Red]\(#,##0\)"/>
    <numFmt numFmtId="167" formatCode="_-&quot;¤&quot;* #,##0_-;\-&quot;¤&quot;* #,##0_-;_-&quot;¤&quot;* &quot;-&quot;_-;_-@_-"/>
    <numFmt numFmtId="168" formatCode="\$#,##0_);[Red]\(\$#,##0\)"/>
    <numFmt numFmtId="169" formatCode="_-&quot;\&quot;* #,##0_-;\-&quot;\&quot;* #,##0_-;_-&quot;\&quot;* &quot;-&quot;_-;_-@_-"/>
    <numFmt numFmtId="170" formatCode="&quot;\&quot;#,##0.00;[Red]&quot;\&quot;\-#,##0.00"/>
    <numFmt numFmtId="171" formatCode="&quot;\&quot;#,##0;[Red]&quot;\&quot;\-#,##0"/>
    <numFmt numFmtId="172" formatCode="0.0_)\%;\(0.0\)\%;0.0_)\%;@_)_%"/>
    <numFmt numFmtId="173" formatCode="#,##0.0_)_%;\(#,##0.0\)_%;0.0_)_%;@_)_%"/>
    <numFmt numFmtId="174" formatCode="#,##0.0_);\(#,##0.0\);#,##0.0_);@_)"/>
    <numFmt numFmtId="175" formatCode="&quot;€&quot;_(#,##0.00_);&quot;€&quot;\(#,##0.00\);&quot;€&quot;_(0.00_);@_)"/>
    <numFmt numFmtId="176" formatCode="&quot;$&quot;_(#,##0.00_);&quot;$&quot;\(#,##0.00\);&quot;$&quot;_(0.00_);@_)"/>
    <numFmt numFmtId="177" formatCode="#,##0.0\x"/>
    <numFmt numFmtId="178" formatCode="&quot;R$ &quot;_(#,##0.00_);&quot;R$ &quot;\(#,##0.00\);&quot;R$ &quot;_(0.00_);@_)"/>
    <numFmt numFmtId="179" formatCode="#,##0.00_);\(#,##0.00\);0.00_);@_)"/>
    <numFmt numFmtId="180" formatCode="#,##0.00_ ;[Red]\-#,##0.00;\-"/>
    <numFmt numFmtId="181" formatCode="#,##0,,\ \ \ \ \ \ \ \ \ \ \ "/>
    <numFmt numFmtId="182" formatCode="#,##0.0000\ \ "/>
    <numFmt numFmtId="183" formatCode="#,##0.000_%_);\(#,##0.000\)_%;**;@_%_)"/>
    <numFmt numFmtId="184" formatCode="_-* #,##0\ _€_-;\-* #,##0\ _€_-;_-* &quot;-&quot;\ _€_-;_-@_-"/>
    <numFmt numFmtId="185" formatCode="#,##0.000000"/>
    <numFmt numFmtId="186" formatCode="0.000000"/>
    <numFmt numFmtId="187" formatCode="\€_(#,##0.00_);\€\(#,##0.00\);\€_(0.00_);@_)"/>
    <numFmt numFmtId="188" formatCode="#,##0.00\x"/>
    <numFmt numFmtId="189" formatCode="#,##0_)_x;\(#,##0\)_x;0_)_x;@_)_x"/>
    <numFmt numFmtId="190" formatCode="#,##0.000000_);\(#,##0.000000\)"/>
    <numFmt numFmtId="191" formatCode="#,##0.0\x_);\(#,##0.0\x\);#,##0.0\x_);@_)"/>
    <numFmt numFmtId="192" formatCode="#,##0.0\%_);\(#,##0.0\%\);#,##0.0\%_);@_)"/>
    <numFmt numFmtId="193" formatCode="#,##0.000_%_);\(#,##0.000\)_%;#,##0.000_%_);@_%_)"/>
    <numFmt numFmtId="194" formatCode=";;;@*."/>
    <numFmt numFmtId="195" formatCode="#,##0.0\x_);\(#,##0.0\x\)"/>
    <numFmt numFmtId="196" formatCode="#,##0.00_ ;\(#,##0.00\)"/>
    <numFmt numFmtId="197" formatCode="#,##0.0\x_);\(###0.0\x\)"/>
    <numFmt numFmtId="198" formatCode="[$£-809]#,##0.0"/>
    <numFmt numFmtId="199" formatCode="#,##0.0_x_);\(#,##0.0_x\)"/>
    <numFmt numFmtId="200" formatCode="\£\ #,##0_);[Red]\(\£\ #,##0\)"/>
    <numFmt numFmtId="201" formatCode="\¥\ #,##0_);[Red]\(\¥\ #,##0\)"/>
    <numFmt numFmtId="202" formatCode="#,##0;\(#,##0\);&quot;-&quot;"/>
    <numFmt numFmtId="203" formatCode="#,##0.0_x_);\(#,##0\)_x"/>
    <numFmt numFmtId="204" formatCode="0.0%"/>
    <numFmt numFmtId="205" formatCode="0_)"/>
    <numFmt numFmtId="206" formatCode="0.00%;[Red]\-0.00%;&quot;－&quot;"/>
    <numFmt numFmtId="207" formatCode="&quot;$&quot;#,###._;\(&quot;$&quot;###0.0\ȩ;"/>
    <numFmt numFmtId="208" formatCode="0.00\ ;\(0.00\)"/>
    <numFmt numFmtId="209" formatCode="&quot;(&quot;0%&quot;)   &quot;;[Red]\-&quot;(&quot;0%&quot;)   &quot;;&quot;－    &quot;"/>
    <numFmt numFmtId="210" formatCode="_-* #,##0.00\ &quot;$&quot;_-;\-* #,##0.00\ &quot;$&quot;_-;_-* &quot;-&quot;??\ &quot;$&quot;_-;_-@_-"/>
    <numFmt numFmtId="211" formatCode="_ * #,##0_)_£_ ;_ * \(#,##0\)_£_ ;_ * &quot;-&quot;_)_£_ ;_ @_ "/>
    <numFmt numFmtId="212" formatCode="_(* #,##0_);_(* \(#,##0\)"/>
    <numFmt numFmtId="213" formatCode="d\-mmm\-yyyy"/>
    <numFmt numFmtId="214" formatCode="_(&quot;$&quot;* #,##0.00_);_(&quot;$&quot;* \(#,##0.00\);_(* &quot;-&quot;_);_(@_)"/>
    <numFmt numFmtId="215" formatCode="_-&quot;‏¤‏&quot;* #,##0_-;\-&quot;‏¤‏&quot;* #,##0_-;_-&quot;‏¤‏&quot;* &quot;-&quot;_-;_-@_-"/>
    <numFmt numFmtId="216" formatCode="\ \+* #,##0\ ;\ \-* #,##0\ ;\ \±* 0\ "/>
    <numFmt numFmtId="217" formatCode="#,##0.0"/>
    <numFmt numFmtId="218" formatCode="mm/dd/yy"/>
    <numFmt numFmtId="219" formatCode="_(* #,##0\ &quot;pta&quot;_);_(* \(#,##0\ &quot;pta&quot;\);_(* &quot;-&quot;??\ &quot;pta&quot;_);_(@_)"/>
    <numFmt numFmtId="220" formatCode="&quot;$&quot;#,##0.00"/>
    <numFmt numFmtId="221" formatCode="###\ ###0"/>
    <numFmt numFmtId="222" formatCode="[Blue]#,##0\ \ \ ;[Blue]\(#,##0\)\ \ "/>
    <numFmt numFmtId="223" formatCode="#,##0.0_);[Red]\(#,##0.0\)"/>
    <numFmt numFmtId="224" formatCode="&quot;$&quot;\ #,##0;&quot;$&quot;\ \-#,##0"/>
    <numFmt numFmtId="225" formatCode="\•\ \ @"/>
    <numFmt numFmtId="226" formatCode="#,##0.0;\-#,##0.0"/>
    <numFmt numFmtId="227" formatCode="&quot;$&quot;#,###.;\(&quot;$&quot;###0.00\);"/>
    <numFmt numFmtId="228" formatCode="&quot;$&quot;#,##0.0_);\(&quot;$&quot;#,##0.0\)"/>
    <numFmt numFmtId="229" formatCode="#,##0\ &quot;€&quot;;\-#,##0\ &quot;€&quot;"/>
    <numFmt numFmtId="230" formatCode="#,##0;\-#,##0;&quot;-&quot;"/>
    <numFmt numFmtId="231" formatCode="_(* #,##0_);[Red]_(* \(#,##0\);_(* &quot;&quot;\ \-\ &quot;&quot;_);_(@_)"/>
    <numFmt numFmtId="232" formatCode="_(* #,##0_);[Red]_(* \(#,##0\);_(* &quot;&quot;&quot;&quot;\ \-\ &quot;&quot;&quot;&quot;_);_(@_)"/>
    <numFmt numFmtId="233" formatCode="_(* #,##0,_);[Red]_(* \(#,##0,\);_(* &quot;&quot;&quot;&quot;\ \-\ &quot;&quot;&quot;&quot;_);_(@_)"/>
    <numFmt numFmtId="234" formatCode="_(* #,##0,,_);_(* \(#,##0,,\);_(* &quot;-&quot;_)"/>
    <numFmt numFmtId="235" formatCode="_(* #,##0_);[Red]_(* \(#,##0\);_(* &quot;&quot;&quot;&quot;&quot;&quot;&quot;&quot;\ \-\ &quot;&quot;&quot;&quot;&quot;&quot;&quot;&quot;_);_(@_)"/>
    <numFmt numFmtId="236" formatCode="General_)"/>
    <numFmt numFmtId="237" formatCode="mmm\ d\,\y\y"/>
    <numFmt numFmtId="238" formatCode="#,##0.0_);\(#,##0.0\);&quot;  -  &quot;"/>
    <numFmt numFmtId="239" formatCode="#,##0.0_);\(#,##0.0\)"/>
    <numFmt numFmtId="240" formatCode="#,##0;\(#,##0\);0"/>
    <numFmt numFmtId="241" formatCode="#,##0.00_%_);\(#,##0.00\)_%;**;@_%_)"/>
    <numFmt numFmtId="242" formatCode="#,##0.00_%_);\(#,##0.00\)_%;#,##0.00_%_);@_%_)"/>
    <numFmt numFmtId="243" formatCode="_-* #,##0.00\ _€_-;\-* #,##0.00\ _€_-;_-* &quot;-&quot;??\ _€_-;_-@_-"/>
    <numFmt numFmtId="244" formatCode="\£\ #,##0.0_);\(\£\ #,##0.0\)"/>
    <numFmt numFmtId="245" formatCode="#,##0.0_%_);\(#,##0.0\)_%;**;@_%_)"/>
    <numFmt numFmtId="246" formatCode="#,##0%_);\(#,##0%\);#,##0%_);@_%_)"/>
    <numFmt numFmtId="247" formatCode="_(&quot;$&quot;* #,##0_);_(&quot;$&quot;* \(#,##0\);_(&quot;$&quot;* &quot;-&quot;??_);_(@_)"/>
    <numFmt numFmtId="248" formatCode="&quot;$&quot;#,##0.00_%_);\(&quot;$&quot;#,##0.00\)_%;**;@_%_)"/>
    <numFmt numFmtId="249" formatCode="&quot;$&quot;#,##0.000_%_);\(&quot;$&quot;#,##0.000\)_%;**;@_%_)"/>
    <numFmt numFmtId="250" formatCode="_ &quot;$&quot;\ * #,##0.00_ ;_ &quot;$&quot;\ * \-#,##0.00_ ;_ &quot;$&quot;\ * &quot;-&quot;??_ ;_ @_ "/>
    <numFmt numFmtId="251" formatCode="#,##0.00000000_);[Red]\(#,##0.00000000\)"/>
    <numFmt numFmtId="252" formatCode="\$#,##0.00_);\(\$#,##0.00\)"/>
    <numFmt numFmtId="253" formatCode="&quot;$&quot;#,##0.0_%_);\(&quot;$&quot;#,##0.0\)_%;**;@_%_)"/>
    <numFmt numFmtId="254" formatCode="&quot;$&quot;\ #,##0.00;&quot;$&quot;\ \-#,##0.00"/>
    <numFmt numFmtId="255" formatCode="&quot;\&quot;#,##0;&quot;\&quot;\-#,##0"/>
    <numFmt numFmtId="256" formatCode="\$#,##0\ ;\(\$#,##0\)"/>
    <numFmt numFmtId="257" formatCode="&quot;$&quot;#,##0\ ;\(&quot;$&quot;#,##0\)"/>
    <numFmt numFmtId="258" formatCode="&quot;$&quot;0.00\ ;\(&quot;$&quot;0.00\)"/>
    <numFmt numFmtId="259" formatCode="\ \ _•\–\ \ \ \ @"/>
    <numFmt numFmtId="260" formatCode="m\o\n\th\ d\,\ \y\y\y\y"/>
    <numFmt numFmtId="261" formatCode="_(* #,##0.000000_);_(* \(#,##0.000000\);_(* &quot;-&quot;??_);_(@_)"/>
    <numFmt numFmtId="262" formatCode="_(* #,##0.00_);_(* \(#,##0.00\);_(* &quot;-&quot;_);_(@_)"/>
    <numFmt numFmtId="263" formatCode="mmm\-d\-yyyy"/>
    <numFmt numFmtId="264" formatCode="mmm\-yyyy"/>
    <numFmt numFmtId="265" formatCode="yyyy_)"/>
    <numFmt numFmtId="266" formatCode="m/d/yy_%_);;**"/>
    <numFmt numFmtId="267" formatCode="m/d/yy_%_)"/>
    <numFmt numFmtId="268" formatCode="m/d/yy\ h:mm"/>
    <numFmt numFmtId="269" formatCode="d\-mmm\-yy\ \ \ h:mm"/>
    <numFmt numFmtId="270" formatCode="_-* #,##0\ &quot;€&quot;_-;\-* #,##0\ &quot;€&quot;_-;_-* &quot;-&quot;\ &quot;€&quot;_-;_-@_-"/>
    <numFmt numFmtId="271" formatCode="_(* #,###.0_);_(* \(#,###.0\);_(* &quot;-&quot;?_);_(@_)"/>
    <numFmt numFmtId="272" formatCode="#,##0.000_);\(#,##0.000\)"/>
    <numFmt numFmtId="273" formatCode="m"/>
    <numFmt numFmtId="274" formatCode="#,##0_);\(#,##0\);&quot;- &quot;;&quot;  &quot;@"/>
    <numFmt numFmtId="275" formatCode="_ * #,##0_)_€_ ;_ * \(#,##0\)_€_ ;_ * &quot;-&quot;_)_€_ ;_ @_ "/>
    <numFmt numFmtId="276" formatCode="_ * #,##0.00_)_€_ ;_ * \(#,##0.00\)_€_ ;_ * &quot;-&quot;??_)_€_ ;_ @_ "/>
    <numFmt numFmtId="277" formatCode="#."/>
    <numFmt numFmtId="278" formatCode="&quot;$&quot;#,##0.0\ \ \ ;\(&quot;$&quot;#,##0.0\)\ \ "/>
    <numFmt numFmtId="279" formatCode="#,##0_);\(#,##0\);&quot; - &quot;_);@_)"/>
    <numFmt numFmtId="280" formatCode="&quot;€&quot;#,##0.0_);\(&quot;€&quot;#,##0.0\)"/>
    <numFmt numFmtId="281" formatCode="#,##0.00\ &quot;€&quot;;\-#,##0.00\ &quot;€&quot;"/>
    <numFmt numFmtId="282" formatCode="\F\R\F\ #,##0.0_%_);\(\F\R\F\ #,##0.0\)_%;\G\R\ #,##0.0_%_);@_%_)"/>
    <numFmt numFmtId="283" formatCode="_-* #,##0_)_-;\-* \(#,##0\)_-;_-* &quot;-&quot;_)_-;_-@_-"/>
    <numFmt numFmtId="284" formatCode="_ [$€-2]\ * #,##0.00_ ;_ [$€-2]\ * \-#,##0.00_ ;_ [$€-2]\ * &quot;-&quot;??_ "/>
    <numFmt numFmtId="285" formatCode="_(\ #,##0.0_%_);_(\ \(#,##0.0_%\);_(\ &quot; - &quot;_%_);_(@_)"/>
    <numFmt numFmtId="286" formatCode="_(* #,##0.0_%_);_(* \(#,##0.0_%\);_(* &quot; - &quot;_%_);_(@_)"/>
    <numFmt numFmtId="287" formatCode="_(\ #,##0.0%_);_(\ \(#,##0.0%\);_(\ &quot; - &quot;\%_);_(@_)"/>
    <numFmt numFmtId="288" formatCode="_(* #,##0.0%_);_(* \(#,##0.0%\);_(* &quot; - &quot;\%_);_(@_)"/>
    <numFmt numFmtId="289" formatCode="_(* #,##0_);_(* \(#,##0\);_(* &quot; - &quot;_);_(@_)"/>
    <numFmt numFmtId="290" formatCode="\ #,##0.0_);\(#,##0.0\);&quot; - &quot;_);@_)"/>
    <numFmt numFmtId="291" formatCode="_(* #,##0.0_);_(* \(#,##0.0\);_(* &quot; - &quot;_);_(@_)"/>
    <numFmt numFmtId="292" formatCode="\ #,##0.00_);\(#,##0.00\);&quot; - &quot;_);@_)"/>
    <numFmt numFmtId="293" formatCode="_(* #,##0.00_);_(* \(#,##0.00\);_(* &quot; - &quot;_);_(@_)"/>
    <numFmt numFmtId="294" formatCode="\ #,##0.000_);\(#,##0.000\);&quot; - &quot;_);@_)"/>
    <numFmt numFmtId="295" formatCode="_(* #,##0.000_);_(* \(#,##0.000\);_(* &quot; - &quot;_);_(@_)"/>
    <numFmt numFmtId="296" formatCode="[Magenta]&quot;Err&quot;;[Magenta]&quot;Err&quot;;[Blue]&quot;OK&quot;"/>
    <numFmt numFmtId="297" formatCode="d\ mmmm\ yyyy"/>
    <numFmt numFmtId="298" formatCode="#,##0;[Red]\(#,##0\);0"/>
    <numFmt numFmtId="299" formatCode="General\ &quot;.&quot;"/>
    <numFmt numFmtId="300" formatCode="#,##0_);[Red]\(#,##0\);\-_)"/>
    <numFmt numFmtId="301" formatCode="0.0_)%;[Red]\(0.0%\);0.0_)%"/>
    <numFmt numFmtId="302" formatCode="[Red][&gt;1]&quot;&gt;100 %&quot;;[Red]\(0.0%\);0.0_)%"/>
    <numFmt numFmtId="303" formatCode="#,000,000"/>
    <numFmt numFmtId="304" formatCode="#,##0.0000_);\(#,##0.0000\);&quot;- &quot;;&quot;  &quot;@"/>
    <numFmt numFmtId="305" formatCode="#,##0;[Red]#,##0"/>
    <numFmt numFmtId="306" formatCode="#,#00"/>
    <numFmt numFmtId="307" formatCode="0000"/>
    <numFmt numFmtId="308" formatCode="0.0000%"/>
    <numFmt numFmtId="309" formatCode="0.0000"/>
    <numFmt numFmtId="310" formatCode="#,##0_);[Red]\(#,##0\);\-\-\ \ \ "/>
    <numFmt numFmtId="311" formatCode="#,##0&quot; $&quot;;[Red]\-#,##0&quot; $&quot;"/>
    <numFmt numFmtId="312" formatCode="_(* #,##0.0_);_(* \(#,##0.0\);_(* &quot;-&quot;??_);_(@_)"/>
    <numFmt numFmtId="313" formatCode="0.0,,"/>
    <numFmt numFmtId="314" formatCode="0."/>
    <numFmt numFmtId="315" formatCode="#,"/>
    <numFmt numFmtId="316" formatCode=";;;"/>
    <numFmt numFmtId="317" formatCode="_-&quot;¤&quot;* #,##0.00_-;\-&quot;¤&quot;* #,##0.00_-;_-&quot;¤&quot;* &quot;-&quot;??_-;_-@_-"/>
    <numFmt numFmtId="318" formatCode="&quot;N$&quot;#,##0_);\(&quot;N$&quot;#,##0\)"/>
    <numFmt numFmtId="319" formatCode="_-* #,##0.00_-;\(#,##0.00\);_-* &quot;-&quot;??_-;_-@_-"/>
    <numFmt numFmtId="320" formatCode="[Red]##,#0\:\(#,##0\)"/>
    <numFmt numFmtId="321" formatCode="0.00_)"/>
    <numFmt numFmtId="322" formatCode="0.0"/>
    <numFmt numFmtId="323" formatCode="#,##0.0\ \ "/>
    <numFmt numFmtId="324" formatCode="&quot;Cr$&quot;#,##0_);[Red]\(&quot;Cr$&quot;#,##0\)"/>
    <numFmt numFmtId="325" formatCode="_(&quot;R$ &quot;* #,##0.00_);_(&quot;R$ &quot;* \(#,##0.00\);_(&quot;R$ &quot;* &quot;-&quot;??_);_(@_)"/>
    <numFmt numFmtId="326" formatCode="mmm\-yy_)"/>
    <numFmt numFmtId="327" formatCode="0.0&quot; x&quot;;\-0.0&quot; x&quot;"/>
    <numFmt numFmtId="328" formatCode="0.0\ \x\ ;&quot;NM   &quot;;0.0\ \x"/>
    <numFmt numFmtId="329" formatCode="#,##0.0_x_)_);&quot;NM&quot;_x_)_);#,##0.0_x_)_);@_x_)_)"/>
    <numFmt numFmtId="330" formatCode="&quot;$&quot;#,##0;[Red]\(&quot;$&quot;#,##0\)"/>
    <numFmt numFmtId="331" formatCode="yyyy"/>
    <numFmt numFmtId="332" formatCode="&quot;(&quot;0.00%&quot;)   &quot;;[Red]\-&quot;(&quot;0.00%&quot;)   &quot;;&quot;－    &quot;"/>
    <numFmt numFmtId="333" formatCode="0_)%;\(0%\)"/>
    <numFmt numFmtId="334" formatCode="[$-409]mmm\-yy;@"/>
    <numFmt numFmtId="335" formatCode="[$USD]\ #,##0.0000"/>
    <numFmt numFmtId="336" formatCode="#,##0\ _€"/>
    <numFmt numFmtId="337" formatCode="#,##0_);[Red]\(#,##0\);\-"/>
    <numFmt numFmtId="338" formatCode="&quot;888&quot;\-###\-####"/>
    <numFmt numFmtId="339" formatCode="0%_);\(0%\);\-_)"/>
    <numFmt numFmtId="340" formatCode="0.0%_);\(0.0%\);\-_)"/>
    <numFmt numFmtId="341" formatCode="&quot;$&quot;&quot; &quot;#,##0_);\(&quot;$&quot;&quot; &quot;#,##0\);\-_)"/>
    <numFmt numFmtId="342" formatCode="0.00%_);\(0.00%\);\-_)"/>
    <numFmt numFmtId="343" formatCode="0.000%"/>
    <numFmt numFmtId="344" formatCode="yyyy\-mm\-dd;@"/>
    <numFmt numFmtId="345" formatCode="#,##0.00_ ;[Red]\-#,##0.00\ "/>
    <numFmt numFmtId="346" formatCode="0.00000%"/>
    <numFmt numFmtId="347" formatCode="#,##0.00_ ;\-#,##0.00\ "/>
    <numFmt numFmtId="348" formatCode="#,##0%_);\(#,##0%\)"/>
    <numFmt numFmtId="349" formatCode="#,##0.00;[Red]\(\-#,##0.00\);;@"/>
    <numFmt numFmtId="350" formatCode="#,##0.00;[Red]\(\-#,##0.00\)"/>
    <numFmt numFmtId="351" formatCode="#,##0.00;[Red]\(#,##0.00\);;@"/>
    <numFmt numFmtId="352" formatCode="#,##0.00;[Red]\(#,##0.00\)"/>
    <numFmt numFmtId="353" formatCode="#,##0.00_ ;[Red]\(#,##0.00\)"/>
    <numFmt numFmtId="354" formatCode="#,##0.00000;[Red]\(#,##0.00000\)"/>
    <numFmt numFmtId="355" formatCode="#,##0.00000;[Red]\-#,##0.00000"/>
    <numFmt numFmtId="356" formatCode="#,##0.00;[Red]#,##0.00"/>
    <numFmt numFmtId="357" formatCode="##0.000%_);\(##0.000%\)"/>
    <numFmt numFmtId="358" formatCode="0.0000000"/>
    <numFmt numFmtId="359" formatCode=";;;**"/>
  </numFmts>
  <fonts count="341">
    <font>
      <sz val="11"/>
      <color theme="1"/>
      <name val="Calibri"/>
      <family val="2"/>
      <scheme val="minor"/>
    </font>
    <font>
      <sz val="11"/>
      <color theme="1"/>
      <name val="Calibri"/>
      <family val="2"/>
      <scheme val="minor"/>
    </font>
    <font>
      <sz val="11"/>
      <color theme="1"/>
      <name val="Arial"/>
      <family val="2"/>
    </font>
    <font>
      <b/>
      <sz val="10"/>
      <color theme="1"/>
      <name val="Arial"/>
      <family val="2"/>
    </font>
    <font>
      <b/>
      <sz val="11"/>
      <color theme="1"/>
      <name val="Arial"/>
      <family val="2"/>
    </font>
    <font>
      <sz val="10"/>
      <color theme="1"/>
      <name val="Arial"/>
      <family val="2"/>
    </font>
    <font>
      <b/>
      <sz val="10"/>
      <name val="Arial"/>
      <family val="2"/>
    </font>
    <font>
      <sz val="9"/>
      <color theme="1"/>
      <name val="Arial"/>
      <family val="2"/>
    </font>
    <font>
      <sz val="8"/>
      <name val="ＭＳ Ｐゴシック"/>
      <family val="3"/>
      <charset val="128"/>
    </font>
    <font>
      <sz val="10"/>
      <name val="Arial"/>
      <family val="2"/>
    </font>
    <font>
      <b/>
      <sz val="9"/>
      <color theme="1"/>
      <name val="Arial"/>
      <family val="2"/>
    </font>
    <font>
      <sz val="9"/>
      <color indexed="81"/>
      <name val="Tahoma"/>
      <family val="2"/>
    </font>
    <font>
      <sz val="8"/>
      <name val="Arial"/>
      <family val="2"/>
    </font>
    <font>
      <b/>
      <sz val="8"/>
      <name val="Arial"/>
      <family val="2"/>
    </font>
    <font>
      <sz val="8"/>
      <color theme="0" tint="-0.499984740745262"/>
      <name val="Arial"/>
      <family val="2"/>
    </font>
    <font>
      <b/>
      <sz val="9"/>
      <name val="Arial"/>
      <family val="2"/>
    </font>
    <font>
      <b/>
      <sz val="11"/>
      <name val="Arial"/>
      <family val="2"/>
    </font>
    <font>
      <b/>
      <sz val="12"/>
      <color theme="0"/>
      <name val="Arial"/>
      <family val="2"/>
    </font>
    <font>
      <sz val="10"/>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u/>
      <sz val="11"/>
      <color theme="10"/>
      <name val="Calibri"/>
      <family val="2"/>
    </font>
    <font>
      <b/>
      <sz val="12"/>
      <name val="Arial"/>
      <family val="2"/>
    </font>
    <font>
      <u/>
      <sz val="16"/>
      <color indexed="12"/>
      <name val="ＭＳ Ｐゴシック"/>
      <family val="3"/>
      <charset val="128"/>
    </font>
    <font>
      <sz val="8"/>
      <color theme="1"/>
      <name val="Arial"/>
      <family val="2"/>
    </font>
    <font>
      <sz val="12"/>
      <name val="Arial"/>
      <family val="2"/>
    </font>
    <font>
      <sz val="12"/>
      <color indexed="8"/>
      <name val="Arial"/>
      <family val="2"/>
    </font>
    <font>
      <b/>
      <sz val="18"/>
      <name val="Monotype Hadassah"/>
      <family val="2"/>
      <charset val="177"/>
    </font>
    <font>
      <sz val="10"/>
      <name val="Courier"/>
      <family val="3"/>
    </font>
    <font>
      <sz val="10"/>
      <name val="Tahoma"/>
      <family val="2"/>
    </font>
    <font>
      <sz val="10"/>
      <name val="Times New Roman"/>
      <family val="1"/>
    </font>
    <font>
      <sz val="13"/>
      <name val="Arial"/>
      <family val="2"/>
    </font>
    <font>
      <sz val="11"/>
      <name val="MS P????"/>
      <family val="3"/>
    </font>
    <font>
      <sz val="12"/>
      <name val="Times New Roman"/>
      <family val="1"/>
    </font>
    <font>
      <sz val="12"/>
      <name val="System"/>
      <family val="2"/>
    </font>
    <font>
      <sz val="11"/>
      <name val="￥i￠￢￠?o"/>
      <family val="3"/>
      <charset val="255"/>
    </font>
    <font>
      <sz val="10"/>
      <name val="MS Sans Serif"/>
      <family val="2"/>
    </font>
    <font>
      <b/>
      <i/>
      <sz val="8"/>
      <name val="Arial"/>
      <family val="2"/>
    </font>
    <font>
      <i/>
      <sz val="10"/>
      <name val="Arial"/>
      <family val="2"/>
    </font>
    <font>
      <i/>
      <sz val="8"/>
      <name val="Arial"/>
      <family val="2"/>
    </font>
    <font>
      <b/>
      <i/>
      <sz val="10"/>
      <name val="Arial"/>
      <family val="2"/>
    </font>
    <font>
      <b/>
      <i/>
      <sz val="9"/>
      <name val="Arial"/>
      <family val="2"/>
    </font>
    <font>
      <sz val="10"/>
      <name val="CorpoS"/>
    </font>
    <font>
      <sz val="10"/>
      <name val="Helv"/>
      <charset val="238"/>
    </font>
    <font>
      <b/>
      <sz val="22"/>
      <color indexed="18"/>
      <name val="Arial"/>
      <family val="2"/>
    </font>
    <font>
      <sz val="10"/>
      <color indexed="8"/>
      <name val="MS Sans Serif"/>
      <family val="2"/>
    </font>
    <font>
      <sz val="12"/>
      <name val="ⓒoUAAA¨u"/>
      <family val="1"/>
      <charset val="255"/>
    </font>
    <font>
      <sz val="10"/>
      <name val="Helv"/>
    </font>
    <font>
      <sz val="10"/>
      <color indexed="9"/>
      <name val="Arial"/>
      <family val="2"/>
    </font>
    <font>
      <i/>
      <sz val="10"/>
      <color indexed="13"/>
      <name val="Arial"/>
      <family val="2"/>
    </font>
    <font>
      <sz val="10"/>
      <color indexed="13"/>
      <name val="Arial"/>
      <family val="2"/>
    </font>
    <font>
      <b/>
      <sz val="14"/>
      <color indexed="18"/>
      <name val="Arial"/>
      <family val="2"/>
    </font>
    <font>
      <sz val="9"/>
      <color indexed="8"/>
      <name val="Arial"/>
      <family val="2"/>
    </font>
    <font>
      <b/>
      <sz val="10"/>
      <color indexed="18"/>
      <name val="Arial"/>
      <family val="2"/>
    </font>
    <font>
      <b/>
      <u val="singleAccounting"/>
      <sz val="10"/>
      <color indexed="18"/>
      <name val="Arial"/>
      <family val="2"/>
    </font>
    <font>
      <sz val="10"/>
      <name val="Helv"/>
      <family val="2"/>
    </font>
    <font>
      <sz val="9"/>
      <name val="Book Antiqua"/>
      <family val="1"/>
    </font>
    <font>
      <u/>
      <sz val="10"/>
      <color indexed="12"/>
      <name val="Footlight MT Light"/>
      <family val="1"/>
    </font>
    <font>
      <i/>
      <sz val="10"/>
      <color indexed="32"/>
      <name val="Arial Narrow"/>
      <family val="2"/>
    </font>
    <font>
      <sz val="10"/>
      <name val="Arial Narrow"/>
      <family val="2"/>
    </font>
    <font>
      <u/>
      <sz val="10"/>
      <color indexed="12"/>
      <name val="Arial"/>
      <family val="2"/>
    </font>
    <font>
      <u/>
      <sz val="11"/>
      <color indexed="36"/>
      <name val="lr oSVbN"/>
      <family val="3"/>
      <charset val="128"/>
    </font>
    <font>
      <u/>
      <sz val="11"/>
      <color indexed="12"/>
      <name val="lr oSVbN"/>
      <family val="3"/>
      <charset val="128"/>
    </font>
    <font>
      <sz val="13"/>
      <name val="Tms Rmn"/>
      <family val="1"/>
    </font>
    <font>
      <sz val="6"/>
      <name val="Arial"/>
      <family val="2"/>
    </font>
    <font>
      <b/>
      <sz val="6"/>
      <name val="Arial"/>
      <family val="2"/>
    </font>
    <font>
      <sz val="7"/>
      <name val="Arial"/>
      <family val="2"/>
    </font>
    <font>
      <b/>
      <sz val="7"/>
      <name val="Arial"/>
      <family val="2"/>
    </font>
    <font>
      <sz val="9"/>
      <name val="Arial"/>
      <family val="2"/>
    </font>
    <font>
      <b/>
      <sz val="9"/>
      <name val="Symbol"/>
      <family val="1"/>
      <charset val="2"/>
    </font>
    <font>
      <b/>
      <u/>
      <sz val="9"/>
      <name val="Arial"/>
      <family val="2"/>
    </font>
    <font>
      <b/>
      <u/>
      <sz val="10"/>
      <name val="Arial"/>
      <family val="2"/>
    </font>
    <font>
      <sz val="11"/>
      <name val="Arial"/>
      <family val="2"/>
    </font>
    <font>
      <b/>
      <i/>
      <sz val="11"/>
      <name val="Arial"/>
      <family val="2"/>
    </font>
    <font>
      <b/>
      <u/>
      <sz val="11"/>
      <name val="Arial"/>
      <family val="2"/>
    </font>
    <font>
      <b/>
      <i/>
      <sz val="12"/>
      <name val="Arial"/>
      <family val="2"/>
    </font>
    <font>
      <b/>
      <u/>
      <sz val="12"/>
      <name val="Arial"/>
      <family val="2"/>
    </font>
    <font>
      <b/>
      <sz val="14"/>
      <name val="Arial"/>
      <family val="2"/>
    </font>
    <font>
      <b/>
      <i/>
      <sz val="14"/>
      <name val="Arial"/>
      <family val="2"/>
    </font>
    <font>
      <b/>
      <u/>
      <sz val="14"/>
      <name val="Arial"/>
      <family val="2"/>
    </font>
    <font>
      <b/>
      <sz val="16"/>
      <name val="Arial"/>
      <family val="2"/>
    </font>
    <font>
      <b/>
      <i/>
      <sz val="16"/>
      <name val="Arial"/>
      <family val="2"/>
    </font>
    <font>
      <b/>
      <u/>
      <sz val="16"/>
      <name val="Arial"/>
      <family val="2"/>
    </font>
    <font>
      <b/>
      <sz val="18"/>
      <name val="Arial"/>
      <family val="2"/>
    </font>
    <font>
      <b/>
      <i/>
      <sz val="18"/>
      <name val="Arial"/>
      <family val="2"/>
    </font>
    <font>
      <b/>
      <u/>
      <sz val="18"/>
      <name val="Arial"/>
      <family val="2"/>
    </font>
    <font>
      <sz val="14"/>
      <name val="Tms Rmn"/>
    </font>
    <font>
      <b/>
      <sz val="24"/>
      <name val="Arial"/>
      <family val="2"/>
    </font>
    <font>
      <b/>
      <i/>
      <sz val="24"/>
      <name val="Arial"/>
      <family val="2"/>
    </font>
    <font>
      <b/>
      <u/>
      <sz val="24"/>
      <name val="Arial"/>
      <family val="2"/>
    </font>
    <font>
      <u/>
      <sz val="8.5"/>
      <color indexed="12"/>
      <name val="Arial"/>
      <family val="2"/>
    </font>
    <font>
      <sz val="12"/>
      <name val="?Ia"/>
      <family val="2"/>
      <charset val="134"/>
    </font>
    <font>
      <sz val="11"/>
      <color indexed="9"/>
      <name val="Calibri"/>
      <family val="2"/>
    </font>
    <font>
      <sz val="11"/>
      <color theme="0"/>
      <name val="Arial"/>
      <family val="2"/>
    </font>
    <font>
      <sz val="10"/>
      <name val="Geneva"/>
      <charset val="177"/>
    </font>
    <font>
      <sz val="12"/>
      <name val="Helv"/>
    </font>
    <font>
      <b/>
      <sz val="12"/>
      <name val="MS Sans Serif"/>
      <family val="2"/>
    </font>
    <font>
      <u/>
      <sz val="9"/>
      <color indexed="36"/>
      <name val="Times New Roman"/>
      <family val="1"/>
    </font>
    <font>
      <sz val="8"/>
      <name val="Times New Roman"/>
      <family val="1"/>
    </font>
    <font>
      <sz val="14"/>
      <color indexed="8"/>
      <name val="Arial"/>
      <family val="2"/>
    </font>
    <font>
      <sz val="8"/>
      <color indexed="12"/>
      <name val="Helv"/>
    </font>
    <font>
      <sz val="10"/>
      <name val="Geneva"/>
    </font>
    <font>
      <sz val="10"/>
      <color indexed="12"/>
      <name val="Arial"/>
      <family val="2"/>
    </font>
    <font>
      <sz val="9"/>
      <color indexed="12"/>
      <name val="Arial"/>
      <family val="2"/>
    </font>
    <font>
      <sz val="10"/>
      <color indexed="9"/>
      <name val="Gill Sans MT"/>
      <family val="2"/>
    </font>
    <font>
      <b/>
      <sz val="10"/>
      <color indexed="9"/>
      <name val="Gill Sans MT"/>
      <family val="2"/>
    </font>
    <font>
      <b/>
      <sz val="24"/>
      <name val="Times New Roman"/>
      <family val="1"/>
    </font>
    <font>
      <sz val="11"/>
      <color indexed="20"/>
      <name val="Calibri"/>
      <family val="2"/>
    </font>
    <font>
      <b/>
      <sz val="9"/>
      <name val="Helv"/>
    </font>
    <font>
      <sz val="8"/>
      <color indexed="10"/>
      <name val="Arial"/>
      <family val="2"/>
    </font>
    <font>
      <b/>
      <i/>
      <u val="double"/>
      <sz val="16"/>
      <name val="Tms Rmn"/>
    </font>
    <font>
      <strike/>
      <sz val="8"/>
      <name val="Arial"/>
      <family val="2"/>
    </font>
    <font>
      <sz val="8"/>
      <color indexed="8"/>
      <name val="Arial"/>
      <family val="2"/>
    </font>
    <font>
      <sz val="10"/>
      <color indexed="12"/>
      <name val="MS Sans Serif"/>
      <family val="2"/>
    </font>
    <font>
      <b/>
      <sz val="10"/>
      <color indexed="12"/>
      <name val="MS Sans Serif"/>
      <family val="2"/>
    </font>
    <font>
      <sz val="8"/>
      <name val="Helv"/>
    </font>
    <font>
      <sz val="12"/>
      <name val="Tms Rmn"/>
    </font>
    <font>
      <b/>
      <sz val="12"/>
      <name val="Times New Roman"/>
      <family val="1"/>
    </font>
    <font>
      <b/>
      <sz val="8"/>
      <color indexed="8"/>
      <name val="Arial"/>
      <family val="2"/>
    </font>
    <font>
      <sz val="11"/>
      <color indexed="17"/>
      <name val="Calibri"/>
      <family val="2"/>
    </font>
    <font>
      <b/>
      <sz val="10"/>
      <name val="MS Sans Serif"/>
      <family val="2"/>
    </font>
    <font>
      <b/>
      <i/>
      <sz val="12"/>
      <name val="Times New Roman"/>
      <family val="1"/>
    </font>
    <font>
      <b/>
      <sz val="10"/>
      <color indexed="19"/>
      <name val="MS Sans Serif"/>
      <family val="2"/>
    </font>
    <font>
      <sz val="11"/>
      <color rgb="FF006100"/>
      <name val="Arial"/>
      <family val="2"/>
    </font>
    <font>
      <sz val="12"/>
      <name val="¹UAAA¼"/>
      <family val="1"/>
      <charset val="255"/>
    </font>
    <font>
      <sz val="12"/>
      <color indexed="10"/>
      <name val="Times New Roman"/>
      <family val="1"/>
    </font>
    <font>
      <b/>
      <sz val="18"/>
      <color indexed="24"/>
      <name val="Arial"/>
      <family val="2"/>
    </font>
    <font>
      <b/>
      <sz val="12"/>
      <color indexed="24"/>
      <name val="Arial"/>
      <family val="2"/>
    </font>
    <font>
      <sz val="8"/>
      <color indexed="43"/>
      <name val="Arial"/>
      <family val="2"/>
    </font>
    <font>
      <sz val="10"/>
      <color indexed="8"/>
      <name val="Arial"/>
      <family val="2"/>
    </font>
    <font>
      <b/>
      <sz val="11"/>
      <color indexed="52"/>
      <name val="Calibri"/>
      <family val="2"/>
    </font>
    <font>
      <b/>
      <sz val="11"/>
      <color rgb="FFFA7D00"/>
      <name val="Arial"/>
      <family val="2"/>
    </font>
    <font>
      <b/>
      <sz val="12"/>
      <name val="Helvetica"/>
      <family val="2"/>
    </font>
    <font>
      <sz val="10"/>
      <name val="EYInterstate"/>
    </font>
    <font>
      <b/>
      <sz val="10"/>
      <name val="Helv"/>
      <family val="2"/>
    </font>
    <font>
      <b/>
      <sz val="11"/>
      <color theme="0"/>
      <name val="Arial"/>
      <family val="2"/>
    </font>
    <font>
      <b/>
      <sz val="11"/>
      <color indexed="9"/>
      <name val="Calibri"/>
      <family val="2"/>
    </font>
    <font>
      <sz val="11"/>
      <color rgb="FFFA7D00"/>
      <name val="Arial"/>
      <family val="2"/>
    </font>
    <font>
      <sz val="11"/>
      <color indexed="52"/>
      <name val="Calibri"/>
      <family val="2"/>
    </font>
    <font>
      <sz val="1"/>
      <color indexed="8"/>
      <name val="Courier"/>
      <family val="3"/>
    </font>
    <font>
      <sz val="10"/>
      <name val="Courier New"/>
      <family val="3"/>
    </font>
    <font>
      <b/>
      <sz val="13"/>
      <name val="Tms Rmn"/>
      <family val="1"/>
    </font>
    <font>
      <sz val="10"/>
      <name val="Arial CE"/>
      <charset val="238"/>
    </font>
    <font>
      <sz val="12"/>
      <name val="Book Antiqua"/>
      <family val="1"/>
    </font>
    <font>
      <sz val="8"/>
      <name val="Palatino"/>
      <family val="1"/>
    </font>
    <font>
      <sz val="8"/>
      <color indexed="12"/>
      <name val="Times New Roman"/>
      <family val="1"/>
    </font>
    <font>
      <sz val="10"/>
      <name val="ＭＳ Ｐゴシック"/>
      <family val="3"/>
      <charset val="128"/>
    </font>
    <font>
      <sz val="8"/>
      <color indexed="24"/>
      <name val="Times New Roman"/>
      <family val="1"/>
    </font>
    <font>
      <sz val="10"/>
      <name val="BERNHARD"/>
    </font>
    <font>
      <sz val="10"/>
      <name val="MS Serif"/>
      <family val="1"/>
    </font>
    <font>
      <b/>
      <sz val="8"/>
      <name val="Helv"/>
    </font>
    <font>
      <sz val="10"/>
      <name val="Book Antiqua"/>
      <family val="1"/>
    </font>
    <font>
      <sz val="8"/>
      <color indexed="16"/>
      <name val="Palatino"/>
      <family val="1"/>
    </font>
    <font>
      <b/>
      <sz val="10"/>
      <color indexed="14"/>
      <name val="MS Sans Serif"/>
      <family val="2"/>
    </font>
    <font>
      <b/>
      <sz val="10"/>
      <color indexed="21"/>
      <name val="MS Sans Serif"/>
      <family val="2"/>
    </font>
    <font>
      <sz val="10"/>
      <color indexed="9"/>
      <name val="Times New Roman"/>
      <family val="1"/>
    </font>
    <font>
      <sz val="10"/>
      <color indexed="50"/>
      <name val="Arial"/>
      <family val="2"/>
    </font>
    <font>
      <b/>
      <i/>
      <strike/>
      <sz val="12"/>
      <color indexed="48"/>
      <name val="Arial"/>
      <family val="2"/>
    </font>
    <font>
      <sz val="8"/>
      <color indexed="9"/>
      <name val="Arial"/>
      <family val="2"/>
    </font>
    <font>
      <b/>
      <sz val="10"/>
      <color indexed="39"/>
      <name val="Times New Roman"/>
      <family val="1"/>
    </font>
    <font>
      <b/>
      <sz val="11"/>
      <name val="Helvetica"/>
      <family val="2"/>
    </font>
    <font>
      <u/>
      <sz val="8"/>
      <color indexed="12"/>
      <name val="Times New Roman"/>
      <family val="1"/>
    </font>
    <font>
      <u val="doubleAccounting"/>
      <sz val="10"/>
      <name val="Times New Roman"/>
      <family val="1"/>
    </font>
    <font>
      <sz val="8"/>
      <name val="CG Times (E1)"/>
    </font>
    <font>
      <sz val="7.5"/>
      <color indexed="12"/>
      <name val="Arial"/>
      <family val="2"/>
    </font>
    <font>
      <sz val="1"/>
      <color indexed="16"/>
      <name val="Courier"/>
      <family val="3"/>
    </font>
    <font>
      <sz val="12"/>
      <name val="Tms Rmn"/>
      <charset val="177"/>
    </font>
    <font>
      <b/>
      <sz val="8"/>
      <color indexed="10"/>
      <name val="Arial"/>
      <family val="2"/>
    </font>
    <font>
      <b/>
      <sz val="10"/>
      <name val="Times New Roman"/>
      <family val="1"/>
    </font>
    <font>
      <b/>
      <sz val="1"/>
      <color indexed="16"/>
      <name val="Courier"/>
      <family val="3"/>
    </font>
    <font>
      <b/>
      <sz val="11"/>
      <color theme="3"/>
      <name val="Arial"/>
      <family val="2"/>
    </font>
    <font>
      <b/>
      <sz val="11"/>
      <color indexed="56"/>
      <name val="Calibri"/>
      <family val="2"/>
    </font>
    <font>
      <sz val="12"/>
      <name val="Courier"/>
      <family val="3"/>
    </font>
    <font>
      <sz val="10"/>
      <color indexed="16"/>
      <name val="MS Serif"/>
      <family val="1"/>
    </font>
    <font>
      <i/>
      <strike/>
      <sz val="12"/>
      <color indexed="40"/>
      <name val="Arial"/>
      <family val="2"/>
    </font>
    <font>
      <sz val="11"/>
      <color rgb="FF3F3F76"/>
      <name val="Arial"/>
      <family val="2"/>
    </font>
    <font>
      <sz val="11"/>
      <color indexed="62"/>
      <name val="Calibri"/>
      <family val="2"/>
    </font>
    <font>
      <sz val="9"/>
      <name val="Times New Roman"/>
      <family val="1"/>
    </font>
    <font>
      <sz val="9"/>
      <name val="Arial CE"/>
      <family val="2"/>
      <charset val="238"/>
    </font>
    <font>
      <b/>
      <sz val="32"/>
      <name val="Helvetica"/>
      <family val="2"/>
    </font>
    <font>
      <i/>
      <sz val="10"/>
      <name val="Arial Narrow"/>
      <family val="2"/>
    </font>
    <font>
      <i/>
      <sz val="8"/>
      <name val="Times New Roman"/>
      <family val="1"/>
    </font>
    <font>
      <b/>
      <sz val="10"/>
      <color indexed="32"/>
      <name val="Arial Narrow"/>
      <family val="2"/>
    </font>
    <font>
      <b/>
      <sz val="8"/>
      <color indexed="12"/>
      <name val="Arial"/>
      <family val="2"/>
    </font>
    <font>
      <b/>
      <u val="singleAccounting"/>
      <sz val="10"/>
      <name val="Times New Roman"/>
      <family val="1"/>
    </font>
    <font>
      <sz val="14"/>
      <name val="Arial"/>
      <family val="2"/>
    </font>
    <font>
      <b/>
      <sz val="12"/>
      <color indexed="55"/>
      <name val="Arial"/>
      <family val="2"/>
    </font>
    <font>
      <b/>
      <sz val="12"/>
      <color indexed="8"/>
      <name val="Arial"/>
      <family val="2"/>
    </font>
    <font>
      <b/>
      <sz val="10.5"/>
      <color indexed="8"/>
      <name val="Arial"/>
      <family val="2"/>
    </font>
    <font>
      <i/>
      <sz val="10"/>
      <color indexed="8"/>
      <name val="Arial"/>
      <family val="2"/>
    </font>
    <font>
      <b/>
      <sz val="11"/>
      <name val="Times New Roman"/>
      <family val="1"/>
    </font>
    <font>
      <b/>
      <i/>
      <sz val="9.5"/>
      <name val="Times New Roman"/>
      <family val="1"/>
    </font>
    <font>
      <sz val="10"/>
      <color indexed="32"/>
      <name val="Arial Narrow"/>
      <family val="2"/>
    </font>
    <font>
      <b/>
      <sz val="14"/>
      <color indexed="32"/>
      <name val="Arial"/>
      <family val="2"/>
    </font>
    <font>
      <sz val="8"/>
      <color indexed="32"/>
      <name val="Arial Narrow"/>
      <family val="2"/>
    </font>
    <font>
      <b/>
      <sz val="10"/>
      <name val="Arial Narrow"/>
      <family val="2"/>
    </font>
    <font>
      <b/>
      <i/>
      <sz val="10"/>
      <name val="Arial Narrow"/>
      <family val="2"/>
    </font>
    <font>
      <sz val="12"/>
      <color indexed="12"/>
      <name val="Book Antiqua"/>
      <family val="1"/>
    </font>
    <font>
      <sz val="10"/>
      <color indexed="24"/>
      <name val="Arial"/>
      <family val="2"/>
    </font>
    <font>
      <sz val="10"/>
      <name val="Helvetica"/>
      <family val="2"/>
    </font>
    <font>
      <b/>
      <sz val="10"/>
      <color indexed="9"/>
      <name val="Arial"/>
      <family val="2"/>
    </font>
    <font>
      <b/>
      <sz val="9"/>
      <color indexed="9"/>
      <name val="Arial"/>
      <family val="2"/>
    </font>
    <font>
      <b/>
      <sz val="9"/>
      <color indexed="26"/>
      <name val="Arial"/>
      <family val="2"/>
    </font>
    <font>
      <sz val="9"/>
      <color indexed="26"/>
      <name val="Arial"/>
      <family val="2"/>
    </font>
    <font>
      <sz val="10"/>
      <color indexed="26"/>
      <name val="Arial"/>
      <family val="2"/>
    </font>
    <font>
      <sz val="7"/>
      <name val="Palatino"/>
      <family val="1"/>
    </font>
    <font>
      <sz val="10"/>
      <color indexed="18"/>
      <name val="Arial"/>
      <family val="2"/>
    </font>
    <font>
      <b/>
      <sz val="10"/>
      <color indexed="11"/>
      <name val="MS Sans Serif"/>
      <family val="2"/>
    </font>
    <font>
      <b/>
      <sz val="10"/>
      <name val="Helv"/>
    </font>
    <font>
      <b/>
      <sz val="10"/>
      <color indexed="8"/>
      <name val="MS Sans Serif"/>
      <family val="2"/>
    </font>
    <font>
      <b/>
      <sz val="13"/>
      <name val="Arial"/>
      <family val="2"/>
    </font>
    <font>
      <b/>
      <sz val="12"/>
      <name val="Helv"/>
      <family val="2"/>
    </font>
    <font>
      <b/>
      <sz val="12"/>
      <name val="Tahoma"/>
      <family val="2"/>
    </font>
    <font>
      <b/>
      <sz val="16"/>
      <name val="Times New Roman"/>
      <family val="1"/>
    </font>
    <font>
      <b/>
      <sz val="1"/>
      <color indexed="8"/>
      <name val="Courier"/>
      <family val="3"/>
    </font>
    <font>
      <b/>
      <sz val="8"/>
      <name val="MS Sans Serif"/>
      <family val="2"/>
    </font>
    <font>
      <sz val="9"/>
      <name val="Helv"/>
    </font>
    <font>
      <sz val="10"/>
      <color indexed="9"/>
      <name val="Helv"/>
    </font>
    <font>
      <u/>
      <sz val="10"/>
      <color indexed="20"/>
      <name val="Arial"/>
      <family val="2"/>
    </font>
    <font>
      <u/>
      <sz val="10"/>
      <color indexed="12"/>
      <name val="Tahoma"/>
      <family val="2"/>
    </font>
    <font>
      <sz val="11"/>
      <color rgb="FF9C0006"/>
      <name val="Arial"/>
      <family val="2"/>
    </font>
    <font>
      <shadow/>
      <sz val="8"/>
      <color indexed="12"/>
      <name val="Times New Roman"/>
      <family val="1"/>
    </font>
    <font>
      <sz val="10"/>
      <color indexed="12"/>
      <name val="Times New Roman"/>
      <family val="1"/>
    </font>
    <font>
      <sz val="12"/>
      <color indexed="12"/>
      <name val="Times New Roman"/>
      <family val="1"/>
    </font>
    <font>
      <sz val="9"/>
      <name val="CorpoS"/>
    </font>
    <font>
      <i/>
      <sz val="10"/>
      <color indexed="8"/>
      <name val="Gill Sans MT"/>
      <family val="2"/>
    </font>
    <font>
      <sz val="10"/>
      <color indexed="8"/>
      <name val="Arial Narrow"/>
      <family val="2"/>
    </font>
    <font>
      <sz val="18"/>
      <name val="Times New Roman"/>
      <family val="1"/>
    </font>
    <font>
      <b/>
      <sz val="13"/>
      <name val="Times New Roman"/>
      <family val="1"/>
    </font>
    <font>
      <i/>
      <sz val="12"/>
      <name val="Times New Roman"/>
      <family val="1"/>
    </font>
    <font>
      <sz val="11"/>
      <name val="Times New Roman"/>
      <family val="1"/>
    </font>
    <font>
      <b/>
      <sz val="18"/>
      <name val="Helvetica"/>
      <family val="2"/>
    </font>
    <font>
      <u/>
      <sz val="12"/>
      <color indexed="12"/>
      <name val="Times New Roman"/>
      <family val="1"/>
    </font>
    <font>
      <u/>
      <sz val="12"/>
      <color indexed="36"/>
      <name val="Times New Roman"/>
      <family val="1"/>
    </font>
    <font>
      <sz val="10"/>
      <color indexed="14"/>
      <name val="Arial"/>
      <family val="2"/>
    </font>
    <font>
      <sz val="8"/>
      <color indexed="8"/>
      <name val="Helv"/>
    </font>
    <font>
      <sz val="14"/>
      <name val="Helvetica"/>
      <family val="2"/>
    </font>
    <font>
      <b/>
      <sz val="9.75"/>
      <name val="Helv"/>
    </font>
    <font>
      <b/>
      <sz val="9"/>
      <color indexed="8"/>
      <name val="Arial"/>
      <family val="2"/>
    </font>
    <font>
      <b/>
      <sz val="11"/>
      <name val="Helv"/>
    </font>
    <font>
      <sz val="10"/>
      <name val="Univers (WN)"/>
    </font>
    <font>
      <sz val="11"/>
      <color indexed="60"/>
      <name val="Calibri"/>
      <family val="2"/>
    </font>
    <font>
      <sz val="11"/>
      <color rgb="FF9C6500"/>
      <name val="Arial"/>
      <family val="2"/>
    </font>
    <font>
      <sz val="11"/>
      <color indexed="12"/>
      <name val="David"/>
      <family val="2"/>
      <charset val="177"/>
    </font>
    <font>
      <sz val="7"/>
      <name val="Small Fonts"/>
      <family val="2"/>
    </font>
    <font>
      <sz val="10"/>
      <name val="Palatino"/>
      <family val="1"/>
    </font>
    <font>
      <sz val="8"/>
      <name val="Helvetica"/>
      <family val="2"/>
    </font>
    <font>
      <sz val="8"/>
      <color indexed="12"/>
      <name val="Arial"/>
      <family val="2"/>
    </font>
    <font>
      <sz val="10"/>
      <color indexed="9"/>
      <name val="MS Sans Serif"/>
      <family val="2"/>
    </font>
    <font>
      <sz val="11"/>
      <name val="‚l‚r –¾’©"/>
      <charset val="128"/>
    </font>
    <font>
      <i/>
      <strike/>
      <sz val="12"/>
      <color indexed="10"/>
      <name val="Arial"/>
      <family val="2"/>
    </font>
    <font>
      <b/>
      <sz val="10"/>
      <color indexed="72"/>
      <name val="Arial"/>
      <family val="2"/>
    </font>
    <font>
      <b/>
      <i/>
      <sz val="10"/>
      <color indexed="8"/>
      <name val="Arial"/>
      <family val="2"/>
    </font>
    <font>
      <b/>
      <sz val="10"/>
      <color indexed="16"/>
      <name val="Arial"/>
      <family val="2"/>
    </font>
    <font>
      <b/>
      <sz val="24"/>
      <color indexed="13"/>
      <name val="Times New Roman"/>
      <family val="1"/>
    </font>
    <font>
      <sz val="10"/>
      <color indexed="16"/>
      <name val="Helvetica-Black"/>
      <family val="2"/>
    </font>
    <font>
      <sz val="12"/>
      <color indexed="8"/>
      <name val="Times New Roman"/>
      <family val="1"/>
    </font>
    <font>
      <b/>
      <sz val="11"/>
      <color rgb="FF3F3F3F"/>
      <name val="Arial"/>
      <family val="2"/>
    </font>
    <font>
      <b/>
      <sz val="10"/>
      <color indexed="8"/>
      <name val="Arial"/>
      <family val="2"/>
    </font>
    <font>
      <b/>
      <sz val="10"/>
      <color indexed="39"/>
      <name val="Arial"/>
      <family val="2"/>
    </font>
    <font>
      <sz val="10"/>
      <color indexed="39"/>
      <name val="Arial"/>
      <family val="2"/>
    </font>
    <font>
      <sz val="19"/>
      <color indexed="48"/>
      <name val="Arial"/>
      <family val="2"/>
    </font>
    <font>
      <sz val="10"/>
      <color indexed="10"/>
      <name val="Arial"/>
      <family val="2"/>
    </font>
    <font>
      <sz val="11"/>
      <color rgb="FFFF0000"/>
      <name val="Arial"/>
      <family val="2"/>
    </font>
    <font>
      <i/>
      <sz val="11"/>
      <color rgb="FF7F7F7F"/>
      <name val="Arial"/>
      <family val="2"/>
    </font>
    <font>
      <b/>
      <sz val="15"/>
      <color theme="3"/>
      <name val="Arial"/>
      <family val="2"/>
    </font>
    <font>
      <b/>
      <sz val="13"/>
      <color theme="3"/>
      <name val="Arial"/>
      <family val="2"/>
    </font>
    <font>
      <b/>
      <sz val="18"/>
      <color indexed="56"/>
      <name val="Cambria"/>
      <family val="2"/>
    </font>
    <font>
      <b/>
      <sz val="8"/>
      <color theme="1"/>
      <name val="Arial"/>
      <family val="2"/>
    </font>
    <font>
      <sz val="11"/>
      <color rgb="FFE6E6E6"/>
      <name val="Calibri"/>
      <family val="2"/>
      <scheme val="minor"/>
    </font>
    <font>
      <b/>
      <sz val="10"/>
      <color theme="0"/>
      <name val="Arial"/>
      <family val="2"/>
    </font>
    <font>
      <b/>
      <sz val="9"/>
      <color theme="0"/>
      <name val="Arial"/>
      <family val="2"/>
    </font>
    <font>
      <b/>
      <sz val="14"/>
      <color theme="1"/>
      <name val="Calibri"/>
      <family val="2"/>
      <scheme val="minor"/>
    </font>
    <font>
      <u/>
      <sz val="11"/>
      <color theme="10"/>
      <name val="Calibri"/>
      <family val="2"/>
      <scheme val="minor"/>
    </font>
    <font>
      <u/>
      <sz val="8"/>
      <color theme="10"/>
      <name val="ＭＳ Ｐゴシック"/>
      <family val="3"/>
      <charset val="128"/>
    </font>
    <font>
      <sz val="11"/>
      <color indexed="8"/>
      <name val="Calibri"/>
      <family val="2"/>
      <scheme val="minor"/>
    </font>
    <font>
      <b/>
      <u/>
      <sz val="10"/>
      <color theme="1"/>
      <name val="Arial"/>
      <family val="2"/>
    </font>
    <font>
      <b/>
      <sz val="9"/>
      <color indexed="81"/>
      <name val="Tahoma"/>
      <family val="2"/>
    </font>
    <font>
      <sz val="11"/>
      <color theme="0" tint="-4.9989318521683403E-2"/>
      <name val="Calibri"/>
      <family val="2"/>
      <scheme val="minor"/>
    </font>
    <font>
      <b/>
      <sz val="10"/>
      <color rgb="FFFF0000"/>
      <name val="Arial"/>
      <family val="2"/>
    </font>
    <font>
      <sz val="11"/>
      <name val="Calibri"/>
      <family val="2"/>
      <scheme val="minor"/>
    </font>
    <font>
      <sz val="10"/>
      <color indexed="81"/>
      <name val="Tahoma"/>
      <family val="2"/>
    </font>
    <font>
      <sz val="11"/>
      <color theme="1" tint="0.499984740745262"/>
      <name val="Calibri"/>
      <family val="2"/>
      <scheme val="minor"/>
    </font>
    <font>
      <sz val="11"/>
      <color theme="2"/>
      <name val="Calibri"/>
      <family val="2"/>
      <scheme val="minor"/>
    </font>
    <font>
      <sz val="8"/>
      <color theme="1"/>
      <name val="Calibri"/>
      <family val="2"/>
      <scheme val="minor"/>
    </font>
    <font>
      <b/>
      <sz val="11"/>
      <color rgb="FFFF0000"/>
      <name val="Calibri"/>
      <family val="2"/>
      <scheme val="minor"/>
    </font>
    <font>
      <b/>
      <u/>
      <sz val="11"/>
      <color rgb="FFFF0000"/>
      <name val="Calibri"/>
      <family val="2"/>
      <scheme val="minor"/>
    </font>
    <font>
      <sz val="11"/>
      <color theme="0" tint="-0.14999847407452621"/>
      <name val="Calibri"/>
      <family val="2"/>
      <scheme val="minor"/>
    </font>
    <font>
      <sz val="10"/>
      <color rgb="FFFF0000"/>
      <name val="Calibri"/>
      <family val="2"/>
      <scheme val="minor"/>
    </font>
    <font>
      <b/>
      <i/>
      <sz val="11"/>
      <color theme="1"/>
      <name val="Arial"/>
      <family val="2"/>
    </font>
    <font>
      <b/>
      <sz val="11"/>
      <color rgb="FFFF0000"/>
      <name val="Arial"/>
      <family val="2"/>
    </font>
    <font>
      <sz val="10"/>
      <color theme="0"/>
      <name val="Calibri"/>
      <family val="2"/>
      <scheme val="minor"/>
    </font>
    <font>
      <b/>
      <sz val="12"/>
      <color rgb="FFFF0000"/>
      <name val="Arial"/>
      <family val="2"/>
    </font>
    <font>
      <sz val="10"/>
      <color rgb="FFFF0000"/>
      <name val="Arial"/>
      <family val="2"/>
    </font>
    <font>
      <sz val="9"/>
      <color theme="0" tint="-0.14999847407452621"/>
      <name val="Arial"/>
      <family val="2"/>
    </font>
    <font>
      <sz val="9"/>
      <color rgb="FFFF0000"/>
      <name val="Arial"/>
      <family val="2"/>
    </font>
    <font>
      <sz val="11"/>
      <color rgb="FFEAF0F6"/>
      <name val="Calibri"/>
      <family val="2"/>
      <scheme val="minor"/>
    </font>
    <font>
      <sz val="10"/>
      <color theme="0"/>
      <name val="Arial"/>
      <family val="2"/>
    </font>
    <font>
      <sz val="11"/>
      <color rgb="FF000000"/>
      <name val="Calibri"/>
      <family val="2"/>
      <scheme val="minor"/>
    </font>
    <font>
      <sz val="18"/>
      <color theme="3"/>
      <name val="Cambria"/>
      <family val="2"/>
      <scheme val="major"/>
    </font>
    <font>
      <sz val="8"/>
      <color theme="0"/>
      <name val="Arial"/>
      <family val="2"/>
    </font>
    <font>
      <sz val="14"/>
      <color theme="1"/>
      <name val="Calibri"/>
      <family val="2"/>
      <scheme val="minor"/>
    </font>
    <font>
      <b/>
      <i/>
      <sz val="10"/>
      <color theme="1"/>
      <name val="Arial"/>
      <family val="2"/>
    </font>
    <font>
      <sz val="11"/>
      <color theme="0" tint="-4.9989318521683403E-2"/>
      <name val="Arial"/>
      <family val="2"/>
    </font>
    <font>
      <i/>
      <sz val="11"/>
      <color theme="1"/>
      <name val="Arial"/>
      <family val="2"/>
    </font>
    <font>
      <i/>
      <sz val="11"/>
      <color rgb="FFFF0000"/>
      <name val="Arial"/>
      <family val="2"/>
    </font>
    <font>
      <sz val="11"/>
      <color theme="0" tint="-0.14999847407452621"/>
      <name val="Arial"/>
      <family val="2"/>
    </font>
    <font>
      <b/>
      <sz val="12"/>
      <color theme="1"/>
      <name val="Arial"/>
      <family val="2"/>
    </font>
    <font>
      <sz val="9"/>
      <color theme="0"/>
      <name val="Arial"/>
      <family val="2"/>
    </font>
    <font>
      <b/>
      <u/>
      <sz val="10"/>
      <color theme="0"/>
      <name val="Arial"/>
      <family val="2"/>
    </font>
    <font>
      <sz val="9"/>
      <color rgb="FFEAF0F6"/>
      <name val="Arial"/>
      <family val="2"/>
    </font>
    <font>
      <b/>
      <sz val="11"/>
      <name val="Calibri"/>
      <family val="2"/>
      <scheme val="minor"/>
    </font>
    <font>
      <sz val="9"/>
      <color theme="0"/>
      <name val="Calibri"/>
      <family val="2"/>
      <scheme val="minor"/>
    </font>
    <font>
      <b/>
      <sz val="9"/>
      <color theme="3" tint="-0.249977111117893"/>
      <name val="Arial"/>
      <family val="2"/>
    </font>
    <font>
      <u/>
      <sz val="8"/>
      <color theme="1"/>
      <name val="Arial"/>
      <family val="2"/>
    </font>
    <font>
      <sz val="11"/>
      <color rgb="FFC6E0B4"/>
      <name val="Calibri"/>
      <family val="2"/>
      <scheme val="minor"/>
    </font>
    <font>
      <b/>
      <sz val="9"/>
      <color rgb="FF213764"/>
      <name val="Arial"/>
      <family val="2"/>
    </font>
    <font>
      <sz val="11"/>
      <color rgb="FFFF0000"/>
      <name val="Calibri"/>
      <family val="2"/>
    </font>
    <font>
      <b/>
      <sz val="7.2"/>
      <color rgb="FFFF0000"/>
      <name val="Arial"/>
      <family val="2"/>
    </font>
    <font>
      <sz val="10"/>
      <name val="Calibri"/>
      <family val="2"/>
      <scheme val="minor"/>
    </font>
    <font>
      <b/>
      <u/>
      <sz val="11"/>
      <name val="Calibri"/>
      <family val="2"/>
      <scheme val="minor"/>
    </font>
    <font>
      <b/>
      <sz val="9"/>
      <color rgb="FFFF0000"/>
      <name val="Arial"/>
      <family val="2"/>
    </font>
    <font>
      <sz val="8"/>
      <color rgb="FFFF0000"/>
      <name val="Arial"/>
      <family val="2"/>
    </font>
    <font>
      <i/>
      <sz val="11"/>
      <color theme="0"/>
      <name val="Arial"/>
      <family val="2"/>
    </font>
    <font>
      <b/>
      <sz val="8"/>
      <color theme="0"/>
      <name val="Arial"/>
      <family val="2"/>
    </font>
    <font>
      <sz val="11"/>
      <color rgb="FF000000"/>
      <name val="Calibri"/>
      <family val="2"/>
    </font>
  </fonts>
  <fills count="12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499984740745262"/>
        <bgColor indexed="64"/>
      </patternFill>
    </fill>
    <fill>
      <patternFill patternType="solid">
        <fgColor rgb="FF21596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rgb="FFFF0000"/>
        <bgColor indexed="64"/>
      </patternFill>
    </fill>
    <fill>
      <patternFill patternType="solid">
        <fgColor theme="6" tint="0.79998168889431442"/>
        <bgColor indexed="64"/>
      </patternFill>
    </fill>
    <fill>
      <patternFill patternType="solid">
        <fgColor rgb="FFFFFFDD"/>
        <bgColor indexed="64"/>
      </patternFill>
    </fill>
    <fill>
      <patternFill patternType="solid">
        <fgColor rgb="FFEAF0F6"/>
        <bgColor indexed="64"/>
      </patternFill>
    </fill>
    <fill>
      <patternFill patternType="solid">
        <fgColor rgb="FFE6E6E6"/>
        <bgColor indexed="64"/>
      </patternFill>
    </fill>
    <fill>
      <patternFill patternType="solid">
        <fgColor indexed="43"/>
        <bgColor indexed="64"/>
      </patternFill>
    </fill>
    <fill>
      <patternFill patternType="solid">
        <fgColor indexed="9"/>
        <bgColor indexed="9"/>
      </patternFill>
    </fill>
    <fill>
      <patternFill patternType="solid">
        <fgColor indexed="22"/>
        <bgColor indexed="64"/>
      </patternFill>
    </fill>
    <fill>
      <patternFill patternType="solid">
        <fgColor indexed="26"/>
        <bgColor indexed="64"/>
      </patternFill>
    </fill>
    <fill>
      <patternFill patternType="solid">
        <fgColor indexed="42"/>
        <bgColor indexed="64"/>
      </patternFill>
    </fill>
    <fill>
      <patternFill patternType="solid">
        <fgColor indexed="27"/>
        <bgColor indexed="64"/>
      </patternFill>
    </fill>
    <fill>
      <patternFill patternType="solid">
        <fgColor indexed="43"/>
      </patternFill>
    </fill>
    <fill>
      <patternFill patternType="solid">
        <fgColor indexed="55"/>
        <bgColor indexed="64"/>
      </patternFill>
    </fill>
    <fill>
      <patternFill patternType="solid">
        <fgColor indexed="54"/>
        <bgColor indexed="64"/>
      </patternFill>
    </fill>
    <fill>
      <patternFill patternType="solid">
        <fgColor indexed="48"/>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4"/>
        <bgColor indexed="64"/>
      </patternFill>
    </fill>
    <fill>
      <patternFill patternType="solid">
        <fgColor indexed="13"/>
      </patternFill>
    </fill>
    <fill>
      <patternFill patternType="solid">
        <fgColor indexed="9"/>
      </patternFill>
    </fill>
    <fill>
      <patternFill patternType="solid">
        <fgColor indexed="22"/>
      </patternFill>
    </fill>
    <fill>
      <patternFill patternType="solid">
        <fgColor indexed="8"/>
        <bgColor indexed="64"/>
      </patternFill>
    </fill>
    <fill>
      <patternFill patternType="solid">
        <fgColor indexed="19"/>
        <bgColor indexed="64"/>
      </patternFill>
    </fill>
    <fill>
      <patternFill patternType="solid">
        <fgColor indexed="9"/>
        <bgColor indexed="64"/>
      </patternFill>
    </fill>
    <fill>
      <patternFill patternType="solid">
        <fgColor indexed="14"/>
        <bgColor indexed="64"/>
      </patternFill>
    </fill>
    <fill>
      <patternFill patternType="solid">
        <fgColor indexed="41"/>
        <bgColor indexed="64"/>
      </patternFill>
    </fill>
    <fill>
      <patternFill patternType="lightGray">
        <fgColor indexed="15"/>
      </patternFill>
    </fill>
    <fill>
      <patternFill patternType="solid">
        <fgColor indexed="55"/>
      </patternFill>
    </fill>
    <fill>
      <patternFill patternType="solid">
        <fgColor indexed="15"/>
        <bgColor indexed="64"/>
      </patternFill>
    </fill>
    <fill>
      <patternFill patternType="gray0625"/>
    </fill>
    <fill>
      <patternFill patternType="gray125">
        <fgColor indexed="8"/>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18"/>
        <bgColor indexed="64"/>
      </patternFill>
    </fill>
    <fill>
      <patternFill patternType="solid">
        <fgColor indexed="18"/>
        <bgColor indexed="17"/>
      </patternFill>
    </fill>
    <fill>
      <patternFill patternType="solid">
        <fgColor indexed="63"/>
        <bgColor indexed="64"/>
      </patternFill>
    </fill>
    <fill>
      <patternFill patternType="solid">
        <fgColor indexed="34"/>
        <bgColor indexed="64"/>
      </patternFill>
    </fill>
    <fill>
      <patternFill patternType="solid">
        <fgColor indexed="29"/>
        <bgColor indexed="64"/>
      </patternFill>
    </fill>
    <fill>
      <patternFill patternType="solid">
        <fgColor indexed="31"/>
        <bgColor indexed="64"/>
      </patternFill>
    </fill>
    <fill>
      <patternFill patternType="solid">
        <fgColor indexed="20"/>
      </patternFill>
    </fill>
    <fill>
      <patternFill patternType="solid">
        <fgColor indexed="21"/>
        <bgColor indexed="64"/>
      </patternFill>
    </fill>
    <fill>
      <patternFill patternType="lightUp">
        <bgColor indexed="16"/>
      </patternFill>
    </fill>
    <fill>
      <patternFill patternType="solid">
        <fgColor indexed="40"/>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40"/>
        <bgColor indexed="64"/>
      </patternFill>
    </fill>
    <fill>
      <patternFill patternType="solid">
        <fgColor indexed="27"/>
        <bgColor indexed="41"/>
      </patternFill>
    </fill>
    <fill>
      <patternFill patternType="solid">
        <fgColor indexed="40"/>
        <bgColor indexed="49"/>
      </patternFill>
    </fill>
    <fill>
      <patternFill patternType="solid">
        <fgColor indexed="54"/>
      </patternFill>
    </fill>
    <fill>
      <patternFill patternType="solid">
        <fgColor indexed="15"/>
      </patternFill>
    </fill>
    <fill>
      <patternFill patternType="solid">
        <fgColor indexed="12"/>
        <bgColor indexed="64"/>
      </patternFill>
    </fill>
    <fill>
      <patternFill patternType="solid">
        <fgColor rgb="FFFFFFCC"/>
        <bgColor indexed="64"/>
      </patternFill>
    </fill>
    <fill>
      <patternFill patternType="solid">
        <fgColor rgb="FFFFFFA7"/>
        <bgColor indexed="64"/>
      </patternFill>
    </fill>
    <fill>
      <patternFill patternType="solid">
        <fgColor rgb="FFFFFFB7"/>
        <bgColor indexed="64"/>
      </patternFill>
    </fill>
    <fill>
      <patternFill patternType="solid">
        <fgColor theme="8" tint="-0.499984740745262"/>
        <bgColor indexed="64"/>
      </patternFill>
    </fill>
    <fill>
      <patternFill patternType="solid">
        <fgColor rgb="FFFFFF99"/>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theme="5" tint="-0.49998474074526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BD4B3"/>
        <bgColor indexed="64"/>
      </patternFill>
    </fill>
    <fill>
      <patternFill patternType="solid">
        <fgColor rgb="FFC6E0B4"/>
        <bgColor indexed="64"/>
      </patternFill>
    </fill>
    <fill>
      <patternFill patternType="solid">
        <fgColor rgb="FF213764"/>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4" tint="0.79998168889431442"/>
        <bgColor theme="4" tint="0.79998168889431442"/>
      </patternFill>
    </fill>
  </fills>
  <borders count="33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bottom/>
      <diagonal/>
    </border>
    <border>
      <left/>
      <right style="medium">
        <color indexed="64"/>
      </right>
      <top/>
      <bottom/>
      <diagonal/>
    </border>
    <border>
      <left style="thin">
        <color indexed="64"/>
      </left>
      <right/>
      <top style="thin">
        <color indexed="64"/>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hair">
        <color indexed="64"/>
      </top>
      <bottom/>
      <diagonal/>
    </border>
    <border>
      <left/>
      <right style="thin">
        <color indexed="64"/>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medium">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auto="1"/>
      </bottom>
      <diagonal/>
    </border>
    <border>
      <left/>
      <right style="thin">
        <color indexed="64"/>
      </right>
      <top/>
      <bottom style="thin">
        <color auto="1"/>
      </bottom>
      <diagonal/>
    </border>
    <border>
      <left style="thin">
        <color auto="1"/>
      </left>
      <right/>
      <top/>
      <bottom/>
      <diagonal/>
    </border>
    <border>
      <left/>
      <right/>
      <top style="medium">
        <color auto="1"/>
      </top>
      <bottom style="medium">
        <color auto="1"/>
      </bottom>
      <diagonal/>
    </border>
    <border>
      <left/>
      <right/>
      <top/>
      <bottom style="hair">
        <color indexed="22"/>
      </bottom>
      <diagonal/>
    </border>
    <border>
      <left/>
      <right/>
      <top style="hair">
        <color indexed="8"/>
      </top>
      <bottom style="hair">
        <color indexed="8"/>
      </bottom>
      <diagonal/>
    </border>
    <border>
      <left/>
      <right/>
      <top/>
      <bottom style="medium">
        <color indexed="18"/>
      </bottom>
      <diagonal/>
    </border>
    <border>
      <left/>
      <right/>
      <top style="thin">
        <color indexed="32"/>
      </top>
      <bottom style="thin">
        <color indexed="32"/>
      </bottom>
      <diagonal/>
    </border>
    <border>
      <left/>
      <right/>
      <top/>
      <bottom style="hair">
        <color indexed="64"/>
      </bottom>
      <diagonal/>
    </border>
    <border>
      <left style="thin">
        <color indexed="64"/>
      </left>
      <right style="dotted">
        <color indexed="64"/>
      </right>
      <top style="thin">
        <color indexed="64"/>
      </top>
      <bottom/>
      <diagonal/>
    </border>
    <border>
      <left style="hair">
        <color indexed="64"/>
      </left>
      <right style="hair">
        <color indexed="64"/>
      </right>
      <top style="hair">
        <color indexed="64"/>
      </top>
      <bottom style="hair">
        <color indexed="64"/>
      </bottom>
      <diagonal/>
    </border>
    <border>
      <left style="hair">
        <color indexed="8"/>
      </left>
      <right style="hair">
        <color indexed="8"/>
      </right>
      <top style="hair">
        <color indexed="8"/>
      </top>
      <bottom/>
      <diagonal/>
    </border>
    <border>
      <left style="thin">
        <color indexed="64"/>
      </left>
      <right style="thin">
        <color indexed="64"/>
      </right>
      <top/>
      <bottom style="hair">
        <color indexed="64"/>
      </bottom>
      <diagonal/>
    </border>
    <border>
      <left style="double">
        <color indexed="64"/>
      </left>
      <right/>
      <top/>
      <bottom style="hair">
        <color indexed="64"/>
      </bottom>
      <diagonal/>
    </border>
    <border>
      <left/>
      <right/>
      <top/>
      <bottom style="hair">
        <color indexed="8"/>
      </bottom>
      <diagonal/>
    </border>
    <border>
      <left/>
      <right/>
      <top/>
      <bottom style="medium">
        <color indexed="8"/>
      </bottom>
      <diagonal/>
    </border>
    <border>
      <left/>
      <right/>
      <top/>
      <bottom style="thick">
        <color indexed="8"/>
      </bottom>
      <diagonal/>
    </border>
    <border>
      <left/>
      <right/>
      <top/>
      <bottom style="double">
        <color indexed="8"/>
      </bottom>
      <diagonal/>
    </border>
    <border>
      <left/>
      <right/>
      <top/>
      <bottom style="medium">
        <color indexed="64"/>
      </bottom>
      <diagonal/>
    </border>
    <border>
      <left/>
      <right/>
      <top/>
      <bottom style="thin">
        <color indexed="22"/>
      </bottom>
      <diagonal/>
    </border>
    <border>
      <left/>
      <right/>
      <top style="thin">
        <color indexed="8"/>
      </top>
      <bottom/>
      <diagonal/>
    </border>
    <border diagonalUp="1" diagonalDown="1">
      <left/>
      <right/>
      <top/>
      <bottom/>
      <diagonal/>
    </border>
    <border>
      <left/>
      <right/>
      <top style="hair">
        <color indexed="64"/>
      </top>
      <bottom style="hair">
        <color indexed="64"/>
      </bottom>
      <diagonal/>
    </border>
    <border>
      <left style="thin">
        <color indexed="64"/>
      </left>
      <right/>
      <top style="hair">
        <color indexed="8"/>
      </top>
      <bottom style="thin">
        <color indexed="64"/>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n">
        <color indexed="8"/>
      </bottom>
      <diagonal/>
    </border>
    <border>
      <left style="hair">
        <color indexed="64"/>
      </left>
      <right style="hair">
        <color indexed="64"/>
      </right>
      <top style="hair">
        <color indexed="64"/>
      </top>
      <bottom style="double">
        <color indexed="64"/>
      </bottom>
      <diagonal/>
    </border>
    <border>
      <left/>
      <right style="thin">
        <color indexed="8"/>
      </right>
      <top/>
      <bottom/>
      <diagonal/>
    </border>
    <border>
      <left style="thin">
        <color indexed="64"/>
      </left>
      <right style="hair">
        <color indexed="64"/>
      </right>
      <top/>
      <bottom/>
      <diagonal/>
    </border>
    <border>
      <left/>
      <right/>
      <top style="double">
        <color indexed="64"/>
      </top>
      <bottom style="double">
        <color indexed="64"/>
      </bottom>
      <diagonal/>
    </border>
    <border>
      <left/>
      <right/>
      <top style="thin">
        <color indexed="64"/>
      </top>
      <bottom style="thick">
        <color indexed="64"/>
      </bottom>
      <diagonal/>
    </border>
    <border>
      <left/>
      <right/>
      <top/>
      <bottom style="dotted">
        <color indexed="64"/>
      </bottom>
      <diagonal/>
    </border>
    <border>
      <left/>
      <right/>
      <top style="thin">
        <color indexed="8"/>
      </top>
      <bottom style="thin">
        <color indexed="8"/>
      </bottom>
      <diagonal/>
    </border>
    <border>
      <left/>
      <right/>
      <top style="thin">
        <color indexed="8"/>
      </top>
      <bottom style="double">
        <color indexed="8"/>
      </bottom>
      <diagonal/>
    </border>
    <border>
      <left/>
      <right/>
      <top style="thin">
        <color indexed="9"/>
      </top>
      <bottom style="thin">
        <color indexed="8"/>
      </bottom>
      <diagonal/>
    </border>
    <border>
      <left style="thin">
        <color indexed="64"/>
      </left>
      <right style="thick">
        <color indexed="64"/>
      </right>
      <top style="thin">
        <color indexed="64"/>
      </top>
      <bottom style="thick">
        <color indexed="64"/>
      </bottom>
      <diagonal/>
    </border>
    <border>
      <left/>
      <right/>
      <top style="thin">
        <color indexed="64"/>
      </top>
      <bottom style="double">
        <color indexed="64"/>
      </bottom>
      <diagonal/>
    </border>
    <border>
      <left style="double">
        <color indexed="64"/>
      </left>
      <right style="double">
        <color indexed="64"/>
      </right>
      <top style="double">
        <color indexed="64"/>
      </top>
      <bottom style="double">
        <color indexed="64"/>
      </bottom>
      <diagonal/>
    </border>
    <border>
      <left style="hair">
        <color indexed="8"/>
      </left>
      <right style="hair">
        <color indexed="8"/>
      </right>
      <top style="hair">
        <color indexed="8"/>
      </top>
      <bottom style="hair">
        <color indexed="8"/>
      </bottom>
      <diagonal/>
    </border>
    <border>
      <left style="hair">
        <color indexed="12"/>
      </left>
      <right style="hair">
        <color indexed="12"/>
      </right>
      <top style="hair">
        <color indexed="12"/>
      </top>
      <bottom style="hair">
        <color indexed="12"/>
      </bottom>
      <diagonal/>
    </border>
    <border>
      <left style="thin">
        <color indexed="22"/>
      </left>
      <right style="thin">
        <color indexed="22"/>
      </right>
      <top style="thin">
        <color indexed="22"/>
      </top>
      <bottom style="thin">
        <color indexed="22"/>
      </bottom>
      <diagonal/>
    </border>
    <border>
      <left style="hair">
        <color indexed="8"/>
      </left>
      <right/>
      <top style="hair">
        <color indexed="8"/>
      </top>
      <bottom/>
      <diagonal/>
    </border>
    <border>
      <left style="thin">
        <color indexed="48"/>
      </left>
      <right style="thin">
        <color indexed="48"/>
      </right>
      <top style="thin">
        <color indexed="48"/>
      </top>
      <bottom style="thin">
        <color indexed="48"/>
      </bottom>
      <diagonal/>
    </border>
    <border>
      <left style="hair">
        <color indexed="48"/>
      </left>
      <right style="hair">
        <color indexed="48"/>
      </right>
      <top style="hair">
        <color indexed="48"/>
      </top>
      <bottom style="hair">
        <color indexed="48"/>
      </bottom>
      <diagonal/>
    </border>
    <border>
      <left style="thin">
        <color indexed="41"/>
      </left>
      <right style="thin">
        <color indexed="48"/>
      </right>
      <top style="medium">
        <color indexed="41"/>
      </top>
      <bottom style="thin">
        <color indexed="48"/>
      </bottom>
      <diagonal/>
    </border>
    <border>
      <left style="thin">
        <color indexed="64"/>
      </left>
      <right style="thin">
        <color indexed="64"/>
      </right>
      <top style="thin">
        <color indexed="64"/>
      </top>
      <bottom/>
      <diagonal/>
    </border>
    <border>
      <left/>
      <right/>
      <top/>
      <bottom style="double">
        <color indexed="64"/>
      </bottom>
      <diagonal/>
    </border>
    <border>
      <left/>
      <right/>
      <top style="medium">
        <color auto="1"/>
      </top>
      <bottom style="medium">
        <color auto="1"/>
      </bottom>
      <diagonal/>
    </border>
    <border>
      <left/>
      <right style="thin">
        <color auto="1"/>
      </right>
      <top/>
      <bottom/>
      <diagonal/>
    </border>
    <border>
      <left/>
      <right/>
      <top style="thin">
        <color auto="1"/>
      </top>
      <bottom style="thin">
        <color auto="1"/>
      </bottom>
      <diagonal/>
    </border>
    <border>
      <left/>
      <right style="thin">
        <color indexed="64"/>
      </right>
      <top/>
      <bottom style="thin">
        <color indexed="64"/>
      </bottom>
      <diagonal/>
    </border>
    <border>
      <left/>
      <right/>
      <top style="thin">
        <color auto="1"/>
      </top>
      <bottom style="thin">
        <color auto="1"/>
      </bottom>
      <diagonal/>
    </border>
    <border>
      <left/>
      <right/>
      <top style="thin">
        <color indexed="64"/>
      </top>
      <bottom/>
      <diagonal/>
    </border>
    <border>
      <left style="thin">
        <color indexed="64"/>
      </left>
      <right/>
      <top style="thin">
        <color indexed="64"/>
      </top>
      <bottom/>
      <diagonal/>
    </border>
    <border>
      <left/>
      <right/>
      <top style="thin">
        <color indexed="32"/>
      </top>
      <bottom style="thin">
        <color indexed="32"/>
      </bottom>
      <diagonal/>
    </border>
    <border>
      <left style="thin">
        <color indexed="64"/>
      </left>
      <right style="dotted">
        <color indexed="64"/>
      </right>
      <top style="thin">
        <color indexed="64"/>
      </top>
      <bottom/>
      <diagonal/>
    </border>
    <border>
      <left/>
      <right/>
      <top style="thin">
        <color indexed="8"/>
      </top>
      <bottom/>
      <diagonal/>
    </border>
    <border>
      <left style="thin">
        <color indexed="23"/>
      </left>
      <right style="thin">
        <color indexed="23"/>
      </right>
      <top style="thin">
        <color indexed="23"/>
      </top>
      <bottom style="thin">
        <color indexed="23"/>
      </bottom>
      <diagonal/>
    </border>
    <border>
      <left/>
      <right/>
      <top style="thin">
        <color indexed="8"/>
      </top>
      <bottom style="thin">
        <color indexed="8"/>
      </bottom>
      <diagonal/>
    </border>
    <border>
      <left/>
      <right/>
      <top style="thin">
        <color indexed="8"/>
      </top>
      <bottom style="double">
        <color indexed="8"/>
      </bottom>
      <diagonal/>
    </border>
    <border>
      <left/>
      <right/>
      <top style="thin">
        <color indexed="9"/>
      </top>
      <bottom style="thin">
        <color indexed="8"/>
      </bottom>
      <diagonal/>
    </border>
    <border>
      <left style="thin">
        <color indexed="22"/>
      </left>
      <right style="thin">
        <color indexed="22"/>
      </right>
      <top style="thin">
        <color indexed="22"/>
      </top>
      <bottom style="thin">
        <color indexed="22"/>
      </bottom>
      <diagonal/>
    </border>
    <border>
      <left style="thin">
        <color indexed="48"/>
      </left>
      <right style="thin">
        <color indexed="48"/>
      </right>
      <top style="thin">
        <color indexed="48"/>
      </top>
      <bottom style="thin">
        <color indexed="48"/>
      </bottom>
      <diagonal/>
    </border>
    <border>
      <left style="thin">
        <color indexed="64"/>
      </left>
      <right style="thin">
        <color indexed="64"/>
      </right>
      <top style="thin">
        <color indexed="64"/>
      </top>
      <bottom/>
      <diagonal/>
    </border>
    <border>
      <left/>
      <right/>
      <top style="thin">
        <color auto="1"/>
      </top>
      <bottom style="thin">
        <color auto="1"/>
      </bottom>
      <diagonal/>
    </border>
    <border>
      <left style="hair">
        <color auto="1"/>
      </left>
      <right style="hair">
        <color auto="1"/>
      </right>
      <top style="hair">
        <color auto="1"/>
      </top>
      <bottom style="hair">
        <color auto="1"/>
      </bottom>
      <diagonal/>
    </border>
    <border>
      <left/>
      <right/>
      <top/>
      <bottom style="thin">
        <color indexed="22"/>
      </bottom>
      <diagonal/>
    </border>
    <border>
      <left/>
      <right/>
      <top style="hair">
        <color indexed="64"/>
      </top>
      <bottom style="hair">
        <color indexed="64"/>
      </bottom>
      <diagonal/>
    </border>
    <border>
      <left style="thin">
        <color indexed="64"/>
      </left>
      <right/>
      <top style="hair">
        <color indexed="8"/>
      </top>
      <bottom style="thin">
        <color indexed="64"/>
      </bottom>
      <diagonal/>
    </border>
    <border>
      <left/>
      <right/>
      <top/>
      <bottom style="thin">
        <color indexed="64"/>
      </bottom>
      <diagonal/>
    </border>
    <border>
      <left style="hair">
        <color auto="1"/>
      </left>
      <right style="hair">
        <color auto="1"/>
      </right>
      <top style="hair">
        <color auto="1"/>
      </top>
      <bottom style="hair">
        <color auto="1"/>
      </bottom>
      <diagonal/>
    </border>
    <border>
      <left/>
      <right/>
      <top/>
      <bottom style="thin">
        <color indexed="8"/>
      </bottom>
      <diagonal/>
    </border>
    <border>
      <left style="hair">
        <color indexed="64"/>
      </left>
      <right style="hair">
        <color indexed="64"/>
      </right>
      <top style="hair">
        <color indexed="64"/>
      </top>
      <bottom style="double">
        <color indexed="64"/>
      </bottom>
      <diagonal/>
    </border>
    <border>
      <left/>
      <right/>
      <top style="thin">
        <color indexed="32"/>
      </top>
      <bottom style="thin">
        <color indexed="32"/>
      </bottom>
      <diagonal/>
    </border>
    <border>
      <left/>
      <right/>
      <top style="thin">
        <color indexed="8"/>
      </top>
      <bottom style="thin">
        <color indexed="8"/>
      </bottom>
      <diagonal/>
    </border>
    <border>
      <left/>
      <right/>
      <top style="thin">
        <color indexed="8"/>
      </top>
      <bottom style="double">
        <color indexed="8"/>
      </bottom>
      <diagonal/>
    </border>
    <border>
      <left style="thin">
        <color indexed="64"/>
      </left>
      <right/>
      <top style="thin">
        <color indexed="64"/>
      </top>
      <bottom/>
      <diagonal/>
    </border>
    <border>
      <left/>
      <right/>
      <top style="thin">
        <color indexed="9"/>
      </top>
      <bottom style="thin">
        <color indexed="8"/>
      </bottom>
      <diagonal/>
    </border>
    <border>
      <left/>
      <right/>
      <top style="thin">
        <color indexed="64"/>
      </top>
      <bottom style="thin">
        <color indexed="64"/>
      </bottom>
      <diagonal/>
    </border>
    <border>
      <left style="hair">
        <color indexed="8"/>
      </left>
      <right style="hair">
        <color indexed="8"/>
      </right>
      <top style="hair">
        <color indexed="8"/>
      </top>
      <bottom style="hair">
        <color indexed="8"/>
      </bottom>
      <diagonal/>
    </border>
    <border>
      <left style="hair">
        <color indexed="12"/>
      </left>
      <right style="hair">
        <color indexed="12"/>
      </right>
      <top style="hair">
        <color indexed="12"/>
      </top>
      <bottom style="hair">
        <color indexed="12"/>
      </bottom>
      <diagonal/>
    </border>
    <border>
      <left/>
      <right/>
      <top style="hair">
        <color indexed="64"/>
      </top>
      <bottom/>
      <diagonal/>
    </border>
    <border>
      <left style="thin">
        <color indexed="22"/>
      </left>
      <right style="thin">
        <color indexed="22"/>
      </right>
      <top style="thin">
        <color indexed="22"/>
      </top>
      <bottom style="thin">
        <color indexed="22"/>
      </bottom>
      <diagonal/>
    </border>
    <border>
      <left style="hair">
        <color indexed="8"/>
      </left>
      <right/>
      <top style="hair">
        <color indexed="8"/>
      </top>
      <bottom/>
      <diagonal/>
    </border>
    <border>
      <left style="thin">
        <color indexed="48"/>
      </left>
      <right style="thin">
        <color indexed="48"/>
      </right>
      <top style="thin">
        <color indexed="48"/>
      </top>
      <bottom style="thin">
        <color indexed="48"/>
      </bottom>
      <diagonal/>
    </border>
    <border>
      <left style="hair">
        <color indexed="48"/>
      </left>
      <right style="hair">
        <color indexed="48"/>
      </right>
      <top style="hair">
        <color indexed="48"/>
      </top>
      <bottom style="hair">
        <color indexed="48"/>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right/>
      <top style="thin">
        <color indexed="64"/>
      </top>
      <bottom style="hair">
        <color indexed="64"/>
      </bottom>
      <diagonal/>
    </border>
    <border>
      <left/>
      <right/>
      <top style="hair">
        <color indexed="8"/>
      </top>
      <bottom style="hair">
        <color indexed="8"/>
      </bottom>
      <diagonal/>
    </border>
    <border>
      <left style="hair">
        <color auto="1"/>
      </left>
      <right style="hair">
        <color auto="1"/>
      </right>
      <top style="hair">
        <color auto="1"/>
      </top>
      <bottom style="hair">
        <color auto="1"/>
      </bottom>
      <diagonal/>
    </border>
    <border>
      <left style="hair">
        <color indexed="8"/>
      </left>
      <right style="hair">
        <color indexed="8"/>
      </right>
      <top style="hair">
        <color indexed="8"/>
      </top>
      <bottom/>
      <diagonal/>
    </border>
    <border>
      <left/>
      <right/>
      <top/>
      <bottom style="thin">
        <color indexed="22"/>
      </bottom>
      <diagonal/>
    </border>
    <border>
      <left/>
      <right/>
      <top style="hair">
        <color indexed="64"/>
      </top>
      <bottom style="hair">
        <color indexed="64"/>
      </bottom>
      <diagonal/>
    </border>
    <border>
      <left style="thin">
        <color indexed="64"/>
      </left>
      <right/>
      <top style="hair">
        <color indexed="8"/>
      </top>
      <bottom style="thin">
        <color indexed="64"/>
      </bottom>
      <diagonal/>
    </border>
    <border>
      <left style="hair">
        <color auto="1"/>
      </left>
      <right style="hair">
        <color auto="1"/>
      </right>
      <top style="hair">
        <color auto="1"/>
      </top>
      <bottom style="hair">
        <color auto="1"/>
      </bottom>
      <diagonal/>
    </border>
    <border>
      <left/>
      <right/>
      <top/>
      <bottom style="thin">
        <color indexed="8"/>
      </bottom>
      <diagonal/>
    </border>
    <border>
      <left style="hair">
        <color indexed="64"/>
      </left>
      <right style="hair">
        <color indexed="64"/>
      </right>
      <top style="hair">
        <color indexed="64"/>
      </top>
      <bottom style="double">
        <color indexed="64"/>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top style="thin">
        <color indexed="64"/>
      </top>
      <bottom style="thin">
        <color indexed="64"/>
      </bottom>
      <diagonal/>
    </border>
    <border>
      <left style="hair">
        <color indexed="8"/>
      </left>
      <right style="hair">
        <color indexed="8"/>
      </right>
      <top style="hair">
        <color indexed="8"/>
      </top>
      <bottom style="hair">
        <color indexed="8"/>
      </bottom>
      <diagonal/>
    </border>
    <border>
      <left style="hair">
        <color indexed="12"/>
      </left>
      <right style="hair">
        <color indexed="12"/>
      </right>
      <top style="hair">
        <color indexed="12"/>
      </top>
      <bottom style="hair">
        <color indexed="12"/>
      </bottom>
      <diagonal/>
    </border>
    <border>
      <left style="hair">
        <color auto="1"/>
      </left>
      <right style="hair">
        <color auto="1"/>
      </right>
      <top style="hair">
        <color auto="1"/>
      </top>
      <bottom style="hair">
        <color auto="1"/>
      </bottom>
      <diagonal/>
    </border>
    <border>
      <left/>
      <right/>
      <top style="hair">
        <color indexed="64"/>
      </top>
      <bottom/>
      <diagonal/>
    </border>
    <border>
      <left style="thin">
        <color indexed="22"/>
      </left>
      <right style="thin">
        <color indexed="22"/>
      </right>
      <top style="thin">
        <color indexed="22"/>
      </top>
      <bottom style="thin">
        <color indexed="22"/>
      </bottom>
      <diagonal/>
    </border>
    <border>
      <left style="thin">
        <color indexed="64"/>
      </left>
      <right/>
      <top style="thin">
        <color indexed="64"/>
      </top>
      <bottom style="thin">
        <color indexed="64"/>
      </bottom>
      <diagonal/>
    </border>
    <border>
      <left style="hair">
        <color indexed="8"/>
      </left>
      <right/>
      <top style="hair">
        <color indexed="8"/>
      </top>
      <bottom/>
      <diagonal/>
    </border>
    <border>
      <left style="thin">
        <color indexed="48"/>
      </left>
      <right style="thin">
        <color indexed="48"/>
      </right>
      <top style="thin">
        <color indexed="48"/>
      </top>
      <bottom style="thin">
        <color indexed="48"/>
      </bottom>
      <diagonal/>
    </border>
    <border>
      <left style="hair">
        <color indexed="48"/>
      </left>
      <right style="hair">
        <color indexed="48"/>
      </right>
      <top style="hair">
        <color indexed="48"/>
      </top>
      <bottom style="hair">
        <color indexed="48"/>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auto="1"/>
      </right>
      <top/>
      <bottom style="thin">
        <color indexed="64"/>
      </bottom>
      <diagonal/>
    </border>
    <border>
      <left/>
      <right/>
      <top style="hair">
        <color indexed="8"/>
      </top>
      <bottom style="hair">
        <color indexed="8"/>
      </bottom>
      <diagonal/>
    </border>
    <border>
      <left style="hair">
        <color indexed="8"/>
      </left>
      <right style="hair">
        <color indexed="8"/>
      </right>
      <top style="hair">
        <color indexed="8"/>
      </top>
      <bottom/>
      <diagonal/>
    </border>
    <border>
      <left/>
      <right/>
      <top style="hair">
        <color indexed="64"/>
      </top>
      <bottom style="hair">
        <color indexed="64"/>
      </bottom>
      <diagonal/>
    </border>
    <border>
      <left style="thin">
        <color indexed="64"/>
      </left>
      <right/>
      <top style="hair">
        <color indexed="8"/>
      </top>
      <bottom style="thin">
        <color indexed="64"/>
      </bottom>
      <diagonal/>
    </border>
    <border>
      <left style="hair">
        <color indexed="48"/>
      </left>
      <right style="hair">
        <color indexed="48"/>
      </right>
      <top style="hair">
        <color indexed="48"/>
      </top>
      <bottom style="hair">
        <color indexed="48"/>
      </bottom>
      <diagonal/>
    </border>
    <border>
      <left style="thin">
        <color indexed="41"/>
      </left>
      <right style="thin">
        <color indexed="48"/>
      </right>
      <top style="medium">
        <color indexed="41"/>
      </top>
      <bottom style="thin">
        <color indexed="48"/>
      </bottom>
      <diagonal/>
    </border>
    <border>
      <left/>
      <right/>
      <top style="medium">
        <color auto="1"/>
      </top>
      <bottom style="medium">
        <color auto="1"/>
      </bottom>
      <diagonal/>
    </border>
    <border>
      <left style="hair">
        <color auto="1"/>
      </left>
      <right style="hair">
        <color auto="1"/>
      </right>
      <top style="hair">
        <color auto="1"/>
      </top>
      <bottom style="hair">
        <color auto="1"/>
      </bottom>
      <diagonal/>
    </border>
    <border>
      <left style="hair">
        <color indexed="64"/>
      </left>
      <right style="hair">
        <color indexed="64"/>
      </right>
      <top style="hair">
        <color indexed="64"/>
      </top>
      <bottom style="double">
        <color indexed="64"/>
      </bottom>
      <diagonal/>
    </border>
    <border>
      <left style="hair">
        <color indexed="8"/>
      </left>
      <right style="hair">
        <color indexed="8"/>
      </right>
      <top style="hair">
        <color indexed="8"/>
      </top>
      <bottom style="hair">
        <color indexed="8"/>
      </bottom>
      <diagonal/>
    </border>
    <border>
      <left style="hair">
        <color indexed="12"/>
      </left>
      <right style="hair">
        <color indexed="12"/>
      </right>
      <top style="hair">
        <color indexed="12"/>
      </top>
      <bottom style="hair">
        <color indexed="12"/>
      </bottom>
      <diagonal/>
    </border>
    <border>
      <left/>
      <right/>
      <top style="hair">
        <color indexed="64"/>
      </top>
      <bottom/>
      <diagonal/>
    </border>
    <border>
      <left style="hair">
        <color indexed="8"/>
      </left>
      <right/>
      <top style="hair">
        <color indexed="8"/>
      </top>
      <bottom/>
      <diagonal/>
    </border>
    <border>
      <left style="hair">
        <color indexed="48"/>
      </left>
      <right style="hair">
        <color indexed="48"/>
      </right>
      <top style="hair">
        <color indexed="48"/>
      </top>
      <bottom style="hair">
        <color indexed="48"/>
      </bottom>
      <diagonal/>
    </border>
    <border>
      <left/>
      <right/>
      <top style="hair">
        <color indexed="8"/>
      </top>
      <bottom style="hair">
        <color indexed="8"/>
      </bottom>
      <diagonal/>
    </border>
    <border>
      <left style="hair">
        <color auto="1"/>
      </left>
      <right style="hair">
        <color auto="1"/>
      </right>
      <top style="hair">
        <color auto="1"/>
      </top>
      <bottom style="hair">
        <color auto="1"/>
      </bottom>
      <diagonal/>
    </border>
    <border>
      <left style="hair">
        <color indexed="8"/>
      </left>
      <right style="hair">
        <color indexed="8"/>
      </right>
      <top style="hair">
        <color indexed="8"/>
      </top>
      <bottom/>
      <diagonal/>
    </border>
    <border>
      <left/>
      <right/>
      <top style="hair">
        <color indexed="64"/>
      </top>
      <bottom style="hair">
        <color indexed="64"/>
      </bottom>
      <diagonal/>
    </border>
    <border>
      <left style="thin">
        <color indexed="64"/>
      </left>
      <right/>
      <top style="hair">
        <color indexed="8"/>
      </top>
      <bottom style="thin">
        <color indexed="64"/>
      </bottom>
      <diagonal/>
    </border>
    <border>
      <left style="hair">
        <color indexed="64"/>
      </left>
      <right style="hair">
        <color indexed="64"/>
      </right>
      <top style="hair">
        <color indexed="64"/>
      </top>
      <bottom style="double">
        <color indexed="64"/>
      </bottom>
      <diagonal/>
    </border>
    <border>
      <left style="hair">
        <color indexed="8"/>
      </left>
      <right style="hair">
        <color indexed="8"/>
      </right>
      <top style="hair">
        <color indexed="8"/>
      </top>
      <bottom style="hair">
        <color indexed="8"/>
      </bottom>
      <diagonal/>
    </border>
    <border>
      <left style="hair">
        <color indexed="12"/>
      </left>
      <right style="hair">
        <color indexed="12"/>
      </right>
      <top style="hair">
        <color indexed="12"/>
      </top>
      <bottom style="hair">
        <color indexed="12"/>
      </bottom>
      <diagonal/>
    </border>
    <border>
      <left style="hair">
        <color auto="1"/>
      </left>
      <right style="hair">
        <color auto="1"/>
      </right>
      <top style="hair">
        <color auto="1"/>
      </top>
      <bottom style="hair">
        <color auto="1"/>
      </bottom>
      <diagonal/>
    </border>
    <border>
      <left/>
      <right/>
      <top style="hair">
        <color indexed="64"/>
      </top>
      <bottom/>
      <diagonal/>
    </border>
    <border>
      <left style="hair">
        <color indexed="8"/>
      </left>
      <right/>
      <top style="hair">
        <color indexed="8"/>
      </top>
      <bottom/>
      <diagonal/>
    </border>
    <border>
      <left style="hair">
        <color indexed="48"/>
      </left>
      <right style="hair">
        <color indexed="48"/>
      </right>
      <top style="hair">
        <color indexed="48"/>
      </top>
      <bottom style="hair">
        <color indexed="48"/>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auto="1"/>
      </left>
      <right/>
      <top style="thin">
        <color auto="1"/>
      </top>
      <bottom/>
      <diagonal/>
    </border>
    <border>
      <left/>
      <right/>
      <top style="thin">
        <color auto="1"/>
      </top>
      <bottom/>
      <diagonal/>
    </border>
    <border>
      <left style="thin">
        <color auto="1"/>
      </left>
      <right style="thin">
        <color auto="1"/>
      </right>
      <top style="thin">
        <color auto="1"/>
      </top>
      <bottom/>
      <diagonal/>
    </border>
    <border>
      <left/>
      <right/>
      <top style="hair">
        <color indexed="8"/>
      </top>
      <bottom style="hair">
        <color indexed="8"/>
      </bottom>
      <diagonal/>
    </border>
    <border>
      <left/>
      <right/>
      <top style="thin">
        <color indexed="32"/>
      </top>
      <bottom style="thin">
        <color indexed="32"/>
      </bottom>
      <diagonal/>
    </border>
    <border>
      <left style="thin">
        <color indexed="64"/>
      </left>
      <right style="dotted">
        <color indexed="64"/>
      </right>
      <top style="thin">
        <color indexed="64"/>
      </top>
      <bottom/>
      <diagonal/>
    </border>
    <border>
      <left style="hair">
        <color indexed="8"/>
      </left>
      <right style="hair">
        <color indexed="8"/>
      </right>
      <top style="hair">
        <color indexed="8"/>
      </top>
      <bottom/>
      <diagonal/>
    </border>
    <border>
      <left/>
      <right/>
      <top style="thin">
        <color indexed="8"/>
      </top>
      <bottom/>
      <diagonal/>
    </border>
    <border>
      <left/>
      <right/>
      <top style="hair">
        <color indexed="64"/>
      </top>
      <bottom style="hair">
        <color indexed="64"/>
      </bottom>
      <diagonal/>
    </border>
    <border>
      <left style="thin">
        <color indexed="64"/>
      </left>
      <right/>
      <top style="hair">
        <color indexed="8"/>
      </top>
      <bottom style="thin">
        <color indexed="64"/>
      </bottom>
      <diagonal/>
    </border>
    <border>
      <left style="thin">
        <color indexed="23"/>
      </left>
      <right style="thin">
        <color indexed="23"/>
      </right>
      <top style="thin">
        <color indexed="23"/>
      </top>
      <bottom style="thin">
        <color indexed="23"/>
      </bottom>
      <diagonal/>
    </border>
    <border>
      <left style="hair">
        <color indexed="64"/>
      </left>
      <right style="hair">
        <color indexed="64"/>
      </right>
      <top style="hair">
        <color indexed="64"/>
      </top>
      <bottom style="double">
        <color indexed="64"/>
      </bottom>
      <diagonal/>
    </border>
    <border>
      <left/>
      <right/>
      <top style="thin">
        <color indexed="8"/>
      </top>
      <bottom style="thin">
        <color indexed="8"/>
      </bottom>
      <diagonal/>
    </border>
    <border>
      <left/>
      <right/>
      <top style="thin">
        <color indexed="8"/>
      </top>
      <bottom style="double">
        <color indexed="8"/>
      </bottom>
      <diagonal/>
    </border>
    <border>
      <left/>
      <right/>
      <top style="thin">
        <color indexed="9"/>
      </top>
      <bottom style="thin">
        <color indexed="8"/>
      </bottom>
      <diagonal/>
    </border>
    <border>
      <left style="hair">
        <color indexed="8"/>
      </left>
      <right style="hair">
        <color indexed="8"/>
      </right>
      <top style="hair">
        <color indexed="8"/>
      </top>
      <bottom style="hair">
        <color indexed="8"/>
      </bottom>
      <diagonal/>
    </border>
    <border>
      <left style="hair">
        <color indexed="12"/>
      </left>
      <right style="hair">
        <color indexed="12"/>
      </right>
      <top style="hair">
        <color indexed="12"/>
      </top>
      <bottom style="hair">
        <color indexed="12"/>
      </bottom>
      <diagonal/>
    </border>
    <border>
      <left style="thin">
        <color indexed="22"/>
      </left>
      <right style="thin">
        <color indexed="22"/>
      </right>
      <top style="thin">
        <color indexed="22"/>
      </top>
      <bottom style="thin">
        <color indexed="22"/>
      </bottom>
      <diagonal/>
    </border>
    <border>
      <left style="thin">
        <color indexed="48"/>
      </left>
      <right style="thin">
        <color indexed="48"/>
      </right>
      <top style="thin">
        <color indexed="48"/>
      </top>
      <bottom style="thin">
        <color indexed="48"/>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hair">
        <color auto="1"/>
      </left>
      <right style="hair">
        <color auto="1"/>
      </right>
      <top style="hair">
        <color auto="1"/>
      </top>
      <bottom style="hair">
        <color auto="1"/>
      </bottom>
      <diagonal/>
    </border>
    <border>
      <left style="hair">
        <color indexed="64"/>
      </left>
      <right style="hair">
        <color indexed="64"/>
      </right>
      <top style="hair">
        <color indexed="64"/>
      </top>
      <bottom style="double">
        <color indexed="64"/>
      </bottom>
      <diagonal/>
    </border>
    <border>
      <left style="hair">
        <color indexed="8"/>
      </left>
      <right style="hair">
        <color indexed="8"/>
      </right>
      <top style="hair">
        <color indexed="8"/>
      </top>
      <bottom style="hair">
        <color indexed="8"/>
      </bottom>
      <diagonal/>
    </border>
    <border>
      <left style="hair">
        <color indexed="12"/>
      </left>
      <right style="hair">
        <color indexed="12"/>
      </right>
      <top style="hair">
        <color indexed="12"/>
      </top>
      <bottom style="hair">
        <color indexed="12"/>
      </bottom>
      <diagonal/>
    </border>
    <border>
      <left/>
      <right/>
      <top style="hair">
        <color indexed="64"/>
      </top>
      <bottom/>
      <diagonal/>
    </border>
    <border>
      <left style="hair">
        <color indexed="8"/>
      </left>
      <right/>
      <top style="hair">
        <color indexed="8"/>
      </top>
      <bottom/>
      <diagonal/>
    </border>
    <border>
      <left style="hair">
        <color indexed="48"/>
      </left>
      <right style="hair">
        <color indexed="48"/>
      </right>
      <top style="hair">
        <color indexed="48"/>
      </top>
      <bottom style="hair">
        <color indexed="48"/>
      </bottom>
      <diagonal/>
    </border>
    <border>
      <left/>
      <right/>
      <top style="hair">
        <color indexed="8"/>
      </top>
      <bottom style="hair">
        <color indexed="8"/>
      </bottom>
      <diagonal/>
    </border>
    <border>
      <left style="hair">
        <color auto="1"/>
      </left>
      <right style="hair">
        <color auto="1"/>
      </right>
      <top style="hair">
        <color auto="1"/>
      </top>
      <bottom style="hair">
        <color auto="1"/>
      </bottom>
      <diagonal/>
    </border>
    <border>
      <left style="hair">
        <color indexed="8"/>
      </left>
      <right style="hair">
        <color indexed="8"/>
      </right>
      <top style="hair">
        <color indexed="8"/>
      </top>
      <bottom/>
      <diagonal/>
    </border>
    <border>
      <left/>
      <right/>
      <top style="hair">
        <color indexed="64"/>
      </top>
      <bottom style="hair">
        <color indexed="64"/>
      </bottom>
      <diagonal/>
    </border>
    <border>
      <left style="thin">
        <color indexed="64"/>
      </left>
      <right/>
      <top style="hair">
        <color indexed="8"/>
      </top>
      <bottom style="thin">
        <color indexed="64"/>
      </bottom>
      <diagonal/>
    </border>
    <border>
      <left style="hair">
        <color indexed="64"/>
      </left>
      <right style="hair">
        <color indexed="64"/>
      </right>
      <top style="hair">
        <color indexed="64"/>
      </top>
      <bottom style="double">
        <color indexed="64"/>
      </bottom>
      <diagonal/>
    </border>
    <border>
      <left style="hair">
        <color indexed="8"/>
      </left>
      <right style="hair">
        <color indexed="8"/>
      </right>
      <top style="hair">
        <color indexed="8"/>
      </top>
      <bottom style="hair">
        <color indexed="8"/>
      </bottom>
      <diagonal/>
    </border>
    <border>
      <left style="hair">
        <color indexed="12"/>
      </left>
      <right style="hair">
        <color indexed="12"/>
      </right>
      <top style="hair">
        <color indexed="12"/>
      </top>
      <bottom style="hair">
        <color indexed="12"/>
      </bottom>
      <diagonal/>
    </border>
    <border>
      <left style="hair">
        <color auto="1"/>
      </left>
      <right style="hair">
        <color auto="1"/>
      </right>
      <top style="hair">
        <color auto="1"/>
      </top>
      <bottom style="hair">
        <color auto="1"/>
      </bottom>
      <diagonal/>
    </border>
    <border>
      <left/>
      <right/>
      <top style="hair">
        <color indexed="64"/>
      </top>
      <bottom/>
      <diagonal/>
    </border>
    <border>
      <left style="hair">
        <color indexed="8"/>
      </left>
      <right/>
      <top style="hair">
        <color indexed="8"/>
      </top>
      <bottom/>
      <diagonal/>
    </border>
    <border>
      <left style="hair">
        <color indexed="48"/>
      </left>
      <right style="hair">
        <color indexed="48"/>
      </right>
      <top style="hair">
        <color indexed="48"/>
      </top>
      <bottom style="hair">
        <color indexed="48"/>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thin">
        <color indexed="64"/>
      </top>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theme="1"/>
      </bottom>
      <diagonal/>
    </border>
    <border>
      <left/>
      <right/>
      <top style="thin">
        <color indexed="64"/>
      </top>
      <bottom style="thin">
        <color theme="1"/>
      </bottom>
      <diagonal/>
    </border>
    <border>
      <left/>
      <right style="thin">
        <color indexed="64"/>
      </right>
      <top style="thin">
        <color indexed="64"/>
      </top>
      <bottom style="thin">
        <color theme="1"/>
      </bottom>
      <diagonal/>
    </border>
    <border>
      <left/>
      <right style="thin">
        <color theme="1"/>
      </right>
      <top style="thin">
        <color theme="1"/>
      </top>
      <bottom style="thin">
        <color theme="1"/>
      </bottom>
      <diagonal/>
    </border>
    <border>
      <left style="thin">
        <color indexed="64"/>
      </left>
      <right style="thin">
        <color theme="1"/>
      </right>
      <top style="thin">
        <color indexed="64"/>
      </top>
      <bottom/>
      <diagonal/>
    </border>
    <border>
      <left/>
      <right style="thin">
        <color theme="1"/>
      </right>
      <top style="thin">
        <color theme="1"/>
      </top>
      <bottom/>
      <diagonal/>
    </border>
    <border>
      <left style="thin">
        <color theme="1"/>
      </left>
      <right style="thin">
        <color theme="1"/>
      </right>
      <top style="thin">
        <color theme="1"/>
      </top>
      <bottom/>
      <diagonal/>
    </border>
    <border>
      <left style="medium">
        <color theme="0"/>
      </left>
      <right style="medium">
        <color theme="0"/>
      </right>
      <top style="medium">
        <color theme="0"/>
      </top>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right/>
      <top style="thin">
        <color indexed="64"/>
      </top>
      <bottom style="medium">
        <color theme="0"/>
      </bottom>
      <diagonal/>
    </border>
    <border>
      <left/>
      <right/>
      <top/>
      <bottom style="thick">
        <color indexed="64"/>
      </bottom>
      <diagonal/>
    </border>
    <border>
      <left/>
      <right style="thick">
        <color indexed="64"/>
      </right>
      <top/>
      <bottom/>
      <diagonal/>
    </border>
    <border>
      <left/>
      <right style="thick">
        <color indexed="64"/>
      </right>
      <top/>
      <bottom style="thick">
        <color indexed="64"/>
      </bottom>
      <diagonal/>
    </border>
    <border>
      <left style="thick">
        <color indexed="64"/>
      </left>
      <right/>
      <top/>
      <bottom/>
      <diagonal/>
    </border>
    <border>
      <left/>
      <right/>
      <top/>
      <bottom style="medium">
        <color theme="0"/>
      </bottom>
      <diagonal/>
    </border>
    <border>
      <left/>
      <right style="medium">
        <color theme="0"/>
      </right>
      <top style="medium">
        <color theme="0"/>
      </top>
      <bottom/>
      <diagonal/>
    </border>
    <border>
      <left/>
      <right style="medium">
        <color theme="0"/>
      </right>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style="medium">
        <color theme="0"/>
      </top>
      <bottom style="thin">
        <color indexed="64"/>
      </bottom>
      <diagonal/>
    </border>
    <border>
      <left style="medium">
        <color theme="0"/>
      </left>
      <right/>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style="thin">
        <color auto="1"/>
      </left>
      <right/>
      <top style="thin">
        <color auto="1"/>
      </top>
      <bottom style="medium">
        <color theme="0"/>
      </bottom>
      <diagonal/>
    </border>
    <border>
      <left/>
      <right style="thin">
        <color auto="1"/>
      </right>
      <top style="thin">
        <color auto="1"/>
      </top>
      <bottom style="medium">
        <color theme="0"/>
      </bottom>
      <diagonal/>
    </border>
    <border>
      <left/>
      <right/>
      <top style="medium">
        <color theme="0"/>
      </top>
      <bottom style="medium">
        <color rgb="FF213764"/>
      </bottom>
      <diagonal/>
    </border>
    <border>
      <left/>
      <right style="medium">
        <color rgb="FF213764"/>
      </right>
      <top/>
      <bottom style="medium">
        <color theme="0"/>
      </bottom>
      <diagonal/>
    </border>
    <border>
      <left style="medium">
        <color rgb="FF213764"/>
      </left>
      <right style="medium">
        <color rgb="FF213764"/>
      </right>
      <top/>
      <bottom/>
      <diagonal/>
    </border>
    <border>
      <left/>
      <right style="thick">
        <color indexed="64"/>
      </right>
      <top/>
      <bottom style="thin">
        <color indexed="64"/>
      </bottom>
      <diagonal/>
    </border>
    <border>
      <left style="medium">
        <color theme="0"/>
      </left>
      <right style="medium">
        <color theme="0"/>
      </right>
      <top/>
      <bottom/>
      <diagonal/>
    </border>
    <border>
      <left/>
      <right style="thin">
        <color auto="1"/>
      </right>
      <top style="thin">
        <color auto="1"/>
      </top>
      <bottom/>
      <diagonal/>
    </border>
    <border>
      <left style="thin">
        <color theme="1"/>
      </left>
      <right style="thin">
        <color theme="1"/>
      </right>
      <top/>
      <bottom style="thin">
        <color theme="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diagonal/>
    </border>
    <border>
      <left style="thin">
        <color auto="1"/>
      </left>
      <right style="medium">
        <color indexed="64"/>
      </right>
      <top/>
      <bottom style="thin">
        <color auto="1"/>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theme="0"/>
      </left>
      <right style="medium">
        <color theme="0"/>
      </right>
      <top style="thin">
        <color indexed="64"/>
      </top>
      <bottom/>
      <diagonal/>
    </border>
    <border>
      <left style="medium">
        <color theme="0"/>
      </left>
      <right style="thin">
        <color indexed="64"/>
      </right>
      <top style="thin">
        <color indexed="64"/>
      </top>
      <bottom/>
      <diagonal/>
    </border>
    <border>
      <left style="thin">
        <color indexed="64"/>
      </left>
      <right style="medium">
        <color theme="0"/>
      </right>
      <top/>
      <bottom/>
      <diagonal/>
    </border>
    <border>
      <left style="medium">
        <color theme="0"/>
      </left>
      <right style="thin">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auto="1"/>
      </top>
      <bottom style="medium">
        <color indexed="64"/>
      </bottom>
      <diagonal/>
    </border>
    <border>
      <left style="thin">
        <color indexed="64"/>
      </left>
      <right/>
      <top style="thin">
        <color indexed="64"/>
      </top>
      <bottom style="hair">
        <color indexed="64"/>
      </bottom>
      <diagonal/>
    </border>
    <border>
      <left style="thin">
        <color indexed="64"/>
      </left>
      <right/>
      <top/>
      <bottom style="thin">
        <color theme="1"/>
      </bottom>
      <diagonal/>
    </border>
    <border>
      <left/>
      <right/>
      <top/>
      <bottom style="thin">
        <color theme="1"/>
      </bottom>
      <diagonal/>
    </border>
    <border>
      <left/>
      <right style="thin">
        <color indexed="64"/>
      </right>
      <top/>
      <bottom style="thin">
        <color theme="1"/>
      </bottom>
      <diagonal/>
    </border>
    <border>
      <left style="medium">
        <color rgb="FF213764"/>
      </left>
      <right/>
      <top style="thin">
        <color auto="1"/>
      </top>
      <bottom style="medium">
        <color theme="0"/>
      </bottom>
      <diagonal/>
    </border>
    <border>
      <left/>
      <right style="medium">
        <color theme="0"/>
      </right>
      <top style="thin">
        <color auto="1"/>
      </top>
      <bottom style="medium">
        <color theme="0"/>
      </bottom>
      <diagonal/>
    </border>
    <border>
      <left style="medium">
        <color theme="0"/>
      </left>
      <right style="medium">
        <color theme="0"/>
      </right>
      <top style="thin">
        <color rgb="FF213764"/>
      </top>
      <bottom/>
      <diagonal/>
    </border>
    <border>
      <left style="medium">
        <color theme="0"/>
      </left>
      <right style="medium">
        <color theme="0"/>
      </right>
      <top style="medium">
        <color theme="0"/>
      </top>
      <bottom style="thin">
        <color rgb="FF213764"/>
      </bottom>
      <diagonal/>
    </border>
    <border>
      <left style="medium">
        <color theme="0"/>
      </left>
      <right style="medium">
        <color rgb="FF213764"/>
      </right>
      <top style="medium">
        <color theme="0"/>
      </top>
      <bottom style="medium">
        <color rgb="FF213764"/>
      </bottom>
      <diagonal/>
    </border>
    <border>
      <left/>
      <right style="medium">
        <color rgb="FF213764"/>
      </right>
      <top style="medium">
        <color theme="0"/>
      </top>
      <bottom/>
      <diagonal/>
    </border>
    <border>
      <left style="medium">
        <color indexed="64"/>
      </left>
      <right/>
      <top/>
      <bottom/>
      <diagonal/>
    </border>
    <border>
      <left/>
      <right style="thin">
        <color theme="0"/>
      </right>
      <top style="thin">
        <color theme="0"/>
      </top>
      <bottom style="thin">
        <color rgb="FF213764"/>
      </bottom>
      <diagonal/>
    </border>
    <border>
      <left style="thin">
        <color theme="0"/>
      </left>
      <right style="medium">
        <color theme="0"/>
      </right>
      <top style="thin">
        <color theme="0"/>
      </top>
      <bottom style="thin">
        <color rgb="FF213764"/>
      </bottom>
      <diagonal/>
    </border>
    <border>
      <left style="medium">
        <color theme="0"/>
      </left>
      <right/>
      <top/>
      <bottom style="medium">
        <color indexed="64"/>
      </bottom>
      <diagonal/>
    </border>
    <border>
      <left/>
      <right style="medium">
        <color theme="0"/>
      </right>
      <top/>
      <bottom style="medium">
        <color indexed="64"/>
      </bottom>
      <diagonal/>
    </border>
    <border>
      <left style="thin">
        <color auto="1"/>
      </left>
      <right/>
      <top/>
      <bottom style="medium">
        <color theme="0"/>
      </bottom>
      <diagonal/>
    </border>
    <border>
      <left style="medium">
        <color theme="0"/>
      </left>
      <right/>
      <top/>
      <bottom style="thin">
        <color rgb="FF213764"/>
      </bottom>
      <diagonal/>
    </border>
    <border>
      <left style="thin">
        <color theme="0"/>
      </left>
      <right style="thin">
        <color theme="0"/>
      </right>
      <top style="thin">
        <color theme="0"/>
      </top>
      <bottom style="thin">
        <color rgb="FF213764"/>
      </bottom>
      <diagonal/>
    </border>
    <border>
      <left style="thin">
        <color rgb="FF213764"/>
      </left>
      <right style="thin">
        <color rgb="FF213764"/>
      </right>
      <top style="thin">
        <color rgb="FF213764"/>
      </top>
      <bottom style="thin">
        <color rgb="FF213764"/>
      </bottom>
      <diagonal/>
    </border>
    <border>
      <left style="thin">
        <color indexed="64"/>
      </left>
      <right style="medium">
        <color theme="0"/>
      </right>
      <top/>
      <bottom style="thin">
        <color indexed="64"/>
      </bottom>
      <diagonal/>
    </border>
    <border>
      <left style="thin">
        <color indexed="64"/>
      </left>
      <right style="medium">
        <color theme="0" tint="-0.34998626667073579"/>
      </right>
      <top style="medium">
        <color theme="0" tint="-0.34998626667073579"/>
      </top>
      <bottom style="medium">
        <color theme="0" tint="-0.34998626667073579"/>
      </bottom>
      <diagonal/>
    </border>
    <border>
      <left/>
      <right style="thin">
        <color theme="1"/>
      </right>
      <top/>
      <bottom style="thin">
        <color theme="1"/>
      </bottom>
      <diagonal/>
    </border>
    <border>
      <left/>
      <right style="thin">
        <color auto="1"/>
      </right>
      <top style="medium">
        <color indexed="64"/>
      </top>
      <bottom style="thin">
        <color auto="1"/>
      </bottom>
      <diagonal/>
    </border>
    <border>
      <left/>
      <right style="thin">
        <color auto="1"/>
      </right>
      <top style="thin">
        <color auto="1"/>
      </top>
      <bottom style="medium">
        <color indexed="64"/>
      </bottom>
      <diagonal/>
    </border>
    <border>
      <left/>
      <right style="thin">
        <color indexed="64"/>
      </right>
      <top style="medium">
        <color indexed="64"/>
      </top>
      <bottom style="medium">
        <color indexed="64"/>
      </bottom>
      <diagonal/>
    </border>
    <border>
      <left/>
      <right style="thin">
        <color auto="1"/>
      </right>
      <top style="medium">
        <color indexed="64"/>
      </top>
      <bottom/>
      <diagonal/>
    </border>
    <border>
      <left/>
      <right style="thin">
        <color theme="1"/>
      </right>
      <top style="thin">
        <color indexed="64"/>
      </top>
      <bottom/>
      <diagonal/>
    </border>
    <border>
      <left/>
      <right style="thin">
        <color theme="1"/>
      </right>
      <top/>
      <bottom style="thin">
        <color indexed="64"/>
      </bottom>
      <diagonal/>
    </border>
    <border>
      <left style="medium">
        <color theme="0"/>
      </left>
      <right style="medium">
        <color theme="0"/>
      </right>
      <top/>
      <bottom style="thin">
        <color indexed="64"/>
      </bottom>
      <diagonal/>
    </border>
    <border>
      <left style="medium">
        <color theme="0"/>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auto="1"/>
      </left>
      <right style="thin">
        <color auto="1"/>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right/>
      <top style="thin">
        <color indexed="64"/>
      </top>
      <bottom/>
      <diagonal/>
    </border>
    <border>
      <left/>
      <right style="thin">
        <color auto="1"/>
      </right>
      <top style="thin">
        <color indexed="64"/>
      </top>
      <bottom/>
      <diagonal/>
    </border>
    <border>
      <left/>
      <right/>
      <top style="thin">
        <color indexed="64"/>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37777">
    <xf numFmtId="0" fontId="0" fillId="0" borderId="0"/>
    <xf numFmtId="0" fontId="8" fillId="0" borderId="0" applyNumberFormat="0" applyFill="0" applyBorder="0">
      <alignment vertical="center"/>
    </xf>
    <xf numFmtId="164" fontId="1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165" fontId="1" fillId="0" borderId="0" applyFont="0" applyFill="0" applyBorder="0" applyAlignment="0" applyProtection="0"/>
    <xf numFmtId="44" fontId="8" fillId="0" borderId="0" applyFont="0" applyFill="0" applyBorder="0" applyAlignment="0" applyProtection="0"/>
    <xf numFmtId="44" fontId="1" fillId="0" borderId="0" applyFont="0" applyFill="0" applyBorder="0" applyAlignment="0" applyProtection="0"/>
    <xf numFmtId="0" fontId="12" fillId="0" borderId="0"/>
    <xf numFmtId="0" fontId="8" fillId="0" borderId="0" applyNumberFormat="0" applyFill="0" applyBorder="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2"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43" fontId="1" fillId="0" borderId="0" applyFont="0" applyFill="0" applyBorder="0" applyAlignment="0" applyProtection="0"/>
    <xf numFmtId="0" fontId="19" fillId="0" borderId="0" applyNumberFormat="0" applyFill="0" applyBorder="0" applyAlignment="0" applyProtection="0"/>
    <xf numFmtId="0" fontId="20" fillId="0" borderId="20" applyNumberFormat="0" applyFill="0" applyAlignment="0" applyProtection="0"/>
    <xf numFmtId="0" fontId="21" fillId="0" borderId="21" applyNumberFormat="0" applyFill="0" applyAlignment="0" applyProtection="0"/>
    <xf numFmtId="0" fontId="22" fillId="0" borderId="22" applyNumberFormat="0" applyFill="0" applyAlignment="0" applyProtection="0"/>
    <xf numFmtId="0" fontId="22" fillId="0" borderId="0" applyNumberFormat="0" applyFill="0" applyBorder="0" applyAlignment="0" applyProtection="0"/>
    <xf numFmtId="0" fontId="23" fillId="7" borderId="0" applyNumberFormat="0" applyBorder="0" applyAlignment="0" applyProtection="0"/>
    <xf numFmtId="0" fontId="24" fillId="8" borderId="0" applyNumberFormat="0" applyBorder="0" applyAlignment="0" applyProtection="0"/>
    <xf numFmtId="0" fontId="25" fillId="9" borderId="0" applyNumberFormat="0" applyBorder="0" applyAlignment="0" applyProtection="0"/>
    <xf numFmtId="0" fontId="26" fillId="10" borderId="23" applyNumberFormat="0" applyAlignment="0" applyProtection="0"/>
    <xf numFmtId="0" fontId="27" fillId="11" borderId="24" applyNumberFormat="0" applyAlignment="0" applyProtection="0"/>
    <xf numFmtId="0" fontId="28" fillId="11" borderId="23" applyNumberFormat="0" applyAlignment="0" applyProtection="0"/>
    <xf numFmtId="0" fontId="29" fillId="0" borderId="25" applyNumberFormat="0" applyFill="0" applyAlignment="0" applyProtection="0"/>
    <xf numFmtId="0" fontId="30" fillId="12" borderId="26" applyNumberFormat="0" applyAlignment="0" applyProtection="0"/>
    <xf numFmtId="0" fontId="31" fillId="0" borderId="0" applyNumberFormat="0" applyFill="0" applyBorder="0" applyAlignment="0" applyProtection="0"/>
    <xf numFmtId="0" fontId="1" fillId="13" borderId="27" applyNumberFormat="0" applyFont="0" applyAlignment="0" applyProtection="0"/>
    <xf numFmtId="0" fontId="32" fillId="0" borderId="0" applyNumberFormat="0" applyFill="0" applyBorder="0" applyAlignment="0" applyProtection="0"/>
    <xf numFmtId="0" fontId="33" fillId="0" borderId="28" applyNumberFormat="0" applyFill="0" applyAlignment="0" applyProtection="0"/>
    <xf numFmtId="0" fontId="34"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34" fillId="17" borderId="0" applyNumberFormat="0" applyBorder="0" applyAlignment="0" applyProtection="0"/>
    <xf numFmtId="0" fontId="34"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34" fillId="21" borderId="0" applyNumberFormat="0" applyBorder="0" applyAlignment="0" applyProtection="0"/>
    <xf numFmtId="0" fontId="34"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34" fillId="29" borderId="0" applyNumberFormat="0" applyBorder="0" applyAlignment="0" applyProtection="0"/>
    <xf numFmtId="0" fontId="34"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34" fillId="33" borderId="0" applyNumberFormat="0" applyBorder="0" applyAlignment="0" applyProtection="0"/>
    <xf numFmtId="0" fontId="34"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34" fillId="37" borderId="0" applyNumberFormat="0" applyBorder="0" applyAlignment="0" applyProtection="0"/>
    <xf numFmtId="0" fontId="3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applyNumberFormat="0" applyFill="0" applyBorder="0">
      <alignment vertical="center"/>
    </xf>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27" applyNumberFormat="0" applyFont="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27"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27" applyNumberFormat="0" applyFont="0" applyAlignment="0" applyProtection="0"/>
    <xf numFmtId="0" fontId="1" fillId="0" borderId="0"/>
    <xf numFmtId="0" fontId="36"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1" fillId="0" borderId="0"/>
    <xf numFmtId="0" fontId="1" fillId="13" borderId="27" applyNumberFormat="0" applyFont="0" applyAlignment="0" applyProtection="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27" applyNumberFormat="0" applyFont="0" applyAlignment="0" applyProtection="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27" applyNumberFormat="0" applyFont="0" applyAlignment="0" applyProtection="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27" applyNumberFormat="0" applyFont="0" applyAlignment="0" applyProtection="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27" applyNumberFormat="0" applyFont="0" applyAlignment="0" applyProtection="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8" fillId="0" borderId="0" applyNumberFormat="0" applyFill="0" applyBorder="0">
      <alignment vertical="center"/>
    </xf>
    <xf numFmtId="0" fontId="1" fillId="0" borderId="0"/>
    <xf numFmtId="0" fontId="1" fillId="13" borderId="27" applyNumberFormat="0" applyFont="0" applyAlignment="0" applyProtection="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8" fillId="0" borderId="0" applyNumberFormat="0" applyFill="0" applyBorder="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27" applyNumberFormat="0" applyFont="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27" applyNumberFormat="0" applyFont="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27"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3" borderId="27" applyNumberFormat="0" applyFont="0" applyAlignment="0" applyProtection="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27" applyNumberFormat="0" applyFont="0" applyAlignment="0" applyProtection="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27" applyNumberFormat="0" applyFont="0" applyAlignment="0" applyProtection="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27" applyNumberFormat="0" applyFont="0" applyAlignment="0" applyProtection="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13" borderId="27" applyNumberFormat="0" applyFont="0" applyAlignment="0" applyProtection="0"/>
    <xf numFmtId="0" fontId="1" fillId="15" borderId="0" applyNumberFormat="0" applyBorder="0" applyAlignment="0" applyProtection="0"/>
    <xf numFmtId="0" fontId="1" fillId="16"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8" fillId="0" borderId="0" applyNumberFormat="0" applyFill="0" applyBorder="0">
      <alignment vertical="center"/>
    </xf>
    <xf numFmtId="0" fontId="8" fillId="0" borderId="0" applyNumberFormat="0" applyFill="0" applyBorder="0">
      <alignment vertical="center"/>
    </xf>
    <xf numFmtId="0" fontId="8" fillId="0" borderId="0" applyNumberFormat="0" applyFill="0" applyBorder="0">
      <alignment vertical="center"/>
    </xf>
    <xf numFmtId="0" fontId="1" fillId="0" borderId="0"/>
    <xf numFmtId="0" fontId="1" fillId="0" borderId="0"/>
    <xf numFmtId="0" fontId="1" fillId="0" borderId="0"/>
    <xf numFmtId="0" fontId="1" fillId="0" borderId="0"/>
    <xf numFmtId="0" fontId="1" fillId="0" borderId="0"/>
    <xf numFmtId="0" fontId="9" fillId="0" borderId="0">
      <alignment vertical="center"/>
    </xf>
    <xf numFmtId="0" fontId="37" fillId="0" borderId="0" applyNumberFormat="0" applyFill="0" applyBorder="0" applyAlignment="0" applyProtection="0"/>
    <xf numFmtId="0" fontId="38" fillId="0" borderId="0" applyNumberFormat="0" applyFill="0" applyBorder="0" applyAlignment="0" applyProtection="0">
      <alignment vertical="top"/>
      <protection locked="0"/>
    </xf>
    <xf numFmtId="0" fontId="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44"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1" fillId="0" borderId="0"/>
    <xf numFmtId="43" fontId="8" fillId="0" borderId="0" applyFont="0" applyFill="0" applyBorder="0" applyAlignment="0" applyProtection="0"/>
    <xf numFmtId="165" fontId="1" fillId="0" borderId="0" applyFont="0" applyFill="0" applyBorder="0" applyAlignment="0" applyProtection="0"/>
    <xf numFmtId="43" fontId="9" fillId="0" borderId="0" applyFont="0" applyFill="0" applyBorder="0" applyAlignment="0" applyProtection="0"/>
    <xf numFmtId="0" fontId="41" fillId="45" borderId="0"/>
    <xf numFmtId="0" fontId="41" fillId="45" borderId="0"/>
    <xf numFmtId="0" fontId="41" fillId="45" borderId="0"/>
    <xf numFmtId="0" fontId="42" fillId="0" borderId="0" applyNumberFormat="0">
      <alignment horizontal="right"/>
    </xf>
    <xf numFmtId="0" fontId="42" fillId="0" borderId="0" applyNumberFormat="0">
      <alignment horizontal="right"/>
    </xf>
    <xf numFmtId="0" fontId="43" fillId="0" borderId="0">
      <alignment vertical="center"/>
    </xf>
    <xf numFmtId="167" fontId="9" fillId="0" borderId="0" applyFont="0" applyFill="0" applyBorder="0" applyAlignment="0" applyProtection="0"/>
    <xf numFmtId="168" fontId="44" fillId="0" borderId="0"/>
    <xf numFmtId="0" fontId="45" fillId="0" borderId="0"/>
    <xf numFmtId="0" fontId="9" fillId="0" borderId="0" applyFont="0" applyFill="0" applyBorder="0" applyProtection="0">
      <alignment horizontal="right"/>
    </xf>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xf numFmtId="0" fontId="9" fillId="0" borderId="0"/>
    <xf numFmtId="0" fontId="9" fillId="0" borderId="0"/>
    <xf numFmtId="0" fontId="9" fillId="0" borderId="0" applyFont="0" applyFill="0" applyBorder="0" applyAlignment="0" applyProtection="0"/>
    <xf numFmtId="0" fontId="9" fillId="0" borderId="0" applyFont="0" applyFill="0" applyBorder="0" applyAlignment="0" applyProtection="0"/>
    <xf numFmtId="0" fontId="46" fillId="0" borderId="0"/>
    <xf numFmtId="167" fontId="9" fillId="0" borderId="0" applyFont="0" applyFill="0" applyBorder="0" applyAlignment="0" applyProtection="0"/>
    <xf numFmtId="169" fontId="9" fillId="0" borderId="0" applyFont="0" applyFill="0" applyBorder="0" applyAlignment="0" applyProtection="0"/>
    <xf numFmtId="170" fontId="47"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0" fontId="9" fillId="0" borderId="0"/>
    <xf numFmtId="40" fontId="9" fillId="0" borderId="0" applyFont="0" applyFill="0" applyBorder="0" applyAlignment="0" applyProtection="0"/>
    <xf numFmtId="38" fontId="9" fillId="0" borderId="0" applyFont="0" applyFill="0" applyBorder="0" applyAlignment="0" applyProtection="0"/>
    <xf numFmtId="41" fontId="48" fillId="0" borderId="0" applyFont="0" applyFill="0" applyBorder="0" applyAlignment="0" applyProtection="0"/>
    <xf numFmtId="171" fontId="9" fillId="0" borderId="0" applyFont="0" applyFill="0" applyBorder="0" applyAlignment="0" applyProtection="0"/>
    <xf numFmtId="172" fontId="9" fillId="0" borderId="0" applyFont="0" applyFill="0" applyBorder="0" applyAlignment="0" applyProtection="0"/>
    <xf numFmtId="173" fontId="9" fillId="0" borderId="0" applyFont="0" applyFill="0" applyBorder="0" applyAlignment="0" applyProtection="0"/>
    <xf numFmtId="0" fontId="42" fillId="0" borderId="0" applyNumberFormat="0">
      <alignment horizontal="right"/>
    </xf>
    <xf numFmtId="0" fontId="9" fillId="0" borderId="0"/>
    <xf numFmtId="0" fontId="49" fillId="0" borderId="0"/>
    <xf numFmtId="43" fontId="50" fillId="0" borderId="0" applyFont="0" applyFill="0" applyBorder="0" applyAlignment="0" applyProtection="0"/>
    <xf numFmtId="0" fontId="9" fillId="0" borderId="0"/>
    <xf numFmtId="0" fontId="43" fillId="0" borderId="0">
      <alignment vertical="center"/>
    </xf>
    <xf numFmtId="0" fontId="9" fillId="0" borderId="0"/>
    <xf numFmtId="0" fontId="43" fillId="0" borderId="0">
      <alignment vertical="center"/>
    </xf>
    <xf numFmtId="0" fontId="43" fillId="0" borderId="0">
      <alignment vertical="center"/>
    </xf>
    <xf numFmtId="0" fontId="9" fillId="0" borderId="0"/>
    <xf numFmtId="38" fontId="51" fillId="0" borderId="0" applyFont="0" applyFill="0" applyBorder="0" applyAlignment="0" applyProtection="0"/>
    <xf numFmtId="38" fontId="51" fillId="0" borderId="0" applyFont="0" applyFill="0" applyBorder="0" applyAlignment="0" applyProtection="0"/>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9" fillId="0" borderId="0" applyFont="0" applyFill="0" applyBorder="0" applyAlignment="0" applyProtection="0"/>
    <xf numFmtId="0" fontId="43" fillId="0" borderId="0">
      <alignment vertical="center"/>
    </xf>
    <xf numFmtId="0" fontId="43" fillId="0" borderId="0">
      <alignment vertical="center"/>
    </xf>
    <xf numFmtId="0" fontId="43" fillId="0" borderId="0">
      <alignment vertical="center"/>
    </xf>
    <xf numFmtId="0" fontId="9" fillId="0" borderId="0" applyNumberFormat="0" applyFill="0" applyBorder="0" applyAlignment="0" applyProtection="0"/>
    <xf numFmtId="0" fontId="43" fillId="0" borderId="0">
      <alignment vertical="center"/>
    </xf>
    <xf numFmtId="0" fontId="43" fillId="0" borderId="0">
      <alignment vertical="center"/>
    </xf>
    <xf numFmtId="0" fontId="43" fillId="0" borderId="0">
      <alignment vertical="center"/>
    </xf>
    <xf numFmtId="0" fontId="9" fillId="0" borderId="0"/>
    <xf numFmtId="0" fontId="9" fillId="0" borderId="0" applyNumberFormat="0" applyFill="0" applyBorder="0" applyAlignment="0" applyProtection="0"/>
    <xf numFmtId="0" fontId="9" fillId="46" borderId="0"/>
    <xf numFmtId="0" fontId="9" fillId="46" borderId="0"/>
    <xf numFmtId="0" fontId="13" fillId="46" borderId="0"/>
    <xf numFmtId="0" fontId="9" fillId="46" borderId="0"/>
    <xf numFmtId="0" fontId="13" fillId="46" borderId="0"/>
    <xf numFmtId="0" fontId="9" fillId="46" borderId="0"/>
    <xf numFmtId="0" fontId="13" fillId="46" borderId="0"/>
    <xf numFmtId="0" fontId="6" fillId="46" borderId="0"/>
    <xf numFmtId="0" fontId="6" fillId="46" borderId="0"/>
    <xf numFmtId="0" fontId="52" fillId="46" borderId="0"/>
    <xf numFmtId="0" fontId="52" fillId="46" borderId="0"/>
    <xf numFmtId="0" fontId="6" fillId="46" borderId="0"/>
    <xf numFmtId="0" fontId="52" fillId="46" borderId="0"/>
    <xf numFmtId="0" fontId="53" fillId="46" borderId="0"/>
    <xf numFmtId="0" fontId="53" fillId="46" borderId="0"/>
    <xf numFmtId="0" fontId="54" fillId="46" borderId="0"/>
    <xf numFmtId="0" fontId="54" fillId="46" borderId="0"/>
    <xf numFmtId="0" fontId="53" fillId="46" borderId="0"/>
    <xf numFmtId="0" fontId="54" fillId="46" borderId="0"/>
    <xf numFmtId="0" fontId="55" fillId="46" borderId="0"/>
    <xf numFmtId="0" fontId="55" fillId="46" borderId="0"/>
    <xf numFmtId="0" fontId="12" fillId="46" borderId="0"/>
    <xf numFmtId="0" fontId="55" fillId="46" borderId="0"/>
    <xf numFmtId="0" fontId="12" fillId="46" borderId="0"/>
    <xf numFmtId="0" fontId="55" fillId="46" borderId="0"/>
    <xf numFmtId="0" fontId="12" fillId="46" borderId="0"/>
    <xf numFmtId="0" fontId="56" fillId="46" borderId="0"/>
    <xf numFmtId="0" fontId="56" fillId="46" borderId="0"/>
    <xf numFmtId="0" fontId="52" fillId="46" borderId="0"/>
    <xf numFmtId="0" fontId="52" fillId="46" borderId="0"/>
    <xf numFmtId="0" fontId="56" fillId="46" borderId="0"/>
    <xf numFmtId="0" fontId="52" fillId="46" borderId="0"/>
    <xf numFmtId="0" fontId="15" fillId="46" borderId="0"/>
    <xf numFmtId="0" fontId="15" fillId="46" borderId="0"/>
    <xf numFmtId="0" fontId="13" fillId="46" borderId="0"/>
    <xf numFmtId="0" fontId="13" fillId="46" borderId="0"/>
    <xf numFmtId="0" fontId="15" fillId="46" borderId="0"/>
    <xf numFmtId="0" fontId="13" fillId="46" borderId="0"/>
    <xf numFmtId="0" fontId="12" fillId="46" borderId="0"/>
    <xf numFmtId="0" fontId="12" fillId="46" borderId="0"/>
    <xf numFmtId="0" fontId="12" fillId="46" borderId="0"/>
    <xf numFmtId="174" fontId="9" fillId="0" borderId="0" applyFont="0" applyFill="0" applyBorder="0" applyAlignment="0" applyProtection="0"/>
    <xf numFmtId="175" fontId="9" fillId="0" borderId="0" applyFont="0" applyFill="0" applyBorder="0" applyAlignment="0" applyProtection="0"/>
    <xf numFmtId="176" fontId="9" fillId="0" borderId="0" applyFont="0" applyFill="0" applyBorder="0" applyAlignment="0" applyProtection="0"/>
    <xf numFmtId="177" fontId="9" fillId="0" borderId="0" applyFont="0" applyFill="0" applyBorder="0" applyAlignment="0" applyProtection="0"/>
    <xf numFmtId="178" fontId="9" fillId="0" borderId="0" applyFont="0" applyFill="0" applyBorder="0" applyAlignment="0" applyProtection="0"/>
    <xf numFmtId="176" fontId="9" fillId="0" borderId="0" applyFont="0" applyFill="0" applyBorder="0" applyAlignment="0" applyProtection="0"/>
    <xf numFmtId="179" fontId="9" fillId="0" borderId="0" applyFont="0" applyFill="0" applyBorder="0" applyAlignment="0" applyProtection="0"/>
    <xf numFmtId="4" fontId="9" fillId="47" borderId="0"/>
    <xf numFmtId="180" fontId="9" fillId="47" borderId="33"/>
    <xf numFmtId="180" fontId="9" fillId="47" borderId="33"/>
    <xf numFmtId="181" fontId="40" fillId="47" borderId="33"/>
    <xf numFmtId="180" fontId="9" fillId="47" borderId="33"/>
    <xf numFmtId="182" fontId="57" fillId="47" borderId="33"/>
    <xf numFmtId="182" fontId="57" fillId="47" borderId="33"/>
    <xf numFmtId="182" fontId="57" fillId="47" borderId="33"/>
    <xf numFmtId="169" fontId="44" fillId="47" borderId="33"/>
    <xf numFmtId="169" fontId="44" fillId="47" borderId="33"/>
    <xf numFmtId="170" fontId="44" fillId="47" borderId="33"/>
    <xf numFmtId="170" fontId="44" fillId="47" borderId="33"/>
    <xf numFmtId="182" fontId="9" fillId="47" borderId="33"/>
    <xf numFmtId="182" fontId="9" fillId="47" borderId="33"/>
    <xf numFmtId="182" fontId="57" fillId="47" borderId="33"/>
    <xf numFmtId="182" fontId="57" fillId="47" borderId="33"/>
    <xf numFmtId="182" fontId="57" fillId="47" borderId="33"/>
    <xf numFmtId="182" fontId="57" fillId="47" borderId="33"/>
    <xf numFmtId="182" fontId="57" fillId="47" borderId="33"/>
    <xf numFmtId="39" fontId="9" fillId="47" borderId="33"/>
    <xf numFmtId="2" fontId="9" fillId="47" borderId="33"/>
    <xf numFmtId="2" fontId="9" fillId="47" borderId="33"/>
    <xf numFmtId="182" fontId="9" fillId="47" borderId="33"/>
    <xf numFmtId="183" fontId="44" fillId="48" borderId="33"/>
    <xf numFmtId="183" fontId="44" fillId="48" borderId="33"/>
    <xf numFmtId="184" fontId="9" fillId="47" borderId="33"/>
    <xf numFmtId="169" fontId="44" fillId="47" borderId="33"/>
    <xf numFmtId="169" fontId="44" fillId="47" borderId="33"/>
    <xf numFmtId="2" fontId="9" fillId="47" borderId="33"/>
    <xf numFmtId="182" fontId="9" fillId="47" borderId="33"/>
    <xf numFmtId="182" fontId="57" fillId="47" borderId="33"/>
    <xf numFmtId="182" fontId="57" fillId="47" borderId="33"/>
    <xf numFmtId="182" fontId="57" fillId="47" borderId="33"/>
    <xf numFmtId="182" fontId="57" fillId="47" borderId="33"/>
    <xf numFmtId="182" fontId="57" fillId="47" borderId="33"/>
    <xf numFmtId="185" fontId="57" fillId="47" borderId="33"/>
    <xf numFmtId="185" fontId="57" fillId="47" borderId="33"/>
    <xf numFmtId="182" fontId="9" fillId="47" borderId="33"/>
    <xf numFmtId="182" fontId="57" fillId="47" borderId="33"/>
    <xf numFmtId="182" fontId="57" fillId="47" borderId="33"/>
    <xf numFmtId="182" fontId="57" fillId="47" borderId="33"/>
    <xf numFmtId="182" fontId="57" fillId="47" borderId="33"/>
    <xf numFmtId="182" fontId="57" fillId="47" borderId="33"/>
    <xf numFmtId="40" fontId="9" fillId="47" borderId="33"/>
    <xf numFmtId="0" fontId="9" fillId="0" borderId="0"/>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 fillId="0" borderId="0"/>
    <xf numFmtId="186" fontId="9" fillId="0" borderId="0">
      <alignment horizontal="left" wrapText="1"/>
    </xf>
    <xf numFmtId="187" fontId="9" fillId="0" borderId="0" applyFont="0" applyFill="0" applyBorder="0" applyAlignment="0" applyProtection="0"/>
    <xf numFmtId="0" fontId="9" fillId="0" borderId="0" applyNumberFormat="0" applyFill="0" applyBorder="0" applyAlignment="0" applyProtection="0"/>
    <xf numFmtId="0" fontId="58" fillId="0" borderId="0"/>
    <xf numFmtId="0" fontId="9" fillId="0" borderId="0"/>
    <xf numFmtId="0" fontId="9" fillId="0" borderId="0"/>
    <xf numFmtId="167" fontId="9" fillId="0" borderId="0" applyFont="0" applyFill="0" applyBorder="0" applyAlignment="0" applyProtection="0"/>
    <xf numFmtId="0" fontId="9" fillId="0" borderId="0" applyNumberFormat="0" applyFill="0" applyBorder="0" applyAlignment="0" applyProtection="0"/>
    <xf numFmtId="0" fontId="53" fillId="49" borderId="0"/>
    <xf numFmtId="0" fontId="53" fillId="47" borderId="0"/>
    <xf numFmtId="0" fontId="53" fillId="47" borderId="0"/>
    <xf numFmtId="0" fontId="53" fillId="0" borderId="0" applyBorder="0"/>
    <xf numFmtId="0" fontId="53" fillId="0" borderId="0" applyBorder="0"/>
    <xf numFmtId="0" fontId="53" fillId="47" borderId="0"/>
    <xf numFmtId="0" fontId="53" fillId="0" borderId="0" applyBorder="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9" fillId="50" borderId="0" applyNumberFormat="0" applyFont="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xf numFmtId="0" fontId="43" fillId="0" borderId="0">
      <alignment vertical="center"/>
    </xf>
    <xf numFmtId="0" fontId="60" fillId="0" borderId="0" applyNumberFormat="0" applyFill="0" applyBorder="0" applyAlignment="0" applyProtection="0"/>
    <xf numFmtId="0" fontId="60" fillId="0" borderId="0" applyNumberFormat="0" applyFill="0" applyBorder="0" applyAlignment="0" applyProtection="0"/>
    <xf numFmtId="188" fontId="9" fillId="0" borderId="0" applyFont="0" applyFill="0" applyBorder="0" applyAlignment="0" applyProtection="0"/>
    <xf numFmtId="189" fontId="9" fillId="0" borderId="0" applyFont="0" applyFill="0" applyBorder="0" applyProtection="0">
      <alignment horizontal="right"/>
    </xf>
    <xf numFmtId="0" fontId="60" fillId="0" borderId="0" applyNumberFormat="0" applyFill="0" applyBorder="0" applyAlignment="0" applyProtection="0"/>
    <xf numFmtId="0" fontId="9" fillId="0" borderId="0"/>
    <xf numFmtId="0" fontId="9" fillId="0" borderId="0"/>
    <xf numFmtId="0" fontId="9" fillId="0" borderId="0"/>
    <xf numFmtId="0" fontId="9" fillId="0" borderId="0"/>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190" fontId="9" fillId="0" borderId="0" applyFont="0" applyFill="0" applyBorder="0" applyAlignment="0" applyProtection="0"/>
    <xf numFmtId="190" fontId="44" fillId="0" borderId="0" applyFont="0" applyFill="0" applyBorder="0" applyAlignment="0" applyProtection="0"/>
    <xf numFmtId="0" fontId="58" fillId="0" borderId="0"/>
    <xf numFmtId="0" fontId="58" fillId="0" borderId="0"/>
    <xf numFmtId="0" fontId="9" fillId="0" borderId="0"/>
    <xf numFmtId="0" fontId="9" fillId="0" borderId="0"/>
    <xf numFmtId="0" fontId="9" fillId="0" borderId="0"/>
    <xf numFmtId="0" fontId="9" fillId="0" borderId="0"/>
    <xf numFmtId="0" fontId="9" fillId="0" borderId="0"/>
    <xf numFmtId="0" fontId="58" fillId="0" borderId="0"/>
    <xf numFmtId="0" fontId="58" fillId="0" borderId="0"/>
    <xf numFmtId="0" fontId="61" fillId="0" borderId="0"/>
    <xf numFmtId="0" fontId="48" fillId="0" borderId="0"/>
    <xf numFmtId="0" fontId="62" fillId="0" borderId="0"/>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9" fillId="0" borderId="0" applyNumberFormat="0" applyFill="0" applyBorder="0" applyAlignment="0" applyProtection="0"/>
    <xf numFmtId="0" fontId="9" fillId="0" borderId="0" applyNumberFormat="0" applyFill="0" applyBorder="0" applyAlignment="0" applyProtection="0"/>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9" fillId="46" borderId="0"/>
    <xf numFmtId="0" fontId="9" fillId="46" borderId="0"/>
    <xf numFmtId="0" fontId="9" fillId="46" borderId="0"/>
    <xf numFmtId="0" fontId="13" fillId="46" borderId="0"/>
    <xf numFmtId="0" fontId="9" fillId="46" borderId="0"/>
    <xf numFmtId="0" fontId="13" fillId="46" borderId="0"/>
    <xf numFmtId="0" fontId="9" fillId="46" borderId="0"/>
    <xf numFmtId="0" fontId="9" fillId="46" borderId="0"/>
    <xf numFmtId="0" fontId="13" fillId="46" borderId="0"/>
    <xf numFmtId="0" fontId="13" fillId="46" borderId="0"/>
    <xf numFmtId="0" fontId="63" fillId="51" borderId="0"/>
    <xf numFmtId="0" fontId="6" fillId="46" borderId="0"/>
    <xf numFmtId="0" fontId="6" fillId="46" borderId="0"/>
    <xf numFmtId="0" fontId="52" fillId="46" borderId="0"/>
    <xf numFmtId="0" fontId="52" fillId="46" borderId="0"/>
    <xf numFmtId="0" fontId="6" fillId="46" borderId="0"/>
    <xf numFmtId="0" fontId="52" fillId="46" borderId="0"/>
    <xf numFmtId="0" fontId="64" fillId="52" borderId="0"/>
    <xf numFmtId="0" fontId="53" fillId="46" borderId="0"/>
    <xf numFmtId="0" fontId="53" fillId="46" borderId="0"/>
    <xf numFmtId="0" fontId="54" fillId="46" borderId="0"/>
    <xf numFmtId="0" fontId="54" fillId="46" borderId="0"/>
    <xf numFmtId="0" fontId="53" fillId="46" borderId="0"/>
    <xf numFmtId="0" fontId="54" fillId="46" borderId="0"/>
    <xf numFmtId="0" fontId="65" fillId="53" borderId="0"/>
    <xf numFmtId="0" fontId="9" fillId="46" borderId="0"/>
    <xf numFmtId="0" fontId="9" fillId="46" borderId="0"/>
    <xf numFmtId="0" fontId="12" fillId="46" borderId="0"/>
    <xf numFmtId="0" fontId="12" fillId="46" borderId="0"/>
    <xf numFmtId="0" fontId="9" fillId="46" borderId="0"/>
    <xf numFmtId="0" fontId="9" fillId="46" borderId="0"/>
    <xf numFmtId="0" fontId="12" fillId="46" borderId="0"/>
    <xf numFmtId="0" fontId="56" fillId="0" borderId="0"/>
    <xf numFmtId="0" fontId="56" fillId="46" borderId="0"/>
    <xf numFmtId="0" fontId="56" fillId="46" borderId="0"/>
    <xf numFmtId="0" fontId="52" fillId="46" borderId="0"/>
    <xf numFmtId="0" fontId="52" fillId="46" borderId="0"/>
    <xf numFmtId="0" fontId="56" fillId="46" borderId="0"/>
    <xf numFmtId="0" fontId="52" fillId="46" borderId="0"/>
    <xf numFmtId="0" fontId="15" fillId="0" borderId="0"/>
    <xf numFmtId="0" fontId="15" fillId="46" borderId="0"/>
    <xf numFmtId="0" fontId="15" fillId="46" borderId="0"/>
    <xf numFmtId="0" fontId="13" fillId="46" borderId="0"/>
    <xf numFmtId="0" fontId="13" fillId="46" borderId="0"/>
    <xf numFmtId="0" fontId="15" fillId="46" borderId="0"/>
    <xf numFmtId="0" fontId="13" fillId="46" borderId="0"/>
    <xf numFmtId="0" fontId="12" fillId="0" borderId="0"/>
    <xf numFmtId="0" fontId="12" fillId="46" borderId="0"/>
    <xf numFmtId="0" fontId="12" fillId="46" borderId="0"/>
    <xf numFmtId="0" fontId="12" fillId="46" borderId="0"/>
    <xf numFmtId="38" fontId="51" fillId="0" borderId="0" applyFont="0" applyFill="0" applyBorder="0" applyAlignment="0" applyProtection="0"/>
    <xf numFmtId="0" fontId="9" fillId="0" borderId="0" applyNumberFormat="0" applyFill="0" applyBorder="0" applyAlignment="0" applyProtection="0"/>
    <xf numFmtId="0" fontId="66" fillId="0" borderId="0" applyNumberFormat="0" applyFill="0" applyBorder="0" applyProtection="0">
      <alignment vertical="top"/>
    </xf>
    <xf numFmtId="0" fontId="66" fillId="0" borderId="0" applyNumberFormat="0" applyFill="0" applyBorder="0" applyProtection="0">
      <alignment vertical="top"/>
    </xf>
    <xf numFmtId="0" fontId="66" fillId="0" borderId="0" applyNumberFormat="0" applyFill="0" applyBorder="0" applyProtection="0">
      <alignment vertical="top"/>
    </xf>
    <xf numFmtId="0" fontId="66" fillId="0" borderId="0" applyNumberFormat="0" applyFill="0" applyBorder="0" applyProtection="0">
      <alignment vertical="top"/>
    </xf>
    <xf numFmtId="0" fontId="66" fillId="0" borderId="0" applyNumberFormat="0" applyFill="0" applyBorder="0" applyProtection="0">
      <alignment vertical="top"/>
    </xf>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0" applyNumberFormat="0" applyFill="0" applyBorder="0" applyProtection="0">
      <alignment horizontal="left"/>
    </xf>
    <xf numFmtId="0" fontId="68" fillId="0" borderId="0" applyNumberFormat="0" applyFill="0" applyBorder="0" applyProtection="0">
      <alignment horizontal="left"/>
    </xf>
    <xf numFmtId="0" fontId="68" fillId="0" borderId="0" applyNumberFormat="0" applyFill="0" applyBorder="0" applyProtection="0">
      <alignment horizontal="left"/>
    </xf>
    <xf numFmtId="0" fontId="68" fillId="0" borderId="0" applyNumberFormat="0" applyFill="0" applyBorder="0" applyProtection="0">
      <alignment horizontal="left"/>
    </xf>
    <xf numFmtId="0" fontId="68" fillId="0" borderId="0" applyNumberFormat="0" applyFill="0" applyBorder="0" applyProtection="0">
      <alignment horizontal="left"/>
    </xf>
    <xf numFmtId="0" fontId="68" fillId="0" borderId="0" applyNumberFormat="0" applyFill="0" applyBorder="0" applyProtection="0">
      <alignment horizontal="left"/>
    </xf>
    <xf numFmtId="0" fontId="68" fillId="0" borderId="0" applyNumberFormat="0" applyFill="0" applyBorder="0" applyProtection="0">
      <alignment horizontal="left"/>
    </xf>
    <xf numFmtId="0" fontId="68" fillId="0" borderId="0" applyNumberFormat="0" applyFill="0" applyBorder="0" applyProtection="0">
      <alignment horizontal="left"/>
    </xf>
    <xf numFmtId="0" fontId="69" fillId="0" borderId="0" applyNumberFormat="0" applyFill="0" applyBorder="0" applyProtection="0">
      <alignment horizontal="centerContinuous"/>
    </xf>
    <xf numFmtId="0" fontId="69" fillId="0" borderId="0" applyNumberFormat="0" applyFill="0" applyBorder="0" applyProtection="0">
      <alignment horizontal="centerContinuous"/>
    </xf>
    <xf numFmtId="0" fontId="69" fillId="0" borderId="0" applyNumberFormat="0" applyFill="0" applyBorder="0" applyProtection="0">
      <alignment horizontal="centerContinuous"/>
    </xf>
    <xf numFmtId="0" fontId="69" fillId="0" borderId="0" applyNumberFormat="0" applyFill="0" applyBorder="0" applyProtection="0">
      <alignment horizontal="centerContinuous"/>
    </xf>
    <xf numFmtId="0" fontId="69" fillId="0" borderId="0" applyNumberFormat="0" applyFill="0" applyBorder="0" applyProtection="0">
      <alignment horizontal="centerContinuous"/>
    </xf>
    <xf numFmtId="0" fontId="70" fillId="0" borderId="0"/>
    <xf numFmtId="0" fontId="9" fillId="0" borderId="0"/>
    <xf numFmtId="0" fontId="9" fillId="0" borderId="0"/>
    <xf numFmtId="0" fontId="9" fillId="0" borderId="0"/>
    <xf numFmtId="0" fontId="9" fillId="0" borderId="0"/>
    <xf numFmtId="0" fontId="9" fillId="0" borderId="0"/>
    <xf numFmtId="0" fontId="9" fillId="0" borderId="0"/>
    <xf numFmtId="0" fontId="42" fillId="0" borderId="0" applyNumberFormat="0">
      <alignment horizontal="right"/>
    </xf>
    <xf numFmtId="167" fontId="9" fillId="0" borderId="0" applyFont="0" applyFill="0" applyBorder="0" applyAlignment="0" applyProtection="0"/>
    <xf numFmtId="191" fontId="44" fillId="0" borderId="0" applyFill="0" applyBorder="0">
      <alignment horizontal="right"/>
    </xf>
    <xf numFmtId="192" fontId="44" fillId="0" borderId="0" applyFill="0" applyBorder="0" applyProtection="0">
      <alignment horizontal="right"/>
    </xf>
    <xf numFmtId="193" fontId="44" fillId="0" borderId="0" applyFill="0" applyBorder="0" applyProtection="0">
      <alignment horizontal="center"/>
    </xf>
    <xf numFmtId="194" fontId="44" fillId="0" borderId="0" applyFill="0" applyBorder="0" applyProtection="0">
      <alignment horizontal="center"/>
    </xf>
    <xf numFmtId="195" fontId="44" fillId="0" borderId="0" applyFill="0" applyBorder="0" applyProtection="0">
      <alignment horizontal="right"/>
    </xf>
    <xf numFmtId="196" fontId="44" fillId="0" borderId="0" applyFill="0" applyBorder="0" applyProtection="0">
      <alignment horizontal="right"/>
    </xf>
    <xf numFmtId="197" fontId="44" fillId="0" borderId="0" applyFill="0" applyBorder="0" applyProtection="0">
      <alignment horizontal="right"/>
    </xf>
    <xf numFmtId="198" fontId="44" fillId="0" borderId="0" applyFill="0" applyBorder="0" applyProtection="0">
      <alignment horizontal="right"/>
    </xf>
    <xf numFmtId="199" fontId="44" fillId="0" borderId="0" applyFill="0" applyBorder="0" applyProtection="0">
      <alignment horizontal="right"/>
    </xf>
    <xf numFmtId="200" fontId="48" fillId="0" borderId="0" applyFont="0" applyFill="0" applyBorder="0" applyAlignment="0" applyProtection="0"/>
    <xf numFmtId="200" fontId="48" fillId="0" borderId="0" applyFont="0" applyFill="0" applyBorder="0" applyAlignment="0" applyProtection="0"/>
    <xf numFmtId="200" fontId="48" fillId="0" borderId="0" applyFont="0" applyFill="0" applyBorder="0" applyAlignment="0" applyProtection="0"/>
    <xf numFmtId="41" fontId="71" fillId="0" borderId="0"/>
    <xf numFmtId="201" fontId="48" fillId="0" borderId="0" applyFont="0" applyFill="0" applyBorder="0" applyAlignment="0" applyProtection="0"/>
    <xf numFmtId="201" fontId="48" fillId="0" borderId="0" applyFont="0" applyFill="0" applyBorder="0" applyAlignment="0" applyProtection="0"/>
    <xf numFmtId="201" fontId="48" fillId="0" borderId="0" applyFont="0" applyFill="0" applyBorder="0" applyAlignment="0" applyProtection="0"/>
    <xf numFmtId="0" fontId="72" fillId="0" borderId="0" applyNumberFormat="0" applyFill="0" applyBorder="0" applyAlignment="0" applyProtection="0">
      <alignment vertical="top"/>
      <protection locked="0"/>
    </xf>
    <xf numFmtId="202" fontId="73" fillId="0" borderId="36">
      <alignment horizontal="left" vertical="center"/>
    </xf>
    <xf numFmtId="202" fontId="73" fillId="0" borderId="36">
      <alignment horizontal="left" vertical="center"/>
    </xf>
    <xf numFmtId="202" fontId="73" fillId="0" borderId="36">
      <alignment horizontal="left" vertical="center"/>
    </xf>
    <xf numFmtId="0" fontId="9" fillId="0" borderId="0"/>
    <xf numFmtId="0" fontId="9" fillId="0" borderId="0"/>
    <xf numFmtId="0" fontId="9" fillId="0" borderId="0"/>
    <xf numFmtId="0" fontId="9" fillId="0" borderId="0"/>
    <xf numFmtId="0" fontId="9" fillId="0" borderId="0"/>
    <xf numFmtId="0" fontId="74" fillId="0" borderId="0"/>
    <xf numFmtId="0" fontId="9" fillId="0" borderId="0"/>
    <xf numFmtId="0" fontId="41" fillId="45" borderId="0"/>
    <xf numFmtId="0" fontId="75" fillId="0" borderId="0" applyNumberFormat="0" applyFill="0" applyBorder="0" applyAlignment="0" applyProtection="0">
      <alignment vertical="top"/>
      <protection locked="0"/>
    </xf>
    <xf numFmtId="0" fontId="42" fillId="0" borderId="0" applyNumberFormat="0">
      <alignment horizontal="right"/>
    </xf>
    <xf numFmtId="0" fontId="76" fillId="0" borderId="0" applyNumberFormat="0" applyFill="0" applyBorder="0" applyAlignment="0" applyProtection="0">
      <alignment vertical="top"/>
      <protection locked="0"/>
    </xf>
    <xf numFmtId="0" fontId="77" fillId="0" borderId="0" applyNumberFormat="0" applyFill="0" applyBorder="0" applyAlignment="0" applyProtection="0">
      <alignment vertical="top"/>
      <protection locked="0"/>
    </xf>
    <xf numFmtId="0" fontId="9" fillId="0" borderId="0" applyFont="0" applyFill="0" applyBorder="0" applyAlignment="0" applyProtection="0"/>
    <xf numFmtId="203" fontId="44" fillId="0" borderId="0" applyFont="0" applyFill="0" applyBorder="0" applyAlignment="0" applyProtection="0"/>
    <xf numFmtId="0" fontId="48" fillId="0" borderId="0"/>
    <xf numFmtId="0" fontId="9" fillId="0" borderId="0" applyFont="0" applyFill="0" applyBorder="0" applyAlignment="0" applyProtection="0"/>
    <xf numFmtId="204" fontId="78" fillId="0" borderId="0" applyFont="0" applyFill="0" applyBorder="0" applyAlignment="0" applyProtection="0"/>
    <xf numFmtId="40" fontId="9" fillId="0" borderId="0" applyFont="0" applyFill="0" applyBorder="0" applyAlignment="0" applyProtection="0"/>
    <xf numFmtId="10" fontId="78"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205" fontId="48" fillId="0" borderId="37" applyBorder="0">
      <alignment horizontal="right"/>
    </xf>
    <xf numFmtId="3" fontId="79" fillId="0" borderId="4" applyNumberFormat="0" applyFill="0" applyBorder="0" applyAlignment="0" applyProtection="0"/>
    <xf numFmtId="3" fontId="80" fillId="0" borderId="4" applyNumberFormat="0" applyFill="0" applyBorder="0" applyAlignment="0" applyProtection="0"/>
    <xf numFmtId="3" fontId="81" fillId="0" borderId="4" applyNumberFormat="0" applyFill="0" applyBorder="0" applyAlignment="0" applyProtection="0"/>
    <xf numFmtId="3" fontId="82" fillId="0" borderId="4" applyNumberFormat="0" applyFill="0" applyBorder="0" applyAlignment="0" applyProtection="0"/>
    <xf numFmtId="3" fontId="12" fillId="0" borderId="38" applyNumberFormat="0" applyFill="0" applyBorder="0" applyProtection="0"/>
    <xf numFmtId="3" fontId="12" fillId="0" borderId="38" applyNumberFormat="0" applyFill="0" applyBorder="0" applyProtection="0"/>
    <xf numFmtId="3" fontId="12" fillId="0" borderId="38" applyNumberFormat="0" applyFill="0" applyBorder="0" applyProtection="0"/>
    <xf numFmtId="3" fontId="13" fillId="0" borderId="4" applyNumberFormat="0" applyFill="0" applyBorder="0" applyAlignment="0" applyProtection="0"/>
    <xf numFmtId="3" fontId="52" fillId="0" borderId="4" applyNumberFormat="0" applyFill="0" applyBorder="0" applyAlignment="0" applyProtection="0"/>
    <xf numFmtId="0" fontId="54" fillId="0" borderId="0" applyNumberFormat="0" applyFill="0" applyBorder="0" applyAlignment="0" applyProtection="0"/>
    <xf numFmtId="3" fontId="83" fillId="0" borderId="4" applyNumberFormat="0" applyFill="0" applyBorder="0" applyAlignment="0" applyProtection="0"/>
    <xf numFmtId="3" fontId="15" fillId="0" borderId="4" applyNumberFormat="0" applyFill="0" applyBorder="0" applyAlignment="0" applyProtection="0"/>
    <xf numFmtId="3" fontId="56" fillId="0" borderId="4" applyNumberFormat="0" applyFill="0" applyBorder="0" applyAlignment="0" applyProtection="0"/>
    <xf numFmtId="204" fontId="84" fillId="0" borderId="13" applyNumberFormat="0" applyFill="0" applyBorder="0" applyProtection="0">
      <alignment horizontal="center"/>
    </xf>
    <xf numFmtId="3" fontId="85" fillId="0" borderId="4" applyNumberFormat="0" applyFill="0" applyBorder="0" applyAlignment="0" applyProtection="0"/>
    <xf numFmtId="206" fontId="9" fillId="0" borderId="0">
      <alignment horizontal="right"/>
    </xf>
    <xf numFmtId="205" fontId="48" fillId="52" borderId="39"/>
    <xf numFmtId="202" fontId="9" fillId="0" borderId="0" applyFont="0" applyFill="0" applyBorder="0" applyAlignment="0" applyProtection="0"/>
    <xf numFmtId="207" fontId="44" fillId="0" borderId="0">
      <alignment horizontal="right"/>
    </xf>
    <xf numFmtId="207" fontId="44" fillId="0" borderId="0">
      <alignment horizontal="right"/>
    </xf>
    <xf numFmtId="206" fontId="9" fillId="0" borderId="0">
      <alignment horizontal="right"/>
    </xf>
    <xf numFmtId="0" fontId="9" fillId="0" borderId="0" applyNumberFormat="0" applyFill="0" applyBorder="0" applyAlignment="0" applyProtection="0"/>
    <xf numFmtId="0" fontId="6" fillId="0" borderId="0" applyNumberFormat="0" applyFill="0" applyBorder="0" applyAlignment="0" applyProtection="0"/>
    <xf numFmtId="3" fontId="55" fillId="0" borderId="4" applyNumberFormat="0" applyFill="0" applyBorder="0" applyAlignment="0" applyProtection="0"/>
    <xf numFmtId="0" fontId="86" fillId="0" borderId="0" applyNumberFormat="0" applyFill="0" applyBorder="0" applyAlignment="0" applyProtection="0"/>
    <xf numFmtId="192" fontId="9" fillId="0" borderId="37" applyFont="0" applyFill="0" applyBorder="0" applyAlignment="0" applyProtection="0"/>
    <xf numFmtId="0" fontId="6" fillId="0" borderId="0" applyNumberFormat="0" applyFill="0" applyBorder="0" applyAlignment="0" applyProtection="0"/>
    <xf numFmtId="3" fontId="87" fillId="0" borderId="4" applyNumberFormat="0" applyFill="0" applyBorder="0" applyAlignment="0" applyProtection="0"/>
    <xf numFmtId="3" fontId="16" fillId="0" borderId="4" applyNumberFormat="0" applyFill="0" applyBorder="0" applyAlignment="0" applyProtection="0"/>
    <xf numFmtId="3" fontId="88" fillId="0" borderId="4" applyNumberFormat="0" applyFill="0" applyBorder="0" applyAlignment="0" applyProtection="0"/>
    <xf numFmtId="3" fontId="89" fillId="0" borderId="4" applyNumberFormat="0" applyFill="0" applyBorder="0" applyAlignment="0" applyProtection="0"/>
    <xf numFmtId="3" fontId="40" fillId="0" borderId="4" applyNumberFormat="0" applyFill="0" applyBorder="0" applyAlignment="0" applyProtection="0"/>
    <xf numFmtId="0" fontId="37" fillId="0" borderId="0" applyNumberFormat="0" applyFill="0" applyBorder="0" applyAlignment="0" applyProtection="0"/>
    <xf numFmtId="3" fontId="90" fillId="0" borderId="4" applyNumberFormat="0" applyFill="0" applyBorder="0" applyAlignment="0" applyProtection="0"/>
    <xf numFmtId="0" fontId="91" fillId="0" borderId="0" applyNumberFormat="0" applyFill="0" applyBorder="0" applyAlignment="0" applyProtection="0"/>
    <xf numFmtId="0" fontId="37" fillId="0" borderId="0" applyNumberFormat="0" applyFill="0" applyBorder="0" applyAlignment="0" applyProtection="0"/>
    <xf numFmtId="0" fontId="92" fillId="0" borderId="0" applyNumberFormat="0" applyFill="0" applyBorder="0" applyAlignment="0" applyProtection="0"/>
    <xf numFmtId="3" fontId="93" fillId="0" borderId="4" applyNumberFormat="0" applyFill="0" applyBorder="0" applyAlignment="0" applyProtection="0"/>
    <xf numFmtId="0" fontId="94" fillId="0" borderId="0" applyNumberFormat="0" applyFill="0" applyBorder="0" applyAlignment="0" applyProtection="0"/>
    <xf numFmtId="0" fontId="92" fillId="0" borderId="0" applyNumberFormat="0" applyFill="0" applyBorder="0" applyAlignment="0" applyProtection="0"/>
    <xf numFmtId="0" fontId="95" fillId="0" borderId="0" applyNumberFormat="0" applyFill="0" applyBorder="0" applyAlignment="0" applyProtection="0"/>
    <xf numFmtId="3" fontId="96" fillId="0" borderId="4"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3" fontId="99" fillId="0" borderId="4" applyNumberFormat="0" applyFill="0" applyBorder="0" applyAlignment="0" applyProtection="0"/>
    <xf numFmtId="0" fontId="100" fillId="0" borderId="0" applyNumberFormat="0" applyFill="0" applyBorder="0" applyAlignment="0" applyProtection="0"/>
    <xf numFmtId="0" fontId="98" fillId="0" borderId="0" applyNumberFormat="0" applyFill="0" applyBorder="0" applyAlignment="0" applyProtection="0"/>
    <xf numFmtId="37" fontId="48" fillId="0" borderId="0"/>
    <xf numFmtId="208" fontId="101" fillId="0" borderId="0"/>
    <xf numFmtId="0" fontId="35" fillId="54"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5" fillId="54" borderId="0" applyNumberFormat="0" applyBorder="0" applyAlignment="0" applyProtection="0"/>
    <xf numFmtId="0" fontId="35" fillId="5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5" fillId="55" borderId="0" applyNumberFormat="0" applyBorder="0" applyAlignment="0" applyProtection="0"/>
    <xf numFmtId="0" fontId="35" fillId="5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5" fillId="56" borderId="0" applyNumberFormat="0" applyBorder="0" applyAlignment="0" applyProtection="0"/>
    <xf numFmtId="0" fontId="35" fillId="5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5" fillId="57" borderId="0" applyNumberFormat="0" applyBorder="0" applyAlignment="0" applyProtection="0"/>
    <xf numFmtId="0" fontId="35" fillId="5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5" fillId="58" borderId="0" applyNumberFormat="0" applyBorder="0" applyAlignment="0" applyProtection="0"/>
    <xf numFmtId="0" fontId="35" fillId="5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5" fillId="59" borderId="0" applyNumberFormat="0" applyBorder="0" applyAlignment="0" applyProtection="0"/>
    <xf numFmtId="0" fontId="35" fillId="54" borderId="0" applyNumberFormat="0" applyBorder="0" applyAlignment="0" applyProtection="0"/>
    <xf numFmtId="0" fontId="35" fillId="55" borderId="0" applyNumberFormat="0" applyBorder="0" applyAlignment="0" applyProtection="0"/>
    <xf numFmtId="0" fontId="35" fillId="56" borderId="0" applyNumberFormat="0" applyBorder="0" applyAlignment="0" applyProtection="0"/>
    <xf numFmtId="0" fontId="35" fillId="57" borderId="0" applyNumberFormat="0" applyBorder="0" applyAlignment="0" applyProtection="0"/>
    <xf numFmtId="0" fontId="35" fillId="58" borderId="0" applyNumberFormat="0" applyBorder="0" applyAlignment="0" applyProtection="0"/>
    <xf numFmtId="0" fontId="35" fillId="59"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2"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02" fillId="0" borderId="0" applyNumberFormat="0" applyFill="0" applyBorder="0" applyAlignment="0" applyProtection="0"/>
    <xf numFmtId="3" fontId="103" fillId="0" borderId="4" applyNumberFormat="0" applyFill="0" applyBorder="0" applyAlignment="0" applyProtection="0"/>
    <xf numFmtId="0" fontId="104" fillId="0" borderId="0" applyNumberFormat="0" applyFill="0" applyBorder="0" applyAlignment="0" applyProtection="0"/>
    <xf numFmtId="209" fontId="9" fillId="0" borderId="40" applyBorder="0">
      <alignment horizontal="right"/>
    </xf>
    <xf numFmtId="209" fontId="9" fillId="0" borderId="40" applyBorder="0">
      <alignment horizontal="right"/>
    </xf>
    <xf numFmtId="209" fontId="9" fillId="0" borderId="40" applyBorder="0">
      <alignment horizontal="right"/>
    </xf>
    <xf numFmtId="202" fontId="73" fillId="0" borderId="36">
      <alignment horizontal="left" vertical="center"/>
    </xf>
    <xf numFmtId="202" fontId="73" fillId="0" borderId="36">
      <alignment horizontal="left" vertical="center"/>
    </xf>
    <xf numFmtId="202" fontId="73" fillId="0" borderId="36">
      <alignment horizontal="left" vertical="center"/>
    </xf>
    <xf numFmtId="0" fontId="105" fillId="0" borderId="0" applyNumberFormat="0" applyFill="0" applyBorder="0" applyAlignment="0" applyProtection="0">
      <alignment vertical="top"/>
      <protection locked="0"/>
    </xf>
    <xf numFmtId="0" fontId="106" fillId="0" borderId="0" applyFont="0" applyFill="0" applyBorder="0" applyAlignment="0" applyProtection="0"/>
    <xf numFmtId="0" fontId="106" fillId="0" borderId="0" applyFont="0" applyFill="0" applyBorder="0" applyAlignment="0" applyProtection="0"/>
    <xf numFmtId="0" fontId="35" fillId="60"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35" fillId="62" borderId="0" applyNumberFormat="0" applyBorder="0" applyAlignment="0" applyProtection="0"/>
    <xf numFmtId="0" fontId="35" fillId="57"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35" fillId="57" borderId="0" applyNumberFormat="0" applyBorder="0" applyAlignment="0" applyProtection="0"/>
    <xf numFmtId="0" fontId="35" fillId="60"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35" fillId="60" borderId="0" applyNumberFormat="0" applyBorder="0" applyAlignment="0" applyProtection="0"/>
    <xf numFmtId="0" fontId="35" fillId="63"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35" fillId="63"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57" borderId="0" applyNumberFormat="0" applyBorder="0" applyAlignment="0" applyProtection="0"/>
    <xf numFmtId="0" fontId="35" fillId="60" borderId="0" applyNumberFormat="0" applyBorder="0" applyAlignment="0" applyProtection="0"/>
    <xf numFmtId="0" fontId="35" fillId="63"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2"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210" fontId="9" fillId="0" borderId="0" applyFont="0" applyFill="0" applyBorder="0" applyAlignment="0" applyProtection="0"/>
    <xf numFmtId="41" fontId="9" fillId="0" borderId="0" applyFont="0" applyFill="0" applyBorder="0" applyAlignment="0" applyProtection="0"/>
    <xf numFmtId="0" fontId="107" fillId="64" borderId="0" applyNumberFormat="0" applyBorder="0" applyAlignment="0" applyProtection="0"/>
    <xf numFmtId="0" fontId="34" fillId="17" borderId="0" applyNumberFormat="0" applyBorder="0" applyAlignment="0" applyProtection="0"/>
    <xf numFmtId="0" fontId="107" fillId="64" borderId="0" applyNumberFormat="0" applyBorder="0" applyAlignment="0" applyProtection="0"/>
    <xf numFmtId="0" fontId="107" fillId="61" borderId="0" applyNumberFormat="0" applyBorder="0" applyAlignment="0" applyProtection="0"/>
    <xf numFmtId="0" fontId="34" fillId="21" borderId="0" applyNumberFormat="0" applyBorder="0" applyAlignment="0" applyProtection="0"/>
    <xf numFmtId="0" fontId="107" fillId="61" borderId="0" applyNumberFormat="0" applyBorder="0" applyAlignment="0" applyProtection="0"/>
    <xf numFmtId="0" fontId="107" fillId="62" borderId="0" applyNumberFormat="0" applyBorder="0" applyAlignment="0" applyProtection="0"/>
    <xf numFmtId="0" fontId="34" fillId="25" borderId="0" applyNumberFormat="0" applyBorder="0" applyAlignment="0" applyProtection="0"/>
    <xf numFmtId="0" fontId="107" fillId="62" borderId="0" applyNumberFormat="0" applyBorder="0" applyAlignment="0" applyProtection="0"/>
    <xf numFmtId="0" fontId="107" fillId="65" borderId="0" applyNumberFormat="0" applyBorder="0" applyAlignment="0" applyProtection="0"/>
    <xf numFmtId="0" fontId="34" fillId="29" borderId="0" applyNumberFormat="0" applyBorder="0" applyAlignment="0" applyProtection="0"/>
    <xf numFmtId="0" fontId="107" fillId="65" borderId="0" applyNumberFormat="0" applyBorder="0" applyAlignment="0" applyProtection="0"/>
    <xf numFmtId="0" fontId="107" fillId="66" borderId="0" applyNumberFormat="0" applyBorder="0" applyAlignment="0" applyProtection="0"/>
    <xf numFmtId="0" fontId="34" fillId="33" borderId="0" applyNumberFormat="0" applyBorder="0" applyAlignment="0" applyProtection="0"/>
    <xf numFmtId="0" fontId="107" fillId="66" borderId="0" applyNumberFormat="0" applyBorder="0" applyAlignment="0" applyProtection="0"/>
    <xf numFmtId="0" fontId="107" fillId="67" borderId="0" applyNumberFormat="0" applyBorder="0" applyAlignment="0" applyProtection="0"/>
    <xf numFmtId="0" fontId="34" fillId="37" borderId="0" applyNumberFormat="0" applyBorder="0" applyAlignment="0" applyProtection="0"/>
    <xf numFmtId="0" fontId="107" fillId="67" borderId="0" applyNumberFormat="0" applyBorder="0" applyAlignment="0" applyProtection="0"/>
    <xf numFmtId="0" fontId="107" fillId="64" borderId="0" applyNumberFormat="0" applyBorder="0" applyAlignment="0" applyProtection="0"/>
    <xf numFmtId="0" fontId="107" fillId="61" borderId="0" applyNumberFormat="0" applyBorder="0" applyAlignment="0" applyProtection="0"/>
    <xf numFmtId="0" fontId="107" fillId="62" borderId="0" applyNumberFormat="0" applyBorder="0" applyAlignment="0" applyProtection="0"/>
    <xf numFmtId="0" fontId="107" fillId="65" borderId="0" applyNumberFormat="0" applyBorder="0" applyAlignment="0" applyProtection="0"/>
    <xf numFmtId="0" fontId="107" fillId="66" borderId="0" applyNumberFormat="0" applyBorder="0" applyAlignment="0" applyProtection="0"/>
    <xf numFmtId="0" fontId="107" fillId="67" borderId="0" applyNumberFormat="0" applyBorder="0" applyAlignment="0" applyProtection="0"/>
    <xf numFmtId="0" fontId="34" fillId="17" borderId="0" applyNumberFormat="0" applyBorder="0" applyAlignment="0" applyProtection="0"/>
    <xf numFmtId="0" fontId="108" fillId="17" borderId="0" applyNumberFormat="0" applyBorder="0" applyAlignment="0" applyProtection="0"/>
    <xf numFmtId="0" fontId="107" fillId="64" borderId="0" applyNumberFormat="0" applyBorder="0" applyAlignment="0" applyProtection="0"/>
    <xf numFmtId="0" fontId="107" fillId="64" borderId="0" applyNumberFormat="0" applyBorder="0" applyAlignment="0" applyProtection="0"/>
    <xf numFmtId="0" fontId="107" fillId="64" borderId="0" applyNumberFormat="0" applyBorder="0" applyAlignment="0" applyProtection="0"/>
    <xf numFmtId="0" fontId="107" fillId="64" borderId="0" applyNumberFormat="0" applyBorder="0" applyAlignment="0" applyProtection="0"/>
    <xf numFmtId="0" fontId="107" fillId="64" borderId="0" applyNumberFormat="0" applyBorder="0" applyAlignment="0" applyProtection="0"/>
    <xf numFmtId="0" fontId="107" fillId="64" borderId="0" applyNumberFormat="0" applyBorder="0" applyAlignment="0" applyProtection="0"/>
    <xf numFmtId="0" fontId="34" fillId="21" borderId="0" applyNumberFormat="0" applyBorder="0" applyAlignment="0" applyProtection="0"/>
    <xf numFmtId="0" fontId="108" fillId="21" borderId="0" applyNumberFormat="0" applyBorder="0" applyAlignment="0" applyProtection="0"/>
    <xf numFmtId="0" fontId="107" fillId="61" borderId="0" applyNumberFormat="0" applyBorder="0" applyAlignment="0" applyProtection="0"/>
    <xf numFmtId="0" fontId="107" fillId="61" borderId="0" applyNumberFormat="0" applyBorder="0" applyAlignment="0" applyProtection="0"/>
    <xf numFmtId="0" fontId="107" fillId="61" borderId="0" applyNumberFormat="0" applyBorder="0" applyAlignment="0" applyProtection="0"/>
    <xf numFmtId="0" fontId="107" fillId="61" borderId="0" applyNumberFormat="0" applyBorder="0" applyAlignment="0" applyProtection="0"/>
    <xf numFmtId="0" fontId="107" fillId="61" borderId="0" applyNumberFormat="0" applyBorder="0" applyAlignment="0" applyProtection="0"/>
    <xf numFmtId="0" fontId="107" fillId="61" borderId="0" applyNumberFormat="0" applyBorder="0" applyAlignment="0" applyProtection="0"/>
    <xf numFmtId="0" fontId="34" fillId="25" borderId="0" applyNumberFormat="0" applyBorder="0" applyAlignment="0" applyProtection="0"/>
    <xf numFmtId="0" fontId="108" fillId="25" borderId="0" applyNumberFormat="0" applyBorder="0" applyAlignment="0" applyProtection="0"/>
    <xf numFmtId="0" fontId="107" fillId="62" borderId="0" applyNumberFormat="0" applyBorder="0" applyAlignment="0" applyProtection="0"/>
    <xf numFmtId="0" fontId="107" fillId="62" borderId="0" applyNumberFormat="0" applyBorder="0" applyAlignment="0" applyProtection="0"/>
    <xf numFmtId="0" fontId="107" fillId="62" borderId="0" applyNumberFormat="0" applyBorder="0" applyAlignment="0" applyProtection="0"/>
    <xf numFmtId="0" fontId="107" fillId="62" borderId="0" applyNumberFormat="0" applyBorder="0" applyAlignment="0" applyProtection="0"/>
    <xf numFmtId="0" fontId="107" fillId="62" borderId="0" applyNumberFormat="0" applyBorder="0" applyAlignment="0" applyProtection="0"/>
    <xf numFmtId="0" fontId="107" fillId="62" borderId="0" applyNumberFormat="0" applyBorder="0" applyAlignment="0" applyProtection="0"/>
    <xf numFmtId="0" fontId="34" fillId="29" borderId="0" applyNumberFormat="0" applyBorder="0" applyAlignment="0" applyProtection="0"/>
    <xf numFmtId="0" fontId="108" fillId="29" borderId="0" applyNumberFormat="0" applyBorder="0" applyAlignment="0" applyProtection="0"/>
    <xf numFmtId="0" fontId="107" fillId="65" borderId="0" applyNumberFormat="0" applyBorder="0" applyAlignment="0" applyProtection="0"/>
    <xf numFmtId="0" fontId="107" fillId="65" borderId="0" applyNumberFormat="0" applyBorder="0" applyAlignment="0" applyProtection="0"/>
    <xf numFmtId="0" fontId="107" fillId="65" borderId="0" applyNumberFormat="0" applyBorder="0" applyAlignment="0" applyProtection="0"/>
    <xf numFmtId="0" fontId="107" fillId="65" borderId="0" applyNumberFormat="0" applyBorder="0" applyAlignment="0" applyProtection="0"/>
    <xf numFmtId="0" fontId="107" fillId="65" borderId="0" applyNumberFormat="0" applyBorder="0" applyAlignment="0" applyProtection="0"/>
    <xf numFmtId="0" fontId="107" fillId="65" borderId="0" applyNumberFormat="0" applyBorder="0" applyAlignment="0" applyProtection="0"/>
    <xf numFmtId="0" fontId="34" fillId="33" borderId="0" applyNumberFormat="0" applyBorder="0" applyAlignment="0" applyProtection="0"/>
    <xf numFmtId="0" fontId="108" fillId="33" borderId="0" applyNumberFormat="0" applyBorder="0" applyAlignment="0" applyProtection="0"/>
    <xf numFmtId="0" fontId="107" fillId="66" borderId="0" applyNumberFormat="0" applyBorder="0" applyAlignment="0" applyProtection="0"/>
    <xf numFmtId="0" fontId="107" fillId="66" borderId="0" applyNumberFormat="0" applyBorder="0" applyAlignment="0" applyProtection="0"/>
    <xf numFmtId="0" fontId="107" fillId="66" borderId="0" applyNumberFormat="0" applyBorder="0" applyAlignment="0" applyProtection="0"/>
    <xf numFmtId="0" fontId="107" fillId="66" borderId="0" applyNumberFormat="0" applyBorder="0" applyAlignment="0" applyProtection="0"/>
    <xf numFmtId="0" fontId="107" fillId="66" borderId="0" applyNumberFormat="0" applyBorder="0" applyAlignment="0" applyProtection="0"/>
    <xf numFmtId="0" fontId="107" fillId="66" borderId="0" applyNumberFormat="0" applyBorder="0" applyAlignment="0" applyProtection="0"/>
    <xf numFmtId="0" fontId="34" fillId="37" borderId="0" applyNumberFormat="0" applyBorder="0" applyAlignment="0" applyProtection="0"/>
    <xf numFmtId="0" fontId="108" fillId="37" borderId="0" applyNumberFormat="0" applyBorder="0" applyAlignment="0" applyProtection="0"/>
    <xf numFmtId="0" fontId="107" fillId="67" borderId="0" applyNumberFormat="0" applyBorder="0" applyAlignment="0" applyProtection="0"/>
    <xf numFmtId="0" fontId="107" fillId="67" borderId="0" applyNumberFormat="0" applyBorder="0" applyAlignment="0" applyProtection="0"/>
    <xf numFmtId="0" fontId="107" fillId="67" borderId="0" applyNumberFormat="0" applyBorder="0" applyAlignment="0" applyProtection="0"/>
    <xf numFmtId="0" fontId="107" fillId="67" borderId="0" applyNumberFormat="0" applyBorder="0" applyAlignment="0" applyProtection="0"/>
    <xf numFmtId="0" fontId="107" fillId="67" borderId="0" applyNumberFormat="0" applyBorder="0" applyAlignment="0" applyProtection="0"/>
    <xf numFmtId="0" fontId="107" fillId="67" borderId="0" applyNumberFormat="0" applyBorder="0" applyAlignment="0" applyProtection="0"/>
    <xf numFmtId="0" fontId="42" fillId="0" borderId="0" applyNumberFormat="0">
      <alignment horizontal="right"/>
    </xf>
    <xf numFmtId="44" fontId="109" fillId="0" borderId="0" applyFont="0" applyFill="0" applyBorder="0" applyAlignment="0" applyProtection="0"/>
    <xf numFmtId="0" fontId="12" fillId="0" borderId="31" applyNumberFormat="0" applyBorder="0"/>
    <xf numFmtId="0" fontId="46" fillId="0" borderId="0"/>
    <xf numFmtId="167"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0" fontId="61" fillId="0" borderId="0" applyFont="0" applyFill="0" applyBorder="0" applyAlignment="0" applyProtection="0"/>
    <xf numFmtId="0" fontId="50" fillId="0" borderId="0" applyFont="0" applyFill="0" applyBorder="0" applyAlignment="0" applyProtection="0"/>
    <xf numFmtId="37" fontId="9" fillId="0" borderId="0"/>
    <xf numFmtId="0" fontId="9" fillId="0" borderId="41" applyNumberFormat="0">
      <alignment horizontal="center" vertical="top" wrapText="1"/>
    </xf>
    <xf numFmtId="0" fontId="9" fillId="0" borderId="12">
      <alignment vertical="top"/>
    </xf>
    <xf numFmtId="0" fontId="110" fillId="0" borderId="29" applyBorder="0"/>
    <xf numFmtId="0" fontId="110" fillId="0" borderId="29" applyBorder="0"/>
    <xf numFmtId="0" fontId="110" fillId="0" borderId="29" applyBorder="0"/>
    <xf numFmtId="0" fontId="107" fillId="68" borderId="0" applyNumberFormat="0" applyBorder="0" applyAlignment="0" applyProtection="0"/>
    <xf numFmtId="0" fontId="34" fillId="14" borderId="0" applyNumberFormat="0" applyBorder="0" applyAlignment="0" applyProtection="0"/>
    <xf numFmtId="0" fontId="107" fillId="68" borderId="0" applyNumberFormat="0" applyBorder="0" applyAlignment="0" applyProtection="0"/>
    <xf numFmtId="0" fontId="107" fillId="69" borderId="0" applyNumberFormat="0" applyBorder="0" applyAlignment="0" applyProtection="0"/>
    <xf numFmtId="0" fontId="34" fillId="18" borderId="0" applyNumberFormat="0" applyBorder="0" applyAlignment="0" applyProtection="0"/>
    <xf numFmtId="0" fontId="107" fillId="69" borderId="0" applyNumberFormat="0" applyBorder="0" applyAlignment="0" applyProtection="0"/>
    <xf numFmtId="0" fontId="107" fillId="70" borderId="0" applyNumberFormat="0" applyBorder="0" applyAlignment="0" applyProtection="0"/>
    <xf numFmtId="0" fontId="34" fillId="22" borderId="0" applyNumberFormat="0" applyBorder="0" applyAlignment="0" applyProtection="0"/>
    <xf numFmtId="0" fontId="107" fillId="70" borderId="0" applyNumberFormat="0" applyBorder="0" applyAlignment="0" applyProtection="0"/>
    <xf numFmtId="0" fontId="107" fillId="65" borderId="0" applyNumberFormat="0" applyBorder="0" applyAlignment="0" applyProtection="0"/>
    <xf numFmtId="0" fontId="34" fillId="26" borderId="0" applyNumberFormat="0" applyBorder="0" applyAlignment="0" applyProtection="0"/>
    <xf numFmtId="0" fontId="107" fillId="65" borderId="0" applyNumberFormat="0" applyBorder="0" applyAlignment="0" applyProtection="0"/>
    <xf numFmtId="0" fontId="107" fillId="66" borderId="0" applyNumberFormat="0" applyBorder="0" applyAlignment="0" applyProtection="0"/>
    <xf numFmtId="0" fontId="34" fillId="30" borderId="0" applyNumberFormat="0" applyBorder="0" applyAlignment="0" applyProtection="0"/>
    <xf numFmtId="0" fontId="107" fillId="66" borderId="0" applyNumberFormat="0" applyBorder="0" applyAlignment="0" applyProtection="0"/>
    <xf numFmtId="0" fontId="107" fillId="71" borderId="0" applyNumberFormat="0" applyBorder="0" applyAlignment="0" applyProtection="0"/>
    <xf numFmtId="0" fontId="34" fillId="34" borderId="0" applyNumberFormat="0" applyBorder="0" applyAlignment="0" applyProtection="0"/>
    <xf numFmtId="0" fontId="107" fillId="71" borderId="0" applyNumberFormat="0" applyBorder="0" applyAlignment="0" applyProtection="0"/>
    <xf numFmtId="0" fontId="111" fillId="0" borderId="0" applyFont="0" applyFill="0" applyBorder="0" applyAlignment="0" applyProtection="0"/>
    <xf numFmtId="0" fontId="12" fillId="0" borderId="0" applyNumberFormat="0" applyAlignment="0"/>
    <xf numFmtId="211" fontId="9" fillId="72" borderId="42">
      <alignment horizontal="center" vertical="center"/>
    </xf>
    <xf numFmtId="0" fontId="9" fillId="73" borderId="0" applyNumberFormat="0" applyProtection="0">
      <alignment horizontal="center"/>
      <protection locked="0" hidden="1"/>
    </xf>
    <xf numFmtId="0" fontId="9" fillId="0" borderId="0"/>
    <xf numFmtId="0" fontId="43" fillId="0" borderId="0">
      <alignment vertical="center"/>
    </xf>
    <xf numFmtId="0" fontId="43" fillId="0" borderId="0">
      <alignment vertical="center"/>
    </xf>
    <xf numFmtId="0" fontId="112" fillId="0" borderId="0" applyNumberFormat="0" applyFill="0" applyBorder="0" applyAlignment="0" applyProtection="0">
      <alignment vertical="top"/>
      <protection locked="0"/>
    </xf>
    <xf numFmtId="8" fontId="109" fillId="0" borderId="0" applyFont="0" applyFill="0" applyBorder="0" applyAlignment="0" applyProtection="0"/>
    <xf numFmtId="0" fontId="40" fillId="0" borderId="0" applyAlignment="0"/>
    <xf numFmtId="0" fontId="113" fillId="0" borderId="0">
      <alignment horizontal="center" wrapText="1"/>
      <protection locked="0"/>
    </xf>
    <xf numFmtId="0" fontId="113" fillId="0" borderId="0">
      <alignment horizontal="center" wrapText="1"/>
      <protection locked="0"/>
    </xf>
    <xf numFmtId="0" fontId="113" fillId="0" borderId="0">
      <alignment horizontal="center" wrapText="1"/>
      <protection locked="0"/>
    </xf>
    <xf numFmtId="0" fontId="12" fillId="74" borderId="0"/>
    <xf numFmtId="0" fontId="13" fillId="0" borderId="0"/>
    <xf numFmtId="0" fontId="9" fillId="0" borderId="0"/>
    <xf numFmtId="0" fontId="6" fillId="0" borderId="0"/>
    <xf numFmtId="0" fontId="37" fillId="0" borderId="0"/>
    <xf numFmtId="1" fontId="81" fillId="0" borderId="0" applyBorder="0">
      <protection locked="0"/>
    </xf>
    <xf numFmtId="3" fontId="41" fillId="0" borderId="0" applyNumberFormat="0" applyFill="0" applyBorder="0" applyAlignment="0" applyProtection="0"/>
    <xf numFmtId="3" fontId="114" fillId="0" borderId="0" applyNumberFormat="0" applyFill="0" applyBorder="0" applyAlignment="0" applyProtection="0"/>
    <xf numFmtId="0" fontId="115" fillId="0" borderId="4">
      <protection hidden="1"/>
    </xf>
    <xf numFmtId="0" fontId="116" fillId="75" borderId="4" applyNumberFormat="0" applyFont="0" applyBorder="0" applyAlignment="0" applyProtection="0">
      <protection hidden="1"/>
    </xf>
    <xf numFmtId="0" fontId="117" fillId="44" borderId="39"/>
    <xf numFmtId="204" fontId="51" fillId="0" borderId="0" applyFont="0" applyFill="0" applyBorder="0" applyAlignment="0" applyProtection="0"/>
    <xf numFmtId="212" fontId="118" fillId="44" borderId="39" applyBorder="0"/>
    <xf numFmtId="213" fontId="117" fillId="44" borderId="39">
      <alignment horizontal="center"/>
      <protection locked="0"/>
    </xf>
    <xf numFmtId="214" fontId="9" fillId="0" borderId="0" applyFont="0" applyFill="0" applyBorder="0" applyAlignment="0" applyProtection="0"/>
    <xf numFmtId="215" fontId="9" fillId="0" borderId="0" applyFont="0" applyFill="0" applyBorder="0" applyAlignment="0" applyProtection="0"/>
    <xf numFmtId="2" fontId="119" fillId="76" borderId="0">
      <alignment vertical="center"/>
    </xf>
    <xf numFmtId="2" fontId="120" fillId="76" borderId="0">
      <alignment vertical="center"/>
    </xf>
    <xf numFmtId="9" fontId="9" fillId="0" borderId="43"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37" fontId="121" fillId="0" borderId="44" applyNumberFormat="0" applyFont="0" applyFill="0" applyAlignment="0" applyProtection="0">
      <alignment horizontal="centerContinuous"/>
    </xf>
    <xf numFmtId="9" fontId="9" fillId="0" borderId="45" applyNumberFormat="0" applyFont="0" applyFill="0" applyAlignment="0" applyProtection="0"/>
    <xf numFmtId="9" fontId="9" fillId="0" borderId="46" applyNumberFormat="0" applyFont="0" applyFill="0" applyAlignment="0" applyProtection="0"/>
    <xf numFmtId="0" fontId="122" fillId="55" borderId="0" applyNumberFormat="0" applyBorder="0" applyAlignment="0" applyProtection="0"/>
    <xf numFmtId="0" fontId="24" fillId="8" borderId="0" applyNumberFormat="0" applyBorder="0" applyAlignment="0" applyProtection="0"/>
    <xf numFmtId="0" fontId="122" fillId="55" borderId="0" applyNumberFormat="0" applyBorder="0" applyAlignment="0" applyProtection="0"/>
    <xf numFmtId="216" fontId="123" fillId="0" borderId="31" applyFill="0" applyBorder="0" applyProtection="0"/>
    <xf numFmtId="0" fontId="13" fillId="77" borderId="39" applyNumberFormat="0" applyBorder="0" applyAlignment="0">
      <alignment horizontal="center" vertical="center"/>
      <protection locked="0"/>
    </xf>
    <xf numFmtId="217" fontId="9" fillId="0" borderId="41">
      <alignment vertical="top"/>
      <protection locked="0"/>
    </xf>
    <xf numFmtId="217" fontId="53" fillId="0" borderId="41">
      <alignment vertical="top"/>
    </xf>
    <xf numFmtId="217" fontId="124" fillId="0" borderId="13" applyFont="0" applyFill="0" applyBorder="0" applyAlignment="0">
      <alignment vertical="top"/>
      <protection hidden="1"/>
    </xf>
    <xf numFmtId="0" fontId="60" fillId="0" borderId="0" applyBorder="0">
      <alignment horizontal="left" vertical="top" wrapText="1"/>
      <protection locked="0"/>
    </xf>
    <xf numFmtId="0" fontId="60" fillId="0" borderId="0" applyBorder="0">
      <alignment vertical="top"/>
      <protection locked="0"/>
    </xf>
    <xf numFmtId="218" fontId="44" fillId="0" borderId="0" applyBorder="0">
      <alignment vertical="top"/>
      <protection locked="0"/>
    </xf>
    <xf numFmtId="1" fontId="60" fillId="75" borderId="0" applyBorder="0">
      <alignment vertical="top"/>
    </xf>
    <xf numFmtId="0" fontId="9" fillId="0" borderId="41" applyNumberFormat="0">
      <alignment horizontal="left" vertical="top" wrapText="1"/>
    </xf>
    <xf numFmtId="0" fontId="51" fillId="0" borderId="0" applyNumberFormat="0" applyFill="0" applyBorder="0" applyAlignment="0" applyProtection="0">
      <alignment horizontal="center"/>
    </xf>
    <xf numFmtId="0" fontId="125" fillId="0" borderId="0"/>
    <xf numFmtId="0" fontId="126" fillId="0" borderId="0" applyNumberFormat="0" applyFill="0" applyBorder="0" applyAlignment="0" applyProtection="0"/>
    <xf numFmtId="0" fontId="127" fillId="78" borderId="0" applyNumberFormat="0" applyFill="0" applyBorder="0" applyAlignment="0" applyProtection="0">
      <protection locked="0"/>
    </xf>
    <xf numFmtId="214" fontId="44" fillId="0" borderId="0" applyFont="0" applyFill="0" applyBorder="0" applyAlignment="0" applyProtection="0"/>
    <xf numFmtId="188" fontId="44" fillId="0" borderId="0" applyFont="0" applyFill="0" applyBorder="0" applyAlignment="0" applyProtection="0"/>
    <xf numFmtId="205" fontId="45" fillId="0" borderId="0" applyFont="0" applyFill="0" applyBorder="0" applyAlignment="0" applyProtection="0"/>
    <xf numFmtId="219" fontId="9" fillId="0" borderId="0" applyFont="0" applyFill="0" applyBorder="0" applyAlignment="0" applyProtection="0"/>
    <xf numFmtId="205" fontId="45" fillId="0" borderId="0" applyFont="0" applyFill="0" applyBorder="0" applyAlignment="0" applyProtection="0"/>
    <xf numFmtId="218" fontId="9" fillId="0" borderId="0" applyFont="0" applyFill="0" applyBorder="0" applyAlignment="0" applyProtection="0"/>
    <xf numFmtId="220" fontId="44" fillId="0" borderId="0" applyFont="0" applyFill="0" applyBorder="0" applyAlignment="0" applyProtection="0"/>
    <xf numFmtId="221" fontId="9" fillId="0" borderId="0" applyFont="0" applyFill="0" applyBorder="0" applyAlignment="0" applyProtection="0"/>
    <xf numFmtId="177" fontId="44" fillId="0" borderId="0" applyFont="0" applyFill="0" applyBorder="0" applyAlignment="0" applyProtection="0"/>
    <xf numFmtId="0" fontId="128" fillId="0" borderId="0"/>
    <xf numFmtId="0" fontId="129" fillId="0" borderId="0"/>
    <xf numFmtId="222" fontId="130" fillId="0" borderId="0" applyBorder="0" applyProtection="0"/>
    <xf numFmtId="0" fontId="45" fillId="0" borderId="0"/>
    <xf numFmtId="0" fontId="131" fillId="0" borderId="0" applyNumberFormat="0" applyFill="0" applyBorder="0" applyAlignment="0" applyProtection="0"/>
    <xf numFmtId="223" fontId="16" fillId="0" borderId="0" applyNumberFormat="0" applyFill="0" applyBorder="0" applyAlignment="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3" fillId="78" borderId="12" applyNumberFormat="0" applyFill="0" applyBorder="0" applyAlignment="0" applyProtection="0">
      <protection locked="0"/>
    </xf>
    <xf numFmtId="0" fontId="9" fillId="0" borderId="0" applyFont="0" applyFill="0" applyBorder="0" applyProtection="0">
      <alignment horizontal="right"/>
    </xf>
    <xf numFmtId="0" fontId="134" fillId="56" borderId="0" applyNumberFormat="0" applyBorder="0" applyAlignment="0" applyProtection="0"/>
    <xf numFmtId="5" fontId="135" fillId="0" borderId="8" applyAlignment="0" applyProtection="0"/>
    <xf numFmtId="5" fontId="135" fillId="0" borderId="8" applyAlignment="0" applyProtection="0"/>
    <xf numFmtId="5" fontId="135" fillId="0" borderId="8" applyAlignment="0" applyProtection="0"/>
    <xf numFmtId="0" fontId="113" fillId="0" borderId="47" applyNumberFormat="0" applyFont="0" applyFill="0" applyAlignment="0" applyProtection="0"/>
    <xf numFmtId="0" fontId="113" fillId="0" borderId="48" applyNumberFormat="0" applyFont="0" applyFill="0" applyAlignment="0" applyProtection="0"/>
    <xf numFmtId="224" fontId="135" fillId="0" borderId="8" applyAlignment="0" applyProtection="0"/>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136" fillId="0" borderId="49" applyFill="0" applyProtection="0">
      <alignment horizontal="right"/>
    </xf>
    <xf numFmtId="0" fontId="136" fillId="0" borderId="49" applyFill="0" applyProtection="0">
      <alignment horizontal="right"/>
    </xf>
    <xf numFmtId="0" fontId="137" fillId="0" borderId="0"/>
    <xf numFmtId="0" fontId="23" fillId="7" borderId="0" applyNumberFormat="0" applyBorder="0" applyAlignment="0" applyProtection="0"/>
    <xf numFmtId="0" fontId="138" fillId="7" borderId="0" applyNumberFormat="0" applyBorder="0" applyAlignment="0" applyProtection="0"/>
    <xf numFmtId="0" fontId="134" fillId="56" borderId="0" applyNumberFormat="0" applyBorder="0" applyAlignment="0" applyProtection="0"/>
    <xf numFmtId="0" fontId="134" fillId="56" borderId="0" applyNumberFormat="0" applyBorder="0" applyAlignment="0" applyProtection="0"/>
    <xf numFmtId="0" fontId="134" fillId="56" borderId="0" applyNumberFormat="0" applyBorder="0" applyAlignment="0" applyProtection="0"/>
    <xf numFmtId="0" fontId="134" fillId="56" borderId="0" applyNumberFormat="0" applyBorder="0" applyAlignment="0" applyProtection="0"/>
    <xf numFmtId="0" fontId="134" fillId="56" borderId="0" applyNumberFormat="0" applyBorder="0" applyAlignment="0" applyProtection="0"/>
    <xf numFmtId="0" fontId="134" fillId="56" borderId="0" applyNumberFormat="0" applyBorder="0" applyAlignment="0" applyProtection="0"/>
    <xf numFmtId="225" fontId="48" fillId="0" borderId="0" applyFont="0" applyFill="0" applyBorder="0" applyAlignment="0" applyProtection="0"/>
    <xf numFmtId="225" fontId="48" fillId="0" borderId="0" applyFont="0" applyFill="0" applyBorder="0" applyAlignment="0" applyProtection="0"/>
    <xf numFmtId="225" fontId="48" fillId="0" borderId="0" applyFont="0" applyFill="0" applyBorder="0" applyAlignment="0" applyProtection="0"/>
    <xf numFmtId="205" fontId="48" fillId="52" borderId="0"/>
    <xf numFmtId="0" fontId="9" fillId="0" borderId="50" quotePrefix="1">
      <alignment horizontal="justify" vertical="justify" textRotation="127" wrapText="1" justifyLastLine="1"/>
      <protection hidden="1"/>
    </xf>
    <xf numFmtId="0" fontId="9" fillId="0" borderId="0"/>
    <xf numFmtId="0" fontId="9" fillId="0" borderId="0"/>
    <xf numFmtId="0" fontId="139" fillId="0" borderId="0"/>
    <xf numFmtId="214" fontId="44" fillId="0" borderId="0" applyFont="0" applyFill="0" applyBorder="0" applyAlignment="0" applyProtection="0">
      <alignment horizontal="right"/>
    </xf>
    <xf numFmtId="205" fontId="48" fillId="0" borderId="0"/>
    <xf numFmtId="226" fontId="9" fillId="0" borderId="0" applyNumberFormat="0"/>
    <xf numFmtId="205" fontId="140" fillId="0" borderId="0"/>
    <xf numFmtId="227" fontId="44" fillId="0" borderId="0" applyNumberFormat="0"/>
    <xf numFmtId="214" fontId="44" fillId="46" borderId="51" applyNumberFormat="0" applyFont="0" applyBorder="0">
      <alignment horizontal="right"/>
    </xf>
    <xf numFmtId="219" fontId="9" fillId="0" borderId="0" applyFont="0" applyFill="0" applyBorder="0" applyAlignment="0" applyProtection="0"/>
    <xf numFmtId="220" fontId="44" fillId="0" borderId="0" applyFont="0" applyFill="0" applyBorder="0" applyAlignment="0" applyProtection="0"/>
    <xf numFmtId="205" fontId="48" fillId="52" borderId="0"/>
    <xf numFmtId="37" fontId="48" fillId="0" borderId="0"/>
    <xf numFmtId="228" fontId="9" fillId="0" borderId="0" applyFon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42" fillId="0" borderId="0" applyNumberFormat="0" applyFill="0" applyBorder="0" applyAlignment="0" applyProtection="0"/>
    <xf numFmtId="0" fontId="142" fillId="0" borderId="0" applyNumberFormat="0" applyFill="0" applyBorder="0" applyAlignment="0" applyProtection="0"/>
    <xf numFmtId="0" fontId="142" fillId="0" borderId="0" applyNumberFormat="0" applyFill="0" applyBorder="0" applyAlignment="0" applyProtection="0"/>
    <xf numFmtId="37" fontId="143" fillId="48" borderId="0" applyNumberFormat="0" applyFont="0" applyBorder="0" applyAlignment="0"/>
    <xf numFmtId="37" fontId="9" fillId="79" borderId="0" applyNumberFormat="0" applyFont="0" applyBorder="0" applyAlignment="0"/>
    <xf numFmtId="37" fontId="12" fillId="48" borderId="52" applyNumberFormat="0" applyBorder="0" applyAlignment="0"/>
    <xf numFmtId="37" fontId="12" fillId="48" borderId="52" applyNumberFormat="0" applyBorder="0" applyAlignment="0"/>
    <xf numFmtId="37" fontId="12" fillId="48" borderId="52" applyNumberFormat="0" applyBorder="0" applyAlignment="0"/>
    <xf numFmtId="229" fontId="12" fillId="0" borderId="30" applyNumberFormat="0" applyFont="0" applyFill="0" applyBorder="0" applyAlignment="0" applyProtection="0"/>
    <xf numFmtId="37" fontId="81" fillId="78" borderId="53" applyFill="0" applyBorder="0"/>
    <xf numFmtId="230" fontId="144" fillId="0" borderId="0" applyFill="0" applyBorder="0" applyAlignment="0"/>
    <xf numFmtId="0" fontId="144" fillId="0" borderId="0" applyFill="0" applyBorder="0" applyAlignment="0"/>
    <xf numFmtId="0" fontId="144" fillId="0" borderId="0" applyFill="0" applyBorder="0" applyAlignment="0"/>
    <xf numFmtId="231" fontId="113" fillId="0" borderId="0" applyFill="0" applyBorder="0" applyAlignment="0"/>
    <xf numFmtId="232" fontId="113" fillId="0" borderId="0" applyFill="0" applyBorder="0" applyAlignment="0"/>
    <xf numFmtId="233" fontId="113" fillId="0" borderId="0" applyFill="0" applyBorder="0" applyAlignment="0"/>
    <xf numFmtId="234" fontId="113" fillId="0" borderId="0" applyFill="0" applyBorder="0" applyAlignment="0"/>
    <xf numFmtId="230" fontId="144" fillId="0" borderId="0" applyFill="0" applyBorder="0" applyAlignment="0"/>
    <xf numFmtId="235" fontId="113" fillId="0" borderId="0" applyFill="0" applyBorder="0" applyAlignment="0"/>
    <xf numFmtId="231" fontId="113" fillId="0" borderId="0" applyFill="0" applyBorder="0" applyAlignment="0"/>
    <xf numFmtId="38" fontId="9" fillId="80" borderId="39"/>
    <xf numFmtId="0" fontId="145" fillId="75" borderId="54" applyNumberFormat="0" applyAlignment="0" applyProtection="0"/>
    <xf numFmtId="0" fontId="28" fillId="11" borderId="23" applyNumberFormat="0" applyAlignment="0" applyProtection="0"/>
    <xf numFmtId="0" fontId="145" fillId="75" borderId="54" applyNumberFormat="0" applyAlignment="0" applyProtection="0"/>
    <xf numFmtId="0" fontId="145" fillId="75" borderId="54" applyNumberFormat="0" applyAlignment="0" applyProtection="0"/>
    <xf numFmtId="0" fontId="145" fillId="75" borderId="54" applyNumberFormat="0" applyAlignment="0" applyProtection="0"/>
    <xf numFmtId="0" fontId="145" fillId="75" borderId="54" applyNumberFormat="0" applyAlignment="0" applyProtection="0"/>
    <xf numFmtId="0" fontId="145" fillId="75" borderId="54" applyNumberFormat="0" applyAlignment="0" applyProtection="0"/>
    <xf numFmtId="0" fontId="28" fillId="11" borderId="23" applyNumberFormat="0" applyAlignment="0" applyProtection="0"/>
    <xf numFmtId="0" fontId="146" fillId="11" borderId="23" applyNumberFormat="0" applyAlignment="0" applyProtection="0"/>
    <xf numFmtId="0" fontId="145" fillId="75" borderId="54" applyNumberFormat="0" applyAlignment="0" applyProtection="0"/>
    <xf numFmtId="0" fontId="145" fillId="75" borderId="54" applyNumberFormat="0" applyAlignment="0" applyProtection="0"/>
    <xf numFmtId="0" fontId="145" fillId="75" borderId="54" applyNumberFormat="0" applyAlignment="0" applyProtection="0"/>
    <xf numFmtId="0" fontId="145" fillId="75" borderId="54" applyNumberFormat="0" applyAlignment="0" applyProtection="0"/>
    <xf numFmtId="0" fontId="145" fillId="75" borderId="54" applyNumberFormat="0" applyAlignment="0" applyProtection="0"/>
    <xf numFmtId="0" fontId="145" fillId="75" borderId="54" applyNumberFormat="0" applyAlignment="0" applyProtection="0"/>
    <xf numFmtId="0" fontId="145" fillId="75" borderId="54" applyNumberFormat="0" applyAlignment="0" applyProtection="0"/>
    <xf numFmtId="0" fontId="145" fillId="75" borderId="54" applyNumberFormat="0" applyAlignment="0" applyProtection="0"/>
    <xf numFmtId="0" fontId="145" fillId="75" borderId="54" applyNumberFormat="0" applyAlignment="0" applyProtection="0"/>
    <xf numFmtId="0" fontId="145" fillId="75" borderId="54" applyNumberFormat="0" applyAlignment="0" applyProtection="0"/>
    <xf numFmtId="0" fontId="145" fillId="75" borderId="54" applyNumberFormat="0" applyAlignment="0" applyProtection="0"/>
    <xf numFmtId="0" fontId="145" fillId="75" borderId="54" applyNumberFormat="0" applyAlignment="0" applyProtection="0"/>
    <xf numFmtId="0" fontId="145" fillId="75" borderId="54" applyNumberFormat="0" applyAlignment="0" applyProtection="0"/>
    <xf numFmtId="0" fontId="145" fillId="75" borderId="54" applyNumberFormat="0" applyAlignment="0" applyProtection="0"/>
    <xf numFmtId="0" fontId="145" fillId="75" borderId="54" applyNumberFormat="0" applyAlignment="0" applyProtection="0"/>
    <xf numFmtId="0" fontId="145" fillId="75" borderId="54" applyNumberFormat="0" applyAlignment="0" applyProtection="0"/>
    <xf numFmtId="0" fontId="145" fillId="75" borderId="54" applyNumberFormat="0" applyAlignment="0" applyProtection="0"/>
    <xf numFmtId="0" fontId="145" fillId="75" borderId="54" applyNumberFormat="0" applyAlignment="0" applyProtection="0"/>
    <xf numFmtId="0" fontId="147" fillId="80" borderId="7" applyBorder="0"/>
    <xf numFmtId="0" fontId="147" fillId="80" borderId="7" applyBorder="0"/>
    <xf numFmtId="0" fontId="51" fillId="0" borderId="0"/>
    <xf numFmtId="0" fontId="9" fillId="0" borderId="0"/>
    <xf numFmtId="0" fontId="9" fillId="0" borderId="0"/>
    <xf numFmtId="0" fontId="51" fillId="0" borderId="0"/>
    <xf numFmtId="0" fontId="148" fillId="0" borderId="0"/>
    <xf numFmtId="40" fontId="51" fillId="0" borderId="0" applyFont="0" applyFill="0" applyBorder="0" applyAlignment="0" applyProtection="0"/>
    <xf numFmtId="236" fontId="113" fillId="81" borderId="0" applyNumberFormat="0" applyFont="0" applyBorder="0" applyAlignment="0"/>
    <xf numFmtId="0" fontId="149" fillId="0" borderId="0"/>
    <xf numFmtId="0" fontId="30" fillId="12" borderId="26" applyNumberFormat="0" applyAlignment="0" applyProtection="0"/>
    <xf numFmtId="0" fontId="150" fillId="12" borderId="26" applyNumberFormat="0" applyAlignment="0" applyProtection="0"/>
    <xf numFmtId="0" fontId="151" fillId="82" borderId="55" applyNumberFormat="0" applyAlignment="0" applyProtection="0"/>
    <xf numFmtId="0" fontId="151" fillId="82" borderId="55" applyNumberFormat="0" applyAlignment="0" applyProtection="0"/>
    <xf numFmtId="0" fontId="151" fillId="82" borderId="55" applyNumberFormat="0" applyAlignment="0" applyProtection="0"/>
    <xf numFmtId="0" fontId="151" fillId="82" borderId="55" applyNumberFormat="0" applyAlignment="0" applyProtection="0"/>
    <xf numFmtId="0" fontId="151" fillId="82" borderId="55" applyNumberFormat="0" applyAlignment="0" applyProtection="0"/>
    <xf numFmtId="0" fontId="151" fillId="82" borderId="55" applyNumberFormat="0" applyAlignment="0" applyProtection="0"/>
    <xf numFmtId="0" fontId="29" fillId="0" borderId="25" applyNumberFormat="0" applyFill="0" applyAlignment="0" applyProtection="0"/>
    <xf numFmtId="0" fontId="152" fillId="0" borderId="25" applyNumberFormat="0" applyFill="0" applyAlignment="0" applyProtection="0"/>
    <xf numFmtId="0" fontId="153" fillId="0" borderId="56" applyNumberFormat="0" applyFill="0" applyAlignment="0" applyProtection="0"/>
    <xf numFmtId="0" fontId="153" fillId="0" borderId="56" applyNumberFormat="0" applyFill="0" applyAlignment="0" applyProtection="0"/>
    <xf numFmtId="0" fontId="153" fillId="0" borderId="56" applyNumberFormat="0" applyFill="0" applyAlignment="0" applyProtection="0"/>
    <xf numFmtId="0" fontId="153" fillId="0" borderId="56" applyNumberFormat="0" applyFill="0" applyAlignment="0" applyProtection="0"/>
    <xf numFmtId="0" fontId="153" fillId="0" borderId="56" applyNumberFormat="0" applyFill="0" applyAlignment="0" applyProtection="0"/>
    <xf numFmtId="0" fontId="153" fillId="0" borderId="56" applyNumberFormat="0" applyFill="0" applyAlignment="0" applyProtection="0"/>
    <xf numFmtId="0" fontId="151" fillId="82" borderId="55" applyNumberFormat="0" applyAlignment="0" applyProtection="0"/>
    <xf numFmtId="0" fontId="153" fillId="0" borderId="56" applyNumberFormat="0" applyFill="0" applyAlignment="0" applyProtection="0"/>
    <xf numFmtId="8" fontId="9" fillId="0" borderId="57" applyFont="0" applyFill="0" applyBorder="0" applyProtection="0">
      <alignment horizontal="right"/>
    </xf>
    <xf numFmtId="8" fontId="9" fillId="0" borderId="57" applyFont="0" applyFill="0" applyBorder="0" applyProtection="0">
      <alignment horizontal="right"/>
    </xf>
    <xf numFmtId="8" fontId="9" fillId="0" borderId="57" applyFont="0" applyFill="0" applyBorder="0" applyProtection="0">
      <alignment horizontal="right"/>
    </xf>
    <xf numFmtId="38" fontId="9" fillId="0" borderId="58"/>
    <xf numFmtId="0" fontId="151" fillId="82" borderId="55" applyNumberFormat="0" applyAlignment="0" applyProtection="0"/>
    <xf numFmtId="0" fontId="30" fillId="12" borderId="26" applyNumberFormat="0" applyAlignment="0" applyProtection="0"/>
    <xf numFmtId="0" fontId="151" fillId="82" borderId="55" applyNumberFormat="0" applyAlignment="0" applyProtection="0"/>
    <xf numFmtId="0" fontId="154" fillId="0" borderId="0">
      <alignment horizontal="center"/>
      <protection locked="0"/>
    </xf>
    <xf numFmtId="206" fontId="9" fillId="52" borderId="0"/>
    <xf numFmtId="0" fontId="155" fillId="0" borderId="0" applyNumberFormat="0" applyFill="0" applyBorder="0" applyAlignment="0" applyProtection="0"/>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75" fillId="0" borderId="0" applyNumberFormat="0" applyFill="0" applyBorder="0" applyAlignment="0" applyProtection="0">
      <alignment vertical="top"/>
      <protection locked="0"/>
    </xf>
    <xf numFmtId="166" fontId="157" fillId="72" borderId="0" applyNumberFormat="0" applyFont="0" applyBorder="0" applyAlignment="0" applyProtection="0"/>
    <xf numFmtId="0" fontId="158" fillId="0" borderId="0"/>
    <xf numFmtId="237" fontId="48" fillId="0" borderId="0"/>
    <xf numFmtId="237" fontId="48" fillId="0" borderId="0"/>
    <xf numFmtId="0" fontId="158" fillId="0" borderId="0"/>
    <xf numFmtId="237" fontId="48" fillId="0" borderId="0"/>
    <xf numFmtId="237" fontId="48" fillId="0" borderId="0"/>
    <xf numFmtId="0" fontId="158" fillId="0" borderId="0"/>
    <xf numFmtId="237" fontId="48" fillId="0" borderId="0"/>
    <xf numFmtId="237" fontId="48" fillId="0" borderId="0"/>
    <xf numFmtId="0" fontId="158" fillId="0" borderId="0"/>
    <xf numFmtId="237" fontId="48" fillId="0" borderId="0"/>
    <xf numFmtId="237" fontId="48" fillId="0" borderId="0"/>
    <xf numFmtId="0" fontId="158" fillId="0" borderId="0"/>
    <xf numFmtId="237" fontId="48" fillId="0" borderId="0"/>
    <xf numFmtId="237" fontId="48" fillId="0" borderId="0"/>
    <xf numFmtId="0" fontId="158" fillId="0" borderId="0"/>
    <xf numFmtId="237" fontId="48" fillId="0" borderId="0"/>
    <xf numFmtId="237" fontId="48" fillId="0" borderId="0"/>
    <xf numFmtId="238" fontId="44" fillId="0" borderId="0"/>
    <xf numFmtId="237" fontId="48" fillId="0" borderId="0"/>
    <xf numFmtId="237" fontId="48" fillId="0" borderId="0"/>
    <xf numFmtId="238" fontId="44" fillId="0" borderId="0"/>
    <xf numFmtId="237" fontId="48" fillId="0" borderId="0"/>
    <xf numFmtId="237" fontId="48" fillId="0" borderId="0"/>
    <xf numFmtId="0" fontId="15" fillId="0" borderId="0" applyFont="0" applyFill="0" applyBorder="0" applyAlignment="0" applyProtection="0">
      <alignment horizontal="centerContinuous"/>
    </xf>
    <xf numFmtId="0" fontId="15"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15" fillId="0" borderId="0" applyFont="0" applyFill="0" applyBorder="0" applyAlignment="0" applyProtection="0">
      <alignment horizontal="centerContinuous"/>
    </xf>
    <xf numFmtId="0" fontId="15"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15"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15"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40" fontId="9" fillId="0" borderId="0" applyFont="0" applyFill="0" applyBorder="0" applyAlignment="0" applyProtection="0"/>
    <xf numFmtId="0" fontId="15"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228" fontId="44" fillId="0" borderId="0"/>
    <xf numFmtId="230" fontId="9" fillId="0" borderId="0" applyFont="0" applyFill="0" applyBorder="0" applyAlignment="0" applyProtection="0"/>
    <xf numFmtId="239" fontId="45" fillId="0" borderId="0" applyFont="0" applyFill="0" applyBorder="0" applyAlignment="0" applyProtection="0"/>
    <xf numFmtId="39" fontId="9" fillId="0" borderId="0"/>
    <xf numFmtId="39" fontId="9" fillId="0" borderId="0"/>
    <xf numFmtId="39" fontId="9" fillId="0" borderId="0"/>
    <xf numFmtId="0" fontId="9" fillId="0" borderId="0" applyFont="0" applyFill="0" applyBorder="0" applyAlignment="0" applyProtection="0"/>
    <xf numFmtId="0" fontId="45" fillId="0" borderId="0" applyFont="0" applyFill="0" applyBorder="0" applyAlignment="0" applyProtection="0">
      <alignment horizontal="right"/>
    </xf>
    <xf numFmtId="0" fontId="45" fillId="0" borderId="0" applyFont="0" applyFill="0" applyBorder="0" applyAlignment="0" applyProtection="0"/>
    <xf numFmtId="0" fontId="45" fillId="0" borderId="0" applyFont="0" applyFill="0" applyBorder="0" applyAlignment="0" applyProtection="0">
      <alignment horizontal="right"/>
    </xf>
    <xf numFmtId="43" fontId="5" fillId="0" borderId="0" applyFont="0" applyFill="0" applyBorder="0" applyAlignment="0" applyProtection="0"/>
    <xf numFmtId="43" fontId="5"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43" fontId="144" fillId="0" borderId="0" applyFont="0" applyFill="0" applyBorder="0" applyAlignment="0" applyProtection="0"/>
    <xf numFmtId="240"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240"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240"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14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241" fontId="159" fillId="0" borderId="0" applyFont="0" applyFill="0" applyBorder="0" applyAlignment="0" applyProtection="0"/>
    <xf numFmtId="242" fontId="159" fillId="0" borderId="0" applyFont="0" applyFill="0" applyBorder="0" applyAlignment="0" applyProtection="0">
      <alignment horizontal="right"/>
    </xf>
    <xf numFmtId="43" fontId="9"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2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183" fontId="1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5"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0" fontId="9" fillId="0" borderId="0" applyFont="0" applyFill="0" applyBorder="0" applyProtection="0">
      <alignment horizontal="right"/>
    </xf>
    <xf numFmtId="40" fontId="9" fillId="0" borderId="0" applyFont="0" applyFill="0" applyBorder="0" applyProtection="0">
      <alignment horizontal="right"/>
    </xf>
    <xf numFmtId="40" fontId="9" fillId="0" borderId="0" applyFont="0" applyFill="0" applyBorder="0" applyProtection="0">
      <alignment horizontal="right"/>
    </xf>
    <xf numFmtId="244" fontId="44" fillId="0" borderId="0"/>
    <xf numFmtId="245" fontId="159" fillId="0" borderId="0" applyFont="0" applyFill="0" applyBorder="0" applyAlignment="0" applyProtection="0"/>
    <xf numFmtId="238" fontId="160" fillId="0" borderId="0" applyFont="0" applyFill="0" applyBorder="0" applyAlignment="0" applyProtection="0"/>
    <xf numFmtId="37" fontId="78" fillId="0" borderId="0" applyFont="0" applyFill="0" applyBorder="0" applyAlignment="0" applyProtection="0"/>
    <xf numFmtId="239" fontId="78" fillId="0" borderId="0" applyFont="0" applyFill="0" applyBorder="0" applyAlignment="0" applyProtection="0"/>
    <xf numFmtId="39" fontId="78" fillId="0" borderId="0" applyFont="0" applyFill="0" applyBorder="0" applyAlignment="0" applyProtection="0"/>
    <xf numFmtId="37" fontId="161" fillId="0" borderId="0" applyFont="0" applyFill="0" applyBorder="0" applyAlignment="0" applyProtection="0"/>
    <xf numFmtId="39" fontId="161" fillId="0" borderId="0" applyFont="0" applyFill="0" applyBorder="0" applyAlignment="0" applyProtection="0"/>
    <xf numFmtId="3" fontId="162" fillId="0" borderId="0" applyFont="0" applyFill="0" applyBorder="0" applyAlignment="0" applyProtection="0"/>
    <xf numFmtId="0" fontId="110" fillId="0" borderId="0"/>
    <xf numFmtId="0" fontId="163" fillId="0" borderId="0"/>
    <xf numFmtId="0" fontId="62" fillId="0" borderId="0"/>
    <xf numFmtId="0" fontId="70" fillId="0" borderId="0"/>
    <xf numFmtId="0" fontId="62" fillId="0" borderId="0"/>
    <xf numFmtId="3" fontId="9" fillId="0" borderId="0" applyFont="0" applyFill="0" applyBorder="0" applyAlignment="0" applyProtection="0"/>
    <xf numFmtId="3" fontId="9" fillId="0" borderId="0" applyFont="0" applyFill="0" applyBorder="0" applyAlignment="0" applyProtection="0"/>
    <xf numFmtId="0" fontId="163" fillId="0" borderId="0"/>
    <xf numFmtId="0" fontId="70" fillId="0" borderId="0"/>
    <xf numFmtId="0" fontId="62" fillId="0" borderId="0"/>
    <xf numFmtId="166" fontId="9" fillId="0" borderId="0"/>
    <xf numFmtId="227" fontId="9" fillId="0" borderId="0" applyFont="0" applyFill="0" applyBorder="0" applyAlignment="0" applyProtection="0"/>
    <xf numFmtId="207" fontId="9" fillId="0" borderId="0" applyFont="0" applyFill="0" applyBorder="0" applyAlignment="0" applyProtection="0"/>
    <xf numFmtId="0" fontId="164" fillId="0" borderId="0" applyNumberFormat="0" applyAlignment="0">
      <alignment horizontal="left"/>
    </xf>
    <xf numFmtId="0" fontId="164" fillId="0" borderId="0" applyNumberFormat="0" applyAlignment="0">
      <alignment horizontal="left"/>
    </xf>
    <xf numFmtId="0" fontId="164" fillId="0" borderId="0" applyNumberFormat="0" applyAlignment="0">
      <alignment horizontal="left"/>
    </xf>
    <xf numFmtId="239" fontId="165" fillId="0" borderId="0" applyFill="0" applyBorder="0" applyAlignment="0" applyProtection="0">
      <alignment horizontal="left"/>
    </xf>
    <xf numFmtId="239" fontId="130" fillId="0" borderId="0" applyFill="0" applyBorder="0" applyAlignment="0" applyProtection="0">
      <alignment horizontal="left"/>
    </xf>
    <xf numFmtId="0" fontId="62" fillId="0" borderId="59"/>
    <xf numFmtId="0" fontId="70" fillId="0" borderId="0"/>
    <xf numFmtId="246" fontId="9" fillId="0" borderId="0" applyFont="0" applyFill="0" applyBorder="0" applyAlignment="0" applyProtection="0"/>
    <xf numFmtId="6" fontId="51" fillId="0" borderId="0" applyFont="0" applyFill="0" applyBorder="0" applyAlignment="0" applyProtection="0"/>
    <xf numFmtId="0" fontId="15"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15"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8" fontId="51" fillId="0" borderId="0" applyFont="0" applyFill="0" applyBorder="0" applyAlignment="0" applyProtection="0"/>
    <xf numFmtId="0" fontId="15" fillId="0" borderId="0" applyFont="0" applyFill="0" applyBorder="0" applyAlignment="0" applyProtection="0">
      <alignment horizontal="centerContinuous"/>
    </xf>
    <xf numFmtId="0" fontId="15"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15"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0" fontId="9" fillId="0" borderId="0" applyFont="0" applyFill="0" applyBorder="0" applyAlignment="0" applyProtection="0">
      <alignment horizontal="centerContinuous"/>
    </xf>
    <xf numFmtId="42" fontId="109" fillId="0" borderId="0" applyFont="0" applyFill="0" applyBorder="0" applyAlignment="0" applyProtection="0"/>
    <xf numFmtId="215" fontId="9" fillId="0" borderId="0" applyFont="0" applyFill="0" applyBorder="0" applyAlignment="0" applyProtection="0"/>
    <xf numFmtId="209" fontId="44" fillId="0" borderId="0"/>
    <xf numFmtId="231" fontId="113" fillId="0" borderId="0" applyFont="0" applyFill="0" applyBorder="0" applyAlignment="0" applyProtection="0"/>
    <xf numFmtId="226" fontId="44" fillId="0" borderId="0" applyFont="0" applyFill="0" applyBorder="0" applyAlignment="0" applyProtection="0"/>
    <xf numFmtId="8" fontId="166" fillId="0" borderId="0" applyBorder="0"/>
    <xf numFmtId="247" fontId="44" fillId="0" borderId="0" applyFont="0" applyFill="0" applyBorder="0" applyAlignment="0" applyProtection="0"/>
    <xf numFmtId="0" fontId="45" fillId="0" borderId="0" applyFont="0" applyFill="0" applyBorder="0" applyAlignment="0" applyProtection="0">
      <alignment horizontal="right"/>
    </xf>
    <xf numFmtId="44" fontId="9" fillId="0" borderId="0" applyFont="0" applyFill="0" applyBorder="0" applyAlignment="0" applyProtection="0"/>
    <xf numFmtId="248" fontId="167" fillId="0" borderId="0" applyFont="0" applyFill="0" applyBorder="0" applyAlignment="0" applyProtection="0"/>
    <xf numFmtId="0" fontId="159" fillId="0" borderId="0" applyFont="0" applyFill="0" applyBorder="0" applyAlignment="0" applyProtection="0">
      <alignment horizontal="right"/>
    </xf>
    <xf numFmtId="44" fontId="9" fillId="0" borderId="0" applyFont="0" applyFill="0" applyBorder="0" applyAlignment="0" applyProtection="0"/>
    <xf numFmtId="249" fontId="167" fillId="0" borderId="0" applyFont="0" applyFill="0" applyBorder="0" applyAlignment="0" applyProtection="0"/>
    <xf numFmtId="250" fontId="9"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251" fontId="9" fillId="46" borderId="39"/>
    <xf numFmtId="168" fontId="161" fillId="0" borderId="0" applyFont="0" applyFill="0" applyBorder="0" applyAlignment="0" applyProtection="0"/>
    <xf numFmtId="252" fontId="161" fillId="0" borderId="0" applyFont="0" applyFill="0" applyBorder="0" applyAlignment="0" applyProtection="0"/>
    <xf numFmtId="253" fontId="159" fillId="0" borderId="0" applyFont="0" applyFill="0" applyBorder="0" applyAlignment="0" applyProtection="0"/>
    <xf numFmtId="224" fontId="78" fillId="0" borderId="0" applyFont="0" applyFill="0" applyBorder="0" applyAlignment="0" applyProtection="0"/>
    <xf numFmtId="254" fontId="78" fillId="0" borderId="0" applyFont="0" applyFill="0" applyBorder="0" applyAlignment="0" applyProtection="0"/>
    <xf numFmtId="255" fontId="161" fillId="0" borderId="0" applyFont="0" applyFill="0" applyBorder="0" applyAlignment="0" applyProtection="0"/>
    <xf numFmtId="256" fontId="162" fillId="0" borderId="0" applyFont="0" applyFill="0" applyBorder="0" applyAlignment="0" applyProtection="0"/>
    <xf numFmtId="257" fontId="9" fillId="0" borderId="0" applyFont="0" applyFill="0" applyBorder="0" applyAlignment="0" applyProtection="0"/>
    <xf numFmtId="257" fontId="9" fillId="0" borderId="0" applyFont="0" applyFill="0" applyBorder="0" applyAlignment="0" applyProtection="0"/>
    <xf numFmtId="5" fontId="130" fillId="0" borderId="0"/>
    <xf numFmtId="258" fontId="101" fillId="0" borderId="0" applyFill="0" applyBorder="0" applyProtection="0">
      <alignment horizontal="right"/>
    </xf>
    <xf numFmtId="0" fontId="168" fillId="0" borderId="0" applyNumberFormat="0"/>
    <xf numFmtId="0" fontId="169" fillId="0" borderId="0" applyNumberFormat="0"/>
    <xf numFmtId="0" fontId="6" fillId="46" borderId="0" applyNumberFormat="0" applyFont="0" applyFill="0" applyBorder="0" applyProtection="0">
      <alignment horizontal="left"/>
    </xf>
    <xf numFmtId="4" fontId="170" fillId="76" borderId="0" applyFill="0" applyBorder="0" applyProtection="0">
      <alignment horizontal="center"/>
    </xf>
    <xf numFmtId="259" fontId="48" fillId="0" borderId="0" applyFont="0" applyFill="0" applyBorder="0" applyAlignment="0" applyProtection="0"/>
    <xf numFmtId="259" fontId="48" fillId="0" borderId="0" applyFont="0" applyFill="0" applyBorder="0" applyAlignment="0" applyProtection="0"/>
    <xf numFmtId="259" fontId="48" fillId="0" borderId="0" applyFont="0" applyFill="0" applyBorder="0" applyAlignment="0" applyProtection="0"/>
    <xf numFmtId="37" fontId="9" fillId="46" borderId="0" applyNumberFormat="0" applyFont="0" applyBorder="0" applyAlignment="0"/>
    <xf numFmtId="37" fontId="9" fillId="83" borderId="0" applyNumberFormat="0" applyFont="0" applyBorder="0" applyAlignment="0"/>
    <xf numFmtId="229" fontId="9" fillId="46" borderId="0" applyFont="0" applyAlignment="0"/>
    <xf numFmtId="229" fontId="9" fillId="83" borderId="0" applyFont="0" applyBorder="0" applyAlignment="0"/>
    <xf numFmtId="38" fontId="171" fillId="44" borderId="19"/>
    <xf numFmtId="0" fontId="172" fillId="0" borderId="0"/>
    <xf numFmtId="0" fontId="173" fillId="0" borderId="0" applyNumberFormat="0" applyAlignment="0"/>
    <xf numFmtId="260" fontId="154" fillId="0" borderId="0">
      <protection locked="0"/>
    </xf>
    <xf numFmtId="0" fontId="62" fillId="0" borderId="0"/>
    <xf numFmtId="261" fontId="9" fillId="0" borderId="0" applyFont="0" applyFill="0" applyBorder="0" applyAlignment="0" applyProtection="0"/>
    <xf numFmtId="211" fontId="44" fillId="0" borderId="0" applyFont="0" applyFill="0" applyBorder="0" applyAlignment="0" applyProtection="0"/>
    <xf numFmtId="262" fontId="44" fillId="0" borderId="0" applyFont="0" applyFill="0" applyBorder="0" applyAlignment="0" applyProtection="0"/>
    <xf numFmtId="263" fontId="12" fillId="47" borderId="0" applyFont="0" applyFill="0" applyBorder="0" applyAlignment="0" applyProtection="0"/>
    <xf numFmtId="169" fontId="9" fillId="0" borderId="0" applyFont="0" applyFill="0" applyBorder="0" applyAlignment="0" applyProtection="0"/>
    <xf numFmtId="264" fontId="13" fillId="0" borderId="29"/>
    <xf numFmtId="264" fontId="13" fillId="0" borderId="29"/>
    <xf numFmtId="264" fontId="13" fillId="0" borderId="29"/>
    <xf numFmtId="249" fontId="9"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0" fontId="9" fillId="0" borderId="0" applyFont="0" applyFill="0" applyBorder="0" applyAlignment="0" applyProtection="0"/>
    <xf numFmtId="0" fontId="9" fillId="0" borderId="0" applyFont="0" applyFill="0" applyBorder="0" applyAlignment="0" applyProtection="0"/>
    <xf numFmtId="0" fontId="45" fillId="0" borderId="0" applyFont="0" applyFill="0" applyBorder="0" applyAlignment="0" applyProtection="0"/>
    <xf numFmtId="266" fontId="159" fillId="0" borderId="0" applyFont="0" applyFill="0" applyBorder="0" applyAlignment="0" applyProtection="0"/>
    <xf numFmtId="267" fontId="159" fillId="0" borderId="0" applyFont="0" applyFill="0" applyBorder="0" applyAlignment="0" applyProtection="0"/>
    <xf numFmtId="0" fontId="175" fillId="0" borderId="29"/>
    <xf numFmtId="0" fontId="175" fillId="0" borderId="29"/>
    <xf numFmtId="0" fontId="175" fillId="0" borderId="29"/>
    <xf numFmtId="14" fontId="144" fillId="0" borderId="0" applyFill="0" applyBorder="0" applyAlignment="0"/>
    <xf numFmtId="260" fontId="154" fillId="0" borderId="0">
      <protection locked="0"/>
    </xf>
    <xf numFmtId="14" fontId="176" fillId="0" borderId="0">
      <alignment horizontal="right"/>
      <protection locked="0"/>
    </xf>
    <xf numFmtId="223" fontId="12" fillId="0" borderId="0" applyFill="0" applyBorder="0">
      <alignment horizontal="right"/>
    </xf>
    <xf numFmtId="268" fontId="9" fillId="0" borderId="0" applyFont="0" applyFill="0" applyBorder="0" applyAlignment="0" applyProtection="0">
      <alignment wrapText="1"/>
    </xf>
    <xf numFmtId="269" fontId="51" fillId="0" borderId="0" applyFont="0" applyFill="0" applyBorder="0" applyProtection="0">
      <alignment horizontal="left"/>
    </xf>
    <xf numFmtId="270" fontId="177" fillId="0" borderId="0"/>
    <xf numFmtId="271" fontId="177" fillId="0" borderId="0"/>
    <xf numFmtId="2" fontId="131" fillId="0" borderId="2"/>
    <xf numFmtId="2" fontId="131" fillId="0" borderId="2"/>
    <xf numFmtId="2" fontId="131" fillId="0" borderId="2"/>
    <xf numFmtId="239" fontId="178" fillId="0" borderId="0" applyFont="0" applyFill="0" applyBorder="0" applyAlignment="0" applyProtection="0">
      <protection locked="0"/>
    </xf>
    <xf numFmtId="39" fontId="62" fillId="0" borderId="0" applyFont="0" applyFill="0" applyBorder="0" applyAlignment="0" applyProtection="0"/>
    <xf numFmtId="272" fontId="113" fillId="0" borderId="0" applyFont="0" applyFill="0" applyBorder="0" applyAlignment="0"/>
    <xf numFmtId="0" fontId="51" fillId="0" borderId="60" applyFont="0" applyFill="0" applyBorder="0" applyAlignment="0" applyProtection="0"/>
    <xf numFmtId="273" fontId="9" fillId="0" borderId="61">
      <alignment vertical="center"/>
    </xf>
    <xf numFmtId="0" fontId="179" fillId="46" borderId="3" applyNumberFormat="0" applyBorder="0" applyAlignment="0">
      <alignment horizontal="center"/>
    </xf>
    <xf numFmtId="0" fontId="179" fillId="46" borderId="3" applyNumberFormat="0" applyBorder="0" applyAlignment="0">
      <alignment horizontal="center"/>
    </xf>
    <xf numFmtId="0" fontId="179" fillId="46" borderId="3" applyNumberFormat="0" applyBorder="0" applyAlignment="0">
      <alignment horizontal="center"/>
    </xf>
    <xf numFmtId="37" fontId="132" fillId="84" borderId="62" applyNumberFormat="0" applyAlignment="0">
      <alignment horizontal="left"/>
    </xf>
    <xf numFmtId="274" fontId="9" fillId="79" borderId="0" applyNumberFormat="0" applyFont="0" applyBorder="0" applyAlignment="0" applyProtection="0"/>
    <xf numFmtId="275" fontId="9" fillId="0" borderId="0" applyFont="0" applyFill="0" applyBorder="0" applyAlignment="0" applyProtection="0"/>
    <xf numFmtId="276" fontId="9" fillId="0" borderId="0" applyFont="0" applyFill="0" applyBorder="0" applyAlignment="0" applyProtection="0"/>
    <xf numFmtId="277" fontId="180" fillId="0" borderId="0">
      <protection locked="0"/>
    </xf>
    <xf numFmtId="0" fontId="83" fillId="78" borderId="39" applyNumberFormat="0" applyAlignment="0">
      <alignment horizontal="center"/>
      <protection locked="0"/>
    </xf>
    <xf numFmtId="0" fontId="9" fillId="0" borderId="0"/>
    <xf numFmtId="0" fontId="9" fillId="0" borderId="0"/>
    <xf numFmtId="0" fontId="9" fillId="0" borderId="0"/>
    <xf numFmtId="278" fontId="130" fillId="0" borderId="0" applyBorder="0" applyProtection="0"/>
    <xf numFmtId="279" fontId="9" fillId="0" borderId="0"/>
    <xf numFmtId="280" fontId="113" fillId="0" borderId="0"/>
    <xf numFmtId="280" fontId="160" fillId="0" borderId="0">
      <protection locked="0"/>
    </xf>
    <xf numFmtId="281" fontId="113" fillId="0" borderId="0"/>
    <xf numFmtId="270" fontId="45" fillId="0" borderId="0"/>
    <xf numFmtId="282" fontId="113" fillId="0" borderId="0" applyFont="0" applyFill="0" applyBorder="0" applyAlignment="0" applyProtection="0"/>
    <xf numFmtId="0" fontId="45" fillId="0" borderId="63" applyNumberFormat="0" applyFont="0" applyFill="0" applyAlignment="0" applyProtection="0"/>
    <xf numFmtId="43" fontId="9" fillId="0" borderId="0" applyFont="0" applyFill="0" applyBorder="0" applyAlignment="0" applyProtection="0"/>
    <xf numFmtId="0" fontId="181" fillId="0" borderId="0" applyNumberFormat="0" applyFill="0" applyBorder="0" applyAlignment="0" applyProtection="0"/>
    <xf numFmtId="3" fontId="124" fillId="44" borderId="4">
      <protection locked="0"/>
    </xf>
    <xf numFmtId="3" fontId="9" fillId="85" borderId="31" applyNumberFormat="0" applyBorder="0">
      <protection locked="0"/>
    </xf>
    <xf numFmtId="3" fontId="182" fillId="86" borderId="4"/>
    <xf numFmtId="3" fontId="183" fillId="78" borderId="0" applyFont="0" applyAlignment="0"/>
    <xf numFmtId="277" fontId="184" fillId="0" borderId="0">
      <protection locked="0"/>
    </xf>
    <xf numFmtId="277" fontId="184" fillId="0" borderId="0">
      <protection locked="0"/>
    </xf>
    <xf numFmtId="0" fontId="22" fillId="0" borderId="0" applyNumberFormat="0" applyFill="0" applyBorder="0" applyAlignment="0" applyProtection="0"/>
    <xf numFmtId="0" fontId="185" fillId="0" borderId="0" applyNumberFormat="0" applyFill="0" applyBorder="0" applyAlignment="0" applyProtection="0"/>
    <xf numFmtId="0" fontId="186" fillId="0" borderId="0" applyNumberFormat="0" applyFill="0" applyBorder="0" applyAlignment="0" applyProtection="0"/>
    <xf numFmtId="0" fontId="186" fillId="0" borderId="0" applyNumberFormat="0" applyFill="0" applyBorder="0" applyAlignment="0" applyProtection="0"/>
    <xf numFmtId="0" fontId="186" fillId="0" borderId="0" applyNumberFormat="0" applyFill="0" applyBorder="0" applyAlignment="0" applyProtection="0"/>
    <xf numFmtId="0" fontId="186" fillId="0" borderId="0" applyNumberFormat="0" applyFill="0" applyBorder="0" applyAlignment="0" applyProtection="0"/>
    <xf numFmtId="0" fontId="186" fillId="0" borderId="0" applyNumberFormat="0" applyFill="0" applyBorder="0" applyAlignment="0" applyProtection="0"/>
    <xf numFmtId="0" fontId="186" fillId="0" borderId="0" applyNumberFormat="0" applyFill="0" applyBorder="0" applyAlignment="0" applyProtection="0"/>
    <xf numFmtId="0" fontId="107" fillId="68" borderId="0" applyNumberFormat="0" applyBorder="0" applyAlignment="0" applyProtection="0"/>
    <xf numFmtId="0" fontId="107" fillId="69" borderId="0" applyNumberFormat="0" applyBorder="0" applyAlignment="0" applyProtection="0"/>
    <xf numFmtId="0" fontId="107" fillId="70" borderId="0" applyNumberFormat="0" applyBorder="0" applyAlignment="0" applyProtection="0"/>
    <xf numFmtId="0" fontId="107" fillId="65" borderId="0" applyNumberFormat="0" applyBorder="0" applyAlignment="0" applyProtection="0"/>
    <xf numFmtId="0" fontId="107" fillId="66" borderId="0" applyNumberFormat="0" applyBorder="0" applyAlignment="0" applyProtection="0"/>
    <xf numFmtId="0" fontId="107" fillId="71" borderId="0" applyNumberFormat="0" applyBorder="0" applyAlignment="0" applyProtection="0"/>
    <xf numFmtId="0" fontId="34" fillId="14" borderId="0" applyNumberFormat="0" applyBorder="0" applyAlignment="0" applyProtection="0"/>
    <xf numFmtId="0" fontId="108" fillId="14" borderId="0" applyNumberFormat="0" applyBorder="0" applyAlignment="0" applyProtection="0"/>
    <xf numFmtId="0" fontId="107" fillId="68" borderId="0" applyNumberFormat="0" applyBorder="0" applyAlignment="0" applyProtection="0"/>
    <xf numFmtId="0" fontId="107" fillId="68" borderId="0" applyNumberFormat="0" applyBorder="0" applyAlignment="0" applyProtection="0"/>
    <xf numFmtId="0" fontId="107" fillId="68" borderId="0" applyNumberFormat="0" applyBorder="0" applyAlignment="0" applyProtection="0"/>
    <xf numFmtId="0" fontId="107" fillId="68" borderId="0" applyNumberFormat="0" applyBorder="0" applyAlignment="0" applyProtection="0"/>
    <xf numFmtId="0" fontId="107" fillId="68" borderId="0" applyNumberFormat="0" applyBorder="0" applyAlignment="0" applyProtection="0"/>
    <xf numFmtId="0" fontId="107" fillId="68" borderId="0" applyNumberFormat="0" applyBorder="0" applyAlignment="0" applyProtection="0"/>
    <xf numFmtId="0" fontId="34" fillId="18" borderId="0" applyNumberFormat="0" applyBorder="0" applyAlignment="0" applyProtection="0"/>
    <xf numFmtId="0" fontId="108" fillId="18" borderId="0" applyNumberFormat="0" applyBorder="0" applyAlignment="0" applyProtection="0"/>
    <xf numFmtId="0" fontId="107" fillId="69" borderId="0" applyNumberFormat="0" applyBorder="0" applyAlignment="0" applyProtection="0"/>
    <xf numFmtId="0" fontId="107" fillId="69" borderId="0" applyNumberFormat="0" applyBorder="0" applyAlignment="0" applyProtection="0"/>
    <xf numFmtId="0" fontId="107" fillId="69" borderId="0" applyNumberFormat="0" applyBorder="0" applyAlignment="0" applyProtection="0"/>
    <xf numFmtId="0" fontId="107" fillId="69" borderId="0" applyNumberFormat="0" applyBorder="0" applyAlignment="0" applyProtection="0"/>
    <xf numFmtId="0" fontId="107" fillId="69" borderId="0" applyNumberFormat="0" applyBorder="0" applyAlignment="0" applyProtection="0"/>
    <xf numFmtId="0" fontId="107" fillId="69" borderId="0" applyNumberFormat="0" applyBorder="0" applyAlignment="0" applyProtection="0"/>
    <xf numFmtId="0" fontId="34" fillId="22" borderId="0" applyNumberFormat="0" applyBorder="0" applyAlignment="0" applyProtection="0"/>
    <xf numFmtId="0" fontId="108" fillId="22" borderId="0" applyNumberFormat="0" applyBorder="0" applyAlignment="0" applyProtection="0"/>
    <xf numFmtId="0" fontId="107" fillId="70" borderId="0" applyNumberFormat="0" applyBorder="0" applyAlignment="0" applyProtection="0"/>
    <xf numFmtId="0" fontId="107" fillId="70" borderId="0" applyNumberFormat="0" applyBorder="0" applyAlignment="0" applyProtection="0"/>
    <xf numFmtId="0" fontId="107" fillId="70" borderId="0" applyNumberFormat="0" applyBorder="0" applyAlignment="0" applyProtection="0"/>
    <xf numFmtId="0" fontId="107" fillId="70" borderId="0" applyNumberFormat="0" applyBorder="0" applyAlignment="0" applyProtection="0"/>
    <xf numFmtId="0" fontId="107" fillId="70" borderId="0" applyNumberFormat="0" applyBorder="0" applyAlignment="0" applyProtection="0"/>
    <xf numFmtId="0" fontId="107" fillId="70" borderId="0" applyNumberFormat="0" applyBorder="0" applyAlignment="0" applyProtection="0"/>
    <xf numFmtId="0" fontId="34" fillId="26" borderId="0" applyNumberFormat="0" applyBorder="0" applyAlignment="0" applyProtection="0"/>
    <xf numFmtId="0" fontId="108" fillId="26" borderId="0" applyNumberFormat="0" applyBorder="0" applyAlignment="0" applyProtection="0"/>
    <xf numFmtId="0" fontId="107" fillId="65" borderId="0" applyNumberFormat="0" applyBorder="0" applyAlignment="0" applyProtection="0"/>
    <xf numFmtId="0" fontId="107" fillId="65" borderId="0" applyNumberFormat="0" applyBorder="0" applyAlignment="0" applyProtection="0"/>
    <xf numFmtId="0" fontId="107" fillId="65" borderId="0" applyNumberFormat="0" applyBorder="0" applyAlignment="0" applyProtection="0"/>
    <xf numFmtId="0" fontId="107" fillId="65" borderId="0" applyNumberFormat="0" applyBorder="0" applyAlignment="0" applyProtection="0"/>
    <xf numFmtId="0" fontId="107" fillId="65" borderId="0" applyNumberFormat="0" applyBorder="0" applyAlignment="0" applyProtection="0"/>
    <xf numFmtId="0" fontId="107" fillId="65" borderId="0" applyNumberFormat="0" applyBorder="0" applyAlignment="0" applyProtection="0"/>
    <xf numFmtId="0" fontId="34" fillId="30" borderId="0" applyNumberFormat="0" applyBorder="0" applyAlignment="0" applyProtection="0"/>
    <xf numFmtId="0" fontId="108" fillId="30" borderId="0" applyNumberFormat="0" applyBorder="0" applyAlignment="0" applyProtection="0"/>
    <xf numFmtId="0" fontId="107" fillId="66" borderId="0" applyNumberFormat="0" applyBorder="0" applyAlignment="0" applyProtection="0"/>
    <xf numFmtId="0" fontId="107" fillId="66" borderId="0" applyNumberFormat="0" applyBorder="0" applyAlignment="0" applyProtection="0"/>
    <xf numFmtId="0" fontId="107" fillId="66" borderId="0" applyNumberFormat="0" applyBorder="0" applyAlignment="0" applyProtection="0"/>
    <xf numFmtId="0" fontId="107" fillId="66" borderId="0" applyNumberFormat="0" applyBorder="0" applyAlignment="0" applyProtection="0"/>
    <xf numFmtId="0" fontId="107" fillId="66" borderId="0" applyNumberFormat="0" applyBorder="0" applyAlignment="0" applyProtection="0"/>
    <xf numFmtId="0" fontId="107" fillId="66" borderId="0" applyNumberFormat="0" applyBorder="0" applyAlignment="0" applyProtection="0"/>
    <xf numFmtId="0" fontId="34" fillId="34" borderId="0" applyNumberFormat="0" applyBorder="0" applyAlignment="0" applyProtection="0"/>
    <xf numFmtId="0" fontId="108" fillId="34" borderId="0" applyNumberFormat="0" applyBorder="0" applyAlignment="0" applyProtection="0"/>
    <xf numFmtId="0" fontId="107" fillId="71" borderId="0" applyNumberFormat="0" applyBorder="0" applyAlignment="0" applyProtection="0"/>
    <xf numFmtId="0" fontId="107" fillId="71" borderId="0" applyNumberFormat="0" applyBorder="0" applyAlignment="0" applyProtection="0"/>
    <xf numFmtId="0" fontId="107" fillId="71" borderId="0" applyNumberFormat="0" applyBorder="0" applyAlignment="0" applyProtection="0"/>
    <xf numFmtId="0" fontId="107" fillId="71" borderId="0" applyNumberFormat="0" applyBorder="0" applyAlignment="0" applyProtection="0"/>
    <xf numFmtId="0" fontId="107" fillId="71" borderId="0" applyNumberFormat="0" applyBorder="0" applyAlignment="0" applyProtection="0"/>
    <xf numFmtId="0" fontId="107" fillId="71" borderId="0" applyNumberFormat="0" applyBorder="0" applyAlignment="0" applyProtection="0"/>
    <xf numFmtId="236" fontId="187" fillId="0" borderId="0"/>
    <xf numFmtId="230" fontId="117" fillId="0" borderId="0" applyFill="0" applyBorder="0" applyAlignment="0"/>
    <xf numFmtId="231" fontId="113" fillId="0" borderId="0" applyFill="0" applyBorder="0" applyAlignment="0"/>
    <xf numFmtId="230" fontId="117" fillId="0" borderId="0" applyFill="0" applyBorder="0" applyAlignment="0"/>
    <xf numFmtId="235" fontId="113" fillId="0" borderId="0" applyFill="0" applyBorder="0" applyAlignment="0"/>
    <xf numFmtId="231" fontId="113" fillId="0" borderId="0" applyFill="0" applyBorder="0" applyAlignment="0"/>
    <xf numFmtId="0" fontId="188" fillId="0" borderId="0" applyNumberFormat="0" applyAlignment="0">
      <alignment horizontal="left"/>
    </xf>
    <xf numFmtId="0" fontId="188" fillId="0" borderId="0" applyNumberFormat="0" applyAlignment="0">
      <alignment horizontal="left"/>
    </xf>
    <xf numFmtId="0" fontId="188" fillId="0" borderId="0" applyNumberFormat="0" applyAlignment="0">
      <alignment horizontal="left"/>
    </xf>
    <xf numFmtId="0" fontId="189" fillId="0" borderId="0"/>
    <xf numFmtId="0" fontId="26" fillId="10" borderId="23" applyNumberFormat="0" applyAlignment="0" applyProtection="0"/>
    <xf numFmtId="0" fontId="190" fillId="10" borderId="23" applyNumberFormat="0" applyAlignment="0" applyProtection="0"/>
    <xf numFmtId="0" fontId="191" fillId="59" borderId="54" applyNumberFormat="0" applyAlignment="0" applyProtection="0"/>
    <xf numFmtId="0" fontId="191" fillId="59" borderId="54" applyNumberFormat="0" applyAlignment="0" applyProtection="0"/>
    <xf numFmtId="0" fontId="191" fillId="59" borderId="54" applyNumberFormat="0" applyAlignment="0" applyProtection="0"/>
    <xf numFmtId="0" fontId="191" fillId="59" borderId="54" applyNumberFormat="0" applyAlignment="0" applyProtection="0"/>
    <xf numFmtId="0" fontId="191" fillId="59" borderId="54" applyNumberFormat="0" applyAlignment="0" applyProtection="0"/>
    <xf numFmtId="0" fontId="191" fillId="59" borderId="54" applyNumberFormat="0" applyAlignment="0" applyProtection="0"/>
    <xf numFmtId="0" fontId="191" fillId="59" borderId="54" applyNumberFormat="0" applyAlignment="0" applyProtection="0"/>
    <xf numFmtId="0" fontId="191" fillId="59" borderId="54" applyNumberFormat="0" applyAlignment="0" applyProtection="0"/>
    <xf numFmtId="0" fontId="191" fillId="59" borderId="54" applyNumberFormat="0" applyAlignment="0" applyProtection="0"/>
    <xf numFmtId="0" fontId="191" fillId="59" borderId="54" applyNumberFormat="0" applyAlignment="0" applyProtection="0"/>
    <xf numFmtId="0" fontId="191" fillId="59" borderId="54" applyNumberFormat="0" applyAlignment="0" applyProtection="0"/>
    <xf numFmtId="0" fontId="191" fillId="59" borderId="54" applyNumberFormat="0" applyAlignment="0" applyProtection="0"/>
    <xf numFmtId="0" fontId="192" fillId="0" borderId="0">
      <alignment horizontal="left"/>
    </xf>
    <xf numFmtId="0" fontId="12" fillId="86" borderId="1"/>
    <xf numFmtId="0" fontId="12" fillId="86" borderId="1"/>
    <xf numFmtId="0" fontId="12" fillId="86" borderId="1"/>
    <xf numFmtId="0" fontId="12" fillId="86" borderId="1"/>
    <xf numFmtId="0" fontId="43" fillId="0" borderId="0">
      <alignment vertical="center"/>
    </xf>
    <xf numFmtId="0" fontId="9" fillId="0" borderId="0"/>
    <xf numFmtId="166" fontId="193" fillId="0" borderId="0">
      <alignment horizontal="right"/>
    </xf>
    <xf numFmtId="171" fontId="44" fillId="0" borderId="0">
      <alignment horizontal="right"/>
    </xf>
    <xf numFmtId="283" fontId="74" fillId="0" borderId="0"/>
    <xf numFmtId="283" fontId="74" fillId="0" borderId="0"/>
    <xf numFmtId="284" fontId="9" fillId="0" borderId="0" applyFont="0" applyFill="0" applyBorder="0" applyAlignment="0" applyProtection="0"/>
    <xf numFmtId="284" fontId="9" fillId="0" borderId="0" applyFont="0" applyFill="0" applyBorder="0" applyAlignment="0" applyProtection="0"/>
    <xf numFmtId="284" fontId="9" fillId="0" borderId="0" applyFont="0" applyFill="0" applyBorder="0" applyAlignment="0" applyProtection="0"/>
    <xf numFmtId="284" fontId="9" fillId="0" borderId="0" applyFont="0" applyFill="0" applyBorder="0" applyAlignment="0" applyProtection="0"/>
    <xf numFmtId="284" fontId="9" fillId="0" borderId="0" applyFont="0" applyFill="0" applyBorder="0" applyAlignment="0" applyProtection="0"/>
    <xf numFmtId="284" fontId="9" fillId="0" borderId="0" applyFont="0" applyFill="0" applyBorder="0" applyAlignment="0" applyProtection="0"/>
    <xf numFmtId="236" fontId="110" fillId="0" borderId="0"/>
    <xf numFmtId="0" fontId="32" fillId="0" borderId="0" applyNumberFormat="0" applyFill="0" applyBorder="0" applyAlignment="0" applyProtection="0"/>
    <xf numFmtId="0" fontId="194" fillId="0" borderId="0" applyNumberFormat="0" applyFill="0" applyBorder="0" applyAlignment="0" applyProtection="0"/>
    <xf numFmtId="0" fontId="48" fillId="0" borderId="0" applyNumberFormat="0" applyFill="0" applyBorder="0" applyAlignment="0" applyProtection="0"/>
    <xf numFmtId="49" fontId="74" fillId="0" borderId="0" applyNumberFormat="0" applyFill="0" applyBorder="0" applyProtection="0">
      <alignment horizontal="center" vertical="top"/>
    </xf>
    <xf numFmtId="285" fontId="195" fillId="0" borderId="0" applyBorder="0">
      <alignment horizontal="right" vertical="top"/>
    </xf>
    <xf numFmtId="286" fontId="196" fillId="0" borderId="0">
      <alignment horizontal="right" vertical="top"/>
    </xf>
    <xf numFmtId="286" fontId="196" fillId="0" borderId="0">
      <alignment horizontal="right" vertical="top"/>
    </xf>
    <xf numFmtId="287" fontId="74" fillId="0" borderId="0" applyBorder="0">
      <alignment horizontal="right" vertical="top"/>
    </xf>
    <xf numFmtId="288" fontId="192" fillId="0" borderId="0">
      <alignment horizontal="right" vertical="top"/>
    </xf>
    <xf numFmtId="288" fontId="192" fillId="0" borderId="0">
      <alignment horizontal="right" vertical="top"/>
    </xf>
    <xf numFmtId="287" fontId="195" fillId="0" borderId="0" applyBorder="0">
      <alignment horizontal="right" vertical="top"/>
    </xf>
    <xf numFmtId="288" fontId="196" fillId="0" borderId="0">
      <alignment horizontal="right" vertical="top"/>
    </xf>
    <xf numFmtId="288" fontId="196" fillId="0" borderId="0">
      <alignment horizontal="right" vertical="top"/>
    </xf>
    <xf numFmtId="289" fontId="45" fillId="0" borderId="0" applyFill="0" applyBorder="0">
      <alignment horizontal="right" vertical="top"/>
    </xf>
    <xf numFmtId="290" fontId="74" fillId="0" borderId="0" applyFill="0" applyBorder="0">
      <alignment horizontal="right" vertical="top"/>
    </xf>
    <xf numFmtId="291" fontId="192" fillId="0" borderId="0" applyFill="0" applyBorder="0">
      <alignment horizontal="right" vertical="top"/>
    </xf>
    <xf numFmtId="291" fontId="192" fillId="0" borderId="0" applyFill="0" applyBorder="0">
      <alignment horizontal="right" vertical="top"/>
    </xf>
    <xf numFmtId="292" fontId="74" fillId="0" borderId="0" applyFill="0" applyBorder="0">
      <alignment horizontal="right" vertical="top"/>
    </xf>
    <xf numFmtId="293" fontId="192" fillId="0" borderId="0" applyFill="0" applyBorder="0">
      <alignment horizontal="right" vertical="top"/>
    </xf>
    <xf numFmtId="293" fontId="192" fillId="0" borderId="0" applyFill="0" applyBorder="0">
      <alignment horizontal="right" vertical="top"/>
    </xf>
    <xf numFmtId="294" fontId="74" fillId="0" borderId="0" applyFill="0" applyBorder="0">
      <alignment horizontal="right" vertical="top"/>
    </xf>
    <xf numFmtId="295" fontId="192" fillId="0" borderId="0" applyFill="0" applyBorder="0">
      <alignment horizontal="right" vertical="top"/>
    </xf>
    <xf numFmtId="295" fontId="192" fillId="0" borderId="0" applyFill="0" applyBorder="0">
      <alignment horizontal="right" vertical="top"/>
    </xf>
    <xf numFmtId="0" fontId="48" fillId="82" borderId="0" applyNumberFormat="0" applyFont="0" applyBorder="0" applyAlignment="0" applyProtection="0"/>
    <xf numFmtId="0" fontId="118" fillId="0" borderId="0" applyNumberFormat="0" applyFill="0" applyBorder="0" applyAlignment="0" applyProtection="0"/>
    <xf numFmtId="0" fontId="197" fillId="0" borderId="0">
      <alignment horizontal="left"/>
    </xf>
    <xf numFmtId="296" fontId="198" fillId="0" borderId="0" applyFill="0" applyBorder="0"/>
    <xf numFmtId="0" fontId="199" fillId="0" borderId="0">
      <alignment horizontal="center" wrapText="1"/>
    </xf>
    <xf numFmtId="0" fontId="197" fillId="0" borderId="36">
      <alignment horizontal="right" wrapText="1"/>
    </xf>
    <xf numFmtId="202" fontId="73" fillId="0" borderId="36">
      <alignment horizontal="left"/>
    </xf>
    <xf numFmtId="0" fontId="200" fillId="0" borderId="0">
      <alignment vertical="center"/>
    </xf>
    <xf numFmtId="297" fontId="200" fillId="0" borderId="0">
      <alignment horizontal="left" vertical="center"/>
    </xf>
    <xf numFmtId="298" fontId="201" fillId="0" borderId="0">
      <alignment vertical="center"/>
    </xf>
    <xf numFmtId="0" fontId="92" fillId="0" borderId="0">
      <alignment vertical="center"/>
    </xf>
    <xf numFmtId="0" fontId="73" fillId="0" borderId="36">
      <alignment horizontal="left"/>
    </xf>
    <xf numFmtId="15" fontId="144" fillId="0" borderId="0" applyFill="0" applyBorder="0" applyProtection="0">
      <alignment horizontal="center"/>
    </xf>
    <xf numFmtId="15" fontId="144" fillId="0" borderId="0" applyFill="0" applyBorder="0" applyProtection="0">
      <alignment horizontal="center"/>
    </xf>
    <xf numFmtId="0" fontId="48" fillId="55" borderId="0" applyNumberFormat="0" applyFont="0" applyBorder="0" applyAlignment="0" applyProtection="0"/>
    <xf numFmtId="299" fontId="202" fillId="75" borderId="2" applyAlignment="0" applyProtection="0"/>
    <xf numFmtId="300" fontId="203" fillId="0" borderId="0" applyNumberFormat="0" applyFill="0" applyBorder="0" applyAlignment="0" applyProtection="0"/>
    <xf numFmtId="300" fontId="204" fillId="0" borderId="0" applyNumberFormat="0" applyFill="0" applyBorder="0" applyAlignment="0" applyProtection="0"/>
    <xf numFmtId="202" fontId="205" fillId="0" borderId="0" applyFill="0" applyBorder="0">
      <alignment vertical="top"/>
    </xf>
    <xf numFmtId="202" fontId="183" fillId="0" borderId="0" applyFill="0" applyBorder="0" applyProtection="0">
      <alignment vertical="top"/>
    </xf>
    <xf numFmtId="202" fontId="206" fillId="0" borderId="0">
      <alignment vertical="top"/>
    </xf>
    <xf numFmtId="15" fontId="117" fillId="50" borderId="39">
      <alignment horizontal="center"/>
      <protection locked="0"/>
    </xf>
    <xf numFmtId="300" fontId="48" fillId="44" borderId="39" applyFont="0" applyAlignment="0"/>
    <xf numFmtId="301" fontId="117" fillId="50" borderId="39" applyAlignment="0">
      <protection locked="0"/>
    </xf>
    <xf numFmtId="300" fontId="117" fillId="50" borderId="39" applyAlignment="0">
      <protection locked="0"/>
    </xf>
    <xf numFmtId="300" fontId="144" fillId="0" borderId="0" applyFill="0" applyBorder="0" applyAlignment="0" applyProtection="0"/>
    <xf numFmtId="300" fontId="144" fillId="0" borderId="0" applyFill="0" applyBorder="0" applyAlignment="0" applyProtection="0"/>
    <xf numFmtId="202" fontId="74" fillId="0" borderId="0">
      <alignment horizontal="center"/>
    </xf>
    <xf numFmtId="202" fontId="207" fillId="0" borderId="36">
      <alignment horizontal="center"/>
    </xf>
    <xf numFmtId="41" fontId="74" fillId="0" borderId="36" applyFill="0" applyBorder="0" applyProtection="0">
      <alignment horizontal="right" vertical="top"/>
    </xf>
    <xf numFmtId="41" fontId="192" fillId="0" borderId="0" applyFill="0" applyBorder="0" applyAlignment="0" applyProtection="0">
      <alignment horizontal="right" vertical="top"/>
    </xf>
    <xf numFmtId="41" fontId="192" fillId="0" borderId="0" applyFill="0" applyBorder="0" applyAlignment="0" applyProtection="0">
      <alignment horizontal="right" vertical="top"/>
    </xf>
    <xf numFmtId="301" fontId="144" fillId="0" borderId="0" applyFill="0" applyBorder="0" applyAlignment="0" applyProtection="0"/>
    <xf numFmtId="301" fontId="144" fillId="0" borderId="0" applyFill="0" applyBorder="0" applyAlignment="0" applyProtection="0"/>
    <xf numFmtId="302" fontId="144" fillId="0" borderId="0" applyFill="0" applyBorder="0" applyAlignment="0" applyProtection="0"/>
    <xf numFmtId="302" fontId="144" fillId="0" borderId="0" applyFill="0" applyBorder="0" applyAlignment="0" applyProtection="0"/>
    <xf numFmtId="297" fontId="40" fillId="0" borderId="0">
      <alignment horizontal="left" vertical="center"/>
    </xf>
    <xf numFmtId="202" fontId="40" fillId="0" borderId="0"/>
    <xf numFmtId="202" fontId="95" fillId="0" borderId="0"/>
    <xf numFmtId="202" fontId="208" fillId="0" borderId="0"/>
    <xf numFmtId="202" fontId="9" fillId="0" borderId="0"/>
    <xf numFmtId="202" fontId="209" fillId="0" borderId="0">
      <alignment horizontal="left" vertical="top"/>
    </xf>
    <xf numFmtId="0" fontId="48" fillId="0" borderId="64" applyNumberFormat="0" applyFont="0" applyAlignment="0" applyProtection="0"/>
    <xf numFmtId="0" fontId="48" fillId="0" borderId="64" applyNumberFormat="0" applyFont="0" applyAlignment="0" applyProtection="0"/>
    <xf numFmtId="0" fontId="74" fillId="0" borderId="0" applyFill="0" applyBorder="0">
      <alignment horizontal="left" vertical="top" wrapText="1"/>
    </xf>
    <xf numFmtId="0" fontId="192" fillId="0" borderId="0" applyFill="0" applyBorder="0">
      <alignment horizontal="left" vertical="top"/>
    </xf>
    <xf numFmtId="0" fontId="192" fillId="0" borderId="0" applyFill="0" applyBorder="0">
      <alignment horizontal="left" vertical="top"/>
    </xf>
    <xf numFmtId="0" fontId="210" fillId="0" borderId="0">
      <alignment horizontal="left" vertical="top" wrapText="1"/>
    </xf>
    <xf numFmtId="0" fontId="211" fillId="0" borderId="0">
      <alignment horizontal="left" vertical="top" wrapText="1"/>
    </xf>
    <xf numFmtId="0" fontId="195" fillId="0" borderId="0">
      <alignment horizontal="left" vertical="top" wrapText="1"/>
    </xf>
    <xf numFmtId="0" fontId="48" fillId="0" borderId="65" applyNumberFormat="0" applyFont="0" applyAlignment="0" applyProtection="0"/>
    <xf numFmtId="0" fontId="48" fillId="0" borderId="65" applyNumberFormat="0" applyFont="0" applyAlignment="0" applyProtection="0"/>
    <xf numFmtId="0" fontId="48" fillId="62" borderId="0" applyNumberFormat="0" applyFont="0" applyBorder="0" applyAlignment="0" applyProtection="0"/>
    <xf numFmtId="303" fontId="154" fillId="0" borderId="0">
      <protection locked="0"/>
    </xf>
    <xf numFmtId="0" fontId="43" fillId="0" borderId="0"/>
    <xf numFmtId="303" fontId="154" fillId="0" borderId="0">
      <protection locked="0"/>
    </xf>
    <xf numFmtId="303" fontId="154" fillId="0" borderId="0">
      <protection locked="0"/>
    </xf>
    <xf numFmtId="0" fontId="154" fillId="0" borderId="0">
      <protection locked="0"/>
    </xf>
    <xf numFmtId="303" fontId="154" fillId="0" borderId="0">
      <protection locked="0"/>
    </xf>
    <xf numFmtId="0" fontId="43" fillId="0" borderId="0"/>
    <xf numFmtId="303" fontId="154" fillId="0" borderId="0">
      <protection locked="0"/>
    </xf>
    <xf numFmtId="303" fontId="154" fillId="0" borderId="0">
      <protection locked="0"/>
    </xf>
    <xf numFmtId="0" fontId="154" fillId="0" borderId="0">
      <protection locked="0"/>
    </xf>
    <xf numFmtId="303" fontId="154" fillId="0" borderId="0">
      <protection locked="0"/>
    </xf>
    <xf numFmtId="0" fontId="43" fillId="0" borderId="0"/>
    <xf numFmtId="303" fontId="154" fillId="0" borderId="0">
      <protection locked="0"/>
    </xf>
    <xf numFmtId="303" fontId="154" fillId="0" borderId="0">
      <protection locked="0"/>
    </xf>
    <xf numFmtId="0" fontId="154" fillId="0" borderId="0">
      <protection locked="0"/>
    </xf>
    <xf numFmtId="303" fontId="154" fillId="0" borderId="0">
      <protection locked="0"/>
    </xf>
    <xf numFmtId="0" fontId="43" fillId="0" borderId="0"/>
    <xf numFmtId="303" fontId="154" fillId="0" borderId="0">
      <protection locked="0"/>
    </xf>
    <xf numFmtId="303" fontId="154" fillId="0" borderId="0">
      <protection locked="0"/>
    </xf>
    <xf numFmtId="0" fontId="154" fillId="0" borderId="0">
      <protection locked="0"/>
    </xf>
    <xf numFmtId="303" fontId="154" fillId="0" borderId="0">
      <protection locked="0"/>
    </xf>
    <xf numFmtId="0" fontId="43" fillId="0" borderId="0"/>
    <xf numFmtId="303" fontId="154" fillId="0" borderId="0">
      <protection locked="0"/>
    </xf>
    <xf numFmtId="303" fontId="154" fillId="0" borderId="0">
      <protection locked="0"/>
    </xf>
    <xf numFmtId="0" fontId="154" fillId="0" borderId="0">
      <protection locked="0"/>
    </xf>
    <xf numFmtId="303" fontId="154" fillId="0" borderId="0">
      <protection locked="0"/>
    </xf>
    <xf numFmtId="0" fontId="43" fillId="0" borderId="0"/>
    <xf numFmtId="303" fontId="154" fillId="0" borderId="0">
      <protection locked="0"/>
    </xf>
    <xf numFmtId="303" fontId="154" fillId="0" borderId="0">
      <protection locked="0"/>
    </xf>
    <xf numFmtId="0" fontId="154" fillId="0" borderId="0">
      <protection locked="0"/>
    </xf>
    <xf numFmtId="303" fontId="154" fillId="0" borderId="0">
      <protection locked="0"/>
    </xf>
    <xf numFmtId="0" fontId="110" fillId="0" borderId="0"/>
    <xf numFmtId="303" fontId="154" fillId="0" borderId="0">
      <protection locked="0"/>
    </xf>
    <xf numFmtId="303" fontId="154" fillId="0" borderId="0">
      <protection locked="0"/>
    </xf>
    <xf numFmtId="0" fontId="154" fillId="0" borderId="0">
      <protection locked="0"/>
    </xf>
    <xf numFmtId="40" fontId="212" fillId="0" borderId="0"/>
    <xf numFmtId="304" fontId="9" fillId="0" borderId="0" applyFont="0" applyFill="0" applyBorder="0" applyAlignment="0" applyProtection="0"/>
    <xf numFmtId="0" fontId="213" fillId="0" borderId="0" applyFont="0" applyFill="0" applyBorder="0" applyAlignment="0" applyProtection="0"/>
    <xf numFmtId="0" fontId="213" fillId="0" borderId="0" applyFont="0" applyFill="0" applyBorder="0" applyAlignment="0" applyProtection="0"/>
    <xf numFmtId="0" fontId="213" fillId="0" borderId="0" applyFont="0" applyFill="0" applyBorder="0" applyAlignment="0" applyProtection="0"/>
    <xf numFmtId="305" fontId="9" fillId="0" borderId="16">
      <alignment horizontal="left"/>
      <protection locked="0"/>
    </xf>
    <xf numFmtId="2" fontId="213" fillId="0" borderId="0" applyFont="0" applyFill="0" applyBorder="0" applyAlignment="0" applyProtection="0"/>
    <xf numFmtId="2" fontId="213" fillId="0" borderId="0" applyFont="0" applyFill="0" applyBorder="0" applyAlignment="0" applyProtection="0"/>
    <xf numFmtId="2" fontId="213" fillId="0" borderId="0" applyFont="0" applyFill="0" applyBorder="0" applyAlignment="0" applyProtection="0"/>
    <xf numFmtId="40" fontId="9" fillId="0" borderId="0" applyNumberFormat="0">
      <alignment horizontal="right"/>
    </xf>
    <xf numFmtId="38" fontId="9" fillId="0" borderId="0" applyFont="0" applyBorder="0" applyAlignment="0"/>
    <xf numFmtId="204" fontId="9" fillId="0" borderId="0" applyFont="0" applyBorder="0" applyAlignment="0"/>
    <xf numFmtId="223" fontId="9" fillId="0" borderId="0" applyFill="0" applyBorder="0"/>
    <xf numFmtId="277" fontId="180" fillId="0" borderId="0">
      <protection locked="0"/>
    </xf>
    <xf numFmtId="0" fontId="214" fillId="0" borderId="0" applyNumberFormat="0" applyFill="0" applyBorder="0" applyAlignment="0" applyProtection="0"/>
    <xf numFmtId="306" fontId="154" fillId="0" borderId="0">
      <protection locked="0"/>
    </xf>
    <xf numFmtId="2" fontId="9" fillId="0" borderId="0" applyFont="0" applyFill="0" applyBorder="0" applyAlignment="0" applyProtection="0"/>
    <xf numFmtId="2" fontId="9" fillId="0" borderId="0" applyFont="0" applyFill="0" applyBorder="0" applyAlignment="0" applyProtection="0"/>
    <xf numFmtId="37" fontId="9" fillId="44" borderId="0"/>
    <xf numFmtId="37" fontId="9" fillId="87" borderId="0"/>
    <xf numFmtId="37" fontId="9" fillId="88" borderId="0"/>
    <xf numFmtId="38" fontId="15" fillId="46" borderId="66" applyNumberFormat="0" applyFont="0" applyAlignment="0"/>
    <xf numFmtId="38" fontId="15" fillId="46" borderId="66" applyNumberFormat="0" applyFont="0" applyAlignment="0"/>
    <xf numFmtId="37" fontId="215" fillId="89" borderId="0" applyNumberFormat="0">
      <alignment horizontal="center" wrapText="1"/>
    </xf>
    <xf numFmtId="307" fontId="9" fillId="46" borderId="0"/>
    <xf numFmtId="307" fontId="216" fillId="89" borderId="0" applyNumberFormat="0">
      <alignment wrapText="1"/>
    </xf>
    <xf numFmtId="37" fontId="9" fillId="46" borderId="19"/>
    <xf numFmtId="10" fontId="9" fillId="46" borderId="0"/>
    <xf numFmtId="308" fontId="9" fillId="46" borderId="0"/>
    <xf numFmtId="37" fontId="9" fillId="46" borderId="0" applyNumberFormat="0" applyFont="0">
      <alignment wrapText="1"/>
    </xf>
    <xf numFmtId="309" fontId="9" fillId="46" borderId="0"/>
    <xf numFmtId="37" fontId="216" fillId="89" borderId="0" applyNumberFormat="0">
      <alignment horizontal="center" vertical="center" wrapText="1"/>
    </xf>
    <xf numFmtId="37" fontId="215" fillId="90" borderId="0" applyNumberFormat="0">
      <alignment wrapText="1"/>
    </xf>
    <xf numFmtId="37" fontId="217" fillId="90" borderId="0">
      <alignment wrapText="1"/>
    </xf>
    <xf numFmtId="37" fontId="63" fillId="87" borderId="0"/>
    <xf numFmtId="37" fontId="218" fillId="88" borderId="0"/>
    <xf numFmtId="229" fontId="219" fillId="88" borderId="0">
      <alignment wrapText="1"/>
    </xf>
    <xf numFmtId="37" fontId="217" fillId="91" borderId="67"/>
    <xf numFmtId="229" fontId="217" fillId="91" borderId="67"/>
    <xf numFmtId="229" fontId="9" fillId="46" borderId="0"/>
    <xf numFmtId="0" fontId="72" fillId="0" borderId="0" applyNumberFormat="0" applyFill="0" applyBorder="0" applyAlignment="0" applyProtection="0">
      <alignment vertical="top"/>
      <protection locked="0"/>
    </xf>
    <xf numFmtId="0" fontId="9" fillId="0" borderId="0">
      <alignment vertical="center"/>
    </xf>
    <xf numFmtId="221" fontId="9" fillId="0" borderId="0">
      <alignment horizontal="center"/>
    </xf>
    <xf numFmtId="221" fontId="9" fillId="0" borderId="0">
      <alignment horizontal="center"/>
    </xf>
    <xf numFmtId="221" fontId="9" fillId="0" borderId="0">
      <alignment horizontal="center"/>
    </xf>
    <xf numFmtId="0" fontId="220" fillId="0" borderId="0" applyFill="0" applyBorder="0" applyProtection="0">
      <alignment horizontal="left"/>
    </xf>
    <xf numFmtId="38" fontId="71" fillId="0" borderId="0" applyNumberFormat="0" applyProtection="0"/>
    <xf numFmtId="37" fontId="12" fillId="78" borderId="0"/>
    <xf numFmtId="223" fontId="12" fillId="78" borderId="1" applyFont="0" applyBorder="0" applyAlignment="0" applyProtection="0">
      <alignment vertical="top"/>
    </xf>
    <xf numFmtId="223" fontId="12" fillId="78" borderId="1" applyFont="0" applyBorder="0" applyAlignment="0" applyProtection="0">
      <alignment vertical="top"/>
    </xf>
    <xf numFmtId="223" fontId="12" fillId="78" borderId="1" applyFont="0" applyBorder="0" applyAlignment="0" applyProtection="0">
      <alignment vertical="top"/>
    </xf>
    <xf numFmtId="223" fontId="12" fillId="78" borderId="1" applyFont="0" applyBorder="0" applyAlignment="0" applyProtection="0">
      <alignment vertical="top"/>
    </xf>
    <xf numFmtId="310" fontId="44" fillId="0" borderId="0" applyFont="0" applyFill="0" applyBorder="0" applyAlignment="0" applyProtection="0"/>
    <xf numFmtId="168" fontId="9" fillId="0" borderId="0" applyFont="0" applyFill="0" applyBorder="0" applyAlignment="0" applyProtection="0"/>
    <xf numFmtId="311" fontId="44" fillId="0" borderId="0" applyFont="0" applyFill="0" applyBorder="0" applyAlignment="0" applyProtection="0"/>
    <xf numFmtId="274" fontId="221" fillId="0" borderId="0" applyNumberFormat="0" applyFill="0" applyBorder="0" applyAlignment="0" applyProtection="0"/>
    <xf numFmtId="312" fontId="9" fillId="0" borderId="0" applyFont="0" applyFill="0" applyBorder="0" applyAlignment="0" applyProtection="0">
      <alignment horizontal="left"/>
    </xf>
    <xf numFmtId="183" fontId="9" fillId="0" borderId="0" applyFont="0" applyFill="0" applyBorder="0" applyAlignment="0" applyProtection="0"/>
    <xf numFmtId="255" fontId="9" fillId="0" borderId="0" applyFont="0" applyFill="0" applyBorder="0" applyAlignment="0" applyProtection="0"/>
    <xf numFmtId="2" fontId="109" fillId="0" borderId="0">
      <alignment horizontal="left"/>
    </xf>
    <xf numFmtId="38" fontId="45" fillId="0" borderId="0"/>
    <xf numFmtId="0" fontId="51" fillId="0" borderId="0" applyFont="0" applyFill="0" applyBorder="0" applyProtection="0"/>
    <xf numFmtId="0" fontId="9" fillId="0" borderId="41" applyNumberFormat="0">
      <alignment horizontal="center" vertical="top"/>
    </xf>
    <xf numFmtId="0" fontId="60" fillId="75" borderId="0" applyBorder="0">
      <alignment vertical="top"/>
      <protection locked="0"/>
    </xf>
    <xf numFmtId="0" fontId="23" fillId="7" borderId="0" applyNumberFormat="0" applyBorder="0" applyAlignment="0" applyProtection="0"/>
    <xf numFmtId="38" fontId="6" fillId="0" borderId="68"/>
    <xf numFmtId="3" fontId="222" fillId="0" borderId="0" applyNumberFormat="0"/>
    <xf numFmtId="38" fontId="12" fillId="46" borderId="0" applyNumberFormat="0" applyBorder="0" applyAlignment="0" applyProtection="0"/>
    <xf numFmtId="38" fontId="12" fillId="46" borderId="0" applyNumberFormat="0" applyBorder="0" applyAlignment="0" applyProtection="0"/>
    <xf numFmtId="38" fontId="12" fillId="46" borderId="0" applyNumberFormat="0" applyBorder="0" applyAlignment="0" applyProtection="0"/>
    <xf numFmtId="313" fontId="223" fillId="0" borderId="0"/>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0"/>
    <xf numFmtId="215" fontId="9" fillId="0" borderId="0" applyFont="0" applyFill="0" applyBorder="0" applyAlignment="0" applyProtection="0"/>
    <xf numFmtId="0" fontId="45" fillId="0" borderId="0" applyFont="0" applyFill="0" applyBorder="0" applyAlignment="0" applyProtection="0">
      <alignment horizontal="right"/>
    </xf>
    <xf numFmtId="0" fontId="224" fillId="75" borderId="0" applyBorder="0">
      <alignment horizontal="left" vertical="top" wrapText="1"/>
    </xf>
    <xf numFmtId="0" fontId="225" fillId="0" borderId="0" applyNumberFormat="0" applyFill="0" applyBorder="0" applyAlignment="0" applyProtection="0"/>
    <xf numFmtId="0" fontId="51" fillId="0" borderId="0" applyNumberFormat="0" applyFill="0" applyBorder="0" applyProtection="0"/>
    <xf numFmtId="0" fontId="223" fillId="0" borderId="29"/>
    <xf numFmtId="0" fontId="226" fillId="0" borderId="0">
      <alignment horizontal="left"/>
    </xf>
    <xf numFmtId="0" fontId="226" fillId="0" borderId="0">
      <alignment horizontal="left"/>
    </xf>
    <xf numFmtId="0" fontId="223" fillId="0" borderId="29"/>
    <xf numFmtId="0" fontId="223" fillId="0" borderId="29"/>
    <xf numFmtId="0" fontId="223" fillId="0" borderId="29"/>
    <xf numFmtId="0" fontId="37" fillId="0" borderId="32" applyNumberFormat="0" applyAlignment="0" applyProtection="0">
      <alignment horizontal="left" vertical="center"/>
    </xf>
    <xf numFmtId="0" fontId="37" fillId="0" borderId="32" applyNumberFormat="0" applyAlignment="0" applyProtection="0">
      <alignment horizontal="left" vertical="center"/>
    </xf>
    <xf numFmtId="0" fontId="37" fillId="0" borderId="32" applyNumberFormat="0" applyAlignment="0" applyProtection="0">
      <alignment horizontal="left" vertical="center"/>
    </xf>
    <xf numFmtId="0" fontId="37" fillId="0" borderId="2">
      <alignment horizontal="left" vertical="center"/>
    </xf>
    <xf numFmtId="314" fontId="227" fillId="47" borderId="0">
      <alignment horizontal="left" vertical="top"/>
    </xf>
    <xf numFmtId="0" fontId="98" fillId="0" borderId="0" applyNumberFormat="0" applyFill="0" applyBorder="0" applyAlignment="0" applyProtection="0"/>
    <xf numFmtId="0" fontId="20" fillId="0" borderId="20" applyNumberFormat="0" applyFill="0" applyAlignment="0" applyProtection="0"/>
    <xf numFmtId="0" fontId="98" fillId="0" borderId="0" applyNumberFormat="0" applyFill="0" applyBorder="0" applyAlignment="0" applyProtection="0"/>
    <xf numFmtId="0" fontId="21" fillId="0" borderId="21" applyNumberFormat="0" applyFill="0" applyAlignment="0" applyProtection="0"/>
    <xf numFmtId="0" fontId="37" fillId="0" borderId="0" applyNumberFormat="0" applyFill="0" applyBorder="0" applyAlignment="0" applyProtection="0"/>
    <xf numFmtId="0" fontId="22" fillId="0" borderId="22" applyNumberFormat="0" applyFill="0" applyAlignment="0" applyProtection="0"/>
    <xf numFmtId="0" fontId="22" fillId="0" borderId="0" applyNumberFormat="0" applyFill="0" applyBorder="0" applyAlignment="0" applyProtection="0"/>
    <xf numFmtId="0" fontId="15" fillId="0" borderId="0" applyFill="0" applyBorder="0" applyProtection="0">
      <alignment horizontal="right"/>
    </xf>
    <xf numFmtId="0" fontId="15" fillId="0" borderId="0" applyFill="0" applyBorder="0" applyProtection="0">
      <alignment horizontal="right"/>
    </xf>
    <xf numFmtId="236" fontId="228" fillId="0" borderId="0">
      <alignment horizontal="right"/>
    </xf>
    <xf numFmtId="236" fontId="228" fillId="0" borderId="0">
      <alignment horizontal="left"/>
    </xf>
    <xf numFmtId="315" fontId="229" fillId="0" borderId="0">
      <protection locked="0"/>
    </xf>
    <xf numFmtId="277" fontId="229" fillId="0" borderId="0">
      <protection locked="0"/>
    </xf>
    <xf numFmtId="277" fontId="229" fillId="0" borderId="0">
      <protection locked="0"/>
    </xf>
    <xf numFmtId="315" fontId="229" fillId="0" borderId="0">
      <protection locked="0"/>
    </xf>
    <xf numFmtId="277" fontId="229" fillId="0" borderId="0">
      <protection locked="0"/>
    </xf>
    <xf numFmtId="277" fontId="229" fillId="0" borderId="0">
      <protection locked="0"/>
    </xf>
    <xf numFmtId="0" fontId="230" fillId="0" borderId="47">
      <alignment horizontal="center"/>
    </xf>
    <xf numFmtId="0" fontId="230" fillId="0" borderId="47">
      <alignment horizontal="center"/>
    </xf>
    <xf numFmtId="0" fontId="230" fillId="0" borderId="47">
      <alignment horizontal="center"/>
    </xf>
    <xf numFmtId="0" fontId="230" fillId="0" borderId="0">
      <alignment horizontal="center"/>
    </xf>
    <xf numFmtId="0" fontId="230" fillId="0" borderId="0">
      <alignment horizontal="center"/>
    </xf>
    <xf numFmtId="0" fontId="230" fillId="0" borderId="0">
      <alignment horizontal="center"/>
    </xf>
    <xf numFmtId="0" fontId="231" fillId="0" borderId="0"/>
    <xf numFmtId="0" fontId="51" fillId="0" borderId="0" applyNumberFormat="0" applyFill="0" applyBorder="0" applyAlignment="0" applyProtection="0">
      <alignment horizontal="left"/>
    </xf>
    <xf numFmtId="316" fontId="232" fillId="0" borderId="0" applyFill="0" applyBorder="0" applyAlignment="0" applyProtection="0"/>
    <xf numFmtId="0" fontId="117" fillId="0" borderId="69" applyNumberFormat="0" applyFill="0" applyAlignment="0" applyProtection="0"/>
    <xf numFmtId="0" fontId="233" fillId="0" borderId="0" applyNumberFormat="0" applyFill="0" applyBorder="0" applyAlignment="0" applyProtection="0">
      <alignment vertical="top"/>
      <protection locked="0"/>
    </xf>
    <xf numFmtId="0" fontId="9" fillId="0" borderId="0" applyNumberFormat="0" applyFont="0" applyFill="0" applyBorder="0" applyAlignment="0" applyProtection="0"/>
    <xf numFmtId="0" fontId="75" fillId="0" borderId="0" applyNumberFormat="0" applyFill="0" applyBorder="0" applyAlignment="0" applyProtection="0">
      <alignment vertical="top"/>
      <protection locked="0"/>
    </xf>
    <xf numFmtId="0" fontId="234" fillId="0" borderId="0" applyNumberFormat="0" applyFill="0" applyBorder="0" applyAlignment="0" applyProtection="0">
      <alignment vertical="top"/>
      <protection locked="0"/>
    </xf>
    <xf numFmtId="0" fontId="234" fillId="0" borderId="0" applyNumberFormat="0" applyFill="0" applyBorder="0" applyAlignment="0" applyProtection="0">
      <alignment vertical="top"/>
      <protection locked="0"/>
    </xf>
    <xf numFmtId="317" fontId="9" fillId="0" borderId="0" applyFont="0" applyFill="0" applyBorder="0" applyAlignment="0" applyProtection="0"/>
    <xf numFmtId="318" fontId="9" fillId="0" borderId="0" applyBorder="0" applyAlignment="0" applyProtection="0"/>
    <xf numFmtId="0" fontId="24" fillId="8" borderId="0" applyNumberFormat="0" applyBorder="0" applyAlignment="0" applyProtection="0"/>
    <xf numFmtId="0" fontId="235" fillId="8" borderId="0" applyNumberFormat="0" applyBorder="0" applyAlignment="0" applyProtection="0"/>
    <xf numFmtId="0" fontId="122" fillId="55" borderId="0" applyNumberFormat="0" applyBorder="0" applyAlignment="0" applyProtection="0"/>
    <xf numFmtId="0" fontId="44" fillId="47" borderId="0">
      <alignment horizontal="left" wrapText="1" indent="2"/>
    </xf>
    <xf numFmtId="37" fontId="221" fillId="47" borderId="70" applyNumberFormat="0" applyAlignment="0"/>
    <xf numFmtId="37" fontId="221" fillId="47" borderId="70" applyNumberFormat="0" applyAlignment="0"/>
    <xf numFmtId="37" fontId="221" fillId="47" borderId="70" applyNumberFormat="0" applyAlignment="0"/>
    <xf numFmtId="309" fontId="9" fillId="47" borderId="70" applyFont="0" applyAlignment="0">
      <protection locked="0"/>
    </xf>
    <xf numFmtId="309" fontId="9" fillId="47" borderId="70" applyFont="0" applyAlignment="0">
      <protection locked="0"/>
    </xf>
    <xf numFmtId="309" fontId="9" fillId="47" borderId="70" applyFont="0" applyAlignment="0">
      <protection locked="0"/>
    </xf>
    <xf numFmtId="37" fontId="9" fillId="47" borderId="70" applyNumberFormat="0" applyFont="0" applyBorder="0" applyAlignment="0">
      <protection locked="0"/>
    </xf>
    <xf numFmtId="37" fontId="9" fillId="47" borderId="70" applyNumberFormat="0" applyFont="0" applyBorder="0" applyAlignment="0">
      <protection locked="0"/>
    </xf>
    <xf numFmtId="37" fontId="9" fillId="47" borderId="70" applyNumberFormat="0" applyFont="0" applyBorder="0" applyAlignment="0">
      <protection locked="0"/>
    </xf>
    <xf numFmtId="37" fontId="9" fillId="47" borderId="70" applyNumberFormat="0" applyFont="0" applyBorder="0" applyAlignment="0">
      <protection locked="0"/>
    </xf>
    <xf numFmtId="37" fontId="9" fillId="47" borderId="70" applyNumberFormat="0" applyFont="0" applyBorder="0" applyAlignment="0">
      <protection locked="0"/>
    </xf>
    <xf numFmtId="37" fontId="9" fillId="47" borderId="70" applyNumberFormat="0" applyFont="0" applyBorder="0" applyAlignment="0">
      <protection locked="0"/>
    </xf>
    <xf numFmtId="10" fontId="9" fillId="92" borderId="0" applyFont="0" applyBorder="0" applyAlignment="0">
      <protection locked="0"/>
    </xf>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229" fontId="9" fillId="47" borderId="70" applyFont="0" applyAlignment="0">
      <protection locked="0"/>
    </xf>
    <xf numFmtId="229" fontId="9" fillId="47" borderId="70" applyFont="0" applyAlignment="0">
      <protection locked="0"/>
    </xf>
    <xf numFmtId="229" fontId="9" fillId="47" borderId="70" applyFont="0" applyAlignment="0">
      <protection locked="0"/>
    </xf>
    <xf numFmtId="37" fontId="9" fillId="47" borderId="70" applyNumberFormat="0" applyFont="0" applyAlignment="0">
      <protection locked="0"/>
    </xf>
    <xf numFmtId="37" fontId="9" fillId="47" borderId="70" applyNumberFormat="0" applyFont="0" applyAlignment="0">
      <protection locked="0"/>
    </xf>
    <xf numFmtId="37" fontId="9" fillId="47" borderId="70" applyNumberFormat="0" applyFont="0" applyAlignment="0">
      <protection locked="0"/>
    </xf>
    <xf numFmtId="204" fontId="236" fillId="0" borderId="31" applyFill="0" applyBorder="0" applyAlignment="0">
      <alignment horizontal="center"/>
      <protection locked="0"/>
    </xf>
    <xf numFmtId="319" fontId="237" fillId="44" borderId="71"/>
    <xf numFmtId="319" fontId="237" fillId="44" borderId="71"/>
    <xf numFmtId="319" fontId="237" fillId="44" borderId="71"/>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239" fontId="236" fillId="0" borderId="0" applyFill="0" applyBorder="0" applyAlignment="0">
      <protection locked="0"/>
    </xf>
    <xf numFmtId="0" fontId="9" fillId="60" borderId="0" applyNumberFormat="0" applyFont="0" applyBorder="0" applyAlignment="0"/>
    <xf numFmtId="0" fontId="26" fillId="10" borderId="23" applyNumberFormat="0" applyAlignment="0" applyProtection="0"/>
    <xf numFmtId="272" fontId="236" fillId="0" borderId="0" applyFill="0" applyBorder="0" applyAlignment="0" applyProtection="0">
      <protection locked="0"/>
    </xf>
    <xf numFmtId="0" fontId="9" fillId="60" borderId="0" applyNumberFormat="0" applyFont="0" applyBorder="0" applyAlignment="0"/>
    <xf numFmtId="0" fontId="26" fillId="10" borderId="23" applyNumberFormat="0" applyAlignment="0" applyProtection="0"/>
    <xf numFmtId="196" fontId="45" fillId="44" borderId="1" applyNumberFormat="0" applyFont="0" applyBorder="0" applyAlignment="0" applyProtection="0"/>
    <xf numFmtId="196" fontId="45" fillId="44" borderId="1" applyNumberFormat="0" applyFont="0" applyBorder="0" applyAlignment="0" applyProtection="0"/>
    <xf numFmtId="196" fontId="45" fillId="44" borderId="1" applyNumberFormat="0" applyFont="0" applyBorder="0" applyAlignment="0" applyProtection="0"/>
    <xf numFmtId="196" fontId="45" fillId="44" borderId="1" applyNumberFormat="0" applyFont="0" applyBorder="0" applyAlignment="0" applyProtection="0"/>
    <xf numFmtId="0" fontId="45" fillId="0" borderId="0" applyFill="0" applyBorder="0" applyProtection="0"/>
    <xf numFmtId="0" fontId="167" fillId="0" borderId="0" applyFill="0" applyBorder="0" applyProtection="0"/>
    <xf numFmtId="251" fontId="9" fillId="44" borderId="39"/>
    <xf numFmtId="0" fontId="45" fillId="0" borderId="0" applyFill="0" applyBorder="0" applyProtection="0"/>
    <xf numFmtId="14" fontId="237" fillId="86" borderId="0">
      <alignment horizontal="center"/>
    </xf>
    <xf numFmtId="0" fontId="45" fillId="0" borderId="0" applyFill="0" applyBorder="0" applyProtection="0"/>
    <xf numFmtId="0" fontId="238" fillId="44" borderId="0">
      <alignment horizontal="center"/>
    </xf>
    <xf numFmtId="0" fontId="45" fillId="0" borderId="0" applyFill="0" applyBorder="0" applyProtection="0"/>
    <xf numFmtId="219" fontId="44" fillId="47" borderId="0" applyNumberFormat="0" applyFont="0" applyBorder="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0" fontId="117" fillId="0" borderId="0" applyNumberFormat="0" applyFill="0" applyBorder="0" applyAlignment="0">
      <protection locked="0"/>
    </xf>
    <xf numFmtId="0" fontId="238" fillId="44" borderId="0">
      <alignment horizontal="center"/>
    </xf>
    <xf numFmtId="0" fontId="239" fillId="46" borderId="1">
      <alignment horizontal="center"/>
      <protection locked="0"/>
    </xf>
    <xf numFmtId="0" fontId="240" fillId="0" borderId="0"/>
    <xf numFmtId="0" fontId="241" fillId="0" borderId="0" applyNumberFormat="0" applyFill="0" applyBorder="0" applyProtection="0">
      <alignment horizontal="left"/>
    </xf>
    <xf numFmtId="320" fontId="9" fillId="0" borderId="4" applyFont="0" applyFill="0" applyBorder="0" applyAlignment="0" applyProtection="0">
      <alignment horizontal="right"/>
    </xf>
    <xf numFmtId="0" fontId="9" fillId="0" borderId="0">
      <alignment horizontal="center"/>
    </xf>
    <xf numFmtId="228" fontId="45" fillId="0" borderId="0" applyFont="0" applyFill="0" applyBorder="0" applyAlignment="0" applyProtection="0"/>
    <xf numFmtId="247" fontId="9" fillId="0" borderId="0" applyFont="0" applyFill="0" applyBorder="0" applyAlignment="0" applyProtection="0">
      <alignment horizontal="center" vertical="top"/>
    </xf>
    <xf numFmtId="312" fontId="48" fillId="0" borderId="0" applyFont="0" applyFill="0" applyBorder="0" applyAlignment="0" applyProtection="0">
      <alignment horizontal="right"/>
    </xf>
    <xf numFmtId="195" fontId="45" fillId="0" borderId="0" applyFont="0" applyFill="0" applyBorder="0" applyAlignment="0" applyProtection="0"/>
    <xf numFmtId="199" fontId="45" fillId="0" borderId="0" applyFont="0" applyFill="0" applyBorder="0" applyAlignment="0" applyProtection="0"/>
    <xf numFmtId="190" fontId="9" fillId="0" borderId="0" applyFont="0" applyFill="0" applyBorder="0" applyAlignment="0" applyProtection="0"/>
    <xf numFmtId="310" fontId="43" fillId="0" borderId="0" applyFont="0" applyFill="0" applyBorder="0" applyAlignment="0" applyProtection="0"/>
    <xf numFmtId="310" fontId="43" fillId="0" borderId="0" applyFont="0" applyFill="0" applyBorder="0" applyAlignment="0" applyProtection="0"/>
    <xf numFmtId="1" fontId="9" fillId="0" borderId="41">
      <alignment horizontal="center" vertical="top"/>
    </xf>
    <xf numFmtId="38" fontId="242" fillId="0" borderId="0"/>
    <xf numFmtId="38" fontId="243" fillId="0" borderId="0"/>
    <xf numFmtId="38" fontId="136" fillId="0" borderId="0"/>
    <xf numFmtId="38" fontId="244" fillId="0" borderId="0"/>
    <xf numFmtId="0" fontId="245" fillId="0" borderId="0"/>
    <xf numFmtId="0" fontId="245" fillId="0" borderId="0"/>
    <xf numFmtId="0" fontId="9" fillId="0" borderId="0"/>
    <xf numFmtId="0" fontId="6" fillId="93" borderId="0"/>
    <xf numFmtId="321" fontId="113" fillId="0" borderId="0">
      <alignment horizontal="left"/>
    </xf>
    <xf numFmtId="0" fontId="246" fillId="0" borderId="0" applyNumberFormat="0" applyFill="0" applyBorder="0" applyAlignment="0" applyProtection="0"/>
    <xf numFmtId="0" fontId="9" fillId="0" borderId="0" applyNumberFormat="0" applyFill="0" applyBorder="0" applyAlignment="0">
      <protection hidden="1"/>
    </xf>
    <xf numFmtId="322" fontId="9" fillId="0" borderId="4" applyNumberFormat="0" applyFill="0" applyBorder="0" applyAlignment="0"/>
    <xf numFmtId="0" fontId="247" fillId="0" borderId="0" applyNumberFormat="0" applyFill="0" applyBorder="0" applyAlignment="0" applyProtection="0">
      <alignment vertical="top"/>
      <protection locked="0"/>
    </xf>
    <xf numFmtId="0" fontId="248" fillId="0" borderId="0" applyNumberFormat="0" applyFill="0" applyBorder="0" applyAlignment="0" applyProtection="0">
      <alignment vertical="top"/>
      <protection locked="0"/>
    </xf>
    <xf numFmtId="0" fontId="176" fillId="0" borderId="0" applyNumberFormat="0" applyFill="0" applyBorder="0" applyAlignment="0" applyProtection="0">
      <alignment vertical="top"/>
      <protection locked="0"/>
    </xf>
    <xf numFmtId="2" fontId="53" fillId="0" borderId="1"/>
    <xf numFmtId="2" fontId="53" fillId="0" borderId="1"/>
    <xf numFmtId="2" fontId="53" fillId="0" borderId="1"/>
    <xf numFmtId="2" fontId="53" fillId="0" borderId="1"/>
    <xf numFmtId="194" fontId="113" fillId="0" borderId="0" applyFont="0" applyFill="0" applyBorder="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230" fontId="249" fillId="0" borderId="0" applyFill="0" applyBorder="0" applyAlignment="0"/>
    <xf numFmtId="231" fontId="113" fillId="0" borderId="0" applyFill="0" applyBorder="0" applyAlignment="0"/>
    <xf numFmtId="230" fontId="249" fillId="0" borderId="0" applyFill="0" applyBorder="0" applyAlignment="0"/>
    <xf numFmtId="235" fontId="113" fillId="0" borderId="0" applyFill="0" applyBorder="0" applyAlignment="0"/>
    <xf numFmtId="231" fontId="113" fillId="0" borderId="0" applyFill="0" applyBorder="0" applyAlignment="0"/>
    <xf numFmtId="0" fontId="29" fillId="0" borderId="25" applyNumberFormat="0" applyFill="0" applyAlignment="0" applyProtection="0"/>
    <xf numFmtId="44" fontId="48" fillId="0" borderId="0">
      <alignment horizontal="justify"/>
    </xf>
    <xf numFmtId="239" fontId="9" fillId="0" borderId="0" applyNumberFormat="0" applyFont="0" applyFill="0" applyBorder="0" applyAlignment="0"/>
    <xf numFmtId="239" fontId="9" fillId="0" borderId="0" applyNumberFormat="0" applyFont="0" applyFill="0" applyBorder="0" applyAlignment="0"/>
    <xf numFmtId="239" fontId="9" fillId="0" borderId="0" applyNumberFormat="0" applyFont="0" applyFill="0" applyBorder="0" applyAlignment="0"/>
    <xf numFmtId="0" fontId="9" fillId="46" borderId="0"/>
    <xf numFmtId="0" fontId="250" fillId="0" borderId="4">
      <alignment horizontal="left"/>
      <protection locked="0"/>
    </xf>
    <xf numFmtId="0" fontId="168" fillId="0" borderId="0"/>
    <xf numFmtId="323" fontId="9" fillId="0" borderId="0" applyFont="0" applyFill="0" applyBorder="0" applyAlignment="0" applyProtection="0"/>
    <xf numFmtId="0" fontId="251" fillId="0" borderId="0" applyNumberFormat="0" applyFill="0" applyBorder="0" applyAlignment="0" applyProtection="0"/>
    <xf numFmtId="0" fontId="9" fillId="89" borderId="0" applyNumberFormat="0" applyFont="0" applyBorder="0" applyAlignment="0"/>
    <xf numFmtId="313" fontId="231" fillId="0" borderId="0"/>
    <xf numFmtId="1" fontId="252" fillId="0" borderId="0" applyNumberFormat="0" applyFill="0" applyBorder="0" applyAlignment="0" applyProtection="0">
      <alignment horizontal="center"/>
    </xf>
    <xf numFmtId="41"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53"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5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9" fillId="0" borderId="0" applyFont="0" applyFill="0" applyBorder="0" applyAlignment="0" applyProtection="0"/>
    <xf numFmtId="165"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5" fontId="1" fillId="0" borderId="0" applyFont="0" applyFill="0" applyBorder="0" applyAlignment="0" applyProtection="0"/>
    <xf numFmtId="43" fontId="1" fillId="0" borderId="0" applyFont="0" applyFill="0" applyBorder="0" applyAlignment="0" applyProtection="0"/>
    <xf numFmtId="43" fontId="35"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38" fontId="51" fillId="0" borderId="0" applyFont="0" applyFill="0" applyBorder="0" applyAlignment="0" applyProtection="0"/>
    <xf numFmtId="43" fontId="9" fillId="0" borderId="0" applyFont="0" applyFill="0" applyBorder="0" applyAlignment="0" applyProtection="0"/>
    <xf numFmtId="38" fontId="40" fillId="0" borderId="0"/>
    <xf numFmtId="0" fontId="67" fillId="94" borderId="0" applyBorder="0" applyAlignment="0">
      <alignment horizontal="center"/>
    </xf>
    <xf numFmtId="317" fontId="9" fillId="0" borderId="0" applyFont="0" applyFill="0" applyBorder="0" applyAlignment="0" applyProtection="0"/>
    <xf numFmtId="317" fontId="9" fillId="0" borderId="0" applyFont="0" applyFill="0" applyBorder="0" applyAlignment="0" applyProtection="0"/>
    <xf numFmtId="0" fontId="254" fillId="0" borderId="47"/>
    <xf numFmtId="324" fontId="51" fillId="0" borderId="0" applyFont="0" applyFill="0" applyBorder="0" applyAlignment="0" applyProtection="0"/>
    <xf numFmtId="325" fontId="9" fillId="0" borderId="0" applyFont="0" applyFill="0" applyBorder="0" applyAlignment="0" applyProtection="0"/>
    <xf numFmtId="44" fontId="1" fillId="0" borderId="0" applyFont="0" applyFill="0" applyBorder="0" applyAlignment="0" applyProtection="0"/>
    <xf numFmtId="44" fontId="35"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35"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277" fontId="180" fillId="0" borderId="0">
      <protection locked="0"/>
    </xf>
    <xf numFmtId="257" fontId="213" fillId="0" borderId="0" applyFont="0" applyFill="0" applyBorder="0" applyAlignment="0" applyProtection="0"/>
    <xf numFmtId="257" fontId="213" fillId="0" borderId="0" applyFont="0" applyFill="0" applyBorder="0" applyAlignment="0" applyProtection="0"/>
    <xf numFmtId="257" fontId="213" fillId="0" borderId="0" applyFont="0" applyFill="0" applyBorder="0" applyAlignment="0" applyProtection="0"/>
    <xf numFmtId="326" fontId="255" fillId="0" borderId="0" applyFont="0" applyFill="0" applyBorder="0" applyAlignment="0" applyProtection="0"/>
    <xf numFmtId="6" fontId="51" fillId="0" borderId="0" applyFont="0" applyFill="0" applyBorder="0" applyAlignment="0" applyProtection="0"/>
    <xf numFmtId="8" fontId="51" fillId="0" borderId="0" applyFont="0" applyFill="0" applyBorder="0" applyAlignment="0" applyProtection="0"/>
    <xf numFmtId="0" fontId="51" fillId="0" borderId="0" applyNumberFormat="0">
      <alignment horizontal="left"/>
    </xf>
    <xf numFmtId="191" fontId="159" fillId="0" borderId="0" applyFont="0" applyFill="0" applyBorder="0" applyProtection="0">
      <alignment horizontal="right"/>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8" fontId="130" fillId="0" borderId="0"/>
    <xf numFmtId="329" fontId="159" fillId="0" borderId="0" applyFont="0" applyFill="0" applyBorder="0" applyAlignment="0" applyProtection="0">
      <alignment horizontal="right"/>
    </xf>
    <xf numFmtId="330" fontId="9" fillId="0" borderId="0"/>
    <xf numFmtId="205" fontId="48" fillId="52" borderId="0"/>
    <xf numFmtId="226" fontId="9" fillId="0" borderId="0" applyNumberFormat="0" applyFill="0" applyBorder="0"/>
    <xf numFmtId="206" fontId="9" fillId="0" borderId="11">
      <alignment horizontal="right"/>
    </xf>
    <xf numFmtId="206" fontId="9" fillId="0" borderId="11">
      <alignment horizontal="right"/>
    </xf>
    <xf numFmtId="206" fontId="9" fillId="0" borderId="11">
      <alignment horizontal="right"/>
    </xf>
    <xf numFmtId="227" fontId="44" fillId="0" borderId="0" applyNumberFormat="0" applyFill="0" applyBorder="0"/>
    <xf numFmtId="226" fontId="9" fillId="0" borderId="0" applyFont="0" applyFill="0" applyBorder="0" applyAlignment="0" applyProtection="0"/>
    <xf numFmtId="206" fontId="9" fillId="52" borderId="4">
      <alignment horizontal="right" vertical="center"/>
    </xf>
    <xf numFmtId="214" fontId="44" fillId="0" borderId="0" applyNumberFormat="0" applyFont="0" applyAlignment="0">
      <alignment horizontal="right"/>
    </xf>
    <xf numFmtId="227" fontId="44" fillId="0" borderId="0" applyFont="0" applyFill="0" applyBorder="0" applyAlignment="0" applyProtection="0"/>
    <xf numFmtId="207" fontId="44" fillId="52" borderId="4">
      <alignment horizontal="right" vertical="center"/>
    </xf>
    <xf numFmtId="205" fontId="48" fillId="52" borderId="37"/>
    <xf numFmtId="205" fontId="48" fillId="52" borderId="37"/>
    <xf numFmtId="226" fontId="9" fillId="0" borderId="0"/>
    <xf numFmtId="37" fontId="48" fillId="0" borderId="0">
      <alignment horizontal="center"/>
    </xf>
    <xf numFmtId="331" fontId="9" fillId="0" borderId="0" applyFont="0" applyFill="0" applyBorder="0" applyAlignment="0" applyProtection="0"/>
    <xf numFmtId="206" fontId="9" fillId="52" borderId="4">
      <alignment horizontal="right"/>
    </xf>
    <xf numFmtId="264" fontId="9" fillId="0" borderId="0" applyFont="0" applyFill="0" applyBorder="0" applyAlignment="0" applyProtection="0"/>
    <xf numFmtId="209" fontId="9" fillId="0" borderId="0" applyFont="0" applyFill="0" applyBorder="0" applyAlignment="0" applyProtection="0"/>
    <xf numFmtId="195" fontId="245" fillId="0" borderId="0"/>
    <xf numFmtId="247" fontId="9" fillId="0" borderId="0" applyFont="0" applyFill="0" applyBorder="0" applyAlignment="0" applyProtection="0"/>
    <xf numFmtId="205" fontId="45" fillId="0" borderId="0"/>
    <xf numFmtId="249" fontId="44" fillId="0" borderId="0" applyFont="0" applyFill="0" applyBorder="0" applyAlignment="0" applyProtection="0"/>
    <xf numFmtId="332" fontId="9" fillId="52" borderId="0"/>
    <xf numFmtId="205" fontId="48" fillId="0" borderId="0"/>
    <xf numFmtId="8" fontId="109" fillId="0" borderId="0" applyFont="0" applyFill="0" applyBorder="0" applyAlignment="0" applyProtection="0"/>
    <xf numFmtId="0" fontId="256" fillId="50" borderId="0" applyNumberFormat="0" applyBorder="0" applyAlignment="0" applyProtection="0"/>
    <xf numFmtId="0" fontId="25" fillId="9" borderId="0" applyNumberFormat="0" applyBorder="0" applyAlignment="0" applyProtection="0"/>
    <xf numFmtId="0" fontId="257" fillId="9" borderId="0" applyNumberFormat="0" applyBorder="0" applyAlignment="0" applyProtection="0"/>
    <xf numFmtId="0" fontId="258" fillId="0" borderId="0">
      <alignment horizontal="right" wrapText="1"/>
    </xf>
    <xf numFmtId="206" fontId="9" fillId="0" borderId="0" applyNumberFormat="0" applyFont="0" applyAlignment="0">
      <alignment horizontal="center"/>
    </xf>
    <xf numFmtId="37" fontId="9" fillId="0" borderId="0" applyFont="0" applyFill="0" applyBorder="0" applyAlignment="0" applyProtection="0"/>
    <xf numFmtId="205" fontId="244" fillId="52" borderId="0"/>
    <xf numFmtId="206" fontId="9" fillId="0" borderId="0">
      <alignment horizontal="right"/>
    </xf>
    <xf numFmtId="37" fontId="259" fillId="0" borderId="0"/>
    <xf numFmtId="37" fontId="259" fillId="0" borderId="0"/>
    <xf numFmtId="37" fontId="259" fillId="0" borderId="0"/>
    <xf numFmtId="207" fontId="44" fillId="0" borderId="0">
      <alignment horizontal="right"/>
    </xf>
    <xf numFmtId="0" fontId="40" fillId="0" borderId="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0" fontId="9" fillId="0" borderId="0"/>
    <xf numFmtId="333" fontId="9" fillId="0" borderId="0"/>
    <xf numFmtId="0" fontId="45" fillId="0" borderId="0"/>
    <xf numFmtId="0" fontId="45" fillId="0" borderId="0"/>
    <xf numFmtId="0" fontId="110" fillId="0" borderId="0"/>
    <xf numFmtId="0" fontId="110" fillId="0" borderId="0"/>
    <xf numFmtId="0" fontId="110" fillId="0" borderId="0"/>
    <xf numFmtId="0" fontId="110" fillId="0" borderId="0"/>
    <xf numFmtId="39" fontId="40" fillId="0" borderId="0"/>
    <xf numFmtId="334" fontId="5" fillId="0" borderId="0"/>
    <xf numFmtId="334" fontId="5" fillId="0" borderId="0"/>
    <xf numFmtId="334" fontId="5" fillId="0" borderId="0"/>
    <xf numFmtId="334" fontId="5" fillId="0" borderId="0"/>
    <xf numFmtId="334"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1" fillId="0" borderId="0"/>
    <xf numFmtId="0" fontId="1" fillId="0" borderId="0"/>
    <xf numFmtId="0" fontId="1" fillId="0" borderId="0"/>
    <xf numFmtId="0" fontId="9" fillId="0" borderId="0"/>
    <xf numFmtId="0" fontId="1" fillId="0" borderId="0"/>
    <xf numFmtId="0" fontId="1" fillId="0" borderId="0"/>
    <xf numFmtId="0" fontId="9" fillId="0" borderId="0"/>
    <xf numFmtId="0" fontId="9" fillId="0" borderId="0"/>
    <xf numFmtId="0" fontId="35" fillId="0" borderId="0"/>
    <xf numFmtId="0" fontId="9" fillId="0" borderId="0"/>
    <xf numFmtId="0" fontId="35"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9" fillId="0" borderId="0"/>
    <xf numFmtId="0" fontId="5" fillId="0" borderId="0"/>
    <xf numFmtId="0" fontId="1" fillId="0" borderId="0"/>
    <xf numFmtId="0" fontId="9" fillId="0" borderId="0"/>
    <xf numFmtId="0" fontId="9" fillId="0" borderId="0"/>
    <xf numFmtId="0" fontId="9" fillId="0" borderId="0"/>
    <xf numFmtId="0" fontId="1" fillId="0" borderId="0"/>
    <xf numFmtId="0" fontId="9" fillId="0" borderId="0"/>
    <xf numFmtId="0" fontId="9" fillId="0" borderId="0"/>
    <xf numFmtId="335"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35"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5" fillId="0" borderId="0"/>
    <xf numFmtId="0" fontId="5"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5"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5"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5"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5"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5"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5"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9" fillId="0" borderId="0"/>
    <xf numFmtId="0" fontId="1" fillId="0" borderId="0"/>
    <xf numFmtId="0" fontId="5" fillId="0" borderId="0"/>
    <xf numFmtId="0" fontId="9" fillId="0" borderId="0"/>
    <xf numFmtId="0" fontId="9" fillId="0" borderId="0"/>
    <xf numFmtId="0" fontId="5" fillId="0" borderId="0"/>
    <xf numFmtId="0" fontId="5" fillId="0" borderId="0"/>
    <xf numFmtId="0" fontId="5" fillId="0" borderId="0"/>
    <xf numFmtId="0" fontId="35" fillId="0" borderId="0"/>
    <xf numFmtId="0" fontId="5" fillId="0" borderId="0"/>
    <xf numFmtId="0" fontId="9" fillId="0" borderId="0"/>
    <xf numFmtId="0" fontId="1" fillId="0" borderId="0"/>
    <xf numFmtId="0" fontId="1" fillId="0" borderId="0"/>
    <xf numFmtId="336" fontId="1" fillId="0" borderId="0"/>
    <xf numFmtId="33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1" fillId="0" borderId="0"/>
    <xf numFmtId="0" fontId="1" fillId="0" borderId="0"/>
    <xf numFmtId="0" fontId="9" fillId="0" borderId="0"/>
    <xf numFmtId="0" fontId="9"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1" fillId="0" borderId="0"/>
    <xf numFmtId="0" fontId="9" fillId="0" borderId="0"/>
    <xf numFmtId="0" fontId="9" fillId="0" borderId="0"/>
    <xf numFmtId="0" fontId="9" fillId="0" borderId="0"/>
    <xf numFmtId="0" fontId="1"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1" fillId="0" borderId="0"/>
    <xf numFmtId="0" fontId="9" fillId="0" borderId="0"/>
    <xf numFmtId="0" fontId="9" fillId="0" borderId="0"/>
    <xf numFmtId="0" fontId="9" fillId="0" borderId="0"/>
    <xf numFmtId="0" fontId="1"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1" fillId="0" borderId="0"/>
    <xf numFmtId="0" fontId="9" fillId="0" borderId="0"/>
    <xf numFmtId="0" fontId="9" fillId="0" borderId="0"/>
    <xf numFmtId="0" fontId="9" fillId="0" borderId="0"/>
    <xf numFmtId="0" fontId="1"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1" fillId="0" borderId="0"/>
    <xf numFmtId="0" fontId="9" fillId="0" borderId="0"/>
    <xf numFmtId="0" fontId="9" fillId="0" borderId="0"/>
    <xf numFmtId="0" fontId="9" fillId="0" borderId="0"/>
    <xf numFmtId="0" fontId="1"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1" fillId="0" borderId="0"/>
    <xf numFmtId="0" fontId="9" fillId="0" borderId="0"/>
    <xf numFmtId="0" fontId="9" fillId="0" borderId="0"/>
    <xf numFmtId="0" fontId="9" fillId="0" borderId="0"/>
    <xf numFmtId="0" fontId="1"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1" fillId="0" borderId="0"/>
    <xf numFmtId="0" fontId="9" fillId="0" borderId="0"/>
    <xf numFmtId="0" fontId="9" fillId="0" borderId="0"/>
    <xf numFmtId="0" fontId="9" fillId="0" borderId="0"/>
    <xf numFmtId="0" fontId="1"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1" fillId="0" borderId="0"/>
    <xf numFmtId="0" fontId="1" fillId="0" borderId="0"/>
    <xf numFmtId="0" fontId="1" fillId="0" borderId="0"/>
    <xf numFmtId="0" fontId="9" fillId="0" borderId="0"/>
    <xf numFmtId="0" fontId="1" fillId="0" borderId="0"/>
    <xf numFmtId="0" fontId="1" fillId="0" borderId="0"/>
    <xf numFmtId="0" fontId="1" fillId="0" borderId="0"/>
    <xf numFmtId="0" fontId="1" fillId="0" borderId="0"/>
    <xf numFmtId="0" fontId="9" fillId="0" borderId="0"/>
    <xf numFmtId="0" fontId="1" fillId="0" borderId="0"/>
    <xf numFmtId="0" fontId="1" fillId="0" borderId="0"/>
    <xf numFmtId="0" fontId="8" fillId="0" borderId="0" applyNumberFormat="0" applyFill="0" applyBorder="0">
      <alignment vertical="center"/>
    </xf>
    <xf numFmtId="0" fontId="8" fillId="0" borderId="0" applyNumberFormat="0" applyFill="0" applyBorder="0">
      <alignment vertical="center"/>
    </xf>
    <xf numFmtId="0" fontId="8" fillId="0" borderId="0" applyNumberFormat="0" applyFill="0" applyBorder="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1" fillId="0" borderId="0"/>
    <xf numFmtId="0" fontId="9" fillId="0" borderId="0"/>
    <xf numFmtId="0" fontId="9"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9" fillId="0" borderId="0"/>
    <xf numFmtId="0" fontId="9" fillId="0" borderId="0"/>
    <xf numFmtId="0" fontId="9" fillId="0" borderId="0"/>
    <xf numFmtId="0" fontId="1" fillId="0" borderId="0"/>
    <xf numFmtId="0" fontId="9" fillId="0" borderId="0">
      <alignment vertical="top"/>
    </xf>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1" fillId="0" borderId="0"/>
    <xf numFmtId="0" fontId="9" fillId="0" borderId="0"/>
    <xf numFmtId="0" fontId="9" fillId="0" borderId="0"/>
    <xf numFmtId="0" fontId="9" fillId="0" borderId="0"/>
    <xf numFmtId="0" fontId="60" fillId="0" borderId="0"/>
    <xf numFmtId="0" fontId="1"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1" fillId="0" borderId="0"/>
    <xf numFmtId="0" fontId="9" fillId="0" borderId="0"/>
    <xf numFmtId="0" fontId="9" fillId="0" borderId="0"/>
    <xf numFmtId="0" fontId="9" fillId="0" borderId="0"/>
    <xf numFmtId="0" fontId="1"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applyNumberFormat="0" applyFill="0" applyBorder="0">
      <alignment vertical="center"/>
    </xf>
    <xf numFmtId="0" fontId="8" fillId="0" borderId="0" applyNumberFormat="0" applyFill="0" applyBorder="0">
      <alignment vertical="center"/>
    </xf>
    <xf numFmtId="0" fontId="8" fillId="0" borderId="0" applyNumberFormat="0" applyFill="0" applyBorder="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1" fillId="0" borderId="0"/>
    <xf numFmtId="0" fontId="9" fillId="0" borderId="0"/>
    <xf numFmtId="0" fontId="9" fillId="0" borderId="0"/>
    <xf numFmtId="0" fontId="9" fillId="0" borderId="0"/>
    <xf numFmtId="0" fontId="1"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1" fillId="0" borderId="0"/>
    <xf numFmtId="0" fontId="9" fillId="0" borderId="0"/>
    <xf numFmtId="0" fontId="9" fillId="0" borderId="0"/>
    <xf numFmtId="0" fontId="9" fillId="0" borderId="0"/>
    <xf numFmtId="0" fontId="44" fillId="0" borderId="0"/>
    <xf numFmtId="0" fontId="1"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0" fillId="0" borderId="0"/>
    <xf numFmtId="0" fontId="44" fillId="0" borderId="0"/>
    <xf numFmtId="0" fontId="44" fillId="0" borderId="0"/>
    <xf numFmtId="0" fontId="9" fillId="0" borderId="0"/>
    <xf numFmtId="0" fontId="9" fillId="0" borderId="0"/>
    <xf numFmtId="0" fontId="9" fillId="0" borderId="0"/>
    <xf numFmtId="0" fontId="9" fillId="0" borderId="0"/>
    <xf numFmtId="0" fontId="9" fillId="0" borderId="0"/>
    <xf numFmtId="0" fontId="9" fillId="0" borderId="0"/>
    <xf numFmtId="0" fontId="144" fillId="0" borderId="0">
      <alignment vertical="top"/>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1" fillId="0" borderId="0"/>
    <xf numFmtId="0" fontId="1" fillId="0" borderId="0"/>
    <xf numFmtId="0" fontId="1" fillId="0" borderId="0"/>
    <xf numFmtId="0" fontId="44" fillId="0" borderId="0"/>
    <xf numFmtId="0" fontId="4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4" fillId="0" borderId="0"/>
    <xf numFmtId="0" fontId="4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5" fillId="0" borderId="0"/>
    <xf numFmtId="0" fontId="5" fillId="0" borderId="0"/>
    <xf numFmtId="0" fontId="9" fillId="0" borderId="0"/>
    <xf numFmtId="0" fontId="9" fillId="0" borderId="0"/>
    <xf numFmtId="0" fontId="9" fillId="0" borderId="0"/>
    <xf numFmtId="0" fontId="9" fillId="0" borderId="0"/>
    <xf numFmtId="0" fontId="9" fillId="0" borderId="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9" fillId="46" borderId="0"/>
    <xf numFmtId="37" fontId="12" fillId="78" borderId="2" applyNumberFormat="0" applyFont="0" applyFill="0" applyBorder="0" applyAlignment="0" applyProtection="0"/>
    <xf numFmtId="0" fontId="12" fillId="0" borderId="0"/>
    <xf numFmtId="0" fontId="260" fillId="0" borderId="0"/>
    <xf numFmtId="0" fontId="261" fillId="0" borderId="0" applyFill="0" applyBorder="0" applyAlignment="0" applyProtection="0"/>
    <xf numFmtId="223" fontId="12" fillId="0" borderId="0"/>
    <xf numFmtId="0" fontId="9" fillId="0" borderId="0"/>
    <xf numFmtId="0" fontId="9" fillId="0" borderId="0"/>
    <xf numFmtId="0" fontId="9" fillId="50" borderId="72" applyNumberFormat="0" applyFont="0" applyAlignment="0" applyProtection="0"/>
    <xf numFmtId="0" fontId="9" fillId="50" borderId="72"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2"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0" fontId="1" fillId="13" borderId="27" applyNumberFormat="0" applyFont="0" applyAlignment="0" applyProtection="0"/>
    <xf numFmtId="307" fontId="9" fillId="0" borderId="37">
      <alignment vertical="top"/>
    </xf>
    <xf numFmtId="307" fontId="9" fillId="0" borderId="37">
      <alignment vertical="top"/>
    </xf>
    <xf numFmtId="1" fontId="13" fillId="0" borderId="0" applyFont="0" applyFill="0" applyBorder="0" applyAlignment="0" applyProtection="0">
      <protection locked="0"/>
    </xf>
    <xf numFmtId="337" fontId="9" fillId="0" borderId="39"/>
    <xf numFmtId="212" fontId="67" fillId="0" borderId="39" applyBorder="0"/>
    <xf numFmtId="39" fontId="12" fillId="0" borderId="0"/>
    <xf numFmtId="39" fontId="262" fillId="46" borderId="1"/>
    <xf numFmtId="39" fontId="262" fillId="46" borderId="1"/>
    <xf numFmtId="39" fontId="262" fillId="46" borderId="1"/>
    <xf numFmtId="39" fontId="262" fillId="46" borderId="1"/>
    <xf numFmtId="37" fontId="48" fillId="0" borderId="0">
      <alignment horizontal="center"/>
    </xf>
    <xf numFmtId="0" fontId="263" fillId="95" borderId="0" applyBorder="0">
      <alignment horizontal="left" vertical="top" wrapText="1"/>
    </xf>
    <xf numFmtId="40" fontId="264" fillId="0" borderId="0" applyFont="0" applyFill="0" applyBorder="0" applyAlignment="0" applyProtection="0"/>
    <xf numFmtId="38" fontId="264" fillId="0" borderId="0" applyFont="0" applyFill="0" applyBorder="0" applyAlignment="0" applyProtection="0"/>
    <xf numFmtId="0" fontId="92" fillId="47" borderId="7" applyNumberFormat="0">
      <alignment horizontal="left" vertical="center"/>
    </xf>
    <xf numFmtId="0" fontId="92" fillId="47" borderId="7" applyNumberFormat="0">
      <alignment horizontal="left" vertical="center"/>
    </xf>
    <xf numFmtId="0" fontId="265" fillId="0" borderId="0"/>
    <xf numFmtId="0" fontId="266" fillId="0" borderId="0">
      <alignment horizontal="left" vertical="top"/>
      <protection locked="0"/>
    </xf>
    <xf numFmtId="0" fontId="27" fillId="11" borderId="24" applyNumberFormat="0" applyAlignment="0" applyProtection="0"/>
    <xf numFmtId="40" fontId="144" fillId="78" borderId="0">
      <alignment horizontal="right"/>
    </xf>
    <xf numFmtId="40" fontId="144" fillId="78" borderId="0">
      <alignment horizontal="right"/>
    </xf>
    <xf numFmtId="0" fontId="267" fillId="86" borderId="0">
      <alignment horizontal="center"/>
    </xf>
    <xf numFmtId="0" fontId="215" fillId="96" borderId="12"/>
    <xf numFmtId="0" fontId="268" fillId="0" borderId="0" applyBorder="0">
      <alignment horizontal="centerContinuous"/>
    </xf>
    <xf numFmtId="0" fontId="269" fillId="97" borderId="0" applyBorder="0">
      <alignment horizontal="centerContinuous"/>
    </xf>
    <xf numFmtId="338" fontId="9" fillId="0" borderId="0" applyProtection="0"/>
    <xf numFmtId="205" fontId="48" fillId="0" borderId="0">
      <alignment horizontal="right"/>
    </xf>
    <xf numFmtId="339" fontId="9" fillId="0" borderId="0" applyFont="0" applyFill="0" applyBorder="0" applyAlignment="0" applyProtection="0"/>
    <xf numFmtId="37" fontId="48" fillId="0" borderId="0"/>
    <xf numFmtId="340" fontId="9" fillId="0" borderId="0" applyFont="0" applyFill="0" applyBorder="0" applyAlignment="0" applyProtection="0"/>
    <xf numFmtId="37" fontId="48" fillId="0" borderId="0"/>
    <xf numFmtId="205" fontId="48" fillId="0" borderId="0"/>
    <xf numFmtId="341" fontId="48" fillId="0" borderId="73" applyNumberFormat="0" applyBorder="0">
      <alignment horizontal="right"/>
    </xf>
    <xf numFmtId="342" fontId="9" fillId="0" borderId="0" applyFont="0" applyFill="0" applyBorder="0" applyAlignment="0" applyProtection="0"/>
    <xf numFmtId="343" fontId="9" fillId="0" borderId="0" applyFont="0" applyFill="0" applyBorder="0" applyAlignment="0" applyProtection="0"/>
    <xf numFmtId="1" fontId="270" fillId="0" borderId="0" applyProtection="0">
      <alignment horizontal="right" vertical="center"/>
    </xf>
    <xf numFmtId="0" fontId="271" fillId="78" borderId="0"/>
    <xf numFmtId="0" fontId="9" fillId="0" borderId="0" applyFont="0" applyFill="0" applyBorder="0" applyProtection="0">
      <alignment horizontal="right"/>
    </xf>
    <xf numFmtId="0" fontId="9" fillId="0" borderId="0" applyFont="0" applyFill="0" applyBorder="0" applyProtection="0">
      <alignment horizontal="right"/>
    </xf>
    <xf numFmtId="14" fontId="113" fillId="0" borderId="0">
      <alignment horizontal="center" wrapText="1"/>
      <protection locked="0"/>
    </xf>
    <xf numFmtId="0" fontId="110" fillId="0" borderId="0"/>
    <xf numFmtId="0" fontId="70" fillId="0" borderId="0"/>
    <xf numFmtId="9" fontId="5" fillId="0" borderId="0" applyFont="0" applyFill="0" applyBorder="0" applyAlignment="0" applyProtection="0"/>
    <xf numFmtId="204" fontId="9" fillId="0" borderId="0" applyFont="0" applyFill="0" applyBorder="0" applyAlignment="0" applyProtection="0"/>
    <xf numFmtId="9" fontId="5" fillId="0" borderId="0" applyFont="0" applyFill="0" applyBorder="0" applyAlignment="0" applyProtection="0"/>
    <xf numFmtId="9" fontId="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9" fillId="0" borderId="0" applyNumberFormat="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60"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5" fontId="83" fillId="0" borderId="0" applyNumberFormat="0" applyFont="0" applyAlignment="0">
      <alignment horizontal="center"/>
    </xf>
    <xf numFmtId="0" fontId="27" fillId="11" borderId="24" applyNumberFormat="0" applyAlignment="0" applyProtection="0"/>
    <xf numFmtId="0" fontId="272" fillId="11" borderId="24" applyNumberFormat="0" applyAlignment="0" applyProtection="0"/>
    <xf numFmtId="4" fontId="273" fillId="50" borderId="74" applyNumberFormat="0" applyProtection="0">
      <alignment vertical="center"/>
    </xf>
    <xf numFmtId="4" fontId="274" fillId="44" borderId="74" applyNumberFormat="0" applyProtection="0">
      <alignment vertical="center"/>
    </xf>
    <xf numFmtId="4" fontId="273" fillId="44" borderId="74" applyNumberFormat="0" applyProtection="0">
      <alignment horizontal="left" vertical="center" indent="1"/>
    </xf>
    <xf numFmtId="0" fontId="273" fillId="44" borderId="74" applyNumberFormat="0" applyProtection="0">
      <alignment horizontal="left" vertical="top" indent="1"/>
    </xf>
    <xf numFmtId="4" fontId="273" fillId="98" borderId="75" applyNumberFormat="0" applyProtection="0">
      <alignment horizontal="center" vertical="center" wrapText="1"/>
    </xf>
    <xf numFmtId="4" fontId="144" fillId="55" borderId="74" applyNumberFormat="0" applyProtection="0">
      <alignment horizontal="right" vertical="center"/>
    </xf>
    <xf numFmtId="4" fontId="144" fillId="61" borderId="74" applyNumberFormat="0" applyProtection="0">
      <alignment horizontal="right" vertical="center"/>
    </xf>
    <xf numFmtId="4" fontId="144" fillId="69" borderId="74" applyNumberFormat="0" applyProtection="0">
      <alignment horizontal="right" vertical="center"/>
    </xf>
    <xf numFmtId="4" fontId="144" fillId="63" borderId="74" applyNumberFormat="0" applyProtection="0">
      <alignment horizontal="right" vertical="center"/>
    </xf>
    <xf numFmtId="4" fontId="144" fillId="67" borderId="74" applyNumberFormat="0" applyProtection="0">
      <alignment horizontal="right" vertical="center"/>
    </xf>
    <xf numFmtId="4" fontId="144" fillId="71" borderId="74" applyNumberFormat="0" applyProtection="0">
      <alignment horizontal="right" vertical="center"/>
    </xf>
    <xf numFmtId="4" fontId="144" fillId="70" borderId="74" applyNumberFormat="0" applyProtection="0">
      <alignment horizontal="right" vertical="center"/>
    </xf>
    <xf numFmtId="4" fontId="144" fillId="99" borderId="74" applyNumberFormat="0" applyProtection="0">
      <alignment horizontal="right" vertical="center"/>
    </xf>
    <xf numFmtId="4" fontId="144" fillId="62" borderId="74" applyNumberFormat="0" applyProtection="0">
      <alignment horizontal="right" vertical="center"/>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144" fillId="101" borderId="0" applyNumberFormat="0" applyProtection="0">
      <alignment horizontal="left" vertical="center" indent="1"/>
    </xf>
    <xf numFmtId="4" fontId="202" fillId="52" borderId="0" applyNumberFormat="0" applyProtection="0">
      <alignment horizontal="left" vertical="center" indent="1"/>
    </xf>
    <xf numFmtId="4" fontId="144" fillId="98" borderId="74" applyNumberFormat="0" applyProtection="0">
      <alignment horizontal="right" vertical="center"/>
    </xf>
    <xf numFmtId="4" fontId="144" fillId="101" borderId="0" applyNumberFormat="0" applyProtection="0">
      <alignment horizontal="left" vertical="center" indent="1"/>
    </xf>
    <xf numFmtId="4" fontId="144" fillId="102" borderId="0" applyNumberFormat="0" applyProtection="0">
      <alignment horizontal="left" vertical="center" indent="1"/>
    </xf>
    <xf numFmtId="0" fontId="9" fillId="52" borderId="74" applyNumberFormat="0" applyProtection="0">
      <alignment horizontal="left" vertical="center" indent="1"/>
    </xf>
    <xf numFmtId="0" fontId="9" fillId="52" borderId="74" applyNumberFormat="0" applyProtection="0">
      <alignment horizontal="left" vertical="top" indent="1"/>
    </xf>
    <xf numFmtId="0" fontId="9" fillId="102" borderId="74" applyNumberFormat="0" applyProtection="0">
      <alignment horizontal="left" vertical="center" indent="1"/>
    </xf>
    <xf numFmtId="0" fontId="9" fillId="102" borderId="74" applyNumberFormat="0" applyProtection="0">
      <alignment horizontal="left" vertical="top" indent="1"/>
    </xf>
    <xf numFmtId="0" fontId="9" fillId="72" borderId="74" applyNumberFormat="0" applyProtection="0">
      <alignment horizontal="left" vertical="center" indent="1"/>
    </xf>
    <xf numFmtId="0" fontId="9" fillId="72" borderId="74" applyNumberFormat="0" applyProtection="0">
      <alignment horizontal="left" vertical="top" indent="1"/>
    </xf>
    <xf numFmtId="0" fontId="9" fillId="80" borderId="74" applyNumberFormat="0" applyProtection="0">
      <alignment horizontal="left" vertical="center" indent="1"/>
    </xf>
    <xf numFmtId="0" fontId="9" fillId="80" borderId="74" applyNumberFormat="0" applyProtection="0">
      <alignment horizontal="left" vertical="top" indent="1"/>
    </xf>
    <xf numFmtId="4" fontId="144" fillId="47" borderId="74" applyNumberFormat="0" applyProtection="0">
      <alignment vertical="center"/>
    </xf>
    <xf numFmtId="4" fontId="275" fillId="47" borderId="74" applyNumberFormat="0" applyProtection="0">
      <alignment vertical="center"/>
    </xf>
    <xf numFmtId="4" fontId="144" fillId="47" borderId="74" applyNumberFormat="0" applyProtection="0">
      <alignment horizontal="left" vertical="center" indent="1"/>
    </xf>
    <xf numFmtId="0" fontId="144" fillId="47" borderId="74" applyNumberFormat="0" applyProtection="0">
      <alignment horizontal="left" vertical="top" indent="1"/>
    </xf>
    <xf numFmtId="0" fontId="144" fillId="103" borderId="74" applyNumberFormat="0" applyProtection="0">
      <alignment horizontal="right" vertical="center"/>
    </xf>
    <xf numFmtId="4" fontId="275" fillId="101" borderId="74" applyNumberFormat="0" applyProtection="0">
      <alignment horizontal="right" vertical="center"/>
    </xf>
    <xf numFmtId="0" fontId="144" fillId="104" borderId="74" applyNumberFormat="0" applyProtection="0">
      <alignment horizontal="left" vertical="center" indent="1"/>
    </xf>
    <xf numFmtId="0" fontId="253" fillId="105" borderId="75" applyNumberFormat="0" applyProtection="0">
      <alignment horizontal="center" vertical="center" wrapText="1"/>
    </xf>
    <xf numFmtId="4" fontId="276" fillId="106" borderId="0" applyNumberFormat="0" applyProtection="0">
      <alignment horizontal="left" vertical="center" indent="1"/>
    </xf>
    <xf numFmtId="4" fontId="277" fillId="101" borderId="74" applyNumberFormat="0" applyProtection="0">
      <alignment horizontal="right" vertical="center"/>
    </xf>
    <xf numFmtId="0" fontId="9" fillId="0" borderId="0"/>
    <xf numFmtId="0" fontId="31" fillId="0" borderId="0" applyNumberFormat="0" applyFill="0" applyBorder="0" applyAlignment="0" applyProtection="0"/>
    <xf numFmtId="0" fontId="278" fillId="0" borderId="0" applyNumberFormat="0" applyFill="0" applyBorder="0" applyAlignment="0" applyProtection="0"/>
    <xf numFmtId="0" fontId="32" fillId="0" borderId="0" applyNumberFormat="0" applyFill="0" applyBorder="0" applyAlignment="0" applyProtection="0"/>
    <xf numFmtId="0" fontId="279" fillId="0" borderId="0" applyNumberFormat="0" applyFill="0" applyBorder="0" applyAlignment="0" applyProtection="0"/>
    <xf numFmtId="0" fontId="20" fillId="0" borderId="20" applyNumberFormat="0" applyFill="0" applyAlignment="0" applyProtection="0"/>
    <xf numFmtId="0" fontId="280" fillId="0" borderId="20" applyNumberFormat="0" applyFill="0" applyAlignment="0" applyProtection="0"/>
    <xf numFmtId="0" fontId="21" fillId="0" borderId="21" applyNumberFormat="0" applyFill="0" applyAlignment="0" applyProtection="0"/>
    <xf numFmtId="0" fontId="281" fillId="0" borderId="21" applyNumberFormat="0" applyFill="0" applyAlignment="0" applyProtection="0"/>
    <xf numFmtId="0" fontId="22" fillId="0" borderId="22" applyNumberFormat="0" applyFill="0" applyAlignment="0" applyProtection="0"/>
    <xf numFmtId="0" fontId="185" fillId="0" borderId="22" applyNumberFormat="0" applyFill="0" applyAlignment="0" applyProtection="0"/>
    <xf numFmtId="0" fontId="19" fillId="0" borderId="0" applyNumberFormat="0" applyFill="0" applyBorder="0" applyAlignment="0" applyProtection="0"/>
    <xf numFmtId="0" fontId="282" fillId="0" borderId="0" applyNumberFormat="0" applyFill="0" applyBorder="0" applyAlignment="0" applyProtection="0"/>
    <xf numFmtId="0" fontId="216" fillId="107" borderId="1" applyNumberFormat="0" applyBorder="0">
      <alignment horizontal="center" vertical="center" wrapText="1"/>
    </xf>
    <xf numFmtId="0" fontId="216" fillId="107" borderId="1" applyNumberFormat="0" applyBorder="0">
      <alignment horizontal="center" vertical="center" wrapText="1"/>
    </xf>
    <xf numFmtId="0" fontId="33" fillId="0" borderId="28" applyNumberFormat="0" applyFill="0" applyAlignment="0" applyProtection="0"/>
    <xf numFmtId="0" fontId="4" fillId="0" borderId="28" applyNumberFormat="0" applyFill="0" applyAlignment="0" applyProtection="0"/>
    <xf numFmtId="0" fontId="1" fillId="0" borderId="0"/>
    <xf numFmtId="165"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8" fillId="0" borderId="0" applyNumberFormat="0" applyFill="0" applyBorder="0">
      <alignment vertical="center"/>
    </xf>
    <xf numFmtId="0" fontId="35" fillId="0" borderId="0"/>
    <xf numFmtId="43" fontId="8" fillId="0" borderId="0" applyFont="0" applyFill="0" applyBorder="0" applyAlignment="0" applyProtection="0"/>
    <xf numFmtId="44" fontId="109" fillId="0" borderId="0" applyFont="0" applyFill="0" applyBorder="0" applyAlignment="0" applyProtection="0"/>
    <xf numFmtId="0" fontId="9" fillId="0" borderId="80">
      <alignment vertical="top"/>
    </xf>
    <xf numFmtId="8" fontId="109" fillId="0" borderId="0" applyFont="0" applyFill="0" applyBorder="0" applyAlignment="0" applyProtection="0"/>
    <xf numFmtId="0" fontId="133" fillId="78" borderId="80" applyNumberFormat="0" applyFill="0" applyBorder="0" applyAlignment="0" applyProtection="0">
      <protection locked="0"/>
    </xf>
    <xf numFmtId="5" fontId="135" fillId="0" borderId="8" applyAlignment="0" applyProtection="0"/>
    <xf numFmtId="5" fontId="135" fillId="0" borderId="8" applyAlignment="0" applyProtection="0"/>
    <xf numFmtId="5" fontId="135" fillId="0" borderId="8" applyAlignment="0" applyProtection="0"/>
    <xf numFmtId="8" fontId="9" fillId="0" borderId="57" applyFont="0" applyFill="0" applyBorder="0" applyProtection="0">
      <alignment horizontal="right"/>
    </xf>
    <xf numFmtId="8" fontId="9" fillId="0" borderId="57" applyFont="0" applyFill="0" applyBorder="0" applyProtection="0">
      <alignment horizontal="right"/>
    </xf>
    <xf numFmtId="8" fontId="9" fillId="0" borderId="57" applyFont="0" applyFill="0" applyBorder="0" applyProtection="0">
      <alignment horizontal="right"/>
    </xf>
    <xf numFmtId="8" fontId="166" fillId="0" borderId="0" applyBorder="0"/>
    <xf numFmtId="44" fontId="9" fillId="0" borderId="0" applyFont="0" applyFill="0" applyBorder="0" applyAlignment="0" applyProtection="0"/>
    <xf numFmtId="44" fontId="9" fillId="0" borderId="0" applyFont="0" applyFill="0" applyBorder="0" applyAlignment="0" applyProtection="0"/>
    <xf numFmtId="5" fontId="130" fillId="0" borderId="0"/>
    <xf numFmtId="2" fontId="131" fillId="0" borderId="81"/>
    <xf numFmtId="2" fontId="131" fillId="0" borderId="81"/>
    <xf numFmtId="2" fontId="131" fillId="0" borderId="81"/>
    <xf numFmtId="0" fontId="179" fillId="46" borderId="77" applyNumberFormat="0" applyBorder="0" applyAlignment="0">
      <alignment horizontal="center"/>
    </xf>
    <xf numFmtId="0" fontId="179" fillId="46" borderId="77" applyNumberFormat="0" applyBorder="0" applyAlignment="0">
      <alignment horizontal="center"/>
    </xf>
    <xf numFmtId="0" fontId="179" fillId="46" borderId="77" applyNumberFormat="0" applyBorder="0" applyAlignment="0">
      <alignment horizont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44" fontId="48" fillId="0" borderId="0">
      <alignment horizontal="justify"/>
    </xf>
    <xf numFmtId="0" fontId="215" fillId="96" borderId="80"/>
    <xf numFmtId="9" fontId="1" fillId="0" borderId="0" applyFont="0" applyFill="0" applyBorder="0" applyAlignment="0" applyProtection="0"/>
    <xf numFmtId="0" fontId="37" fillId="0" borderId="79" applyNumberFormat="0" applyAlignment="0" applyProtection="0">
      <alignment horizontal="left" vertical="center"/>
    </xf>
    <xf numFmtId="0" fontId="9" fillId="80" borderId="94" applyNumberFormat="0" applyProtection="0">
      <alignment horizontal="left" vertical="center" indent="1"/>
    </xf>
    <xf numFmtId="0" fontId="191" fillId="59" borderId="89" applyNumberFormat="0" applyAlignment="0" applyProtection="0"/>
    <xf numFmtId="0" fontId="145" fillId="75" borderId="89" applyNumberFormat="0" applyAlignment="0" applyProtection="0"/>
    <xf numFmtId="0" fontId="68" fillId="0" borderId="35" applyNumberFormat="0" applyFill="0" applyProtection="0">
      <alignment horizontal="center"/>
    </xf>
    <xf numFmtId="0" fontId="110" fillId="0" borderId="53" applyBorder="0"/>
    <xf numFmtId="0" fontId="110" fillId="0" borderId="53" applyBorder="0"/>
    <xf numFmtId="0" fontId="110" fillId="0" borderId="53" applyBorder="0"/>
    <xf numFmtId="9" fontId="9" fillId="0" borderId="53" applyNumberFormat="0" applyFont="0" applyFill="0" applyAlignment="0" applyProtection="0"/>
    <xf numFmtId="9" fontId="9" fillId="0" borderId="53" applyNumberFormat="0" applyFont="0" applyFill="0" applyAlignment="0" applyProtection="0"/>
    <xf numFmtId="9" fontId="9" fillId="0" borderId="53" applyNumberFormat="0" applyFont="0" applyFill="0" applyAlignment="0" applyProtection="0"/>
    <xf numFmtId="9" fontId="9" fillId="0" borderId="53" applyNumberFormat="0" applyFont="0" applyFill="0" applyAlignment="0" applyProtection="0"/>
    <xf numFmtId="9" fontId="9" fillId="0" borderId="53" applyNumberFormat="0" applyFont="0" applyFill="0" applyAlignment="0" applyProtection="0"/>
    <xf numFmtId="9" fontId="9" fillId="0" borderId="53" applyNumberFormat="0" applyFont="0" applyFill="0" applyAlignment="0" applyProtection="0"/>
    <xf numFmtId="9" fontId="9" fillId="0" borderId="53" applyNumberFormat="0" applyFont="0" applyFill="0" applyAlignment="0" applyProtection="0"/>
    <xf numFmtId="9" fontId="9" fillId="0" borderId="53" applyNumberFormat="0" applyFont="0" applyFill="0" applyAlignment="0" applyProtection="0"/>
    <xf numFmtId="9" fontId="9" fillId="0" borderId="53" applyNumberFormat="0" applyFont="0" applyFill="0" applyAlignment="0" applyProtection="0"/>
    <xf numFmtId="0" fontId="132" fillId="0" borderId="53" applyNumberFormat="0" applyFill="0" applyAlignment="0" applyProtection="0"/>
    <xf numFmtId="0" fontId="132" fillId="0" borderId="53" applyNumberFormat="0" applyFill="0" applyAlignment="0" applyProtection="0"/>
    <xf numFmtId="0" fontId="132" fillId="0" borderId="53" applyNumberFormat="0" applyFill="0" applyAlignment="0" applyProtection="0"/>
    <xf numFmtId="0" fontId="132" fillId="0" borderId="53" applyNumberFormat="0" applyFill="0" applyAlignment="0" applyProtection="0"/>
    <xf numFmtId="0" fontId="132" fillId="0" borderId="53" applyNumberFormat="0" applyFill="0" applyAlignment="0" applyProtection="0"/>
    <xf numFmtId="0" fontId="132" fillId="0" borderId="53" applyNumberFormat="0" applyFill="0" applyAlignment="0" applyProtection="0"/>
    <xf numFmtId="229" fontId="12" fillId="0" borderId="82" applyNumberFormat="0" applyFont="0" applyFill="0" applyBorder="0" applyAlignment="0" applyProtection="0"/>
    <xf numFmtId="0" fontId="156" fillId="0" borderId="53" applyNumberFormat="0" applyFill="0" applyProtection="0">
      <alignment horizontal="center"/>
    </xf>
    <xf numFmtId="0" fontId="156" fillId="0" borderId="53" applyNumberFormat="0" applyFill="0" applyProtection="0">
      <alignment horizontal="center"/>
    </xf>
    <xf numFmtId="0" fontId="156" fillId="0" borderId="53" applyNumberFormat="0" applyFill="0" applyProtection="0">
      <alignment horizontal="center"/>
    </xf>
    <xf numFmtId="264" fontId="13" fillId="0" borderId="53"/>
    <xf numFmtId="264" fontId="13" fillId="0" borderId="53"/>
    <xf numFmtId="264" fontId="13" fillId="0" borderId="53"/>
    <xf numFmtId="249" fontId="9" fillId="0" borderId="53" applyFont="0" applyFill="0" applyBorder="0" applyAlignment="0" applyProtection="0">
      <alignment horizontal="right"/>
    </xf>
    <xf numFmtId="265" fontId="174" fillId="0" borderId="53" applyFont="0" applyFill="0" applyBorder="0" applyAlignment="0" applyProtection="0">
      <alignment horizontal="right"/>
    </xf>
    <xf numFmtId="265" fontId="174" fillId="0" borderId="53" applyFont="0" applyFill="0" applyBorder="0" applyAlignment="0" applyProtection="0">
      <alignment horizontal="right"/>
    </xf>
    <xf numFmtId="265" fontId="174" fillId="0" borderId="53" applyFont="0" applyFill="0" applyBorder="0" applyAlignment="0" applyProtection="0">
      <alignment horizontal="right"/>
    </xf>
    <xf numFmtId="265" fontId="174" fillId="0" borderId="53" applyFont="0" applyFill="0" applyBorder="0" applyAlignment="0" applyProtection="0">
      <alignment horizontal="right"/>
    </xf>
    <xf numFmtId="265" fontId="174" fillId="0" borderId="53" applyFont="0" applyFill="0" applyBorder="0" applyAlignment="0" applyProtection="0">
      <alignment horizontal="right"/>
    </xf>
    <xf numFmtId="265" fontId="174" fillId="0" borderId="53" applyFont="0" applyFill="0" applyBorder="0" applyAlignment="0" applyProtection="0">
      <alignment horizontal="right"/>
    </xf>
    <xf numFmtId="249" fontId="9" fillId="0" borderId="53" applyFont="0" applyFill="0" applyBorder="0" applyAlignment="0" applyProtection="0">
      <alignment horizontal="right"/>
    </xf>
    <xf numFmtId="249" fontId="9" fillId="0" borderId="53" applyFont="0" applyFill="0" applyBorder="0" applyAlignment="0" applyProtection="0">
      <alignment horizontal="right"/>
    </xf>
    <xf numFmtId="0" fontId="175" fillId="0" borderId="53"/>
    <xf numFmtId="0" fontId="175" fillId="0" borderId="53"/>
    <xf numFmtId="0" fontId="175" fillId="0" borderId="53"/>
    <xf numFmtId="299" fontId="202" fillId="75" borderId="81" applyAlignment="0" applyProtection="0"/>
    <xf numFmtId="0" fontId="9" fillId="0" borderId="53" applyFill="0" applyProtection="0">
      <alignment horizontal="centerContinuous"/>
    </xf>
    <xf numFmtId="0" fontId="9" fillId="0" borderId="53" applyFill="0" applyProtection="0">
      <alignment horizontal="centerContinuous"/>
    </xf>
    <xf numFmtId="0" fontId="9" fillId="0" borderId="53" applyFill="0" applyProtection="0">
      <alignment horizontal="centerContinuous"/>
    </xf>
    <xf numFmtId="0" fontId="9" fillId="0" borderId="53" applyFill="0" applyProtection="0">
      <alignment horizontal="centerContinuous"/>
    </xf>
    <xf numFmtId="0" fontId="9" fillId="0" borderId="53" applyFill="0" applyProtection="0">
      <alignment horizontal="centerContinuous"/>
    </xf>
    <xf numFmtId="0" fontId="9" fillId="0" borderId="53" applyFill="0" applyProtection="0">
      <alignment horizontal="centerContinuous"/>
    </xf>
    <xf numFmtId="0" fontId="9" fillId="0" borderId="53" applyFill="0" applyProtection="0">
      <alignment horizontal="centerContinuous"/>
    </xf>
    <xf numFmtId="0" fontId="9" fillId="0" borderId="53" applyFill="0" applyProtection="0">
      <alignment horizontal="centerContinuous"/>
    </xf>
    <xf numFmtId="0" fontId="9" fillId="0" borderId="53" applyFill="0" applyProtection="0">
      <alignment horizontal="centerContinuous"/>
    </xf>
    <xf numFmtId="0" fontId="223" fillId="0" borderId="53"/>
    <xf numFmtId="0" fontId="223" fillId="0" borderId="53"/>
    <xf numFmtId="0" fontId="223" fillId="0" borderId="53"/>
    <xf numFmtId="0" fontId="223" fillId="0" borderId="53"/>
    <xf numFmtId="0" fontId="37" fillId="0" borderId="81">
      <alignment horizontal="left" vertical="center"/>
    </xf>
    <xf numFmtId="37" fontId="9" fillId="46" borderId="53" applyNumberFormat="0" applyBorder="0" applyAlignment="0"/>
    <xf numFmtId="37" fontId="9" fillId="46" borderId="53" applyNumberFormat="0" applyBorder="0" applyAlignment="0"/>
    <xf numFmtId="37" fontId="9" fillId="46" borderId="53" applyNumberFormat="0" applyBorder="0" applyAlignment="0"/>
    <xf numFmtId="204" fontId="12" fillId="47" borderId="53" applyNumberFormat="0" applyFont="0" applyAlignment="0" applyProtection="0">
      <alignment horizontal="center"/>
      <protection locked="0"/>
    </xf>
    <xf numFmtId="204" fontId="12" fillId="47" borderId="53" applyNumberFormat="0" applyFont="0" applyAlignment="0" applyProtection="0">
      <alignment horizontal="center"/>
      <protection locked="0"/>
    </xf>
    <xf numFmtId="204" fontId="12" fillId="47" borderId="53" applyNumberFormat="0" applyFont="0" applyAlignment="0" applyProtection="0">
      <alignment horizontal="center"/>
      <protection locked="0"/>
    </xf>
    <xf numFmtId="204" fontId="12" fillId="47" borderId="53" applyNumberFormat="0" applyFont="0" applyAlignment="0" applyProtection="0">
      <alignment horizontal="center"/>
      <protection locked="0"/>
    </xf>
    <xf numFmtId="204" fontId="12" fillId="47" borderId="53" applyNumberFormat="0" applyFont="0" applyAlignment="0" applyProtection="0">
      <alignment horizontal="center"/>
      <protection locked="0"/>
    </xf>
    <xf numFmtId="204" fontId="12" fillId="47" borderId="53" applyNumberFormat="0" applyFont="0" applyAlignment="0" applyProtection="0">
      <alignment horizontal="center"/>
      <protection locked="0"/>
    </xf>
    <xf numFmtId="204" fontId="12" fillId="47" borderId="53" applyNumberFormat="0" applyFont="0" applyAlignment="0" applyProtection="0">
      <alignment horizontal="center"/>
      <protection locked="0"/>
    </xf>
    <xf numFmtId="204" fontId="12" fillId="47" borderId="53" applyNumberFormat="0" applyFont="0" applyAlignment="0" applyProtection="0">
      <alignment horizontal="center"/>
      <protection locked="0"/>
    </xf>
    <xf numFmtId="204" fontId="12" fillId="47" borderId="53" applyNumberFormat="0" applyFont="0" applyAlignment="0" applyProtection="0">
      <alignment horizontal="center"/>
      <protection locked="0"/>
    </xf>
    <xf numFmtId="0" fontId="116" fillId="0" borderId="53" applyNumberFormat="0" applyFont="0" applyFill="0" applyAlignment="0" applyProtection="0"/>
    <xf numFmtId="0" fontId="116" fillId="0" borderId="53" applyNumberFormat="0" applyFont="0" applyFill="0" applyAlignment="0" applyProtection="0"/>
    <xf numFmtId="0" fontId="116" fillId="0" borderId="53" applyNumberFormat="0" applyFont="0" applyFill="0" applyAlignment="0" applyProtection="0"/>
    <xf numFmtId="0" fontId="116" fillId="0" borderId="53" applyNumberFormat="0" applyFont="0" applyFill="0" applyAlignment="0" applyProtection="0"/>
    <xf numFmtId="0" fontId="116" fillId="0" borderId="53" applyNumberFormat="0" applyFont="0" applyFill="0" applyAlignment="0" applyProtection="0"/>
    <xf numFmtId="0" fontId="116" fillId="0" borderId="53" applyNumberFormat="0" applyFont="0" applyFill="0" applyAlignment="0" applyProtection="0"/>
    <xf numFmtId="0" fontId="116" fillId="0" borderId="53" applyNumberFormat="0" applyFont="0" applyFill="0" applyAlignment="0" applyProtection="0"/>
    <xf numFmtId="0" fontId="116" fillId="0" borderId="53" applyNumberFormat="0" applyFont="0" applyFill="0" applyAlignment="0" applyProtection="0"/>
    <xf numFmtId="0" fontId="116" fillId="0" borderId="53" applyNumberFormat="0" applyFont="0" applyFill="0" applyAlignment="0" applyProtection="0"/>
    <xf numFmtId="327" fontId="9" fillId="0" borderId="53" applyFont="0" applyFill="0" applyBorder="0" applyAlignment="0" applyProtection="0">
      <alignment horizontal="centerContinuous"/>
    </xf>
    <xf numFmtId="327" fontId="9" fillId="0" borderId="53" applyFont="0" applyFill="0" applyBorder="0" applyAlignment="0" applyProtection="0">
      <alignment horizontal="centerContinuous"/>
    </xf>
    <xf numFmtId="327" fontId="9" fillId="0" borderId="53" applyFont="0" applyFill="0" applyBorder="0" applyAlignment="0" applyProtection="0">
      <alignment horizontal="centerContinuous"/>
    </xf>
    <xf numFmtId="327" fontId="9" fillId="0" borderId="53" applyFont="0" applyFill="0" applyBorder="0" applyAlignment="0" applyProtection="0">
      <alignment horizontal="centerContinuous"/>
    </xf>
    <xf numFmtId="327" fontId="9" fillId="0" borderId="53" applyFont="0" applyFill="0" applyBorder="0" applyAlignment="0" applyProtection="0">
      <alignment horizontal="centerContinuous"/>
    </xf>
    <xf numFmtId="327" fontId="9" fillId="0" borderId="53" applyFont="0" applyFill="0" applyBorder="0" applyAlignment="0" applyProtection="0">
      <alignment horizontal="centerContinuous"/>
    </xf>
    <xf numFmtId="37" fontId="12" fillId="0" borderId="53" applyNumberFormat="0" applyFont="0" applyFill="0" applyBorder="0" applyAlignment="0"/>
    <xf numFmtId="37" fontId="12" fillId="0" borderId="53" applyNumberFormat="0" applyFont="0" applyFill="0" applyBorder="0" applyAlignment="0"/>
    <xf numFmtId="37" fontId="12" fillId="0" borderId="53" applyNumberFormat="0" applyFont="0" applyFill="0" applyBorder="0" applyAlignment="0"/>
    <xf numFmtId="0" fontId="223" fillId="0" borderId="53" applyFill="0" applyAlignment="0" applyProtection="0"/>
    <xf numFmtId="0" fontId="223" fillId="0" borderId="53" applyFill="0" applyAlignment="0" applyProtection="0"/>
    <xf numFmtId="0" fontId="223" fillId="0" borderId="53" applyFill="0" applyAlignment="0" applyProtection="0"/>
    <xf numFmtId="0" fontId="223" fillId="0" borderId="53" applyFill="0" applyAlignment="0" applyProtection="0"/>
    <xf numFmtId="0" fontId="223" fillId="0" borderId="53" applyFill="0" applyAlignment="0" applyProtection="0"/>
    <xf numFmtId="0" fontId="223" fillId="0" borderId="53" applyFill="0" applyAlignment="0" applyProtection="0"/>
    <xf numFmtId="0" fontId="223" fillId="0" borderId="53" applyFill="0" applyAlignment="0" applyProtection="0"/>
    <xf numFmtId="0" fontId="223" fillId="0" borderId="53" applyFill="0" applyAlignment="0" applyProtection="0"/>
    <xf numFmtId="0" fontId="223" fillId="0" borderId="53" applyFill="0" applyAlignment="0" applyProtection="0"/>
    <xf numFmtId="37" fontId="12" fillId="78" borderId="81" applyNumberFormat="0" applyFont="0" applyFill="0" applyBorder="0" applyAlignment="0" applyProtection="0"/>
    <xf numFmtId="305" fontId="9" fillId="0" borderId="85">
      <alignment horizontal="left"/>
      <protection locked="0"/>
    </xf>
    <xf numFmtId="38" fontId="15" fillId="46" borderId="92" applyNumberFormat="0" applyFont="0" applyAlignment="0"/>
    <xf numFmtId="4" fontId="144" fillId="61" borderId="94" applyNumberFormat="0" applyProtection="0">
      <alignment horizontal="right" vertical="center"/>
    </xf>
    <xf numFmtId="4" fontId="273" fillId="100" borderId="76" applyNumberFormat="0" applyProtection="0">
      <alignment horizontal="left" vertical="center" indent="1"/>
    </xf>
    <xf numFmtId="0" fontId="145" fillId="75" borderId="89" applyNumberFormat="0" applyAlignment="0" applyProtection="0"/>
    <xf numFmtId="0" fontId="68" fillId="0" borderId="35" applyNumberFormat="0" applyFill="0" applyProtection="0">
      <alignment horizontal="center"/>
    </xf>
    <xf numFmtId="0" fontId="37" fillId="0" borderId="79" applyNumberFormat="0" applyAlignment="0" applyProtection="0">
      <alignment horizontal="left" vertical="center"/>
    </xf>
    <xf numFmtId="0" fontId="68" fillId="0" borderId="35" applyNumberFormat="0" applyFill="0" applyProtection="0">
      <alignment horizontal="center"/>
    </xf>
    <xf numFmtId="4" fontId="273" fillId="44" borderId="94" applyNumberFormat="0" applyProtection="0">
      <alignment horizontal="left" vertical="center" indent="1"/>
    </xf>
    <xf numFmtId="4" fontId="275" fillId="101" borderId="94" applyNumberFormat="0" applyProtection="0">
      <alignment horizontal="right" vertical="center"/>
    </xf>
    <xf numFmtId="0" fontId="68" fillId="0" borderId="35" applyNumberFormat="0" applyFill="0" applyProtection="0">
      <alignment horizontal="center"/>
    </xf>
    <xf numFmtId="0" fontId="73" fillId="0" borderId="86">
      <alignment horizontal="left"/>
    </xf>
    <xf numFmtId="0" fontId="230" fillId="0" borderId="47">
      <alignment horizontal="center"/>
    </xf>
    <xf numFmtId="0" fontId="144" fillId="104" borderId="94" applyNumberFormat="0" applyProtection="0">
      <alignment horizontal="left" vertical="center" indent="1"/>
    </xf>
    <xf numFmtId="4" fontId="273" fillId="100" borderId="76" applyNumberFormat="0" applyProtection="0">
      <alignment horizontal="left" vertical="center" indent="1"/>
    </xf>
    <xf numFmtId="202" fontId="73" fillId="0" borderId="86">
      <alignment horizontal="left" vertical="center"/>
    </xf>
    <xf numFmtId="0" fontId="68" fillId="0" borderId="35" applyNumberFormat="0" applyFill="0" applyProtection="0">
      <alignment horizontal="center"/>
    </xf>
    <xf numFmtId="0" fontId="273" fillId="44" borderId="94" applyNumberFormat="0" applyProtection="0">
      <alignment horizontal="left" vertical="top" indent="1"/>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5" fontId="135" fillId="0" borderId="84" applyAlignment="0" applyProtection="0"/>
    <xf numFmtId="0" fontId="254" fillId="0" borderId="47"/>
    <xf numFmtId="4" fontId="144" fillId="62" borderId="94" applyNumberFormat="0" applyProtection="0">
      <alignment horizontal="right" vertical="center"/>
    </xf>
    <xf numFmtId="0" fontId="68" fillId="0" borderId="35" applyNumberFormat="0" applyFill="0" applyProtection="0">
      <alignment horizontal="center"/>
    </xf>
    <xf numFmtId="4" fontId="273" fillId="100" borderId="76" applyNumberFormat="0" applyProtection="0">
      <alignment horizontal="left" vertical="center" indent="1"/>
    </xf>
    <xf numFmtId="4" fontId="274" fillId="44" borderId="94" applyNumberFormat="0" applyProtection="0">
      <alignment vertical="center"/>
    </xf>
    <xf numFmtId="0" fontId="68" fillId="0" borderId="35" applyNumberFormat="0" applyFill="0" applyProtection="0">
      <alignment horizontal="center"/>
    </xf>
    <xf numFmtId="0" fontId="68" fillId="0" borderId="35" applyNumberFormat="0" applyFill="0" applyProtection="0">
      <alignment horizontal="center"/>
    </xf>
    <xf numFmtId="4" fontId="277" fillId="101" borderId="94" applyNumberFormat="0" applyProtection="0">
      <alignment horizontal="right" vertical="center"/>
    </xf>
    <xf numFmtId="0" fontId="68" fillId="0" borderId="35" applyNumberFormat="0" applyFill="0" applyProtection="0">
      <alignment horizontal="center"/>
    </xf>
    <xf numFmtId="0" fontId="254" fillId="0" borderId="47"/>
    <xf numFmtId="0" fontId="9" fillId="50" borderId="93" applyNumberFormat="0" applyFont="0" applyAlignment="0" applyProtection="0"/>
    <xf numFmtId="0" fontId="68" fillId="0" borderId="35" applyNumberFormat="0" applyFill="0" applyProtection="0">
      <alignment horizontal="center"/>
    </xf>
    <xf numFmtId="4" fontId="273" fillId="100" borderId="76" applyNumberFormat="0" applyProtection="0">
      <alignment horizontal="left" vertical="center" indent="1"/>
    </xf>
    <xf numFmtId="0" fontId="68" fillId="0" borderId="35" applyNumberFormat="0" applyFill="0" applyProtection="0">
      <alignment horizontal="center"/>
    </xf>
    <xf numFmtId="0" fontId="68" fillId="0" borderId="35" applyNumberFormat="0" applyFill="0" applyProtection="0">
      <alignment horizontal="center"/>
    </xf>
    <xf numFmtId="0" fontId="230" fillId="0" borderId="47">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9" fillId="102" borderId="94" applyNumberFormat="0" applyProtection="0">
      <alignment horizontal="left" vertical="center" indent="1"/>
    </xf>
    <xf numFmtId="0" fontId="68" fillId="0" borderId="35" applyNumberFormat="0" applyFill="0" applyProtection="0">
      <alignment horizontal="center"/>
    </xf>
    <xf numFmtId="0" fontId="68" fillId="0" borderId="35" applyNumberFormat="0" applyFill="0" applyProtection="0">
      <alignment horizontal="center"/>
    </xf>
    <xf numFmtId="0" fontId="191" fillId="59" borderId="89" applyNumberFormat="0" applyAlignment="0" applyProtection="0"/>
    <xf numFmtId="0" fontId="68" fillId="0" borderId="35" applyNumberFormat="0" applyFill="0" applyProtection="0">
      <alignment horizontal="center"/>
    </xf>
    <xf numFmtId="202" fontId="73" fillId="0" borderId="86">
      <alignment horizontal="left" vertical="center"/>
    </xf>
    <xf numFmtId="0" fontId="68" fillId="0" borderId="35" applyNumberFormat="0" applyFill="0" applyProtection="0">
      <alignment horizontal="center"/>
    </xf>
    <xf numFmtId="0" fontId="145" fillId="75" borderId="89" applyNumberFormat="0" applyAlignment="0" applyProtection="0"/>
    <xf numFmtId="0" fontId="9" fillId="52" borderId="94" applyNumberFormat="0" applyProtection="0">
      <alignment horizontal="left" vertical="center" indent="1"/>
    </xf>
    <xf numFmtId="0" fontId="254" fillId="0" borderId="47"/>
    <xf numFmtId="4" fontId="273" fillId="100" borderId="76" applyNumberFormat="0" applyProtection="0">
      <alignment horizontal="left" vertical="center" indent="1"/>
    </xf>
    <xf numFmtId="0" fontId="68" fillId="0" borderId="35" applyNumberFormat="0" applyFill="0" applyProtection="0">
      <alignment horizontal="center"/>
    </xf>
    <xf numFmtId="0" fontId="37" fillId="0" borderId="79" applyNumberFormat="0" applyAlignment="0" applyProtection="0">
      <alignment horizontal="left" vertical="center"/>
    </xf>
    <xf numFmtId="0" fontId="113" fillId="0" borderId="47" applyNumberFormat="0" applyFont="0" applyFill="0" applyAlignment="0" applyProtection="0"/>
    <xf numFmtId="0" fontId="9" fillId="102" borderId="94" applyNumberFormat="0" applyProtection="0">
      <alignment horizontal="left" vertical="top" indent="1"/>
    </xf>
    <xf numFmtId="0" fontId="68" fillId="0" borderId="35" applyNumberFormat="0" applyFill="0" applyProtection="0">
      <alignment horizontal="center"/>
    </xf>
    <xf numFmtId="0" fontId="68" fillId="0" borderId="35" applyNumberFormat="0" applyFill="0" applyProtection="0">
      <alignment horizontal="center"/>
    </xf>
    <xf numFmtId="5" fontId="135" fillId="0" borderId="84" applyAlignment="0" applyProtection="0"/>
    <xf numFmtId="0" fontId="68" fillId="0" borderId="35" applyNumberFormat="0" applyFill="0" applyProtection="0">
      <alignment horizontal="center"/>
    </xf>
    <xf numFmtId="0" fontId="254" fillId="0" borderId="47"/>
    <xf numFmtId="38" fontId="15" fillId="46" borderId="92" applyNumberFormat="0" applyFont="0" applyAlignment="0"/>
    <xf numFmtId="0" fontId="68" fillId="0" borderId="35" applyNumberFormat="0" applyFill="0" applyProtection="0">
      <alignment horizontal="center"/>
    </xf>
    <xf numFmtId="0" fontId="68" fillId="0" borderId="35" applyNumberFormat="0" applyFill="0" applyProtection="0">
      <alignment horizontal="center"/>
    </xf>
    <xf numFmtId="4" fontId="273" fillId="100" borderId="76" applyNumberFormat="0" applyProtection="0">
      <alignment horizontal="left" vertical="center" indent="1"/>
    </xf>
    <xf numFmtId="0" fontId="9" fillId="52" borderId="94" applyNumberFormat="0" applyProtection="0">
      <alignment horizontal="left" vertical="top" indent="1"/>
    </xf>
    <xf numFmtId="0" fontId="68" fillId="0" borderId="35" applyNumberFormat="0" applyFill="0" applyProtection="0">
      <alignment horizontal="center"/>
    </xf>
    <xf numFmtId="0" fontId="68" fillId="0" borderId="35" applyNumberFormat="0" applyFill="0" applyProtection="0">
      <alignment horizontal="center"/>
    </xf>
    <xf numFmtId="0" fontId="191" fillId="59" borderId="89" applyNumberFormat="0" applyAlignment="0" applyProtection="0"/>
    <xf numFmtId="37" fontId="12" fillId="78" borderId="83" applyNumberFormat="0" applyFont="0" applyFill="0" applyBorder="0" applyAlignment="0" applyProtection="0"/>
    <xf numFmtId="0" fontId="191" fillId="59" borderId="89" applyNumberFormat="0" applyAlignment="0" applyProtection="0"/>
    <xf numFmtId="4" fontId="274" fillId="44" borderId="94" applyNumberFormat="0" applyProtection="0">
      <alignment vertical="center"/>
    </xf>
    <xf numFmtId="0" fontId="68" fillId="0" borderId="35" applyNumberFormat="0" applyFill="0" applyProtection="0">
      <alignment horizontal="center"/>
    </xf>
    <xf numFmtId="37" fontId="12" fillId="78" borderId="83" applyNumberFormat="0" applyFont="0" applyFill="0" applyBorder="0" applyAlignment="0" applyProtection="0"/>
    <xf numFmtId="0" fontId="191" fillId="59" borderId="89" applyNumberFormat="0" applyAlignment="0" applyProtection="0"/>
    <xf numFmtId="4" fontId="144" fillId="47" borderId="94" applyNumberFormat="0" applyProtection="0">
      <alignment vertical="center"/>
    </xf>
    <xf numFmtId="4" fontId="273" fillId="100" borderId="76" applyNumberFormat="0" applyProtection="0">
      <alignment horizontal="left" vertical="center" indent="1"/>
    </xf>
    <xf numFmtId="0" fontId="230" fillId="0" borderId="47">
      <alignment horizontal="center"/>
    </xf>
    <xf numFmtId="0" fontId="37" fillId="0" borderId="79" applyNumberFormat="0" applyAlignment="0" applyProtection="0">
      <alignment horizontal="left" vertical="center"/>
    </xf>
    <xf numFmtId="0" fontId="9" fillId="50" borderId="93" applyNumberFormat="0" applyFont="0" applyAlignment="0" applyProtection="0"/>
    <xf numFmtId="0" fontId="68" fillId="0" borderId="35" applyNumberFormat="0" applyFill="0" applyProtection="0">
      <alignment horizontal="center"/>
    </xf>
    <xf numFmtId="4" fontId="144" fillId="69" borderId="94" applyNumberFormat="0" applyProtection="0">
      <alignment horizontal="right" vertical="center"/>
    </xf>
    <xf numFmtId="0" fontId="191" fillId="59" borderId="89" applyNumberFormat="0" applyAlignment="0" applyProtection="0"/>
    <xf numFmtId="4" fontId="273" fillId="50" borderId="94" applyNumberFormat="0" applyProtection="0">
      <alignment vertical="center"/>
    </xf>
    <xf numFmtId="0" fontId="230" fillId="0" borderId="47">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254" fillId="0" borderId="47"/>
    <xf numFmtId="0" fontId="68" fillId="0" borderId="35" applyNumberFormat="0" applyFill="0" applyProtection="0">
      <alignment horizontal="center"/>
    </xf>
    <xf numFmtId="4" fontId="275" fillId="47" borderId="94" applyNumberFormat="0" applyProtection="0">
      <alignment vertical="center"/>
    </xf>
    <xf numFmtId="5" fontId="135" fillId="0" borderId="84" applyAlignment="0" applyProtection="0"/>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37" fontId="121" fillId="0" borderId="44" applyNumberFormat="0" applyFont="0" applyFill="0" applyAlignment="0" applyProtection="0">
      <alignment horizontal="centerContinuous"/>
    </xf>
    <xf numFmtId="0" fontId="230" fillId="0" borderId="47">
      <alignment horizontal="center"/>
    </xf>
    <xf numFmtId="0" fontId="145" fillId="75" borderId="89" applyNumberFormat="0" applyAlignment="0" applyProtection="0"/>
    <xf numFmtId="0" fontId="230" fillId="0" borderId="47">
      <alignment horizontal="center"/>
    </xf>
    <xf numFmtId="3" fontId="12" fillId="0" borderId="87" applyNumberFormat="0" applyFill="0" applyBorder="0" applyProtection="0"/>
    <xf numFmtId="0" fontId="144" fillId="103" borderId="94" applyNumberFormat="0" applyProtection="0">
      <alignment horizontal="right" vertical="center"/>
    </xf>
    <xf numFmtId="0" fontId="68" fillId="0" borderId="35" applyNumberFormat="0" applyFill="0" applyProtection="0">
      <alignment horizontal="center"/>
    </xf>
    <xf numFmtId="0" fontId="144" fillId="103" borderId="94" applyNumberFormat="0" applyProtection="0">
      <alignment horizontal="right" vertical="center"/>
    </xf>
    <xf numFmtId="4" fontId="275" fillId="47" borderId="94" applyNumberFormat="0" applyProtection="0">
      <alignment vertical="center"/>
    </xf>
    <xf numFmtId="0" fontId="68" fillId="0" borderId="35" applyNumberFormat="0" applyFill="0" applyProtection="0">
      <alignment horizontal="center"/>
    </xf>
    <xf numFmtId="0" fontId="68" fillId="0" borderId="35" applyNumberFormat="0" applyFill="0" applyProtection="0">
      <alignment horizontal="center"/>
    </xf>
    <xf numFmtId="4" fontId="273" fillId="100" borderId="76" applyNumberFormat="0" applyProtection="0">
      <alignment horizontal="left" vertical="center" indent="1"/>
    </xf>
    <xf numFmtId="4" fontId="273" fillId="100" borderId="76" applyNumberFormat="0" applyProtection="0">
      <alignment horizontal="left" vertical="center" indent="1"/>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9" fillId="52" borderId="94" applyNumberFormat="0" applyProtection="0">
      <alignment horizontal="left" vertical="center" indent="1"/>
    </xf>
    <xf numFmtId="0" fontId="68" fillId="0" borderId="35" applyNumberFormat="0" applyFill="0" applyProtection="0">
      <alignment horizontal="center"/>
    </xf>
    <xf numFmtId="0" fontId="144" fillId="47" borderId="94" applyNumberFormat="0" applyProtection="0">
      <alignment horizontal="left" vertical="top" indent="1"/>
    </xf>
    <xf numFmtId="4" fontId="273" fillId="100" borderId="76" applyNumberFormat="0" applyProtection="0">
      <alignment horizontal="left" vertical="center" indent="1"/>
    </xf>
    <xf numFmtId="0" fontId="68" fillId="0" borderId="35" applyNumberFormat="0" applyFill="0" applyProtection="0">
      <alignment horizontal="center"/>
    </xf>
    <xf numFmtId="4" fontId="144" fillId="55" borderId="94" applyNumberFormat="0" applyProtection="0">
      <alignment horizontal="right" vertical="center"/>
    </xf>
    <xf numFmtId="0" fontId="68" fillId="0" borderId="35" applyNumberFormat="0" applyFill="0" applyProtection="0">
      <alignment horizontal="center"/>
    </xf>
    <xf numFmtId="0" fontId="230" fillId="0" borderId="47">
      <alignment horizontal="center"/>
    </xf>
    <xf numFmtId="4" fontId="144" fillId="67" borderId="94" applyNumberFormat="0" applyProtection="0">
      <alignment horizontal="right" vertic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191" fillId="59" borderId="89" applyNumberFormat="0" applyAlignment="0" applyProtection="0"/>
    <xf numFmtId="37" fontId="121" fillId="0" borderId="44" applyNumberFormat="0" applyFont="0" applyFill="0" applyAlignment="0" applyProtection="0">
      <alignment horizontal="centerContinuous"/>
    </xf>
    <xf numFmtId="0" fontId="68" fillId="0" borderId="35" applyNumberFormat="0" applyFill="0" applyProtection="0">
      <alignment horizontal="center"/>
    </xf>
    <xf numFmtId="0" fontId="37" fillId="0" borderId="79" applyNumberFormat="0" applyAlignment="0" applyProtection="0">
      <alignment horizontal="left" vertical="center"/>
    </xf>
    <xf numFmtId="0" fontId="230" fillId="0" borderId="47">
      <alignment horizontal="center"/>
    </xf>
    <xf numFmtId="0" fontId="197" fillId="0" borderId="86">
      <alignment horizontal="right" wrapText="1"/>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230" fillId="0" borderId="47">
      <alignment horizontal="center"/>
    </xf>
    <xf numFmtId="4" fontId="144" fillId="67" borderId="94" applyNumberFormat="0" applyProtection="0">
      <alignment horizontal="right" vertical="center"/>
    </xf>
    <xf numFmtId="0" fontId="9" fillId="72" borderId="94" applyNumberFormat="0" applyProtection="0">
      <alignment horizontal="left" vertical="center" indent="1"/>
    </xf>
    <xf numFmtId="0" fontId="68" fillId="0" borderId="35" applyNumberFormat="0" applyFill="0" applyProtection="0">
      <alignment horizontal="center"/>
    </xf>
    <xf numFmtId="0" fontId="68" fillId="0" borderId="35" applyNumberFormat="0" applyFill="0" applyProtection="0">
      <alignment horizontal="center"/>
    </xf>
    <xf numFmtId="0" fontId="9" fillId="72" borderId="94" applyNumberFormat="0" applyProtection="0">
      <alignment horizontal="left" vertical="top"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0" fontId="230" fillId="0" borderId="47">
      <alignment horizontal="center"/>
    </xf>
    <xf numFmtId="4" fontId="144" fillId="70" borderId="94" applyNumberFormat="0" applyProtection="0">
      <alignment horizontal="right" vertic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9" fillId="72" borderId="94" applyNumberFormat="0" applyProtection="0">
      <alignment horizontal="left" vertical="top" indent="1"/>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144" fillId="104" borderId="94"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0" fontId="68" fillId="0" borderId="35" applyNumberFormat="0" applyFill="0" applyProtection="0">
      <alignment horizontal="center"/>
    </xf>
    <xf numFmtId="202" fontId="73" fillId="0" borderId="86">
      <alignment horizontal="left" vertical="center"/>
    </xf>
    <xf numFmtId="0" fontId="9" fillId="102" borderId="94" applyNumberFormat="0" applyProtection="0">
      <alignment horizontal="left" vertical="center" indent="1"/>
    </xf>
    <xf numFmtId="0" fontId="254" fillId="0" borderId="47"/>
    <xf numFmtId="0" fontId="68" fillId="0" borderId="35" applyNumberFormat="0" applyFill="0" applyProtection="0">
      <alignment horizontal="center"/>
    </xf>
    <xf numFmtId="0" fontId="68" fillId="0" borderId="35" applyNumberFormat="0" applyFill="0" applyProtection="0">
      <alignment horizontal="center"/>
    </xf>
    <xf numFmtId="0" fontId="254" fillId="0" borderId="47"/>
    <xf numFmtId="0" fontId="68" fillId="0" borderId="35" applyNumberFormat="0" applyFill="0" applyProtection="0">
      <alignment horizontal="center"/>
    </xf>
    <xf numFmtId="0" fontId="68" fillId="0" borderId="35" applyNumberFormat="0" applyFill="0" applyProtection="0">
      <alignment horizontal="center"/>
    </xf>
    <xf numFmtId="0" fontId="73" fillId="0" borderId="86">
      <alignment horizontal="left"/>
    </xf>
    <xf numFmtId="0" fontId="254" fillId="0" borderId="47"/>
    <xf numFmtId="0" fontId="68" fillId="0" borderId="35" applyNumberFormat="0" applyFill="0" applyProtection="0">
      <alignment horizontal="center"/>
    </xf>
    <xf numFmtId="0" fontId="68" fillId="0" borderId="35" applyNumberFormat="0" applyFill="0" applyProtection="0">
      <alignment horizontal="center"/>
    </xf>
    <xf numFmtId="202" fontId="73" fillId="0" borderId="86">
      <alignment horizontal="left" vertical="center"/>
    </xf>
    <xf numFmtId="37" fontId="121" fillId="0" borderId="44" applyNumberFormat="0" applyFont="0" applyFill="0" applyAlignment="0" applyProtection="0">
      <alignment horizontal="centerContinuous"/>
    </xf>
    <xf numFmtId="0" fontId="9" fillId="72" borderId="94" applyNumberFormat="0" applyProtection="0">
      <alignment horizontal="left" vertical="center" indent="1"/>
    </xf>
    <xf numFmtId="37" fontId="121" fillId="0" borderId="44" applyNumberFormat="0" applyFont="0" applyFill="0" applyAlignment="0" applyProtection="0">
      <alignment horizontal="centerContinuous"/>
    </xf>
    <xf numFmtId="37" fontId="121" fillId="0" borderId="44" applyNumberFormat="0" applyFont="0" applyFill="0" applyAlignment="0" applyProtection="0">
      <alignment horizontal="centerContinuous"/>
    </xf>
    <xf numFmtId="0" fontId="68" fillId="0" borderId="35" applyNumberFormat="0" applyFill="0" applyProtection="0">
      <alignment horizontal="center"/>
    </xf>
    <xf numFmtId="0" fontId="230" fillId="0" borderId="47">
      <alignment horizontal="center"/>
    </xf>
    <xf numFmtId="0" fontId="230" fillId="0" borderId="47">
      <alignment horizontal="center"/>
    </xf>
    <xf numFmtId="0" fontId="230" fillId="0" borderId="47">
      <alignment horizontal="center"/>
    </xf>
    <xf numFmtId="0" fontId="113" fillId="0" borderId="47" applyNumberFormat="0" applyFont="0" applyFill="0" applyAlignment="0" applyProtection="0"/>
    <xf numFmtId="0" fontId="230" fillId="0" borderId="47">
      <alignment horizontal="center"/>
    </xf>
    <xf numFmtId="0" fontId="230" fillId="0" borderId="47">
      <alignment horizontal="center"/>
    </xf>
    <xf numFmtId="0" fontId="113" fillId="0" borderId="47" applyNumberFormat="0" applyFont="0" applyFill="0" applyAlignment="0" applyProtection="0"/>
    <xf numFmtId="37" fontId="121" fillId="0" borderId="44" applyNumberFormat="0" applyFont="0" applyFill="0" applyAlignment="0" applyProtection="0">
      <alignment horizontal="centerContinuous"/>
    </xf>
    <xf numFmtId="0" fontId="254" fillId="0" borderId="47"/>
    <xf numFmtId="0" fontId="230" fillId="0" borderId="47">
      <alignment horizontal="center"/>
    </xf>
    <xf numFmtId="0" fontId="230" fillId="0" borderId="47">
      <alignment horizontal="center"/>
    </xf>
    <xf numFmtId="0" fontId="68" fillId="0" borderId="35" applyNumberFormat="0" applyFill="0" applyProtection="0">
      <alignment horizontal="center"/>
    </xf>
    <xf numFmtId="37" fontId="121" fillId="0" borderId="44" applyNumberFormat="0" applyFont="0" applyFill="0" applyAlignment="0" applyProtection="0">
      <alignment horizontal="centerContinuous"/>
    </xf>
    <xf numFmtId="0" fontId="230" fillId="0" borderId="47">
      <alignment horizontal="center"/>
    </xf>
    <xf numFmtId="0" fontId="230" fillId="0" borderId="47">
      <alignment horizontal="center"/>
    </xf>
    <xf numFmtId="0" fontId="113" fillId="0" borderId="47" applyNumberFormat="0" applyFont="0" applyFill="0" applyAlignment="0" applyProtection="0"/>
    <xf numFmtId="37" fontId="121" fillId="0" borderId="44" applyNumberFormat="0" applyFont="0" applyFill="0" applyAlignment="0" applyProtection="0">
      <alignment horizontal="centerContinuous"/>
    </xf>
    <xf numFmtId="0" fontId="254" fillId="0" borderId="47"/>
    <xf numFmtId="0" fontId="113" fillId="0" borderId="47" applyNumberFormat="0" applyFont="0" applyFill="0" applyAlignment="0" applyProtection="0"/>
    <xf numFmtId="37" fontId="121" fillId="0" borderId="44" applyNumberFormat="0" applyFont="0" applyFill="0" applyAlignment="0" applyProtection="0">
      <alignment horizontal="centerContinuous"/>
    </xf>
    <xf numFmtId="0" fontId="230" fillId="0" borderId="47">
      <alignment horizontal="center"/>
    </xf>
    <xf numFmtId="0" fontId="113" fillId="0" borderId="47" applyNumberFormat="0" applyFont="0" applyFill="0" applyAlignment="0" applyProtection="0"/>
    <xf numFmtId="0" fontId="254" fillId="0" borderId="47"/>
    <xf numFmtId="0" fontId="230" fillId="0" borderId="47">
      <alignment horizontal="center"/>
    </xf>
    <xf numFmtId="0" fontId="230" fillId="0" borderId="47">
      <alignment horizontal="center"/>
    </xf>
    <xf numFmtId="0" fontId="113" fillId="0" borderId="47" applyNumberFormat="0" applyFont="0" applyFill="0" applyAlignment="0" applyProtection="0"/>
    <xf numFmtId="0" fontId="254" fillId="0" borderId="47"/>
    <xf numFmtId="37" fontId="121" fillId="0" borderId="44" applyNumberFormat="0" applyFont="0" applyFill="0" applyAlignment="0" applyProtection="0">
      <alignment horizontal="centerContinuous"/>
    </xf>
    <xf numFmtId="0" fontId="230" fillId="0" borderId="47">
      <alignment horizontal="center"/>
    </xf>
    <xf numFmtId="0" fontId="230" fillId="0" borderId="47">
      <alignment horizontal="center"/>
    </xf>
    <xf numFmtId="0" fontId="113" fillId="0" borderId="47" applyNumberFormat="0" applyFont="0" applyFill="0" applyAlignment="0" applyProtection="0"/>
    <xf numFmtId="38" fontId="15" fillId="46" borderId="92" applyNumberFormat="0" applyFont="0" applyAlignment="0"/>
    <xf numFmtId="38" fontId="15" fillId="46" borderId="92" applyNumberFormat="0" applyFont="0" applyAlignment="0"/>
    <xf numFmtId="0" fontId="230" fillId="0" borderId="47">
      <alignment horizontal="center"/>
    </xf>
    <xf numFmtId="0" fontId="230" fillId="0" borderId="47">
      <alignment horizontal="center"/>
    </xf>
    <xf numFmtId="0" fontId="230" fillId="0" borderId="47">
      <alignment horizontal="center"/>
    </xf>
    <xf numFmtId="0" fontId="113" fillId="0" borderId="47" applyNumberFormat="0" applyFont="0" applyFill="0" applyAlignment="0" applyProtection="0"/>
    <xf numFmtId="305" fontId="9" fillId="0" borderId="85">
      <alignment horizontal="left"/>
      <protection locked="0"/>
    </xf>
    <xf numFmtId="0" fontId="230" fillId="0" borderId="47">
      <alignment horizontal="center"/>
    </xf>
    <xf numFmtId="0" fontId="230" fillId="0" borderId="47">
      <alignment horizontal="center"/>
    </xf>
    <xf numFmtId="0" fontId="48" fillId="0" borderId="91" applyNumberFormat="0" applyFont="0" applyAlignment="0" applyProtection="0"/>
    <xf numFmtId="0" fontId="48" fillId="0" borderId="91" applyNumberFormat="0" applyFont="0" applyAlignment="0" applyProtection="0"/>
    <xf numFmtId="0" fontId="113" fillId="0" borderId="47" applyNumberFormat="0" applyFont="0" applyFill="0" applyAlignment="0" applyProtection="0"/>
    <xf numFmtId="0" fontId="230" fillId="0" borderId="47">
      <alignment horizontal="center"/>
    </xf>
    <xf numFmtId="0" fontId="48" fillId="0" borderId="90" applyNumberFormat="0" applyFont="0" applyAlignment="0" applyProtection="0"/>
    <xf numFmtId="0" fontId="48" fillId="0" borderId="90" applyNumberFormat="0" applyFont="0" applyAlignment="0" applyProtection="0"/>
    <xf numFmtId="0" fontId="230" fillId="0" borderId="47">
      <alignment horizontal="center"/>
    </xf>
    <xf numFmtId="0" fontId="113" fillId="0" borderId="47" applyNumberFormat="0" applyFont="0" applyFill="0" applyAlignment="0" applyProtection="0"/>
    <xf numFmtId="41" fontId="74" fillId="0" borderId="86" applyFill="0" applyBorder="0" applyProtection="0">
      <alignment horizontal="right" vertical="top"/>
    </xf>
    <xf numFmtId="5" fontId="135" fillId="0" borderId="84" applyAlignment="0" applyProtection="0"/>
    <xf numFmtId="0" fontId="113" fillId="0" borderId="47" applyNumberFormat="0" applyFont="0" applyFill="0" applyAlignment="0" applyProtection="0"/>
    <xf numFmtId="0" fontId="136" fillId="0" borderId="88" applyFill="0" applyProtection="0">
      <alignment horizontal="right"/>
    </xf>
    <xf numFmtId="0" fontId="136" fillId="0" borderId="88" applyFill="0" applyProtection="0">
      <alignment horizontal="right"/>
    </xf>
    <xf numFmtId="202" fontId="73" fillId="0" borderId="86">
      <alignment horizontal="left"/>
    </xf>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79" fillId="46" borderId="95" applyNumberFormat="0" applyBorder="0" applyAlignment="0">
      <alignment horizontal="center"/>
    </xf>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299" fontId="202" fillId="75" borderId="83" applyAlignment="0" applyProtection="0"/>
    <xf numFmtId="202" fontId="207" fillId="0" borderId="86">
      <alignment horizontal="center"/>
    </xf>
    <xf numFmtId="41" fontId="74" fillId="0" borderId="86" applyFill="0" applyBorder="0" applyProtection="0">
      <alignment horizontal="right" vertical="top"/>
    </xf>
    <xf numFmtId="0" fontId="48" fillId="0" borderId="90" applyNumberFormat="0" applyFont="0" applyAlignment="0" applyProtection="0"/>
    <xf numFmtId="0" fontId="48" fillId="0" borderId="90" applyNumberFormat="0" applyFont="0" applyAlignment="0" applyProtection="0"/>
    <xf numFmtId="0" fontId="48" fillId="0" borderId="91" applyNumberFormat="0" applyFont="0" applyAlignment="0" applyProtection="0"/>
    <xf numFmtId="0" fontId="48" fillId="0" borderId="91" applyNumberFormat="0" applyFont="0" applyAlignment="0" applyProtection="0"/>
    <xf numFmtId="0" fontId="113" fillId="0" borderId="47" applyNumberFormat="0" applyFont="0" applyFill="0" applyAlignment="0" applyProtection="0"/>
    <xf numFmtId="0" fontId="230" fillId="0" borderId="47">
      <alignment horizontal="center"/>
    </xf>
    <xf numFmtId="0" fontId="113" fillId="0" borderId="47" applyNumberFormat="0" applyFont="0" applyFill="0" applyAlignment="0" applyProtection="0"/>
    <xf numFmtId="299" fontId="202" fillId="75" borderId="83" applyAlignment="0" applyProtection="0"/>
    <xf numFmtId="37" fontId="121" fillId="0" borderId="44" applyNumberFormat="0" applyFont="0" applyFill="0" applyAlignment="0" applyProtection="0">
      <alignment horizontal="centerContinuous"/>
    </xf>
    <xf numFmtId="37" fontId="121" fillId="0" borderId="44" applyNumberFormat="0" applyFont="0" applyFill="0" applyAlignment="0" applyProtection="0">
      <alignment horizontal="centerContinuous"/>
    </xf>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13" fillId="0" borderId="47" applyNumberFormat="0" applyFont="0" applyFill="0" applyAlignment="0" applyProtection="0"/>
    <xf numFmtId="0" fontId="230" fillId="0" borderId="47">
      <alignment horizontal="center"/>
    </xf>
    <xf numFmtId="0" fontId="113" fillId="0" borderId="47" applyNumberFormat="0" applyFont="0" applyFill="0" applyAlignment="0" applyProtection="0"/>
    <xf numFmtId="0" fontId="230" fillId="0" borderId="47">
      <alignment horizontal="center"/>
    </xf>
    <xf numFmtId="0" fontId="230" fillId="0" borderId="47">
      <alignment horizontal="center"/>
    </xf>
    <xf numFmtId="37" fontId="121" fillId="0" borderId="44" applyNumberFormat="0" applyFont="0" applyFill="0" applyAlignment="0" applyProtection="0">
      <alignment horizontal="centerContinuous"/>
    </xf>
    <xf numFmtId="0" fontId="136" fillId="0" borderId="88" applyFill="0" applyProtection="0">
      <alignment horizontal="right"/>
    </xf>
    <xf numFmtId="0" fontId="136" fillId="0" borderId="88" applyFill="0" applyProtection="0">
      <alignment horizontal="right"/>
    </xf>
    <xf numFmtId="0" fontId="113" fillId="0" borderId="47" applyNumberFormat="0" applyFont="0" applyFill="0" applyAlignment="0" applyProtection="0"/>
    <xf numFmtId="5" fontId="135" fillId="0" borderId="84" applyAlignment="0" applyProtection="0"/>
    <xf numFmtId="0" fontId="113" fillId="0" borderId="47" applyNumberFormat="0" applyFont="0" applyFill="0" applyAlignment="0" applyProtection="0"/>
    <xf numFmtId="0" fontId="230" fillId="0" borderId="47">
      <alignment horizontal="center"/>
    </xf>
    <xf numFmtId="0" fontId="230" fillId="0" borderId="47">
      <alignment horizontal="center"/>
    </xf>
    <xf numFmtId="37" fontId="121" fillId="0" borderId="44" applyNumberFormat="0" applyFont="0" applyFill="0" applyAlignment="0" applyProtection="0">
      <alignment horizontal="centerContinuous"/>
    </xf>
    <xf numFmtId="0" fontId="113" fillId="0" borderId="47" applyNumberFormat="0" applyFont="0" applyFill="0" applyAlignment="0" applyProtection="0"/>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37" fontId="121" fillId="0" borderId="44" applyNumberFormat="0" applyFont="0" applyFill="0" applyAlignment="0" applyProtection="0">
      <alignment horizontal="centerContinuous"/>
    </xf>
    <xf numFmtId="0" fontId="230" fillId="0" borderId="47">
      <alignment horizontal="center"/>
    </xf>
    <xf numFmtId="0" fontId="230" fillId="0" borderId="47">
      <alignment horizontal="center"/>
    </xf>
    <xf numFmtId="0" fontId="113" fillId="0" borderId="47" applyNumberFormat="0" applyFont="0" applyFill="0" applyAlignment="0" applyProtection="0"/>
    <xf numFmtId="37" fontId="121" fillId="0" borderId="44" applyNumberFormat="0" applyFont="0" applyFill="0" applyAlignment="0" applyProtection="0">
      <alignment horizontal="centerContinuous"/>
    </xf>
    <xf numFmtId="0" fontId="230" fillId="0" borderId="47">
      <alignment horizontal="center"/>
    </xf>
    <xf numFmtId="0" fontId="113" fillId="0" borderId="47" applyNumberFormat="0" applyFont="0" applyFill="0" applyAlignment="0" applyProtection="0"/>
    <xf numFmtId="0" fontId="230" fillId="0" borderId="47">
      <alignment horizontal="center"/>
    </xf>
    <xf numFmtId="0" fontId="230" fillId="0" borderId="47">
      <alignment horizontal="center"/>
    </xf>
    <xf numFmtId="0" fontId="113" fillId="0" borderId="47" applyNumberFormat="0" applyFont="0" applyFill="0" applyAlignment="0" applyProtection="0"/>
    <xf numFmtId="0" fontId="254" fillId="0" borderId="47"/>
    <xf numFmtId="0" fontId="113" fillId="0" borderId="47" applyNumberFormat="0" applyFont="0" applyFill="0" applyAlignment="0" applyProtection="0"/>
    <xf numFmtId="0" fontId="230" fillId="0" borderId="47">
      <alignment horizontal="center"/>
    </xf>
    <xf numFmtId="0" fontId="230" fillId="0" borderId="47">
      <alignment horizontal="center"/>
    </xf>
    <xf numFmtId="37" fontId="121" fillId="0" borderId="44" applyNumberFormat="0" applyFont="0" applyFill="0" applyAlignment="0" applyProtection="0">
      <alignment horizontal="centerContinuous"/>
    </xf>
    <xf numFmtId="0" fontId="68" fillId="0" borderId="35" applyNumberFormat="0" applyFill="0" applyProtection="0">
      <alignment horizontal="center"/>
    </xf>
    <xf numFmtId="0" fontId="254" fillId="0" borderId="47"/>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68" fillId="0" borderId="35" applyNumberFormat="0" applyFill="0" applyProtection="0">
      <alignment horizontal="center"/>
    </xf>
    <xf numFmtId="37" fontId="121" fillId="0" borderId="44" applyNumberFormat="0" applyFont="0" applyFill="0" applyAlignment="0" applyProtection="0">
      <alignment horizontal="centerContinuous"/>
    </xf>
    <xf numFmtId="0" fontId="254" fillId="0" borderId="47"/>
    <xf numFmtId="0" fontId="68" fillId="0" borderId="35" applyNumberFormat="0" applyFill="0" applyProtection="0">
      <alignment horizontal="center"/>
    </xf>
    <xf numFmtId="0" fontId="145" fillId="75" borderId="89" applyNumberFormat="0" applyAlignment="0" applyProtection="0"/>
    <xf numFmtId="4" fontId="144" fillId="61" borderId="94" applyNumberFormat="0" applyProtection="0">
      <alignment horizontal="right" vertic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254" fillId="0" borderId="47"/>
    <xf numFmtId="4" fontId="144" fillId="47" borderId="94" applyNumberFormat="0" applyProtection="0">
      <alignment horizontal="left" vertical="center" indent="1"/>
    </xf>
    <xf numFmtId="3" fontId="12" fillId="0" borderId="87" applyNumberFormat="0" applyFill="0" applyBorder="0" applyProtection="0"/>
    <xf numFmtId="0" fontId="68" fillId="0" borderId="35" applyNumberFormat="0" applyFill="0" applyProtection="0">
      <alignment horizontal="center"/>
    </xf>
    <xf numFmtId="0" fontId="68" fillId="0" borderId="35" applyNumberFormat="0" applyFill="0" applyProtection="0">
      <alignment horizontal="center"/>
    </xf>
    <xf numFmtId="0" fontId="145" fillId="75" borderId="89" applyNumberFormat="0" applyAlignment="0" applyProtection="0"/>
    <xf numFmtId="0" fontId="254" fillId="0" borderId="47"/>
    <xf numFmtId="3" fontId="12" fillId="0" borderId="87" applyNumberFormat="0" applyFill="0" applyBorder="0" applyProtection="0"/>
    <xf numFmtId="0" fontId="68" fillId="0" borderId="35" applyNumberFormat="0" applyFill="0" applyProtection="0">
      <alignment horizontal="center"/>
    </xf>
    <xf numFmtId="4" fontId="144" fillId="63" borderId="94" applyNumberFormat="0" applyProtection="0">
      <alignment horizontal="right" vertic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4" fontId="144" fillId="63" borderId="94" applyNumberFormat="0" applyProtection="0">
      <alignment horizontal="right" vertical="center"/>
    </xf>
    <xf numFmtId="4" fontId="273" fillId="50" borderId="94" applyNumberFormat="0" applyProtection="0">
      <alignment vertical="center"/>
    </xf>
    <xf numFmtId="0" fontId="254" fillId="0" borderId="47"/>
    <xf numFmtId="202" fontId="73" fillId="0" borderId="86">
      <alignment horizontal="left" vertical="center"/>
    </xf>
    <xf numFmtId="4" fontId="275" fillId="101" borderId="94" applyNumberFormat="0" applyProtection="0">
      <alignment horizontal="right" vertical="center"/>
    </xf>
    <xf numFmtId="202" fontId="73" fillId="0" borderId="86">
      <alignment horizontal="left"/>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254" fillId="0" borderId="47"/>
    <xf numFmtId="0" fontId="68" fillId="0" borderId="35" applyNumberFormat="0" applyFill="0" applyProtection="0">
      <alignment horizontal="center"/>
    </xf>
    <xf numFmtId="4" fontId="144" fillId="69" borderId="94" applyNumberFormat="0" applyProtection="0">
      <alignment horizontal="right" vertical="center"/>
    </xf>
    <xf numFmtId="0" fontId="9" fillId="80" borderId="94" applyNumberFormat="0" applyProtection="0">
      <alignment horizontal="left" vertical="top" indent="1"/>
    </xf>
    <xf numFmtId="4" fontId="144" fillId="62" borderId="94" applyNumberFormat="0" applyProtection="0">
      <alignment horizontal="right" vertical="center"/>
    </xf>
    <xf numFmtId="0" fontId="191" fillId="59" borderId="89" applyNumberFormat="0" applyAlignment="0" applyProtection="0"/>
    <xf numFmtId="4" fontId="273" fillId="100" borderId="76" applyNumberFormat="0" applyProtection="0">
      <alignment horizontal="left" vertical="center" indent="1"/>
    </xf>
    <xf numFmtId="202" fontId="73" fillId="0" borderId="86">
      <alignment horizontal="left" vertical="center"/>
    </xf>
    <xf numFmtId="4" fontId="144" fillId="99" borderId="94" applyNumberFormat="0" applyProtection="0">
      <alignment horizontal="right" vertic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4" fontId="144" fillId="47" borderId="94" applyNumberFormat="0" applyProtection="0">
      <alignment vertic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144" fillId="47" borderId="94" applyNumberFormat="0" applyProtection="0">
      <alignment horizontal="left" vertical="top" indent="1"/>
    </xf>
    <xf numFmtId="4" fontId="273" fillId="100" borderId="76" applyNumberFormat="0" applyProtection="0">
      <alignment horizontal="left" vertical="center" indent="1"/>
    </xf>
    <xf numFmtId="0" fontId="68" fillId="0" borderId="35" applyNumberFormat="0" applyFill="0" applyProtection="0">
      <alignment horizontal="center"/>
    </xf>
    <xf numFmtId="3" fontId="12" fillId="0" borderId="87" applyNumberFormat="0" applyFill="0" applyBorder="0" applyProtection="0"/>
    <xf numFmtId="0" fontId="254" fillId="0" borderId="47"/>
    <xf numFmtId="0" fontId="254" fillId="0" borderId="47"/>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230" fillId="0" borderId="47">
      <alignment horizontal="center"/>
    </xf>
    <xf numFmtId="0" fontId="68" fillId="0" borderId="35" applyNumberFormat="0" applyFill="0" applyProtection="0">
      <alignment horizontal="center"/>
    </xf>
    <xf numFmtId="4" fontId="144" fillId="71" borderId="94" applyNumberFormat="0" applyProtection="0">
      <alignment horizontal="right" vertical="center"/>
    </xf>
    <xf numFmtId="0" fontId="68" fillId="0" borderId="35" applyNumberFormat="0" applyFill="0" applyProtection="0">
      <alignment horizontal="center"/>
    </xf>
    <xf numFmtId="0" fontId="230" fillId="0" borderId="47">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145" fillId="75" borderId="89" applyNumberFormat="0" applyAlignment="0" applyProtection="0"/>
    <xf numFmtId="0" fontId="145" fillId="75" borderId="89" applyNumberFormat="0" applyAlignment="0" applyProtection="0"/>
    <xf numFmtId="0" fontId="68" fillId="0" borderId="35" applyNumberFormat="0" applyFill="0" applyProtection="0">
      <alignment horizontal="center"/>
    </xf>
    <xf numFmtId="0" fontId="230" fillId="0" borderId="47">
      <alignment horizontal="center"/>
    </xf>
    <xf numFmtId="0" fontId="68" fillId="0" borderId="35" applyNumberFormat="0" applyFill="0" applyProtection="0">
      <alignment horizontal="center"/>
    </xf>
    <xf numFmtId="5" fontId="135" fillId="0" borderId="84" applyAlignment="0" applyProtection="0"/>
    <xf numFmtId="0" fontId="9" fillId="50" borderId="93" applyNumberFormat="0" applyFont="0" applyAlignment="0" applyProtection="0"/>
    <xf numFmtId="5" fontId="135" fillId="0" borderId="84" applyAlignment="0" applyProtection="0"/>
    <xf numFmtId="0" fontId="68" fillId="0" borderId="35" applyNumberFormat="0" applyFill="0" applyProtection="0">
      <alignment horizontal="center"/>
    </xf>
    <xf numFmtId="0" fontId="230" fillId="0" borderId="47">
      <alignment horizontal="center"/>
    </xf>
    <xf numFmtId="0" fontId="191" fillId="59" borderId="89" applyNumberFormat="0" applyAlignment="0" applyProtection="0"/>
    <xf numFmtId="0" fontId="191" fillId="59" borderId="89" applyNumberFormat="0" applyAlignment="0" applyProtection="0"/>
    <xf numFmtId="0" fontId="68" fillId="0" borderId="35" applyNumberFormat="0" applyFill="0" applyProtection="0">
      <alignment horizontal="center"/>
    </xf>
    <xf numFmtId="0" fontId="9" fillId="80" borderId="94" applyNumberFormat="0" applyProtection="0">
      <alignment horizontal="left" vertical="center" indent="1"/>
    </xf>
    <xf numFmtId="0" fontId="68" fillId="0" borderId="35" applyNumberFormat="0" applyFill="0" applyProtection="0">
      <alignment horizontal="center"/>
    </xf>
    <xf numFmtId="3" fontId="12" fillId="0" borderId="87" applyNumberFormat="0" applyFill="0" applyBorder="0" applyProtection="0"/>
    <xf numFmtId="0" fontId="68" fillId="0" borderId="35" applyNumberFormat="0" applyFill="0" applyProtection="0">
      <alignment horizontal="center"/>
    </xf>
    <xf numFmtId="0" fontId="68" fillId="0" borderId="35" applyNumberFormat="0" applyFill="0" applyProtection="0">
      <alignment horizontal="center"/>
    </xf>
    <xf numFmtId="0" fontId="230" fillId="0" borderId="47">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4" fontId="273" fillId="100" borderId="76" applyNumberFormat="0" applyProtection="0">
      <alignment horizontal="left" vertical="center" indent="1"/>
    </xf>
    <xf numFmtId="4" fontId="144" fillId="47" borderId="94" applyNumberFormat="0" applyProtection="0">
      <alignment horizontal="left" vertical="center" indent="1"/>
    </xf>
    <xf numFmtId="202" fontId="73" fillId="0" borderId="86">
      <alignment horizontal="left" vertical="center"/>
    </xf>
    <xf numFmtId="0" fontId="191" fillId="59" borderId="89" applyNumberFormat="0" applyAlignment="0" applyProtection="0"/>
    <xf numFmtId="0" fontId="68" fillId="0" borderId="35" applyNumberFormat="0" applyFill="0" applyProtection="0">
      <alignment horizontal="center"/>
    </xf>
    <xf numFmtId="5" fontId="135" fillId="0" borderId="84" applyAlignment="0" applyProtection="0"/>
    <xf numFmtId="37" fontId="121" fillId="0" borderId="44" applyNumberFormat="0" applyFont="0" applyFill="0" applyAlignment="0" applyProtection="0">
      <alignment horizontal="centerContinuous"/>
    </xf>
    <xf numFmtId="0" fontId="68" fillId="0" borderId="35" applyNumberFormat="0" applyFill="0" applyProtection="0">
      <alignment horizontal="center"/>
    </xf>
    <xf numFmtId="0" fontId="68" fillId="0" borderId="35" applyNumberFormat="0" applyFill="0" applyProtection="0">
      <alignment horizontal="center"/>
    </xf>
    <xf numFmtId="4" fontId="144" fillId="98" borderId="94" applyNumberFormat="0" applyProtection="0">
      <alignment horizontal="right" vertical="center"/>
    </xf>
    <xf numFmtId="0" fontId="9" fillId="102" borderId="94" applyNumberFormat="0" applyProtection="0">
      <alignment horizontal="left" vertical="top" indent="1"/>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230" fillId="0" borderId="47">
      <alignment horizontal="center"/>
    </xf>
    <xf numFmtId="0" fontId="254" fillId="0" borderId="47"/>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145" fillId="75" borderId="89" applyNumberFormat="0" applyAlignment="0" applyProtection="0"/>
    <xf numFmtId="4" fontId="273" fillId="100" borderId="76" applyNumberFormat="0" applyProtection="0">
      <alignment horizontal="left" vertical="center" indent="1"/>
    </xf>
    <xf numFmtId="0" fontId="68" fillId="0" borderId="35" applyNumberFormat="0" applyFill="0" applyProtection="0">
      <alignment horizontal="center"/>
    </xf>
    <xf numFmtId="0" fontId="230" fillId="0" borderId="47">
      <alignment horizontal="center"/>
    </xf>
    <xf numFmtId="0" fontId="230" fillId="0" borderId="47">
      <alignment horizontal="center"/>
    </xf>
    <xf numFmtId="0" fontId="145" fillId="75" borderId="89" applyNumberFormat="0" applyAlignment="0" applyProtection="0"/>
    <xf numFmtId="0" fontId="68" fillId="0" borderId="35" applyNumberFormat="0" applyFill="0" applyProtection="0">
      <alignment horizontal="center"/>
    </xf>
    <xf numFmtId="0" fontId="68" fillId="0" borderId="35" applyNumberFormat="0" applyFill="0" applyProtection="0">
      <alignment horizontal="center"/>
    </xf>
    <xf numFmtId="0" fontId="9" fillId="52" borderId="94" applyNumberFormat="0" applyProtection="0">
      <alignment horizontal="left" vertical="top" indent="1"/>
    </xf>
    <xf numFmtId="0" fontId="68" fillId="0" borderId="35" applyNumberFormat="0" applyFill="0" applyProtection="0">
      <alignment horizontal="center"/>
    </xf>
    <xf numFmtId="0" fontId="68" fillId="0" borderId="35" applyNumberFormat="0" applyFill="0" applyProtection="0">
      <alignment horizontal="center"/>
    </xf>
    <xf numFmtId="5" fontId="135" fillId="0" borderId="84" applyAlignment="0" applyProtection="0"/>
    <xf numFmtId="5" fontId="135" fillId="0" borderId="84" applyAlignment="0" applyProtection="0"/>
    <xf numFmtId="4" fontId="144" fillId="55" borderId="94" applyNumberFormat="0" applyProtection="0">
      <alignment horizontal="right" vertical="center"/>
    </xf>
    <xf numFmtId="202" fontId="73" fillId="0" borderId="86">
      <alignment horizontal="left" vertical="center"/>
    </xf>
    <xf numFmtId="202" fontId="73" fillId="0" borderId="86">
      <alignment horizontal="left" vertical="center"/>
    </xf>
    <xf numFmtId="0" fontId="68" fillId="0" borderId="35" applyNumberFormat="0" applyFill="0" applyProtection="0">
      <alignment horizontal="center"/>
    </xf>
    <xf numFmtId="0" fontId="68" fillId="0" borderId="35" applyNumberFormat="0" applyFill="0" applyProtection="0">
      <alignment horizontal="center"/>
    </xf>
    <xf numFmtId="0" fontId="191" fillId="59" borderId="89" applyNumberFormat="0" applyAlignment="0" applyProtection="0"/>
    <xf numFmtId="4" fontId="273" fillId="100" borderId="76" applyNumberFormat="0" applyProtection="0">
      <alignment horizontal="left" vertical="center" indent="1"/>
    </xf>
    <xf numFmtId="4" fontId="273" fillId="100" borderId="76" applyNumberFormat="0" applyProtection="0">
      <alignment horizontal="left" vertical="center" indent="1"/>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37" fontId="121" fillId="0" borderId="44" applyNumberFormat="0" applyFont="0" applyFill="0" applyAlignment="0" applyProtection="0">
      <alignment horizontal="centerContinuous"/>
    </xf>
    <xf numFmtId="0" fontId="68" fillId="0" borderId="35" applyNumberFormat="0" applyFill="0" applyProtection="0">
      <alignment horizontal="center"/>
    </xf>
    <xf numFmtId="4" fontId="273" fillId="100" borderId="76" applyNumberFormat="0" applyProtection="0">
      <alignment horizontal="left" vertical="center" indent="1"/>
    </xf>
    <xf numFmtId="0" fontId="230" fillId="0" borderId="47">
      <alignment horizontal="center"/>
    </xf>
    <xf numFmtId="0" fontId="37" fillId="0" borderId="79" applyNumberFormat="0" applyAlignment="0" applyProtection="0">
      <alignment horizontal="left" vertical="center"/>
    </xf>
    <xf numFmtId="0" fontId="145" fillId="75" borderId="89" applyNumberFormat="0" applyAlignment="0" applyProtection="0"/>
    <xf numFmtId="4" fontId="273" fillId="100" borderId="76" applyNumberFormat="0" applyProtection="0">
      <alignment horizontal="left" vertical="center" indent="1"/>
    </xf>
    <xf numFmtId="4" fontId="273" fillId="44" borderId="94" applyNumberFormat="0" applyProtection="0">
      <alignment horizontal="left" vertical="center" indent="1"/>
    </xf>
    <xf numFmtId="0" fontId="230" fillId="0" borderId="47">
      <alignment horizontal="center"/>
    </xf>
    <xf numFmtId="0" fontId="68" fillId="0" borderId="35" applyNumberFormat="0" applyFill="0" applyProtection="0">
      <alignment horizontal="center"/>
    </xf>
    <xf numFmtId="0" fontId="230" fillId="0" borderId="47">
      <alignment horizontal="center"/>
    </xf>
    <xf numFmtId="3" fontId="12" fillId="0" borderId="87" applyNumberFormat="0" applyFill="0" applyBorder="0" applyProtection="0"/>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254" fillId="0" borderId="47"/>
    <xf numFmtId="0" fontId="68" fillId="0" borderId="35" applyNumberFormat="0" applyFill="0" applyProtection="0">
      <alignment horizontal="center"/>
    </xf>
    <xf numFmtId="0" fontId="145" fillId="75" borderId="89" applyNumberFormat="0" applyAlignment="0" applyProtection="0"/>
    <xf numFmtId="0" fontId="68" fillId="0" borderId="35" applyNumberFormat="0" applyFill="0" applyProtection="0">
      <alignment horizontal="center"/>
    </xf>
    <xf numFmtId="202" fontId="73" fillId="0" borderId="86">
      <alignment horizontal="left" vertical="center"/>
    </xf>
    <xf numFmtId="4" fontId="144" fillId="98" borderId="94" applyNumberFormat="0" applyProtection="0">
      <alignment horizontal="right" vertical="center"/>
    </xf>
    <xf numFmtId="0" fontId="68" fillId="0" borderId="35" applyNumberFormat="0" applyFill="0" applyProtection="0">
      <alignment horizontal="center"/>
    </xf>
    <xf numFmtId="202" fontId="73" fillId="0" borderId="86">
      <alignment horizontal="left" vertical="center"/>
    </xf>
    <xf numFmtId="0" fontId="68" fillId="0" borderId="35" applyNumberFormat="0" applyFill="0" applyProtection="0">
      <alignment horizontal="center"/>
    </xf>
    <xf numFmtId="0" fontId="273" fillId="44" borderId="94" applyNumberFormat="0" applyProtection="0">
      <alignment horizontal="left" vertical="top" indent="1"/>
    </xf>
    <xf numFmtId="0" fontId="68" fillId="0" borderId="35" applyNumberFormat="0" applyFill="0" applyProtection="0">
      <alignment horizontal="center"/>
    </xf>
    <xf numFmtId="0" fontId="68" fillId="0" borderId="35" applyNumberFormat="0" applyFill="0" applyProtection="0">
      <alignment horizontal="center"/>
    </xf>
    <xf numFmtId="0" fontId="230" fillId="0" borderId="47">
      <alignment horizontal="center"/>
    </xf>
    <xf numFmtId="0" fontId="68" fillId="0" borderId="35" applyNumberFormat="0" applyFill="0" applyProtection="0">
      <alignment horizontal="center"/>
    </xf>
    <xf numFmtId="0" fontId="230" fillId="0" borderId="47">
      <alignment horizontal="center"/>
    </xf>
    <xf numFmtId="0" fontId="68" fillId="0" borderId="35" applyNumberFormat="0" applyFill="0" applyProtection="0">
      <alignment horizontal="center"/>
    </xf>
    <xf numFmtId="0" fontId="145" fillId="75" borderId="89" applyNumberFormat="0" applyAlignment="0" applyProtection="0"/>
    <xf numFmtId="202" fontId="207" fillId="0" borderId="86">
      <alignment horizontal="center"/>
    </xf>
    <xf numFmtId="0" fontId="68" fillId="0" borderId="35" applyNumberFormat="0" applyFill="0" applyProtection="0">
      <alignment horizontal="center"/>
    </xf>
    <xf numFmtId="0" fontId="68" fillId="0" borderId="35" applyNumberFormat="0" applyFill="0" applyProtection="0">
      <alignment horizontal="center"/>
    </xf>
    <xf numFmtId="5" fontId="135" fillId="0" borderId="84" applyAlignment="0" applyProtection="0"/>
    <xf numFmtId="0" fontId="197" fillId="0" borderId="86">
      <alignment horizontal="right" wrapText="1"/>
    </xf>
    <xf numFmtId="4" fontId="273" fillId="100" borderId="76" applyNumberFormat="0" applyProtection="0">
      <alignment horizontal="left" vertical="center" indent="1"/>
    </xf>
    <xf numFmtId="4" fontId="273" fillId="100" borderId="76" applyNumberFormat="0" applyProtection="0">
      <alignment horizontal="left" vertical="center" indent="1"/>
    </xf>
    <xf numFmtId="0" fontId="230" fillId="0" borderId="47">
      <alignment horizontal="center"/>
    </xf>
    <xf numFmtId="0" fontId="230" fillId="0" borderId="47">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37" fillId="0" borderId="83">
      <alignment horizontal="left" vertical="center"/>
    </xf>
    <xf numFmtId="4" fontId="144" fillId="71" borderId="94" applyNumberFormat="0" applyProtection="0">
      <alignment horizontal="right" vertical="center"/>
    </xf>
    <xf numFmtId="0" fontId="9" fillId="80" borderId="94" applyNumberFormat="0" applyProtection="0">
      <alignment horizontal="left" vertical="top" indent="1"/>
    </xf>
    <xf numFmtId="0" fontId="68" fillId="0" borderId="35" applyNumberFormat="0" applyFill="0" applyProtection="0">
      <alignment horizont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230" fillId="0" borderId="47">
      <alignment horizontal="center"/>
    </xf>
    <xf numFmtId="37" fontId="121" fillId="0" borderId="44" applyNumberFormat="0" applyFont="0" applyFill="0" applyAlignment="0" applyProtection="0">
      <alignment horizontal="centerContinuous"/>
    </xf>
    <xf numFmtId="0" fontId="191" fillId="59" borderId="89" applyNumberFormat="0" applyAlignment="0" applyProtection="0"/>
    <xf numFmtId="0" fontId="191" fillId="59" borderId="89" applyNumberFormat="0" applyAlignment="0" applyProtection="0"/>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68" fillId="0" borderId="35" applyNumberFormat="0" applyFill="0" applyProtection="0">
      <alignment horizontal="center"/>
    </xf>
    <xf numFmtId="0" fontId="113" fillId="0" borderId="47" applyNumberFormat="0" applyFont="0" applyFill="0" applyAlignment="0" applyProtection="0"/>
    <xf numFmtId="5" fontId="135" fillId="0" borderId="84" applyAlignment="0" applyProtection="0"/>
    <xf numFmtId="2" fontId="131" fillId="0" borderId="83"/>
    <xf numFmtId="2" fontId="131" fillId="0" borderId="83"/>
    <xf numFmtId="2" fontId="131" fillId="0" borderId="83"/>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68" fillId="0" borderId="35" applyNumberFormat="0" applyFill="0" applyProtection="0">
      <alignment horizontal="center"/>
    </xf>
    <xf numFmtId="0" fontId="230" fillId="0" borderId="47">
      <alignment horizontal="center"/>
    </xf>
    <xf numFmtId="0" fontId="254" fillId="0" borderId="47"/>
    <xf numFmtId="37" fontId="121" fillId="0" borderId="44" applyNumberFormat="0" applyFont="0" applyFill="0" applyAlignment="0" applyProtection="0">
      <alignment horizontal="centerContinuous"/>
    </xf>
    <xf numFmtId="0" fontId="68" fillId="0" borderId="35" applyNumberFormat="0" applyFill="0" applyProtection="0">
      <alignment horizontal="center"/>
    </xf>
    <xf numFmtId="0" fontId="68" fillId="0" borderId="35" applyNumberFormat="0" applyFill="0" applyProtection="0">
      <alignment horizontal="center"/>
    </xf>
    <xf numFmtId="0" fontId="230" fillId="0" borderId="47">
      <alignment horizont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202" fontId="73" fillId="0" borderId="86">
      <alignment horizontal="left" vertical="center"/>
    </xf>
    <xf numFmtId="0" fontId="68" fillId="0" borderId="35" applyNumberFormat="0" applyFill="0" applyProtection="0">
      <alignment horizont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68" fillId="0" borderId="35" applyNumberFormat="0" applyFill="0" applyProtection="0">
      <alignment horizontal="center"/>
    </xf>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230" fillId="0" borderId="47">
      <alignment horizont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68" fillId="0" borderId="35" applyNumberFormat="0" applyFill="0" applyProtection="0">
      <alignment horizontal="center"/>
    </xf>
    <xf numFmtId="0" fontId="179" fillId="46" borderId="95" applyNumberFormat="0" applyBorder="0" applyAlignment="0">
      <alignment horizontal="center"/>
    </xf>
    <xf numFmtId="0" fontId="179" fillId="46" borderId="95" applyNumberFormat="0" applyBorder="0" applyAlignment="0">
      <alignment horizontal="center"/>
    </xf>
    <xf numFmtId="0" fontId="179" fillId="46" borderId="95" applyNumberFormat="0" applyBorder="0" applyAlignment="0">
      <alignment horizontal="center"/>
    </xf>
    <xf numFmtId="4" fontId="144" fillId="99" borderId="94" applyNumberFormat="0" applyProtection="0">
      <alignment horizontal="right" vertical="center"/>
    </xf>
    <xf numFmtId="0" fontId="68" fillId="0" borderId="35" applyNumberFormat="0" applyFill="0" applyProtection="0">
      <alignment horizontal="center"/>
    </xf>
    <xf numFmtId="4" fontId="273" fillId="100" borderId="76" applyNumberFormat="0" applyProtection="0">
      <alignment horizontal="left" vertical="center" indent="1"/>
    </xf>
    <xf numFmtId="4" fontId="273" fillId="100" borderId="76" applyNumberFormat="0" applyProtection="0">
      <alignment horizontal="left" vertical="center" indent="1"/>
    </xf>
    <xf numFmtId="0" fontId="230" fillId="0" borderId="47">
      <alignment horizontal="center"/>
    </xf>
    <xf numFmtId="4" fontId="277" fillId="101" borderId="94" applyNumberFormat="0" applyProtection="0">
      <alignment horizontal="right" vertical="center"/>
    </xf>
    <xf numFmtId="0" fontId="9" fillId="50" borderId="93" applyNumberFormat="0" applyFont="0" applyAlignment="0" applyProtection="0"/>
    <xf numFmtId="0" fontId="68" fillId="0" borderId="35" applyNumberFormat="0" applyFill="0" applyProtection="0">
      <alignment horizontal="center"/>
    </xf>
    <xf numFmtId="0" fontId="68" fillId="0" borderId="35" applyNumberFormat="0" applyFill="0" applyProtection="0">
      <alignment horizontal="center"/>
    </xf>
    <xf numFmtId="4" fontId="144" fillId="70" borderId="94" applyNumberFormat="0" applyProtection="0">
      <alignment horizontal="right" vertic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68" fillId="0" borderId="35" applyNumberFormat="0" applyFill="0" applyProtection="0">
      <alignment horizontal="center"/>
    </xf>
    <xf numFmtId="0" fontId="37" fillId="0" borderId="83">
      <alignment horizontal="left" vertical="center"/>
    </xf>
    <xf numFmtId="2" fontId="131" fillId="0" borderId="83"/>
    <xf numFmtId="2" fontId="131" fillId="0" borderId="83"/>
    <xf numFmtId="2" fontId="131" fillId="0" borderId="83"/>
    <xf numFmtId="0" fontId="68" fillId="0" borderId="35" applyNumberFormat="0" applyFill="0" applyProtection="0">
      <alignment horizontal="center"/>
    </xf>
    <xf numFmtId="37" fontId="121" fillId="0" borderId="44" applyNumberFormat="0" applyFont="0" applyFill="0" applyAlignment="0" applyProtection="0">
      <alignment horizontal="centerContinuous"/>
    </xf>
    <xf numFmtId="37" fontId="121" fillId="0" borderId="44" applyNumberFormat="0" applyFont="0" applyFill="0" applyAlignment="0" applyProtection="0">
      <alignment horizontal="centerContinuous"/>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68" fillId="0" borderId="35" applyNumberFormat="0" applyFill="0" applyProtection="0">
      <alignment horizontal="center"/>
    </xf>
    <xf numFmtId="0" fontId="179" fillId="46" borderId="95" applyNumberFormat="0" applyBorder="0" applyAlignment="0">
      <alignment horizontal="center"/>
    </xf>
    <xf numFmtId="0" fontId="179" fillId="46" borderId="95" applyNumberFormat="0" applyBorder="0" applyAlignment="0">
      <alignment horizontal="center"/>
    </xf>
    <xf numFmtId="0" fontId="179" fillId="46" borderId="95" applyNumberFormat="0" applyBorder="0" applyAlignment="0">
      <alignment horizontal="center"/>
    </xf>
    <xf numFmtId="0" fontId="179" fillId="46" borderId="95" applyNumberFormat="0" applyBorder="0" applyAlignment="0">
      <alignment horizontal="center"/>
    </xf>
    <xf numFmtId="0" fontId="179" fillId="46" borderId="95" applyNumberFormat="0" applyBorder="0" applyAlignment="0">
      <alignment horizont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4" fontId="273" fillId="100" borderId="76" applyNumberFormat="0" applyProtection="0">
      <alignment horizontal="left" vertical="center" indent="1"/>
    </xf>
    <xf numFmtId="4" fontId="273" fillId="100" borderId="76" applyNumberFormat="0" applyProtection="0">
      <alignment horizontal="left" vertical="center" indent="1"/>
    </xf>
    <xf numFmtId="0" fontId="68" fillId="0" borderId="35" applyNumberFormat="0" applyFill="0" applyProtection="0">
      <alignment horizontal="center"/>
    </xf>
    <xf numFmtId="0" fontId="68" fillId="0" borderId="35" applyNumberFormat="0" applyFill="0" applyProtection="0">
      <alignment horizont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68" fillId="0" borderId="35" applyNumberFormat="0" applyFill="0" applyProtection="0">
      <alignment horizontal="center"/>
    </xf>
    <xf numFmtId="2" fontId="131" fillId="0" borderId="96"/>
    <xf numFmtId="2" fontId="131" fillId="0" borderId="96"/>
    <xf numFmtId="2" fontId="131" fillId="0" borderId="96"/>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37" fillId="0" borderId="79" applyNumberFormat="0" applyAlignment="0" applyProtection="0">
      <alignment horizontal="left" vertical="center"/>
    </xf>
    <xf numFmtId="0" fontId="288" fillId="0" borderId="0" applyNumberFormat="0" applyFill="0" applyBorder="0" applyAlignment="0" applyProtection="0"/>
    <xf numFmtId="180" fontId="9" fillId="47" borderId="33"/>
    <xf numFmtId="180" fontId="9" fillId="47" borderId="33"/>
    <xf numFmtId="181" fontId="40" fillId="47" borderId="33"/>
    <xf numFmtId="180" fontId="9" fillId="47" borderId="33"/>
    <xf numFmtId="182" fontId="57" fillId="47" borderId="33"/>
    <xf numFmtId="182" fontId="57" fillId="47" borderId="33"/>
    <xf numFmtId="182" fontId="57" fillId="47" borderId="33"/>
    <xf numFmtId="169" fontId="44" fillId="47" borderId="33"/>
    <xf numFmtId="169" fontId="44" fillId="47" borderId="33"/>
    <xf numFmtId="170" fontId="44" fillId="47" borderId="33"/>
    <xf numFmtId="170" fontId="44" fillId="47" borderId="33"/>
    <xf numFmtId="182" fontId="9" fillId="47" borderId="33"/>
    <xf numFmtId="182" fontId="9" fillId="47" borderId="33"/>
    <xf numFmtId="182" fontId="57" fillId="47" borderId="33"/>
    <xf numFmtId="182" fontId="57" fillId="47" borderId="33"/>
    <xf numFmtId="182" fontId="57" fillId="47" borderId="33"/>
    <xf numFmtId="182" fontId="57" fillId="47" borderId="33"/>
    <xf numFmtId="182" fontId="57" fillId="47" borderId="33"/>
    <xf numFmtId="39" fontId="9" fillId="47" borderId="33"/>
    <xf numFmtId="2" fontId="9" fillId="47" borderId="33"/>
    <xf numFmtId="2" fontId="9" fillId="47" borderId="33"/>
    <xf numFmtId="182" fontId="9" fillId="47" borderId="33"/>
    <xf numFmtId="183" fontId="44" fillId="48" borderId="33"/>
    <xf numFmtId="183" fontId="44" fillId="48" borderId="33"/>
    <xf numFmtId="184" fontId="9" fillId="47" borderId="33"/>
    <xf numFmtId="169" fontId="44" fillId="47" borderId="33"/>
    <xf numFmtId="169" fontId="44" fillId="47" borderId="33"/>
    <xf numFmtId="2" fontId="9" fillId="47" borderId="33"/>
    <xf numFmtId="182" fontId="9" fillId="47" borderId="33"/>
    <xf numFmtId="182" fontId="57" fillId="47" borderId="33"/>
    <xf numFmtId="182" fontId="57" fillId="47" borderId="33"/>
    <xf numFmtId="182" fontId="57" fillId="47" borderId="33"/>
    <xf numFmtId="182" fontId="57" fillId="47" borderId="33"/>
    <xf numFmtId="182" fontId="57" fillId="47" borderId="33"/>
    <xf numFmtId="185" fontId="57" fillId="47" borderId="33"/>
    <xf numFmtId="185" fontId="57" fillId="47" borderId="33"/>
    <xf numFmtId="182" fontId="9" fillId="47" borderId="33"/>
    <xf numFmtId="182" fontId="57" fillId="47" borderId="33"/>
    <xf numFmtId="182" fontId="57" fillId="47" borderId="33"/>
    <xf numFmtId="182" fontId="57" fillId="47" borderId="33"/>
    <xf numFmtId="182" fontId="57" fillId="47" borderId="33"/>
    <xf numFmtId="182" fontId="57" fillId="47" borderId="33"/>
    <xf numFmtId="40" fontId="9" fillId="47" borderId="33"/>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7" fillId="0" borderId="34" applyNumberFormat="0" applyFill="0" applyAlignment="0" applyProtection="0"/>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202" fontId="73" fillId="0" borderId="86">
      <alignment horizontal="left" vertical="center"/>
    </xf>
    <xf numFmtId="202" fontId="73" fillId="0" borderId="86">
      <alignment horizontal="left" vertical="center"/>
    </xf>
    <xf numFmtId="202" fontId="73" fillId="0" borderId="86">
      <alignment horizontal="left" vertical="center"/>
    </xf>
    <xf numFmtId="205" fontId="48" fillId="0" borderId="37" applyBorder="0">
      <alignment horizontal="right"/>
    </xf>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204" fontId="84" fillId="0" borderId="13" applyNumberFormat="0" applyFill="0" applyBorder="0" applyProtection="0">
      <alignment horizontal="center"/>
    </xf>
    <xf numFmtId="204" fontId="84" fillId="0" borderId="13" applyNumberFormat="0" applyFill="0" applyBorder="0" applyProtection="0">
      <alignment horizontal="center"/>
    </xf>
    <xf numFmtId="204" fontId="84" fillId="0" borderId="13" applyNumberFormat="0" applyFill="0" applyBorder="0" applyProtection="0">
      <alignment horizontal="center"/>
    </xf>
    <xf numFmtId="205" fontId="48" fillId="52" borderId="97"/>
    <xf numFmtId="205" fontId="48" fillId="52" borderId="97"/>
    <xf numFmtId="205" fontId="48" fillId="52" borderId="97"/>
    <xf numFmtId="192" fontId="9" fillId="0" borderId="37" applyFont="0" applyFill="0" applyBorder="0" applyAlignment="0" applyProtection="0"/>
    <xf numFmtId="209" fontId="9" fillId="0" borderId="40" applyBorder="0">
      <alignment horizontal="right"/>
    </xf>
    <xf numFmtId="209" fontId="9" fillId="0" borderId="40" applyBorder="0">
      <alignment horizontal="right"/>
    </xf>
    <xf numFmtId="209" fontId="9" fillId="0" borderId="40" applyBorder="0">
      <alignment horizontal="right"/>
    </xf>
    <xf numFmtId="209" fontId="9" fillId="0" borderId="40" applyBorder="0">
      <alignment horizontal="right"/>
    </xf>
    <xf numFmtId="209" fontId="9" fillId="0" borderId="40" applyBorder="0">
      <alignment horizontal="right"/>
    </xf>
    <xf numFmtId="209" fontId="9" fillId="0" borderId="40" applyBorder="0">
      <alignment horizontal="right"/>
    </xf>
    <xf numFmtId="202" fontId="73" fillId="0" borderId="86">
      <alignment horizontal="left" vertical="center"/>
    </xf>
    <xf numFmtId="202" fontId="73" fillId="0" borderId="86">
      <alignment horizontal="left" vertical="center"/>
    </xf>
    <xf numFmtId="202" fontId="73" fillId="0" borderId="86">
      <alignment horizontal="left" vertical="center"/>
    </xf>
    <xf numFmtId="0" fontId="9" fillId="0" borderId="41" applyNumberFormat="0">
      <alignment horizontal="center" vertical="top" wrapText="1"/>
    </xf>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211" fontId="9" fillId="72" borderId="42">
      <alignment horizontal="center" vertical="center"/>
    </xf>
    <xf numFmtId="0" fontId="117" fillId="44" borderId="97"/>
    <xf numFmtId="0" fontId="117" fillId="44" borderId="97"/>
    <xf numFmtId="0" fontId="117" fillId="44" borderId="97"/>
    <xf numFmtId="212" fontId="118" fillId="44" borderId="97" applyBorder="0"/>
    <xf numFmtId="212" fontId="118" fillId="44" borderId="97" applyBorder="0"/>
    <xf numFmtId="212" fontId="118" fillId="44" borderId="97" applyBorder="0"/>
    <xf numFmtId="213" fontId="117" fillId="44" borderId="97">
      <alignment horizontal="center"/>
      <protection locked="0"/>
    </xf>
    <xf numFmtId="213" fontId="117" fillId="44" borderId="97">
      <alignment horizontal="center"/>
      <protection locked="0"/>
    </xf>
    <xf numFmtId="213" fontId="117" fillId="44" borderId="97">
      <alignment horizontal="center"/>
      <protection locked="0"/>
    </xf>
    <xf numFmtId="9" fontId="9" fillId="0" borderId="43"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37" fontId="121" fillId="0" borderId="44" applyNumberFormat="0" applyFont="0" applyFill="0" applyAlignment="0" applyProtection="0">
      <alignment horizontal="centerContinuous"/>
    </xf>
    <xf numFmtId="37" fontId="121" fillId="0" borderId="44" applyNumberFormat="0" applyFont="0" applyFill="0" applyAlignment="0" applyProtection="0">
      <alignment horizontal="centerContinuous"/>
    </xf>
    <xf numFmtId="0" fontId="13" fillId="77" borderId="97" applyNumberFormat="0" applyBorder="0" applyAlignment="0">
      <alignment horizontal="center" vertical="center"/>
      <protection locked="0"/>
    </xf>
    <xf numFmtId="0" fontId="13" fillId="77" borderId="97" applyNumberFormat="0" applyBorder="0" applyAlignment="0">
      <alignment horizontal="center" vertical="center"/>
      <protection locked="0"/>
    </xf>
    <xf numFmtId="0" fontId="13" fillId="77" borderId="97" applyNumberFormat="0" applyBorder="0" applyAlignment="0">
      <alignment horizontal="center" vertical="center"/>
      <protection locked="0"/>
    </xf>
    <xf numFmtId="217" fontId="9" fillId="0" borderId="41">
      <alignment vertical="top"/>
      <protection locked="0"/>
    </xf>
    <xf numFmtId="217" fontId="53" fillId="0" borderId="41">
      <alignment vertical="top"/>
    </xf>
    <xf numFmtId="217" fontId="124" fillId="0" borderId="13" applyFont="0" applyFill="0" applyBorder="0" applyAlignment="0">
      <alignment vertical="top"/>
      <protection hidden="1"/>
    </xf>
    <xf numFmtId="217" fontId="124" fillId="0" borderId="13" applyFont="0" applyFill="0" applyBorder="0" applyAlignment="0">
      <alignment vertical="top"/>
      <protection hidden="1"/>
    </xf>
    <xf numFmtId="217" fontId="124" fillId="0" borderId="13" applyFont="0" applyFill="0" applyBorder="0" applyAlignment="0">
      <alignment vertical="top"/>
      <protection hidden="1"/>
    </xf>
    <xf numFmtId="0" fontId="9" fillId="0" borderId="41" applyNumberFormat="0">
      <alignment horizontal="left" vertical="top" wrapText="1"/>
    </xf>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5" fontId="135" fillId="0" borderId="84" applyAlignment="0" applyProtection="0"/>
    <xf numFmtId="5" fontId="135" fillId="0" borderId="84" applyAlignment="0" applyProtection="0"/>
    <xf numFmtId="5" fontId="135" fillId="0" borderId="84" applyAlignment="0" applyProtection="0"/>
    <xf numFmtId="0" fontId="113" fillId="0" borderId="47" applyNumberFormat="0" applyFont="0" applyFill="0" applyAlignment="0" applyProtection="0"/>
    <xf numFmtId="0" fontId="113" fillId="0" borderId="47" applyNumberFormat="0" applyFont="0" applyFill="0" applyAlignment="0" applyProtection="0"/>
    <xf numFmtId="0" fontId="113" fillId="0" borderId="98" applyNumberFormat="0" applyFont="0" applyFill="0" applyAlignment="0" applyProtection="0"/>
    <xf numFmtId="0" fontId="113" fillId="0" borderId="98" applyNumberFormat="0" applyFont="0" applyFill="0" applyAlignment="0" applyProtection="0"/>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136" fillId="0" borderId="88" applyFill="0" applyProtection="0">
      <alignment horizontal="right"/>
    </xf>
    <xf numFmtId="0" fontId="136" fillId="0" borderId="88" applyFill="0" applyProtection="0">
      <alignment horizontal="right"/>
    </xf>
    <xf numFmtId="214" fontId="44" fillId="46" borderId="99" applyNumberFormat="0" applyFont="0" applyBorder="0">
      <alignment horizontal="right"/>
    </xf>
    <xf numFmtId="214" fontId="44" fillId="46" borderId="99" applyNumberFormat="0" applyFont="0" applyBorder="0">
      <alignment horizontal="right"/>
    </xf>
    <xf numFmtId="214" fontId="44" fillId="46" borderId="99" applyNumberFormat="0" applyFont="0" applyBorder="0">
      <alignment horizontal="right"/>
    </xf>
    <xf numFmtId="37" fontId="12" fillId="48" borderId="100" applyNumberFormat="0" applyBorder="0" applyAlignment="0"/>
    <xf numFmtId="37" fontId="12" fillId="48" borderId="100" applyNumberFormat="0" applyBorder="0" applyAlignment="0"/>
    <xf numFmtId="37" fontId="12" fillId="48" borderId="100" applyNumberFormat="0" applyBorder="0" applyAlignment="0"/>
    <xf numFmtId="37" fontId="12" fillId="48" borderId="100" applyNumberFormat="0" applyBorder="0" applyAlignment="0"/>
    <xf numFmtId="37" fontId="12" fillId="48" borderId="100" applyNumberFormat="0" applyBorder="0" applyAlignment="0"/>
    <xf numFmtId="37" fontId="12" fillId="48" borderId="100" applyNumberFormat="0" applyBorder="0" applyAlignment="0"/>
    <xf numFmtId="37" fontId="12" fillId="48" borderId="100" applyNumberFormat="0" applyBorder="0" applyAlignment="0"/>
    <xf numFmtId="37" fontId="12" fillId="48" borderId="100" applyNumberFormat="0" applyBorder="0" applyAlignment="0"/>
    <xf numFmtId="37" fontId="12" fillId="48" borderId="100" applyNumberFormat="0" applyBorder="0" applyAlignment="0"/>
    <xf numFmtId="229" fontId="12" fillId="0" borderId="82" applyNumberFormat="0" applyFont="0" applyFill="0" applyBorder="0" applyAlignment="0" applyProtection="0"/>
    <xf numFmtId="229" fontId="12" fillId="0" borderId="82" applyNumberFormat="0" applyFont="0" applyFill="0" applyBorder="0" applyAlignment="0" applyProtection="0"/>
    <xf numFmtId="229" fontId="12" fillId="0" borderId="82" applyNumberFormat="0" applyFont="0" applyFill="0" applyBorder="0" applyAlignment="0" applyProtection="0"/>
    <xf numFmtId="37" fontId="81" fillId="78" borderId="101" applyFill="0" applyBorder="0"/>
    <xf numFmtId="37" fontId="81" fillId="78" borderId="101" applyFill="0" applyBorder="0"/>
    <xf numFmtId="38" fontId="9" fillId="80" borderId="102"/>
    <xf numFmtId="38" fontId="9" fillId="80" borderId="102"/>
    <xf numFmtId="38" fontId="9" fillId="80" borderId="102"/>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8" fontId="9" fillId="0" borderId="103" applyFont="0" applyFill="0" applyBorder="0" applyProtection="0">
      <alignment horizontal="right"/>
    </xf>
    <xf numFmtId="8" fontId="9" fillId="0" borderId="103" applyFont="0" applyFill="0" applyBorder="0" applyProtection="0">
      <alignment horizontal="right"/>
    </xf>
    <xf numFmtId="8" fontId="9" fillId="0" borderId="103" applyFont="0" applyFill="0" applyBorder="0" applyProtection="0">
      <alignment horizontal="right"/>
    </xf>
    <xf numFmtId="38" fontId="9" fillId="0" borderId="104"/>
    <xf numFmtId="38" fontId="9" fillId="0" borderId="104"/>
    <xf numFmtId="38" fontId="9" fillId="0" borderId="104"/>
    <xf numFmtId="0" fontId="156" fillId="0" borderId="101" applyNumberFormat="0" applyFill="0" applyProtection="0">
      <alignment horizontal="center"/>
    </xf>
    <xf numFmtId="0" fontId="156" fillId="0" borderId="101" applyNumberFormat="0" applyFill="0" applyProtection="0">
      <alignment horizontal="center"/>
    </xf>
    <xf numFmtId="0" fontId="156" fillId="0" borderId="101" applyNumberFormat="0" applyFill="0" applyProtection="0">
      <alignment horizontal="center"/>
    </xf>
    <xf numFmtId="0" fontId="156" fillId="0" borderId="101" applyNumberFormat="0" applyFill="0" applyProtection="0">
      <alignment horizontal="center"/>
    </xf>
    <xf numFmtId="0" fontId="156" fillId="0" borderId="101" applyNumberFormat="0" applyFill="0" applyProtection="0">
      <alignment horizontal="center"/>
    </xf>
    <xf numFmtId="0" fontId="156" fillId="0" borderId="101" applyNumberFormat="0" applyFill="0" applyProtection="0">
      <alignment horizontal="center"/>
    </xf>
    <xf numFmtId="251" fontId="9" fillId="46" borderId="102"/>
    <xf numFmtId="251" fontId="9" fillId="46" borderId="102"/>
    <xf numFmtId="251" fontId="9" fillId="46" borderId="102"/>
    <xf numFmtId="38" fontId="171" fillId="44" borderId="19"/>
    <xf numFmtId="264" fontId="13" fillId="0" borderId="101"/>
    <xf numFmtId="264" fontId="13" fillId="0" borderId="101"/>
    <xf numFmtId="264" fontId="13" fillId="0" borderId="101"/>
    <xf numFmtId="264" fontId="13" fillId="0" borderId="101"/>
    <xf numFmtId="264" fontId="13" fillId="0" borderId="101"/>
    <xf numFmtId="264" fontId="13" fillId="0" borderId="101"/>
    <xf numFmtId="265" fontId="174" fillId="0" borderId="101" applyFont="0" applyFill="0" applyBorder="0" applyAlignment="0" applyProtection="0">
      <alignment horizontal="right"/>
    </xf>
    <xf numFmtId="265" fontId="174" fillId="0" borderId="101" applyFont="0" applyFill="0" applyBorder="0" applyAlignment="0" applyProtection="0">
      <alignment horizontal="right"/>
    </xf>
    <xf numFmtId="265" fontId="174" fillId="0" borderId="101" applyFont="0" applyFill="0" applyBorder="0" applyAlignment="0" applyProtection="0">
      <alignment horizontal="right"/>
    </xf>
    <xf numFmtId="265" fontId="174" fillId="0" borderId="101" applyFont="0" applyFill="0" applyBorder="0" applyAlignment="0" applyProtection="0">
      <alignment horizontal="right"/>
    </xf>
    <xf numFmtId="265" fontId="174" fillId="0" borderId="101" applyFont="0" applyFill="0" applyBorder="0" applyAlignment="0" applyProtection="0">
      <alignment horizontal="right"/>
    </xf>
    <xf numFmtId="265" fontId="174" fillId="0" borderId="101" applyFont="0" applyFill="0" applyBorder="0" applyAlignment="0" applyProtection="0">
      <alignment horizontal="right"/>
    </xf>
    <xf numFmtId="265" fontId="174" fillId="0" borderId="101" applyFont="0" applyFill="0" applyBorder="0" applyAlignment="0" applyProtection="0">
      <alignment horizontal="right"/>
    </xf>
    <xf numFmtId="265" fontId="174" fillId="0" borderId="101" applyFont="0" applyFill="0" applyBorder="0" applyAlignment="0" applyProtection="0">
      <alignment horizontal="right"/>
    </xf>
    <xf numFmtId="265" fontId="174" fillId="0" borderId="101" applyFont="0" applyFill="0" applyBorder="0" applyAlignment="0" applyProtection="0">
      <alignment horizontal="right"/>
    </xf>
    <xf numFmtId="265" fontId="174" fillId="0" borderId="101" applyFont="0" applyFill="0" applyBorder="0" applyAlignment="0" applyProtection="0">
      <alignment horizontal="right"/>
    </xf>
    <xf numFmtId="265" fontId="174" fillId="0" borderId="101" applyFont="0" applyFill="0" applyBorder="0" applyAlignment="0" applyProtection="0">
      <alignment horizontal="right"/>
    </xf>
    <xf numFmtId="265" fontId="174" fillId="0" borderId="101" applyFont="0" applyFill="0" applyBorder="0" applyAlignment="0" applyProtection="0">
      <alignment horizontal="right"/>
    </xf>
    <xf numFmtId="249" fontId="9" fillId="0" borderId="101" applyFont="0" applyFill="0" applyBorder="0" applyAlignment="0" applyProtection="0">
      <alignment horizontal="right"/>
    </xf>
    <xf numFmtId="249" fontId="9" fillId="0" borderId="101" applyFont="0" applyFill="0" applyBorder="0" applyAlignment="0" applyProtection="0">
      <alignment horizontal="right"/>
    </xf>
    <xf numFmtId="249" fontId="9" fillId="0" borderId="101" applyFont="0" applyFill="0" applyBorder="0" applyAlignment="0" applyProtection="0">
      <alignment horizontal="right"/>
    </xf>
    <xf numFmtId="249" fontId="9" fillId="0" borderId="101" applyFont="0" applyFill="0" applyBorder="0" applyAlignment="0" applyProtection="0">
      <alignment horizontal="right"/>
    </xf>
    <xf numFmtId="249" fontId="9" fillId="0" borderId="101" applyFont="0" applyFill="0" applyBorder="0" applyAlignment="0" applyProtection="0">
      <alignment horizontal="right"/>
    </xf>
    <xf numFmtId="249" fontId="9" fillId="0" borderId="101" applyFont="0" applyFill="0" applyBorder="0" applyAlignment="0" applyProtection="0">
      <alignment horizontal="right"/>
    </xf>
    <xf numFmtId="0" fontId="175" fillId="0" borderId="101"/>
    <xf numFmtId="0" fontId="175" fillId="0" borderId="101"/>
    <xf numFmtId="0" fontId="175" fillId="0" borderId="101"/>
    <xf numFmtId="0" fontId="175" fillId="0" borderId="101"/>
    <xf numFmtId="0" fontId="175" fillId="0" borderId="101"/>
    <xf numFmtId="0" fontId="175" fillId="0" borderId="101"/>
    <xf numFmtId="0" fontId="179" fillId="46" borderId="95" applyNumberFormat="0" applyBorder="0" applyAlignment="0">
      <alignment horizontal="center"/>
    </xf>
    <xf numFmtId="0" fontId="179" fillId="46" borderId="95" applyNumberFormat="0" applyBorder="0" applyAlignment="0">
      <alignment horizontal="center"/>
    </xf>
    <xf numFmtId="0" fontId="179" fillId="46" borderId="95" applyNumberFormat="0" applyBorder="0" applyAlignment="0">
      <alignment horizontal="center"/>
    </xf>
    <xf numFmtId="0" fontId="179" fillId="46" borderId="95" applyNumberFormat="0" applyBorder="0" applyAlignment="0">
      <alignment horizontal="center"/>
    </xf>
    <xf numFmtId="0" fontId="179" fillId="46" borderId="95" applyNumberFormat="0" applyBorder="0" applyAlignment="0">
      <alignment horizontal="center"/>
    </xf>
    <xf numFmtId="0" fontId="179" fillId="46" borderId="95" applyNumberFormat="0" applyBorder="0" applyAlignment="0">
      <alignment horizontal="center"/>
    </xf>
    <xf numFmtId="37" fontId="132" fillId="84" borderId="62" applyNumberFormat="0" applyAlignment="0">
      <alignment horizontal="left"/>
    </xf>
    <xf numFmtId="37" fontId="132" fillId="84" borderId="62" applyNumberFormat="0" applyAlignment="0">
      <alignment horizontal="left"/>
    </xf>
    <xf numFmtId="0" fontId="83" fillId="78" borderId="102" applyNumberFormat="0" applyAlignment="0">
      <alignment horizontal="center"/>
      <protection locked="0"/>
    </xf>
    <xf numFmtId="0" fontId="83" fillId="78" borderId="102" applyNumberFormat="0" applyAlignment="0">
      <alignment horizontal="center"/>
      <protection locked="0"/>
    </xf>
    <xf numFmtId="0" fontId="83" fillId="78" borderId="102" applyNumberFormat="0" applyAlignment="0">
      <alignment horizontal="center"/>
      <protection locked="0"/>
    </xf>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2" fillId="86" borderId="1"/>
    <xf numFmtId="0" fontId="12" fillId="86" borderId="1"/>
    <xf numFmtId="0" fontId="12" fillId="86" borderId="1"/>
    <xf numFmtId="0" fontId="12" fillId="86" borderId="1"/>
    <xf numFmtId="0" fontId="12" fillId="86" borderId="1"/>
    <xf numFmtId="0" fontId="12" fillId="86" borderId="1"/>
    <xf numFmtId="0" fontId="12" fillId="86" borderId="1"/>
    <xf numFmtId="0" fontId="12" fillId="86" borderId="1"/>
    <xf numFmtId="0" fontId="12" fillId="86" borderId="1"/>
    <xf numFmtId="0" fontId="12" fillId="86" borderId="1"/>
    <xf numFmtId="0" fontId="12" fillId="86" borderId="1"/>
    <xf numFmtId="0" fontId="12" fillId="86" borderId="1"/>
    <xf numFmtId="0" fontId="12" fillId="86" borderId="1"/>
    <xf numFmtId="0" fontId="12" fillId="86" borderId="1"/>
    <xf numFmtId="0" fontId="12" fillId="86" borderId="1"/>
    <xf numFmtId="0" fontId="12" fillId="86" borderId="1"/>
    <xf numFmtId="0" fontId="197" fillId="0" borderId="86">
      <alignment horizontal="right" wrapText="1"/>
    </xf>
    <xf numFmtId="202" fontId="73" fillId="0" borderId="86">
      <alignment horizontal="left"/>
    </xf>
    <xf numFmtId="0" fontId="73" fillId="0" borderId="86">
      <alignment horizontal="left"/>
    </xf>
    <xf numFmtId="299" fontId="202" fillId="75" borderId="96" applyAlignment="0" applyProtection="0"/>
    <xf numFmtId="299" fontId="202" fillId="75" borderId="96" applyAlignment="0" applyProtection="0"/>
    <xf numFmtId="299" fontId="202" fillId="75" borderId="96" applyAlignment="0" applyProtection="0"/>
    <xf numFmtId="15" fontId="117" fillId="50" borderId="102">
      <alignment horizontal="center"/>
      <protection locked="0"/>
    </xf>
    <xf numFmtId="15" fontId="117" fillId="50" borderId="102">
      <alignment horizontal="center"/>
      <protection locked="0"/>
    </xf>
    <xf numFmtId="15" fontId="117" fillId="50" borderId="102">
      <alignment horizontal="center"/>
      <protection locked="0"/>
    </xf>
    <xf numFmtId="300" fontId="48" fillId="44" borderId="102" applyFont="0" applyAlignment="0"/>
    <xf numFmtId="300" fontId="48" fillId="44" borderId="102" applyFont="0" applyAlignment="0"/>
    <xf numFmtId="300" fontId="48" fillId="44" borderId="102" applyFont="0" applyAlignment="0"/>
    <xf numFmtId="301" fontId="117" fillId="50" borderId="102" applyAlignment="0">
      <protection locked="0"/>
    </xf>
    <xf numFmtId="301" fontId="117" fillId="50" borderId="102" applyAlignment="0">
      <protection locked="0"/>
    </xf>
    <xf numFmtId="301" fontId="117" fillId="50" borderId="102" applyAlignment="0">
      <protection locked="0"/>
    </xf>
    <xf numFmtId="300" fontId="117" fillId="50" borderId="102" applyAlignment="0">
      <protection locked="0"/>
    </xf>
    <xf numFmtId="300" fontId="117" fillId="50" borderId="102" applyAlignment="0">
      <protection locked="0"/>
    </xf>
    <xf numFmtId="300" fontId="117" fillId="50" borderId="102" applyAlignment="0">
      <protection locked="0"/>
    </xf>
    <xf numFmtId="202" fontId="207" fillId="0" borderId="105">
      <alignment horizontal="center"/>
    </xf>
    <xf numFmtId="41" fontId="74" fillId="0" borderId="105" applyFill="0" applyBorder="0" applyProtection="0">
      <alignment horizontal="right" vertical="top"/>
    </xf>
    <xf numFmtId="0" fontId="48" fillId="0" borderId="106" applyNumberFormat="0" applyFont="0" applyAlignment="0" applyProtection="0"/>
    <xf numFmtId="0" fontId="48" fillId="0" borderId="106"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8" fontId="15" fillId="46" borderId="109" applyNumberFormat="0" applyFont="0" applyAlignment="0"/>
    <xf numFmtId="38" fontId="15" fillId="46" borderId="109" applyNumberFormat="0" applyFont="0" applyAlignment="0"/>
    <xf numFmtId="37" fontId="9" fillId="46" borderId="19"/>
    <xf numFmtId="37" fontId="217" fillId="91" borderId="67"/>
    <xf numFmtId="37" fontId="217" fillId="91" borderId="67"/>
    <xf numFmtId="229" fontId="217" fillId="91" borderId="67"/>
    <xf numFmtId="229" fontId="217" fillId="91" borderId="67"/>
    <xf numFmtId="223" fontId="12" fillId="78" borderId="1" applyFont="0" applyBorder="0" applyAlignment="0" applyProtection="0">
      <alignment vertical="top"/>
    </xf>
    <xf numFmtId="223" fontId="12" fillId="78" borderId="1" applyFont="0" applyBorder="0" applyAlignment="0" applyProtection="0">
      <alignment vertical="top"/>
    </xf>
    <xf numFmtId="223" fontId="12" fillId="78" borderId="1" applyFont="0" applyBorder="0" applyAlignment="0" applyProtection="0">
      <alignment vertical="top"/>
    </xf>
    <xf numFmtId="223" fontId="12" fillId="78" borderId="1" applyFont="0" applyBorder="0" applyAlignment="0" applyProtection="0">
      <alignment vertical="top"/>
    </xf>
    <xf numFmtId="223" fontId="12" fillId="78" borderId="1" applyFont="0" applyBorder="0" applyAlignment="0" applyProtection="0">
      <alignment vertical="top"/>
    </xf>
    <xf numFmtId="223" fontId="12" fillId="78" borderId="1" applyFont="0" applyBorder="0" applyAlignment="0" applyProtection="0">
      <alignment vertical="top"/>
    </xf>
    <xf numFmtId="223" fontId="12" fillId="78" borderId="1" applyFont="0" applyBorder="0" applyAlignment="0" applyProtection="0">
      <alignment vertical="top"/>
    </xf>
    <xf numFmtId="223" fontId="12" fillId="78" borderId="1" applyFont="0" applyBorder="0" applyAlignment="0" applyProtection="0">
      <alignment vertical="top"/>
    </xf>
    <xf numFmtId="223" fontId="12" fillId="78" borderId="1" applyFont="0" applyBorder="0" applyAlignment="0" applyProtection="0">
      <alignment vertical="top"/>
    </xf>
    <xf numFmtId="223" fontId="12" fillId="78" borderId="1" applyFont="0" applyBorder="0" applyAlignment="0" applyProtection="0">
      <alignment vertical="top"/>
    </xf>
    <xf numFmtId="223" fontId="12" fillId="78" borderId="1" applyFont="0" applyBorder="0" applyAlignment="0" applyProtection="0">
      <alignment vertical="top"/>
    </xf>
    <xf numFmtId="223" fontId="12" fillId="78" borderId="1" applyFont="0" applyBorder="0" applyAlignment="0" applyProtection="0">
      <alignment vertical="top"/>
    </xf>
    <xf numFmtId="223" fontId="12" fillId="78" borderId="1" applyFont="0" applyBorder="0" applyAlignment="0" applyProtection="0">
      <alignment vertical="top"/>
    </xf>
    <xf numFmtId="223" fontId="12" fillId="78" borderId="1" applyFont="0" applyBorder="0" applyAlignment="0" applyProtection="0">
      <alignment vertical="top"/>
    </xf>
    <xf numFmtId="223" fontId="12" fillId="78" borderId="1" applyFont="0" applyBorder="0" applyAlignment="0" applyProtection="0">
      <alignment vertical="top"/>
    </xf>
    <xf numFmtId="223" fontId="12" fillId="78" borderId="1" applyFont="0" applyBorder="0" applyAlignment="0" applyProtection="0">
      <alignment vertical="top"/>
    </xf>
    <xf numFmtId="0" fontId="9" fillId="0" borderId="41" applyNumberFormat="0">
      <alignment horizontal="center" vertical="top"/>
    </xf>
    <xf numFmtId="38" fontId="6" fillId="0" borderId="68"/>
    <xf numFmtId="38" fontId="6" fillId="0" borderId="68"/>
    <xf numFmtId="0" fontId="9" fillId="0" borderId="101" applyFill="0" applyProtection="0">
      <alignment horizontal="centerContinuous"/>
    </xf>
    <xf numFmtId="0" fontId="9" fillId="0" borderId="101" applyFill="0" applyProtection="0">
      <alignment horizontal="centerContinuous"/>
    </xf>
    <xf numFmtId="0" fontId="9" fillId="0" borderId="101" applyFill="0" applyProtection="0">
      <alignment horizontal="centerContinuous"/>
    </xf>
    <xf numFmtId="0" fontId="9" fillId="0" borderId="101" applyFill="0" applyProtection="0">
      <alignment horizontal="centerContinuous"/>
    </xf>
    <xf numFmtId="0" fontId="9" fillId="0" borderId="101" applyFill="0" applyProtection="0">
      <alignment horizontal="centerContinuous"/>
    </xf>
    <xf numFmtId="0" fontId="9" fillId="0" borderId="101" applyFill="0" applyProtection="0">
      <alignment horizontal="centerContinuous"/>
    </xf>
    <xf numFmtId="0" fontId="9" fillId="0" borderId="101" applyFill="0" applyProtection="0">
      <alignment horizontal="centerContinuous"/>
    </xf>
    <xf numFmtId="0" fontId="9" fillId="0" borderId="101" applyFill="0" applyProtection="0">
      <alignment horizontal="centerContinuous"/>
    </xf>
    <xf numFmtId="0" fontId="9" fillId="0" borderId="101" applyFill="0" applyProtection="0">
      <alignment horizontal="centerContinuous"/>
    </xf>
    <xf numFmtId="0" fontId="9" fillId="0" borderId="101" applyFill="0" applyProtection="0">
      <alignment horizontal="centerContinuous"/>
    </xf>
    <xf numFmtId="0" fontId="9" fillId="0" borderId="101" applyFill="0" applyProtection="0">
      <alignment horizontal="centerContinuous"/>
    </xf>
    <xf numFmtId="0" fontId="9" fillId="0" borderId="101" applyFill="0" applyProtection="0">
      <alignment horizontal="centerContinuous"/>
    </xf>
    <xf numFmtId="0" fontId="9" fillId="0" borderId="101" applyFill="0" applyProtection="0">
      <alignment horizontal="centerContinuous"/>
    </xf>
    <xf numFmtId="0" fontId="9" fillId="0" borderId="101" applyFill="0" applyProtection="0">
      <alignment horizontal="centerContinuous"/>
    </xf>
    <xf numFmtId="0" fontId="9" fillId="0" borderId="101" applyFill="0" applyProtection="0">
      <alignment horizontal="centerContinuous"/>
    </xf>
    <xf numFmtId="0" fontId="9" fillId="0" borderId="101" applyFill="0" applyProtection="0">
      <alignment horizontal="centerContinuous"/>
    </xf>
    <xf numFmtId="0" fontId="9" fillId="0" borderId="101" applyFill="0" applyProtection="0">
      <alignment horizontal="centerContinuous"/>
    </xf>
    <xf numFmtId="0" fontId="9" fillId="0" borderId="101" applyFill="0" applyProtection="0">
      <alignment horizontal="centerContinuous"/>
    </xf>
    <xf numFmtId="0" fontId="223" fillId="0" borderId="101"/>
    <xf numFmtId="0" fontId="223" fillId="0" borderId="101"/>
    <xf numFmtId="0" fontId="223" fillId="0" borderId="101"/>
    <xf numFmtId="0" fontId="223" fillId="0" borderId="101"/>
    <xf numFmtId="0" fontId="223" fillId="0" borderId="101"/>
    <xf numFmtId="0" fontId="223" fillId="0" borderId="101"/>
    <xf numFmtId="0" fontId="223" fillId="0" borderId="101"/>
    <xf numFmtId="0" fontId="223" fillId="0" borderId="101"/>
    <xf numFmtId="0" fontId="223" fillId="0" borderId="101"/>
    <xf numFmtId="0" fontId="223" fillId="0" borderId="101"/>
    <xf numFmtId="0" fontId="37" fillId="0" borderId="110">
      <alignment horizontal="left" vertical="center"/>
    </xf>
    <xf numFmtId="0" fontId="37" fillId="0" borderId="110">
      <alignment horizontal="left" vertical="center"/>
    </xf>
    <xf numFmtId="0" fontId="37" fillId="0" borderId="110">
      <alignment horizontal="left" vertic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37" fontId="221" fillId="47" borderId="111" applyNumberFormat="0" applyAlignment="0"/>
    <xf numFmtId="37" fontId="221" fillId="47" borderId="111" applyNumberFormat="0" applyAlignment="0"/>
    <xf numFmtId="37" fontId="221" fillId="47" borderId="111" applyNumberFormat="0" applyAlignment="0"/>
    <xf numFmtId="37" fontId="221" fillId="47" borderId="111" applyNumberFormat="0" applyAlignment="0"/>
    <xf numFmtId="37" fontId="221" fillId="47" borderId="111" applyNumberFormat="0" applyAlignment="0"/>
    <xf numFmtId="37" fontId="221" fillId="47" borderId="111" applyNumberFormat="0" applyAlignment="0"/>
    <xf numFmtId="37" fontId="221" fillId="47" borderId="111" applyNumberFormat="0" applyAlignment="0"/>
    <xf numFmtId="37" fontId="221" fillId="47" borderId="111" applyNumberFormat="0" applyAlignment="0"/>
    <xf numFmtId="37" fontId="221" fillId="47" borderId="111" applyNumberFormat="0" applyAlignment="0"/>
    <xf numFmtId="309" fontId="9" fillId="47" borderId="111" applyFont="0" applyAlignment="0">
      <protection locked="0"/>
    </xf>
    <xf numFmtId="309" fontId="9" fillId="47" borderId="111" applyFont="0" applyAlignment="0">
      <protection locked="0"/>
    </xf>
    <xf numFmtId="309" fontId="9" fillId="47" borderId="111" applyFont="0" applyAlignment="0">
      <protection locked="0"/>
    </xf>
    <xf numFmtId="309" fontId="9" fillId="47" borderId="111" applyFont="0" applyAlignment="0">
      <protection locked="0"/>
    </xf>
    <xf numFmtId="309" fontId="9" fillId="47" borderId="111" applyFont="0" applyAlignment="0">
      <protection locked="0"/>
    </xf>
    <xf numFmtId="309" fontId="9" fillId="47" borderId="111" applyFont="0" applyAlignment="0">
      <protection locked="0"/>
    </xf>
    <xf numFmtId="309" fontId="9" fillId="47" borderId="111" applyFont="0" applyAlignment="0">
      <protection locked="0"/>
    </xf>
    <xf numFmtId="309" fontId="9" fillId="47" borderId="111" applyFont="0" applyAlignment="0">
      <protection locked="0"/>
    </xf>
    <xf numFmtId="309" fontId="9" fillId="47" borderId="111" applyFont="0" applyAlignment="0">
      <protection locked="0"/>
    </xf>
    <xf numFmtId="37" fontId="9" fillId="47" borderId="111" applyNumberFormat="0" applyFont="0" applyBorder="0" applyAlignment="0">
      <protection locked="0"/>
    </xf>
    <xf numFmtId="37" fontId="9" fillId="47" borderId="111" applyNumberFormat="0" applyFont="0" applyBorder="0" applyAlignment="0">
      <protection locked="0"/>
    </xf>
    <xf numFmtId="37" fontId="9" fillId="47" borderId="111" applyNumberFormat="0" applyFont="0" applyBorder="0" applyAlignment="0">
      <protection locked="0"/>
    </xf>
    <xf numFmtId="37" fontId="9" fillId="47" borderId="111" applyNumberFormat="0" applyFont="0" applyBorder="0" applyAlignment="0">
      <protection locked="0"/>
    </xf>
    <xf numFmtId="37" fontId="9" fillId="47" borderId="111" applyNumberFormat="0" applyFont="0" applyBorder="0" applyAlignment="0">
      <protection locked="0"/>
    </xf>
    <xf numFmtId="37" fontId="9" fillId="47" borderId="111" applyNumberFormat="0" applyFont="0" applyBorder="0" applyAlignment="0">
      <protection locked="0"/>
    </xf>
    <xf numFmtId="37" fontId="9" fillId="47" borderId="111" applyNumberFormat="0" applyFont="0" applyBorder="0" applyAlignment="0">
      <protection locked="0"/>
    </xf>
    <xf numFmtId="37" fontId="9" fillId="47" borderId="111" applyNumberFormat="0" applyFont="0" applyBorder="0" applyAlignment="0">
      <protection locked="0"/>
    </xf>
    <xf numFmtId="37" fontId="9" fillId="47" borderId="111" applyNumberFormat="0" applyFont="0" applyBorder="0" applyAlignment="0">
      <protection locked="0"/>
    </xf>
    <xf numFmtId="37" fontId="9" fillId="47" borderId="111" applyNumberFormat="0" applyFont="0" applyBorder="0" applyAlignment="0">
      <protection locked="0"/>
    </xf>
    <xf numFmtId="37" fontId="9" fillId="47" borderId="111" applyNumberFormat="0" applyFont="0" applyBorder="0" applyAlignment="0">
      <protection locked="0"/>
    </xf>
    <xf numFmtId="37" fontId="9" fillId="47" borderId="111" applyNumberFormat="0" applyFont="0" applyBorder="0" applyAlignment="0">
      <protection locked="0"/>
    </xf>
    <xf numFmtId="37" fontId="9" fillId="47" borderId="111" applyNumberFormat="0" applyFont="0" applyBorder="0" applyAlignment="0">
      <protection locked="0"/>
    </xf>
    <xf numFmtId="37" fontId="9" fillId="47" borderId="111" applyNumberFormat="0" applyFont="0" applyBorder="0" applyAlignment="0">
      <protection locked="0"/>
    </xf>
    <xf numFmtId="37" fontId="9" fillId="47" borderId="111" applyNumberFormat="0" applyFont="0" applyBorder="0" applyAlignment="0">
      <protection locked="0"/>
    </xf>
    <xf numFmtId="37" fontId="9" fillId="47" borderId="111" applyNumberFormat="0" applyFont="0" applyBorder="0" applyAlignment="0">
      <protection locked="0"/>
    </xf>
    <xf numFmtId="37" fontId="9" fillId="47" borderId="111" applyNumberFormat="0" applyFont="0" applyBorder="0" applyAlignment="0">
      <protection locked="0"/>
    </xf>
    <xf numFmtId="37" fontId="9" fillId="47" borderId="111" applyNumberFormat="0" applyFont="0" applyBorder="0" applyAlignment="0">
      <protection locked="0"/>
    </xf>
    <xf numFmtId="37" fontId="9" fillId="46" borderId="101" applyNumberFormat="0" applyBorder="0" applyAlignment="0"/>
    <xf numFmtId="37" fontId="9" fillId="46" borderId="101" applyNumberFormat="0" applyBorder="0" applyAlignment="0"/>
    <xf numFmtId="37" fontId="9" fillId="46" borderId="101" applyNumberFormat="0" applyBorder="0" applyAlignment="0"/>
    <xf numFmtId="37" fontId="9" fillId="46" borderId="101" applyNumberFormat="0" applyBorder="0" applyAlignment="0"/>
    <xf numFmtId="37" fontId="9" fillId="46" borderId="101" applyNumberFormat="0" applyBorder="0" applyAlignment="0"/>
    <xf numFmtId="37" fontId="9" fillId="46" borderId="101" applyNumberFormat="0" applyBorder="0" applyAlignment="0"/>
    <xf numFmtId="229" fontId="9" fillId="47" borderId="111" applyFont="0" applyAlignment="0">
      <protection locked="0"/>
    </xf>
    <xf numFmtId="229" fontId="9" fillId="47" borderId="111" applyFont="0" applyAlignment="0">
      <protection locked="0"/>
    </xf>
    <xf numFmtId="229" fontId="9" fillId="47" borderId="111" applyFont="0" applyAlignment="0">
      <protection locked="0"/>
    </xf>
    <xf numFmtId="229" fontId="9" fillId="47" borderId="111" applyFont="0" applyAlignment="0">
      <protection locked="0"/>
    </xf>
    <xf numFmtId="229" fontId="9" fillId="47" borderId="111" applyFont="0" applyAlignment="0">
      <protection locked="0"/>
    </xf>
    <xf numFmtId="229" fontId="9" fillId="47" borderId="111" applyFont="0" applyAlignment="0">
      <protection locked="0"/>
    </xf>
    <xf numFmtId="229" fontId="9" fillId="47" borderId="111" applyFont="0" applyAlignment="0">
      <protection locked="0"/>
    </xf>
    <xf numFmtId="229" fontId="9" fillId="47" borderId="111" applyFont="0" applyAlignment="0">
      <protection locked="0"/>
    </xf>
    <xf numFmtId="229" fontId="9" fillId="47" borderId="111" applyFont="0" applyAlignment="0">
      <protection locked="0"/>
    </xf>
    <xf numFmtId="37" fontId="9" fillId="47" borderId="111" applyNumberFormat="0" applyFont="0" applyAlignment="0">
      <protection locked="0"/>
    </xf>
    <xf numFmtId="37" fontId="9" fillId="47" borderId="111" applyNumberFormat="0" applyFont="0" applyAlignment="0">
      <protection locked="0"/>
    </xf>
    <xf numFmtId="37" fontId="9" fillId="47" borderId="111" applyNumberFormat="0" applyFont="0" applyAlignment="0">
      <protection locked="0"/>
    </xf>
    <xf numFmtId="37" fontId="9" fillId="47" borderId="111" applyNumberFormat="0" applyFont="0" applyAlignment="0">
      <protection locked="0"/>
    </xf>
    <xf numFmtId="37" fontId="9" fillId="47" borderId="111" applyNumberFormat="0" applyFont="0" applyAlignment="0">
      <protection locked="0"/>
    </xf>
    <xf numFmtId="37" fontId="9" fillId="47" borderId="111" applyNumberFormat="0" applyFont="0" applyAlignment="0">
      <protection locked="0"/>
    </xf>
    <xf numFmtId="37" fontId="9" fillId="47" borderId="111" applyNumberFormat="0" applyFont="0" applyAlignment="0">
      <protection locked="0"/>
    </xf>
    <xf numFmtId="37" fontId="9" fillId="47" borderId="111" applyNumberFormat="0" applyFont="0" applyAlignment="0">
      <protection locked="0"/>
    </xf>
    <xf numFmtId="37" fontId="9" fillId="47" borderId="111" applyNumberFormat="0" applyFont="0" applyAlignment="0">
      <protection locked="0"/>
    </xf>
    <xf numFmtId="319" fontId="237" fillId="44" borderId="112"/>
    <xf numFmtId="319" fontId="237" fillId="44" borderId="112"/>
    <xf numFmtId="319" fontId="237" fillId="44" borderId="112"/>
    <xf numFmtId="319" fontId="237" fillId="44" borderId="112"/>
    <xf numFmtId="319" fontId="237" fillId="44" borderId="112"/>
    <xf numFmtId="319" fontId="237" fillId="44" borderId="112"/>
    <xf numFmtId="319" fontId="237" fillId="44" borderId="112"/>
    <xf numFmtId="319" fontId="237" fillId="44" borderId="112"/>
    <xf numFmtId="319" fontId="237" fillId="44" borderId="112"/>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0" fontId="12" fillId="47" borderId="1" applyNumberFormat="0" applyBorder="0" applyAlignment="0" applyProtection="0"/>
    <xf numFmtId="196" fontId="45" fillId="44" borderId="1" applyNumberFormat="0" applyFont="0" applyBorder="0" applyAlignment="0" applyProtection="0"/>
    <xf numFmtId="196" fontId="45" fillId="44" borderId="1" applyNumberFormat="0" applyFont="0" applyBorder="0" applyAlignment="0" applyProtection="0"/>
    <xf numFmtId="196" fontId="45" fillId="44" borderId="1" applyNumberFormat="0" applyFont="0" applyBorder="0" applyAlignment="0" applyProtection="0"/>
    <xf numFmtId="196" fontId="45" fillId="44" borderId="1" applyNumberFormat="0" applyFont="0" applyBorder="0" applyAlignment="0" applyProtection="0"/>
    <xf numFmtId="196" fontId="45" fillId="44" borderId="1" applyNumberFormat="0" applyFont="0" applyBorder="0" applyAlignment="0" applyProtection="0"/>
    <xf numFmtId="196" fontId="45" fillId="44" borderId="1" applyNumberFormat="0" applyFont="0" applyBorder="0" applyAlignment="0" applyProtection="0"/>
    <xf numFmtId="196" fontId="45" fillId="44" borderId="1" applyNumberFormat="0" applyFont="0" applyBorder="0" applyAlignment="0" applyProtection="0"/>
    <xf numFmtId="196" fontId="45" fillId="44" borderId="1" applyNumberFormat="0" applyFont="0" applyBorder="0" applyAlignment="0" applyProtection="0"/>
    <xf numFmtId="196" fontId="45" fillId="44" borderId="1" applyNumberFormat="0" applyFont="0" applyBorder="0" applyAlignment="0" applyProtection="0"/>
    <xf numFmtId="196" fontId="45" fillId="44" borderId="1" applyNumberFormat="0" applyFont="0" applyBorder="0" applyAlignment="0" applyProtection="0"/>
    <xf numFmtId="196" fontId="45" fillId="44" borderId="1" applyNumberFormat="0" applyFont="0" applyBorder="0" applyAlignment="0" applyProtection="0"/>
    <xf numFmtId="196" fontId="45" fillId="44" borderId="1" applyNumberFormat="0" applyFont="0" applyBorder="0" applyAlignment="0" applyProtection="0"/>
    <xf numFmtId="196" fontId="45" fillId="44" borderId="1" applyNumberFormat="0" applyFont="0" applyBorder="0" applyAlignment="0" applyProtection="0"/>
    <xf numFmtId="196" fontId="45" fillId="44" borderId="1" applyNumberFormat="0" applyFont="0" applyBorder="0" applyAlignment="0" applyProtection="0"/>
    <xf numFmtId="196" fontId="45" fillId="44" borderId="1" applyNumberFormat="0" applyFont="0" applyBorder="0" applyAlignment="0" applyProtection="0"/>
    <xf numFmtId="196" fontId="45" fillId="44" borderId="1" applyNumberFormat="0" applyFont="0" applyBorder="0" applyAlignment="0" applyProtection="0"/>
    <xf numFmtId="251" fontId="9" fillId="44" borderId="102"/>
    <xf numFmtId="251" fontId="9" fillId="44" borderId="102"/>
    <xf numFmtId="251" fontId="9" fillId="44" borderId="102"/>
    <xf numFmtId="204" fontId="12" fillId="47" borderId="101" applyNumberFormat="0" applyFont="0" applyAlignment="0" applyProtection="0">
      <alignment horizontal="center"/>
      <protection locked="0"/>
    </xf>
    <xf numFmtId="204" fontId="12" fillId="47" borderId="101" applyNumberFormat="0" applyFont="0" applyAlignment="0" applyProtection="0">
      <alignment horizontal="center"/>
      <protection locked="0"/>
    </xf>
    <xf numFmtId="204" fontId="12" fillId="47" borderId="101" applyNumberFormat="0" applyFont="0" applyAlignment="0" applyProtection="0">
      <alignment horizontal="center"/>
      <protection locked="0"/>
    </xf>
    <xf numFmtId="204" fontId="12" fillId="47" borderId="101" applyNumberFormat="0" applyFont="0" applyAlignment="0" applyProtection="0">
      <alignment horizontal="center"/>
      <protection locked="0"/>
    </xf>
    <xf numFmtId="204" fontId="12" fillId="47" borderId="101" applyNumberFormat="0" applyFont="0" applyAlignment="0" applyProtection="0">
      <alignment horizontal="center"/>
      <protection locked="0"/>
    </xf>
    <xf numFmtId="204" fontId="12" fillId="47" borderId="101" applyNumberFormat="0" applyFont="0" applyAlignment="0" applyProtection="0">
      <alignment horizontal="center"/>
      <protection locked="0"/>
    </xf>
    <xf numFmtId="204" fontId="12" fillId="47" borderId="101" applyNumberFormat="0" applyFont="0" applyAlignment="0" applyProtection="0">
      <alignment horizontal="center"/>
      <protection locked="0"/>
    </xf>
    <xf numFmtId="204" fontId="12" fillId="47" borderId="101" applyNumberFormat="0" applyFont="0" applyAlignment="0" applyProtection="0">
      <alignment horizontal="center"/>
      <protection locked="0"/>
    </xf>
    <xf numFmtId="204" fontId="12" fillId="47" borderId="101" applyNumberFormat="0" applyFont="0" applyAlignment="0" applyProtection="0">
      <alignment horizontal="center"/>
      <protection locked="0"/>
    </xf>
    <xf numFmtId="204" fontId="12" fillId="47" borderId="101" applyNumberFormat="0" applyFont="0" applyAlignment="0" applyProtection="0">
      <alignment horizontal="center"/>
      <protection locked="0"/>
    </xf>
    <xf numFmtId="204" fontId="12" fillId="47" borderId="101" applyNumberFormat="0" applyFont="0" applyAlignment="0" applyProtection="0">
      <alignment horizontal="center"/>
      <protection locked="0"/>
    </xf>
    <xf numFmtId="204" fontId="12" fillId="47" borderId="101" applyNumberFormat="0" applyFont="0" applyAlignment="0" applyProtection="0">
      <alignment horizontal="center"/>
      <protection locked="0"/>
    </xf>
    <xf numFmtId="204" fontId="12" fillId="47" borderId="101" applyNumberFormat="0" applyFont="0" applyAlignment="0" applyProtection="0">
      <alignment horizontal="center"/>
      <protection locked="0"/>
    </xf>
    <xf numFmtId="204" fontId="12" fillId="47" borderId="101" applyNumberFormat="0" applyFont="0" applyAlignment="0" applyProtection="0">
      <alignment horizontal="center"/>
      <protection locked="0"/>
    </xf>
    <xf numFmtId="204" fontId="12" fillId="47" borderId="101" applyNumberFormat="0" applyFont="0" applyAlignment="0" applyProtection="0">
      <alignment horizontal="center"/>
      <protection locked="0"/>
    </xf>
    <xf numFmtId="204" fontId="12" fillId="47" borderId="101" applyNumberFormat="0" applyFont="0" applyAlignment="0" applyProtection="0">
      <alignment horizontal="center"/>
      <protection locked="0"/>
    </xf>
    <xf numFmtId="204" fontId="12" fillId="47" borderId="101" applyNumberFormat="0" applyFont="0" applyAlignment="0" applyProtection="0">
      <alignment horizontal="center"/>
      <protection locked="0"/>
    </xf>
    <xf numFmtId="204" fontId="12" fillId="47" borderId="101" applyNumberFormat="0" applyFont="0" applyAlignment="0" applyProtection="0">
      <alignment horizontal="center"/>
      <protection locked="0"/>
    </xf>
    <xf numFmtId="1" fontId="9" fillId="0" borderId="41">
      <alignment horizontal="center" vertical="top"/>
    </xf>
    <xf numFmtId="2" fontId="53" fillId="0" borderId="1"/>
    <xf numFmtId="2" fontId="53" fillId="0" borderId="1"/>
    <xf numFmtId="2" fontId="53" fillId="0" borderId="1"/>
    <xf numFmtId="2" fontId="53" fillId="0" borderId="1"/>
    <xf numFmtId="2" fontId="53" fillId="0" borderId="1"/>
    <xf numFmtId="2" fontId="53" fillId="0" borderId="1"/>
    <xf numFmtId="2" fontId="53" fillId="0" borderId="1"/>
    <xf numFmtId="2" fontId="53" fillId="0" borderId="1"/>
    <xf numFmtId="2" fontId="53" fillId="0" borderId="1"/>
    <xf numFmtId="2" fontId="53" fillId="0" borderId="1"/>
    <xf numFmtId="2" fontId="53" fillId="0" borderId="1"/>
    <xf numFmtId="2" fontId="53" fillId="0" borderId="1"/>
    <xf numFmtId="2" fontId="53" fillId="0" borderId="1"/>
    <xf numFmtId="2" fontId="53" fillId="0" borderId="1"/>
    <xf numFmtId="2" fontId="53" fillId="0" borderId="1"/>
    <xf numFmtId="2" fontId="53" fillId="0" borderId="1"/>
    <xf numFmtId="0" fontId="116" fillId="0" borderId="101" applyNumberFormat="0" applyFont="0" applyFill="0" applyAlignment="0" applyProtection="0"/>
    <xf numFmtId="0" fontId="116" fillId="0" borderId="101" applyNumberFormat="0" applyFont="0" applyFill="0" applyAlignment="0" applyProtection="0"/>
    <xf numFmtId="0" fontId="116" fillId="0" borderId="101" applyNumberFormat="0" applyFont="0" applyFill="0" applyAlignment="0" applyProtection="0"/>
    <xf numFmtId="0" fontId="116" fillId="0" borderId="101" applyNumberFormat="0" applyFont="0" applyFill="0" applyAlignment="0" applyProtection="0"/>
    <xf numFmtId="0" fontId="116" fillId="0" borderId="101" applyNumberFormat="0" applyFont="0" applyFill="0" applyAlignment="0" applyProtection="0"/>
    <xf numFmtId="0" fontId="116" fillId="0" borderId="101" applyNumberFormat="0" applyFont="0" applyFill="0" applyAlignment="0" applyProtection="0"/>
    <xf numFmtId="0" fontId="116" fillId="0" borderId="101" applyNumberFormat="0" applyFont="0" applyFill="0" applyAlignment="0" applyProtection="0"/>
    <xf numFmtId="0" fontId="116" fillId="0" borderId="101" applyNumberFormat="0" applyFont="0" applyFill="0" applyAlignment="0" applyProtection="0"/>
    <xf numFmtId="0" fontId="116" fillId="0" borderId="101" applyNumberFormat="0" applyFont="0" applyFill="0" applyAlignment="0" applyProtection="0"/>
    <xf numFmtId="0" fontId="116" fillId="0" borderId="101" applyNumberFormat="0" applyFont="0" applyFill="0" applyAlignment="0" applyProtection="0"/>
    <xf numFmtId="0" fontId="116" fillId="0" borderId="101" applyNumberFormat="0" applyFont="0" applyFill="0" applyAlignment="0" applyProtection="0"/>
    <xf numFmtId="0" fontId="116" fillId="0" borderId="101" applyNumberFormat="0" applyFont="0" applyFill="0" applyAlignment="0" applyProtection="0"/>
    <xf numFmtId="0" fontId="116" fillId="0" borderId="101" applyNumberFormat="0" applyFont="0" applyFill="0" applyAlignment="0" applyProtection="0"/>
    <xf numFmtId="0" fontId="116" fillId="0" borderId="101" applyNumberFormat="0" applyFont="0" applyFill="0" applyAlignment="0" applyProtection="0"/>
    <xf numFmtId="0" fontId="116" fillId="0" borderId="101" applyNumberFormat="0" applyFont="0" applyFill="0" applyAlignment="0" applyProtection="0"/>
    <xf numFmtId="0" fontId="116" fillId="0" borderId="101" applyNumberFormat="0" applyFont="0" applyFill="0" applyAlignment="0" applyProtection="0"/>
    <xf numFmtId="0" fontId="116" fillId="0" borderId="101" applyNumberFormat="0" applyFont="0" applyFill="0" applyAlignment="0" applyProtection="0"/>
    <xf numFmtId="0" fontId="116" fillId="0" borderId="101" applyNumberFormat="0" applyFont="0" applyFill="0" applyAlignment="0" applyProtection="0"/>
    <xf numFmtId="43" fontId="1"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5" fontId="1" fillId="0" borderId="0" applyFont="0" applyFill="0" applyBorder="0" applyAlignment="0" applyProtection="0"/>
    <xf numFmtId="43" fontId="8"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0" fontId="254" fillId="0" borderId="47"/>
    <xf numFmtId="0" fontId="254" fillId="0" borderId="47"/>
    <xf numFmtId="44" fontId="1" fillId="0" borderId="0" applyFont="0" applyFill="0" applyBorder="0" applyAlignment="0" applyProtection="0"/>
    <xf numFmtId="44" fontId="1" fillId="0" borderId="0" applyFont="0" applyFill="0" applyBorder="0" applyAlignment="0" applyProtection="0"/>
    <xf numFmtId="44" fontId="8" fillId="0" borderId="0" applyFont="0" applyFill="0" applyBorder="0" applyAlignment="0" applyProtection="0"/>
    <xf numFmtId="327" fontId="9" fillId="0" borderId="101" applyFont="0" applyFill="0" applyBorder="0" applyAlignment="0" applyProtection="0">
      <alignment horizontal="centerContinuous"/>
    </xf>
    <xf numFmtId="327" fontId="9" fillId="0" borderId="101" applyFont="0" applyFill="0" applyBorder="0" applyAlignment="0" applyProtection="0">
      <alignment horizontal="centerContinuous"/>
    </xf>
    <xf numFmtId="327" fontId="9" fillId="0" borderId="101" applyFont="0" applyFill="0" applyBorder="0" applyAlignment="0" applyProtection="0">
      <alignment horizontal="centerContinuous"/>
    </xf>
    <xf numFmtId="327" fontId="9" fillId="0" borderId="101" applyFont="0" applyFill="0" applyBorder="0" applyAlignment="0" applyProtection="0">
      <alignment horizontal="centerContinuous"/>
    </xf>
    <xf numFmtId="327" fontId="9" fillId="0" borderId="101" applyFont="0" applyFill="0" applyBorder="0" applyAlignment="0" applyProtection="0">
      <alignment horizontal="centerContinuous"/>
    </xf>
    <xf numFmtId="327" fontId="9" fillId="0" borderId="101" applyFont="0" applyFill="0" applyBorder="0" applyAlignment="0" applyProtection="0">
      <alignment horizontal="centerContinuous"/>
    </xf>
    <xf numFmtId="327" fontId="9" fillId="0" borderId="101" applyFont="0" applyFill="0" applyBorder="0" applyAlignment="0" applyProtection="0">
      <alignment horizontal="centerContinuous"/>
    </xf>
    <xf numFmtId="327" fontId="9" fillId="0" borderId="101" applyFont="0" applyFill="0" applyBorder="0" applyAlignment="0" applyProtection="0">
      <alignment horizontal="centerContinuous"/>
    </xf>
    <xf numFmtId="327" fontId="9" fillId="0" borderId="101" applyFont="0" applyFill="0" applyBorder="0" applyAlignment="0" applyProtection="0">
      <alignment horizontal="centerContinuous"/>
    </xf>
    <xf numFmtId="327" fontId="9" fillId="0" borderId="101" applyFont="0" applyFill="0" applyBorder="0" applyAlignment="0" applyProtection="0">
      <alignment horizontal="centerContinuous"/>
    </xf>
    <xf numFmtId="327" fontId="9" fillId="0" borderId="101" applyFont="0" applyFill="0" applyBorder="0" applyAlignment="0" applyProtection="0">
      <alignment horizontal="centerContinuous"/>
    </xf>
    <xf numFmtId="327" fontId="9" fillId="0" borderId="101" applyFont="0" applyFill="0" applyBorder="0" applyAlignment="0" applyProtection="0">
      <alignment horizontal="centerContinuous"/>
    </xf>
    <xf numFmtId="206" fontId="9" fillId="0" borderId="113">
      <alignment horizontal="right"/>
    </xf>
    <xf numFmtId="206" fontId="9" fillId="0" borderId="113">
      <alignment horizontal="right"/>
    </xf>
    <xf numFmtId="206" fontId="9" fillId="0" borderId="113">
      <alignment horizontal="right"/>
    </xf>
    <xf numFmtId="206" fontId="9" fillId="0" borderId="113">
      <alignment horizontal="right"/>
    </xf>
    <xf numFmtId="206" fontId="9" fillId="0" borderId="113">
      <alignment horizontal="right"/>
    </xf>
    <xf numFmtId="206" fontId="9" fillId="0" borderId="113">
      <alignment horizontal="right"/>
    </xf>
    <xf numFmtId="206" fontId="9" fillId="0" borderId="113">
      <alignment horizontal="right"/>
    </xf>
    <xf numFmtId="206" fontId="9" fillId="0" borderId="113">
      <alignment horizontal="right"/>
    </xf>
    <xf numFmtId="206" fontId="9" fillId="0" borderId="113">
      <alignment horizontal="right"/>
    </xf>
    <xf numFmtId="206" fontId="9" fillId="0" borderId="113">
      <alignment horizontal="right"/>
    </xf>
    <xf numFmtId="206" fontId="9" fillId="0" borderId="113">
      <alignment horizontal="right"/>
    </xf>
    <xf numFmtId="206" fontId="9" fillId="0" borderId="113">
      <alignment horizontal="right"/>
    </xf>
    <xf numFmtId="206" fontId="9" fillId="0" borderId="113">
      <alignment horizontal="right"/>
    </xf>
    <xf numFmtId="206" fontId="9" fillId="0" borderId="113">
      <alignment horizontal="right"/>
    </xf>
    <xf numFmtId="206" fontId="9" fillId="0" borderId="113">
      <alignment horizontal="right"/>
    </xf>
    <xf numFmtId="205" fontId="48" fillId="52" borderId="37"/>
    <xf numFmtId="205" fontId="48" fillId="52" borderId="37"/>
    <xf numFmtId="37" fontId="12" fillId="0" borderId="101" applyNumberFormat="0" applyFont="0" applyFill="0" applyBorder="0" applyAlignment="0"/>
    <xf numFmtId="37" fontId="12" fillId="0" borderId="101" applyNumberFormat="0" applyFont="0" applyFill="0" applyBorder="0" applyAlignment="0"/>
    <xf numFmtId="37" fontId="12" fillId="0" borderId="101" applyNumberFormat="0" applyFont="0" applyFill="0" applyBorder="0" applyAlignment="0"/>
    <xf numFmtId="37" fontId="12" fillId="0" borderId="101" applyNumberFormat="0" applyFont="0" applyFill="0" applyBorder="0" applyAlignment="0"/>
    <xf numFmtId="37" fontId="12" fillId="0" borderId="101" applyNumberFormat="0" applyFont="0" applyFill="0" applyBorder="0" applyAlignment="0"/>
    <xf numFmtId="37" fontId="12" fillId="0" borderId="101" applyNumberFormat="0" applyFont="0" applyFill="0" applyBorder="0" applyAlignment="0"/>
    <xf numFmtId="0" fontId="1" fillId="0" borderId="0"/>
    <xf numFmtId="0" fontId="8" fillId="0" borderId="0" applyNumberFormat="0" applyFill="0" applyBorder="0">
      <alignment vertical="center"/>
    </xf>
    <xf numFmtId="0" fontId="8" fillId="0" borderId="0" applyNumberFormat="0" applyFill="0" applyBorder="0">
      <alignment vertical="center"/>
    </xf>
    <xf numFmtId="0" fontId="35" fillId="0" borderId="0"/>
    <xf numFmtId="0" fontId="3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applyNumberFormat="0" applyFill="0" applyBorder="0">
      <alignment vertical="center"/>
    </xf>
    <xf numFmtId="0" fontId="8" fillId="0" borderId="0" applyNumberFormat="0" applyFill="0" applyBorder="0">
      <alignment vertical="center"/>
    </xf>
    <xf numFmtId="0" fontId="1" fillId="0" borderId="0"/>
    <xf numFmtId="0" fontId="223" fillId="0" borderId="101" applyFill="0" applyAlignment="0" applyProtection="0"/>
    <xf numFmtId="0" fontId="223" fillId="0" borderId="101" applyFill="0" applyAlignment="0" applyProtection="0"/>
    <xf numFmtId="0" fontId="223" fillId="0" borderId="101" applyFill="0" applyAlignment="0" applyProtection="0"/>
    <xf numFmtId="0" fontId="223" fillId="0" borderId="101" applyFill="0" applyAlignment="0" applyProtection="0"/>
    <xf numFmtId="0" fontId="223" fillId="0" borderId="101" applyFill="0" applyAlignment="0" applyProtection="0"/>
    <xf numFmtId="0" fontId="223" fillId="0" borderId="101" applyFill="0" applyAlignment="0" applyProtection="0"/>
    <xf numFmtId="0" fontId="223" fillId="0" borderId="101" applyFill="0" applyAlignment="0" applyProtection="0"/>
    <xf numFmtId="0" fontId="223" fillId="0" borderId="101" applyFill="0" applyAlignment="0" applyProtection="0"/>
    <xf numFmtId="0" fontId="223" fillId="0" borderId="101" applyFill="0" applyAlignment="0" applyProtection="0"/>
    <xf numFmtId="0" fontId="223" fillId="0" borderId="101" applyFill="0" applyAlignment="0" applyProtection="0"/>
    <xf numFmtId="0" fontId="223" fillId="0" borderId="101" applyFill="0" applyAlignment="0" applyProtection="0"/>
    <xf numFmtId="0" fontId="223" fillId="0" borderId="101" applyFill="0" applyAlignment="0" applyProtection="0"/>
    <xf numFmtId="0" fontId="223" fillId="0" borderId="101" applyFill="0" applyAlignment="0" applyProtection="0"/>
    <xf numFmtId="0" fontId="223" fillId="0" borderId="101" applyFill="0" applyAlignment="0" applyProtection="0"/>
    <xf numFmtId="0" fontId="223" fillId="0" borderId="101" applyFill="0" applyAlignment="0" applyProtection="0"/>
    <xf numFmtId="0" fontId="223" fillId="0" borderId="101" applyFill="0" applyAlignment="0" applyProtection="0"/>
    <xf numFmtId="0" fontId="223" fillId="0" borderId="101" applyFill="0" applyAlignment="0" applyProtection="0"/>
    <xf numFmtId="0" fontId="223" fillId="0" borderId="101" applyFill="0" applyAlignment="0" applyProtection="0"/>
    <xf numFmtId="37" fontId="12" fillId="78" borderId="110" applyNumberFormat="0" applyFont="0" applyFill="0" applyBorder="0" applyAlignment="0" applyProtection="0"/>
    <xf numFmtId="37" fontId="12" fillId="78" borderId="110" applyNumberFormat="0" applyFont="0" applyFill="0" applyBorder="0" applyAlignment="0" applyProtection="0"/>
    <xf numFmtId="37" fontId="12" fillId="78" borderId="110" applyNumberFormat="0" applyFont="0" applyFill="0" applyBorder="0" applyAlignment="0" applyProtection="0"/>
    <xf numFmtId="0" fontId="9" fillId="50" borderId="114" applyNumberFormat="0" applyFont="0" applyAlignment="0" applyProtection="0"/>
    <xf numFmtId="0" fontId="9" fillId="50" borderId="114" applyNumberFormat="0" applyFont="0" applyAlignment="0" applyProtection="0"/>
    <xf numFmtId="307" fontId="9" fillId="0" borderId="37">
      <alignment vertical="top"/>
    </xf>
    <xf numFmtId="307" fontId="9" fillId="0" borderId="37">
      <alignment vertical="top"/>
    </xf>
    <xf numFmtId="337" fontId="9" fillId="0" borderId="102"/>
    <xf numFmtId="337" fontId="9" fillId="0" borderId="102"/>
    <xf numFmtId="337" fontId="9" fillId="0" borderId="102"/>
    <xf numFmtId="212" fontId="67" fillId="0" borderId="102" applyBorder="0"/>
    <xf numFmtId="212" fontId="67" fillId="0" borderId="102" applyBorder="0"/>
    <xf numFmtId="212" fontId="67" fillId="0" borderId="102" applyBorder="0"/>
    <xf numFmtId="39" fontId="262" fillId="46" borderId="1"/>
    <xf numFmtId="39" fontId="262" fillId="46" borderId="1"/>
    <xf numFmtId="39" fontId="262" fillId="46" borderId="1"/>
    <xf numFmtId="39" fontId="262" fillId="46" borderId="1"/>
    <xf numFmtId="39" fontId="262" fillId="46" borderId="1"/>
    <xf numFmtId="39" fontId="262" fillId="46" borderId="1"/>
    <xf numFmtId="39" fontId="262" fillId="46" borderId="1"/>
    <xf numFmtId="39" fontId="262" fillId="46" borderId="1"/>
    <xf numFmtId="39" fontId="262" fillId="46" borderId="1"/>
    <xf numFmtId="39" fontId="262" fillId="46" borderId="1"/>
    <xf numFmtId="39" fontId="262" fillId="46" borderId="1"/>
    <xf numFmtId="39" fontId="262" fillId="46" borderId="1"/>
    <xf numFmtId="39" fontId="262" fillId="46" borderId="1"/>
    <xf numFmtId="39" fontId="262" fillId="46" borderId="1"/>
    <xf numFmtId="39" fontId="262" fillId="46" borderId="1"/>
    <xf numFmtId="39" fontId="262" fillId="46" borderId="1"/>
    <xf numFmtId="0" fontId="92" fillId="47" borderId="7" applyNumberFormat="0">
      <alignment horizontal="left" vertical="center"/>
    </xf>
    <xf numFmtId="0" fontId="92" fillId="47" borderId="7" applyNumberFormat="0">
      <alignment horizontal="left" vertical="center"/>
    </xf>
    <xf numFmtId="0" fontId="92" fillId="47" borderId="7" applyNumberFormat="0">
      <alignment horizontal="left" vertical="center"/>
    </xf>
    <xf numFmtId="0" fontId="92" fillId="47" borderId="7" applyNumberFormat="0">
      <alignment horizontal="left" vertical="center"/>
    </xf>
    <xf numFmtId="0" fontId="92" fillId="47" borderId="7" applyNumberFormat="0">
      <alignment horizontal="left" vertical="center"/>
    </xf>
    <xf numFmtId="0" fontId="92" fillId="47" borderId="7" applyNumberFormat="0">
      <alignment horizontal="left" vertical="center"/>
    </xf>
    <xf numFmtId="0" fontId="92" fillId="47" borderId="7" applyNumberFormat="0">
      <alignment horizontal="left" vertical="center"/>
    </xf>
    <xf numFmtId="0" fontId="92" fillId="47" borderId="7" applyNumberFormat="0">
      <alignment horizontal="left" vertical="center"/>
    </xf>
    <xf numFmtId="341" fontId="48" fillId="0" borderId="115" applyNumberFormat="0" applyBorder="0">
      <alignment horizontal="right"/>
    </xf>
    <xf numFmtId="341" fontId="48" fillId="0" borderId="115" applyNumberFormat="0" applyBorder="0">
      <alignment horizontal="right"/>
    </xf>
    <xf numFmtId="341" fontId="48" fillId="0" borderId="115" applyNumberFormat="0" applyBorder="0">
      <alignment horizontal="right"/>
    </xf>
    <xf numFmtId="4" fontId="273" fillId="50" borderId="116" applyNumberFormat="0" applyProtection="0">
      <alignment vertical="center"/>
    </xf>
    <xf numFmtId="4" fontId="274" fillId="44" borderId="116" applyNumberFormat="0" applyProtection="0">
      <alignment vertical="center"/>
    </xf>
    <xf numFmtId="4" fontId="273" fillId="44" borderId="116" applyNumberFormat="0" applyProtection="0">
      <alignment horizontal="left" vertical="center" indent="1"/>
    </xf>
    <xf numFmtId="0" fontId="273" fillId="44" borderId="116" applyNumberFormat="0" applyProtection="0">
      <alignment horizontal="left" vertical="top" indent="1"/>
    </xf>
    <xf numFmtId="4" fontId="273" fillId="98" borderId="117" applyNumberFormat="0" applyProtection="0">
      <alignment horizontal="center" vertical="center" wrapText="1"/>
    </xf>
    <xf numFmtId="4" fontId="273" fillId="98" borderId="117" applyNumberFormat="0" applyProtection="0">
      <alignment horizontal="center" vertical="center" wrapText="1"/>
    </xf>
    <xf numFmtId="4" fontId="273" fillId="98" borderId="117" applyNumberFormat="0" applyProtection="0">
      <alignment horizontal="center" vertical="center" wrapText="1"/>
    </xf>
    <xf numFmtId="4" fontId="144" fillId="55" borderId="116" applyNumberFormat="0" applyProtection="0">
      <alignment horizontal="right" vertical="center"/>
    </xf>
    <xf numFmtId="4" fontId="144" fillId="61" borderId="116" applyNumberFormat="0" applyProtection="0">
      <alignment horizontal="right" vertical="center"/>
    </xf>
    <xf numFmtId="4" fontId="144" fillId="69" borderId="116" applyNumberFormat="0" applyProtection="0">
      <alignment horizontal="right" vertical="center"/>
    </xf>
    <xf numFmtId="4" fontId="144" fillId="63" borderId="116" applyNumberFormat="0" applyProtection="0">
      <alignment horizontal="right" vertical="center"/>
    </xf>
    <xf numFmtId="4" fontId="144" fillId="67" borderId="116" applyNumberFormat="0" applyProtection="0">
      <alignment horizontal="right" vertical="center"/>
    </xf>
    <xf numFmtId="4" fontId="144" fillId="71" borderId="116" applyNumberFormat="0" applyProtection="0">
      <alignment horizontal="right" vertical="center"/>
    </xf>
    <xf numFmtId="4" fontId="144" fillId="70" borderId="116" applyNumberFormat="0" applyProtection="0">
      <alignment horizontal="right" vertical="center"/>
    </xf>
    <xf numFmtId="4" fontId="144" fillId="99" borderId="116" applyNumberFormat="0" applyProtection="0">
      <alignment horizontal="right" vertical="center"/>
    </xf>
    <xf numFmtId="4" fontId="144" fillId="62" borderId="116" applyNumberFormat="0" applyProtection="0">
      <alignment horizontal="right" vertical="center"/>
    </xf>
    <xf numFmtId="4" fontId="144" fillId="98" borderId="116" applyNumberFormat="0" applyProtection="0">
      <alignment horizontal="right" vertical="center"/>
    </xf>
    <xf numFmtId="0" fontId="9" fillId="52" borderId="116" applyNumberFormat="0" applyProtection="0">
      <alignment horizontal="left" vertical="center" indent="1"/>
    </xf>
    <xf numFmtId="0" fontId="9" fillId="52" borderId="116" applyNumberFormat="0" applyProtection="0">
      <alignment horizontal="left" vertical="top" indent="1"/>
    </xf>
    <xf numFmtId="0" fontId="9" fillId="102" borderId="116" applyNumberFormat="0" applyProtection="0">
      <alignment horizontal="left" vertical="center" indent="1"/>
    </xf>
    <xf numFmtId="0" fontId="9" fillId="102" borderId="116" applyNumberFormat="0" applyProtection="0">
      <alignment horizontal="left" vertical="top" indent="1"/>
    </xf>
    <xf numFmtId="0" fontId="9" fillId="72" borderId="116" applyNumberFormat="0" applyProtection="0">
      <alignment horizontal="left" vertical="center" indent="1"/>
    </xf>
    <xf numFmtId="0" fontId="9" fillId="72" borderId="116" applyNumberFormat="0" applyProtection="0">
      <alignment horizontal="left" vertical="top" indent="1"/>
    </xf>
    <xf numFmtId="0" fontId="9" fillId="80" borderId="116" applyNumberFormat="0" applyProtection="0">
      <alignment horizontal="left" vertical="center" indent="1"/>
    </xf>
    <xf numFmtId="0" fontId="9" fillId="80" borderId="116" applyNumberFormat="0" applyProtection="0">
      <alignment horizontal="left" vertical="top" indent="1"/>
    </xf>
    <xf numFmtId="4" fontId="144" fillId="47" borderId="116" applyNumberFormat="0" applyProtection="0">
      <alignment vertical="center"/>
    </xf>
    <xf numFmtId="4" fontId="275" fillId="47" borderId="116" applyNumberFormat="0" applyProtection="0">
      <alignment vertical="center"/>
    </xf>
    <xf numFmtId="4" fontId="144" fillId="47" borderId="116" applyNumberFormat="0" applyProtection="0">
      <alignment horizontal="left" vertical="center" indent="1"/>
    </xf>
    <xf numFmtId="0" fontId="144" fillId="47" borderId="116" applyNumberFormat="0" applyProtection="0">
      <alignment horizontal="left" vertical="top" indent="1"/>
    </xf>
    <xf numFmtId="0" fontId="144" fillId="103" borderId="116" applyNumberFormat="0" applyProtection="0">
      <alignment horizontal="right" vertical="center"/>
    </xf>
    <xf numFmtId="4" fontId="275" fillId="101" borderId="116" applyNumberFormat="0" applyProtection="0">
      <alignment horizontal="right" vertical="center"/>
    </xf>
    <xf numFmtId="0" fontId="144" fillId="104" borderId="116" applyNumberFormat="0" applyProtection="0">
      <alignment horizontal="left" vertical="center" indent="1"/>
    </xf>
    <xf numFmtId="0" fontId="253" fillId="105" borderId="117" applyNumberFormat="0" applyProtection="0">
      <alignment horizontal="center" vertical="center" wrapText="1"/>
    </xf>
    <xf numFmtId="0" fontId="253" fillId="105" borderId="117" applyNumberFormat="0" applyProtection="0">
      <alignment horizontal="center" vertical="center" wrapText="1"/>
    </xf>
    <xf numFmtId="0" fontId="253" fillId="105" borderId="117" applyNumberFormat="0" applyProtection="0">
      <alignment horizontal="center" vertical="center" wrapText="1"/>
    </xf>
    <xf numFmtId="4" fontId="277" fillId="101" borderId="116" applyNumberFormat="0" applyProtection="0">
      <alignment horizontal="right" vertical="center"/>
    </xf>
    <xf numFmtId="0" fontId="216" fillId="107" borderId="1" applyNumberFormat="0" applyBorder="0">
      <alignment horizontal="center" vertical="center" wrapText="1"/>
    </xf>
    <xf numFmtId="0" fontId="216" fillId="107" borderId="1" applyNumberFormat="0" applyBorder="0">
      <alignment horizontal="center" vertical="center" wrapText="1"/>
    </xf>
    <xf numFmtId="0" fontId="216" fillId="107" borderId="1" applyNumberFormat="0" applyBorder="0">
      <alignment horizontal="center" vertical="center" wrapText="1"/>
    </xf>
    <xf numFmtId="0" fontId="216" fillId="107" borderId="1" applyNumberFormat="0" applyBorder="0">
      <alignment horizontal="center" vertical="center" wrapText="1"/>
    </xf>
    <xf numFmtId="0" fontId="216" fillId="107" borderId="1" applyNumberFormat="0" applyBorder="0">
      <alignment horizontal="center" vertical="center" wrapText="1"/>
    </xf>
    <xf numFmtId="0" fontId="216" fillId="107" borderId="1" applyNumberFormat="0" applyBorder="0">
      <alignment horizontal="center" vertical="center" wrapText="1"/>
    </xf>
    <xf numFmtId="0" fontId="216" fillId="107" borderId="1" applyNumberFormat="0" applyBorder="0">
      <alignment horizontal="center" vertical="center" wrapText="1"/>
    </xf>
    <xf numFmtId="0" fontId="216" fillId="107" borderId="1" applyNumberFormat="0" applyBorder="0">
      <alignment horizontal="center" vertical="center" wrapText="1"/>
    </xf>
    <xf numFmtId="41" fontId="48" fillId="0" borderId="0" applyFont="0" applyFill="0" applyBorder="0" applyAlignment="0" applyProtection="0"/>
    <xf numFmtId="43" fontId="50" fillId="0" borderId="0" applyFont="0" applyFill="0" applyBorder="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7" fillId="0" borderId="123" applyNumberFormat="0" applyFill="0" applyAlignment="0" applyProtection="0"/>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0" fontId="68" fillId="0" borderId="35" applyNumberFormat="0" applyFill="0" applyProtection="0">
      <alignment horizontal="center"/>
    </xf>
    <xf numFmtId="41" fontId="71" fillId="0" borderId="0"/>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3" fontId="12" fillId="0" borderId="87" applyNumberFormat="0" applyFill="0" applyBorder="0" applyProtection="0"/>
    <xf numFmtId="204" fontId="84" fillId="0" borderId="13" applyNumberFormat="0" applyFill="0" applyBorder="0" applyProtection="0">
      <alignment horizontal="center"/>
    </xf>
    <xf numFmtId="204" fontId="84" fillId="0" borderId="13" applyNumberFormat="0" applyFill="0" applyBorder="0" applyProtection="0">
      <alignment horizontal="center"/>
    </xf>
    <xf numFmtId="204" fontId="84" fillId="0" borderId="13" applyNumberFormat="0" applyFill="0" applyBorder="0" applyProtection="0">
      <alignment horizontal="center"/>
    </xf>
    <xf numFmtId="204" fontId="84" fillId="0" borderId="13" applyNumberFormat="0" applyFill="0" applyBorder="0" applyProtection="0">
      <alignment horizontal="center"/>
    </xf>
    <xf numFmtId="205" fontId="48" fillId="52" borderId="124"/>
    <xf numFmtId="205" fontId="48" fillId="52" borderId="124"/>
    <xf numFmtId="205" fontId="48" fillId="52" borderId="124"/>
    <xf numFmtId="205" fontId="48" fillId="52" borderId="124"/>
    <xf numFmtId="205" fontId="48" fillId="52" borderId="124"/>
    <xf numFmtId="205" fontId="48" fillId="52" borderId="124"/>
    <xf numFmtId="205" fontId="48" fillId="52" borderId="124"/>
    <xf numFmtId="205" fontId="48" fillId="52" borderId="124"/>
    <xf numFmtId="205" fontId="48" fillId="52" borderId="124"/>
    <xf numFmtId="205" fontId="48" fillId="52" borderId="124"/>
    <xf numFmtId="205" fontId="48" fillId="52" borderId="124"/>
    <xf numFmtId="205" fontId="48" fillId="52" borderId="124"/>
    <xf numFmtId="205" fontId="48" fillId="52" borderId="124"/>
    <xf numFmtId="205" fontId="48" fillId="52" borderId="124"/>
    <xf numFmtId="205" fontId="48" fillId="52" borderId="124"/>
    <xf numFmtId="205" fontId="48" fillId="52" borderId="124"/>
    <xf numFmtId="205" fontId="48" fillId="52" borderId="124"/>
    <xf numFmtId="205" fontId="48" fillId="52" borderId="124"/>
    <xf numFmtId="205" fontId="48" fillId="52" borderId="124"/>
    <xf numFmtId="205" fontId="48" fillId="52" borderId="124"/>
    <xf numFmtId="205" fontId="48" fillId="52" borderId="124"/>
    <xf numFmtId="205" fontId="48" fillId="52" borderId="124"/>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9" fontId="9" fillId="0" borderId="125" applyBorder="0">
      <alignment horizontal="right"/>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202" fontId="73" fillId="0" borderId="105">
      <alignment horizontal="left" vertical="center"/>
    </xf>
    <xf numFmtId="41" fontId="9" fillId="0" borderId="0" applyFont="0" applyFill="0" applyBorder="0" applyAlignment="0" applyProtection="0"/>
    <xf numFmtId="44" fontId="109" fillId="0" borderId="0" applyFont="0" applyFill="0" applyBorder="0" applyAlignment="0" applyProtection="0"/>
    <xf numFmtId="44" fontId="10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0" fontId="9" fillId="0" borderId="80">
      <alignment vertical="top"/>
    </xf>
    <xf numFmtId="0" fontId="9" fillId="0" borderId="80">
      <alignment vertical="top"/>
    </xf>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0" fontId="110" fillId="0" borderId="29" applyBorder="0"/>
    <xf numFmtId="8" fontId="109" fillId="0" borderId="0" applyFont="0" applyFill="0" applyBorder="0" applyAlignment="0" applyProtection="0"/>
    <xf numFmtId="8" fontId="109" fillId="0" borderId="0" applyFont="0" applyFill="0" applyBorder="0" applyAlignment="0" applyProtection="0"/>
    <xf numFmtId="0" fontId="117" fillId="44" borderId="124"/>
    <xf numFmtId="0" fontId="117" fillId="44" borderId="124"/>
    <xf numFmtId="0" fontId="117" fillId="44" borderId="124"/>
    <xf numFmtId="0" fontId="117" fillId="44" borderId="124"/>
    <xf numFmtId="0" fontId="117" fillId="44" borderId="124"/>
    <xf numFmtId="0" fontId="117" fillId="44" borderId="124"/>
    <xf numFmtId="0" fontId="117" fillId="44" borderId="124"/>
    <xf numFmtId="0" fontId="117" fillId="44" borderId="124"/>
    <xf numFmtId="0" fontId="117" fillId="44" borderId="124"/>
    <xf numFmtId="0" fontId="117" fillId="44" borderId="124"/>
    <xf numFmtId="0" fontId="117" fillId="44" borderId="124"/>
    <xf numFmtId="0" fontId="117" fillId="44" borderId="124"/>
    <xf numFmtId="0" fontId="117" fillId="44" borderId="124"/>
    <xf numFmtId="0" fontId="117" fillId="44" borderId="124"/>
    <xf numFmtId="0" fontId="117" fillId="44" borderId="124"/>
    <xf numFmtId="0" fontId="117" fillId="44" borderId="124"/>
    <xf numFmtId="0" fontId="117" fillId="44" borderId="124"/>
    <xf numFmtId="0" fontId="117" fillId="44" borderId="124"/>
    <xf numFmtId="0" fontId="117" fillId="44" borderId="124"/>
    <xf numFmtId="0" fontId="117" fillId="44" borderId="124"/>
    <xf numFmtId="0" fontId="117" fillId="44" borderId="124"/>
    <xf numFmtId="0" fontId="117" fillId="44" borderId="124"/>
    <xf numFmtId="212" fontId="118" fillId="44" borderId="124" applyBorder="0"/>
    <xf numFmtId="212" fontId="118" fillId="44" borderId="124" applyBorder="0"/>
    <xf numFmtId="212" fontId="118" fillId="44" borderId="124" applyBorder="0"/>
    <xf numFmtId="212" fontId="118" fillId="44" borderId="124" applyBorder="0"/>
    <xf numFmtId="212" fontId="118" fillId="44" borderId="124" applyBorder="0"/>
    <xf numFmtId="212" fontId="118" fillId="44" borderId="124" applyBorder="0"/>
    <xf numFmtId="212" fontId="118" fillId="44" borderId="124" applyBorder="0"/>
    <xf numFmtId="212" fontId="118" fillId="44" borderId="124" applyBorder="0"/>
    <xf numFmtId="212" fontId="118" fillId="44" borderId="124" applyBorder="0"/>
    <xf numFmtId="212" fontId="118" fillId="44" borderId="124" applyBorder="0"/>
    <xf numFmtId="212" fontId="118" fillId="44" borderId="124" applyBorder="0"/>
    <xf numFmtId="212" fontId="118" fillId="44" borderId="124" applyBorder="0"/>
    <xf numFmtId="212" fontId="118" fillId="44" borderId="124" applyBorder="0"/>
    <xf numFmtId="212" fontId="118" fillId="44" borderId="124" applyBorder="0"/>
    <xf numFmtId="212" fontId="118" fillId="44" borderId="124" applyBorder="0"/>
    <xf numFmtId="212" fontId="118" fillId="44" borderId="124" applyBorder="0"/>
    <xf numFmtId="212" fontId="118" fillId="44" borderId="124" applyBorder="0"/>
    <xf numFmtId="212" fontId="118" fillId="44" borderId="124" applyBorder="0"/>
    <xf numFmtId="212" fontId="118" fillId="44" borderId="124" applyBorder="0"/>
    <xf numFmtId="212" fontId="118" fillId="44" borderId="124" applyBorder="0"/>
    <xf numFmtId="212" fontId="118" fillId="44" borderId="124" applyBorder="0"/>
    <xf numFmtId="212" fontId="118" fillId="44" borderId="124" applyBorder="0"/>
    <xf numFmtId="213" fontId="117" fillId="44" borderId="124">
      <alignment horizontal="center"/>
      <protection locked="0"/>
    </xf>
    <xf numFmtId="213" fontId="117" fillId="44" borderId="124">
      <alignment horizontal="center"/>
      <protection locked="0"/>
    </xf>
    <xf numFmtId="213" fontId="117" fillId="44" borderId="124">
      <alignment horizontal="center"/>
      <protection locked="0"/>
    </xf>
    <xf numFmtId="213" fontId="117" fillId="44" borderId="124">
      <alignment horizontal="center"/>
      <protection locked="0"/>
    </xf>
    <xf numFmtId="213" fontId="117" fillId="44" borderId="124">
      <alignment horizontal="center"/>
      <protection locked="0"/>
    </xf>
    <xf numFmtId="213" fontId="117" fillId="44" borderId="124">
      <alignment horizontal="center"/>
      <protection locked="0"/>
    </xf>
    <xf numFmtId="213" fontId="117" fillId="44" borderId="124">
      <alignment horizontal="center"/>
      <protection locked="0"/>
    </xf>
    <xf numFmtId="213" fontId="117" fillId="44" borderId="124">
      <alignment horizontal="center"/>
      <protection locked="0"/>
    </xf>
    <xf numFmtId="213" fontId="117" fillId="44" borderId="124">
      <alignment horizontal="center"/>
      <protection locked="0"/>
    </xf>
    <xf numFmtId="213" fontId="117" fillId="44" borderId="124">
      <alignment horizontal="center"/>
      <protection locked="0"/>
    </xf>
    <xf numFmtId="213" fontId="117" fillId="44" borderId="124">
      <alignment horizontal="center"/>
      <protection locked="0"/>
    </xf>
    <xf numFmtId="213" fontId="117" fillId="44" borderId="124">
      <alignment horizontal="center"/>
      <protection locked="0"/>
    </xf>
    <xf numFmtId="213" fontId="117" fillId="44" borderId="124">
      <alignment horizontal="center"/>
      <protection locked="0"/>
    </xf>
    <xf numFmtId="213" fontId="117" fillId="44" borderId="124">
      <alignment horizontal="center"/>
      <protection locked="0"/>
    </xf>
    <xf numFmtId="213" fontId="117" fillId="44" borderId="124">
      <alignment horizontal="center"/>
      <protection locked="0"/>
    </xf>
    <xf numFmtId="213" fontId="117" fillId="44" borderId="124">
      <alignment horizontal="center"/>
      <protection locked="0"/>
    </xf>
    <xf numFmtId="213" fontId="117" fillId="44" borderId="124">
      <alignment horizontal="center"/>
      <protection locked="0"/>
    </xf>
    <xf numFmtId="213" fontId="117" fillId="44" borderId="124">
      <alignment horizontal="center"/>
      <protection locked="0"/>
    </xf>
    <xf numFmtId="213" fontId="117" fillId="44" borderId="124">
      <alignment horizontal="center"/>
      <protection locked="0"/>
    </xf>
    <xf numFmtId="213" fontId="117" fillId="44" borderId="124">
      <alignment horizontal="center"/>
      <protection locked="0"/>
    </xf>
    <xf numFmtId="213" fontId="117" fillId="44" borderId="124">
      <alignment horizontal="center"/>
      <protection locked="0"/>
    </xf>
    <xf numFmtId="213" fontId="117" fillId="44" borderId="124">
      <alignment horizontal="center"/>
      <protection locked="0"/>
    </xf>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9" fontId="9" fillId="0" borderId="29" applyNumberFormat="0" applyFont="0" applyFill="0" applyAlignment="0" applyProtection="0"/>
    <xf numFmtId="37" fontId="121" fillId="0" borderId="44" applyNumberFormat="0" applyFont="0" applyFill="0" applyAlignment="0" applyProtection="0">
      <alignment horizontal="centerContinuous"/>
    </xf>
    <xf numFmtId="37" fontId="121" fillId="0" borderId="44" applyNumberFormat="0" applyFont="0" applyFill="0" applyAlignment="0" applyProtection="0">
      <alignment horizontal="centerContinuous"/>
    </xf>
    <xf numFmtId="37" fontId="121" fillId="0" borderId="44" applyNumberFormat="0" applyFont="0" applyFill="0" applyAlignment="0" applyProtection="0">
      <alignment horizontal="centerContinuous"/>
    </xf>
    <xf numFmtId="37" fontId="121" fillId="0" borderId="44" applyNumberFormat="0" applyFont="0" applyFill="0" applyAlignment="0" applyProtection="0">
      <alignment horizontal="centerContinuous"/>
    </xf>
    <xf numFmtId="37" fontId="121" fillId="0" borderId="44" applyNumberFormat="0" applyFont="0" applyFill="0" applyAlignment="0" applyProtection="0">
      <alignment horizontal="centerContinuous"/>
    </xf>
    <xf numFmtId="37" fontId="121" fillId="0" borderId="44" applyNumberFormat="0" applyFont="0" applyFill="0" applyAlignment="0" applyProtection="0">
      <alignment horizontal="centerContinuous"/>
    </xf>
    <xf numFmtId="37" fontId="121" fillId="0" borderId="44" applyNumberFormat="0" applyFont="0" applyFill="0" applyAlignment="0" applyProtection="0">
      <alignment horizontal="centerContinuous"/>
    </xf>
    <xf numFmtId="37" fontId="121" fillId="0" borderId="44" applyNumberFormat="0" applyFont="0" applyFill="0" applyAlignment="0" applyProtection="0">
      <alignment horizontal="centerContinuous"/>
    </xf>
    <xf numFmtId="37" fontId="121" fillId="0" borderId="44" applyNumberFormat="0" applyFont="0" applyFill="0" applyAlignment="0" applyProtection="0">
      <alignment horizontal="centerContinuous"/>
    </xf>
    <xf numFmtId="37" fontId="121" fillId="0" borderId="44" applyNumberFormat="0" applyFont="0" applyFill="0" applyAlignment="0" applyProtection="0">
      <alignment horizontal="centerContinuous"/>
    </xf>
    <xf numFmtId="37" fontId="121" fillId="0" borderId="44" applyNumberFormat="0" applyFont="0" applyFill="0" applyAlignment="0" applyProtection="0">
      <alignment horizontal="centerContinuous"/>
    </xf>
    <xf numFmtId="37" fontId="121" fillId="0" borderId="44" applyNumberFormat="0" applyFont="0" applyFill="0" applyAlignment="0" applyProtection="0">
      <alignment horizontal="centerContinuous"/>
    </xf>
    <xf numFmtId="37" fontId="121" fillId="0" borderId="44" applyNumberFormat="0" applyFont="0" applyFill="0" applyAlignment="0" applyProtection="0">
      <alignment horizontal="centerContinuous"/>
    </xf>
    <xf numFmtId="37" fontId="121" fillId="0" borderId="44" applyNumberFormat="0" applyFont="0" applyFill="0" applyAlignment="0" applyProtection="0">
      <alignment horizontal="centerContinuous"/>
    </xf>
    <xf numFmtId="37" fontId="121" fillId="0" borderId="44" applyNumberFormat="0" applyFont="0" applyFill="0" applyAlignment="0" applyProtection="0">
      <alignment horizontal="centerContinuous"/>
    </xf>
    <xf numFmtId="37" fontId="121" fillId="0" borderId="44" applyNumberFormat="0" applyFont="0" applyFill="0" applyAlignment="0" applyProtection="0">
      <alignment horizontal="centerContinuous"/>
    </xf>
    <xf numFmtId="0" fontId="13" fillId="77" borderId="124" applyNumberFormat="0" applyBorder="0" applyAlignment="0">
      <alignment horizontal="center" vertical="center"/>
      <protection locked="0"/>
    </xf>
    <xf numFmtId="0" fontId="13" fillId="77" borderId="124" applyNumberFormat="0" applyBorder="0" applyAlignment="0">
      <alignment horizontal="center" vertical="center"/>
      <protection locked="0"/>
    </xf>
    <xf numFmtId="0" fontId="13" fillId="77" borderId="124" applyNumberFormat="0" applyBorder="0" applyAlignment="0">
      <alignment horizontal="center" vertical="center"/>
      <protection locked="0"/>
    </xf>
    <xf numFmtId="0" fontId="13" fillId="77" borderId="124" applyNumberFormat="0" applyBorder="0" applyAlignment="0">
      <alignment horizontal="center" vertical="center"/>
      <protection locked="0"/>
    </xf>
    <xf numFmtId="0" fontId="13" fillId="77" borderId="124" applyNumberFormat="0" applyBorder="0" applyAlignment="0">
      <alignment horizontal="center" vertical="center"/>
      <protection locked="0"/>
    </xf>
    <xf numFmtId="0" fontId="13" fillId="77" borderId="124" applyNumberFormat="0" applyBorder="0" applyAlignment="0">
      <alignment horizontal="center" vertical="center"/>
      <protection locked="0"/>
    </xf>
    <xf numFmtId="0" fontId="13" fillId="77" borderId="124" applyNumberFormat="0" applyBorder="0" applyAlignment="0">
      <alignment horizontal="center" vertical="center"/>
      <protection locked="0"/>
    </xf>
    <xf numFmtId="0" fontId="13" fillId="77" borderId="124" applyNumberFormat="0" applyBorder="0" applyAlignment="0">
      <alignment horizontal="center" vertical="center"/>
      <protection locked="0"/>
    </xf>
    <xf numFmtId="0" fontId="13" fillId="77" borderId="124" applyNumberFormat="0" applyBorder="0" applyAlignment="0">
      <alignment horizontal="center" vertical="center"/>
      <protection locked="0"/>
    </xf>
    <xf numFmtId="0" fontId="13" fillId="77" borderId="124" applyNumberFormat="0" applyBorder="0" applyAlignment="0">
      <alignment horizontal="center" vertical="center"/>
      <protection locked="0"/>
    </xf>
    <xf numFmtId="0" fontId="13" fillId="77" borderId="124" applyNumberFormat="0" applyBorder="0" applyAlignment="0">
      <alignment horizontal="center" vertical="center"/>
      <protection locked="0"/>
    </xf>
    <xf numFmtId="0" fontId="13" fillId="77" borderId="124" applyNumberFormat="0" applyBorder="0" applyAlignment="0">
      <alignment horizontal="center" vertical="center"/>
      <protection locked="0"/>
    </xf>
    <xf numFmtId="0" fontId="13" fillId="77" borderId="124" applyNumberFormat="0" applyBorder="0" applyAlignment="0">
      <alignment horizontal="center" vertical="center"/>
      <protection locked="0"/>
    </xf>
    <xf numFmtId="0" fontId="13" fillId="77" borderId="124" applyNumberFormat="0" applyBorder="0" applyAlignment="0">
      <alignment horizontal="center" vertical="center"/>
      <protection locked="0"/>
    </xf>
    <xf numFmtId="0" fontId="13" fillId="77" borderId="124" applyNumberFormat="0" applyBorder="0" applyAlignment="0">
      <alignment horizontal="center" vertical="center"/>
      <protection locked="0"/>
    </xf>
    <xf numFmtId="0" fontId="13" fillId="77" borderId="124" applyNumberFormat="0" applyBorder="0" applyAlignment="0">
      <alignment horizontal="center" vertical="center"/>
      <protection locked="0"/>
    </xf>
    <xf numFmtId="0" fontId="13" fillId="77" borderId="124" applyNumberFormat="0" applyBorder="0" applyAlignment="0">
      <alignment horizontal="center" vertical="center"/>
      <protection locked="0"/>
    </xf>
    <xf numFmtId="0" fontId="13" fillId="77" borderId="124" applyNumberFormat="0" applyBorder="0" applyAlignment="0">
      <alignment horizontal="center" vertical="center"/>
      <protection locked="0"/>
    </xf>
    <xf numFmtId="0" fontId="13" fillId="77" borderId="124" applyNumberFormat="0" applyBorder="0" applyAlignment="0">
      <alignment horizontal="center" vertical="center"/>
      <protection locked="0"/>
    </xf>
    <xf numFmtId="0" fontId="13" fillId="77" borderId="124" applyNumberFormat="0" applyBorder="0" applyAlignment="0">
      <alignment horizontal="center" vertical="center"/>
      <protection locked="0"/>
    </xf>
    <xf numFmtId="0" fontId="13" fillId="77" borderId="124" applyNumberFormat="0" applyBorder="0" applyAlignment="0">
      <alignment horizontal="center" vertical="center"/>
      <protection locked="0"/>
    </xf>
    <xf numFmtId="0" fontId="13" fillId="77" borderId="124" applyNumberFormat="0" applyBorder="0" applyAlignment="0">
      <alignment horizontal="center" vertical="center"/>
      <protection locked="0"/>
    </xf>
    <xf numFmtId="217" fontId="124" fillId="0" borderId="13" applyFont="0" applyFill="0" applyBorder="0" applyAlignment="0">
      <alignment vertical="top"/>
      <protection hidden="1"/>
    </xf>
    <xf numFmtId="217" fontId="124" fillId="0" borderId="13" applyFont="0" applyFill="0" applyBorder="0" applyAlignment="0">
      <alignment vertical="top"/>
      <protection hidden="1"/>
    </xf>
    <xf numFmtId="217" fontId="124" fillId="0" borderId="13" applyFont="0" applyFill="0" applyBorder="0" applyAlignment="0">
      <alignment vertical="top"/>
      <protection hidden="1"/>
    </xf>
    <xf numFmtId="217" fontId="124" fillId="0" borderId="13" applyFont="0" applyFill="0" applyBorder="0" applyAlignment="0">
      <alignment vertical="top"/>
      <protection hidden="1"/>
    </xf>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2" fillId="0" borderId="29" applyNumberFormat="0" applyFill="0" applyAlignment="0" applyProtection="0"/>
    <xf numFmtId="0" fontId="133" fillId="78" borderId="80" applyNumberFormat="0" applyFill="0" applyBorder="0" applyAlignment="0" applyProtection="0">
      <protection locked="0"/>
    </xf>
    <xf numFmtId="0" fontId="133" fillId="78" borderId="80" applyNumberFormat="0" applyFill="0" applyBorder="0" applyAlignment="0" applyProtection="0">
      <protection locked="0"/>
    </xf>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0" fontId="113" fillId="0" borderId="47" applyNumberFormat="0" applyFont="0" applyFill="0" applyAlignment="0" applyProtection="0"/>
    <xf numFmtId="0" fontId="113" fillId="0" borderId="47" applyNumberFormat="0" applyFont="0" applyFill="0" applyAlignment="0" applyProtection="0"/>
    <xf numFmtId="0" fontId="113" fillId="0" borderId="47" applyNumberFormat="0" applyFont="0" applyFill="0" applyAlignment="0" applyProtection="0"/>
    <xf numFmtId="0" fontId="113" fillId="0" borderId="47" applyNumberFormat="0" applyFont="0" applyFill="0" applyAlignment="0" applyProtection="0"/>
    <xf numFmtId="0" fontId="113" fillId="0" borderId="47" applyNumberFormat="0" applyFont="0" applyFill="0" applyAlignment="0" applyProtection="0"/>
    <xf numFmtId="0" fontId="113" fillId="0" borderId="47" applyNumberFormat="0" applyFont="0" applyFill="0" applyAlignment="0" applyProtection="0"/>
    <xf numFmtId="0" fontId="113" fillId="0" borderId="47" applyNumberFormat="0" applyFont="0" applyFill="0" applyAlignment="0" applyProtection="0"/>
    <xf numFmtId="0" fontId="113" fillId="0" borderId="47" applyNumberFormat="0" applyFont="0" applyFill="0" applyAlignment="0" applyProtection="0"/>
    <xf numFmtId="0" fontId="113" fillId="0" borderId="47" applyNumberFormat="0" applyFont="0" applyFill="0" applyAlignment="0" applyProtection="0"/>
    <xf numFmtId="0" fontId="113" fillId="0" borderId="47" applyNumberFormat="0" applyFont="0" applyFill="0" applyAlignment="0" applyProtection="0"/>
    <xf numFmtId="0" fontId="113" fillId="0" borderId="47" applyNumberFormat="0" applyFont="0" applyFill="0" applyAlignment="0" applyProtection="0"/>
    <xf numFmtId="0" fontId="113" fillId="0" borderId="47" applyNumberFormat="0" applyFont="0" applyFill="0" applyAlignment="0" applyProtection="0"/>
    <xf numFmtId="0" fontId="113" fillId="0" borderId="47" applyNumberFormat="0" applyFont="0" applyFill="0" applyAlignment="0" applyProtection="0"/>
    <xf numFmtId="0" fontId="113" fillId="0" borderId="47" applyNumberFormat="0" applyFont="0" applyFill="0" applyAlignment="0" applyProtection="0"/>
    <xf numFmtId="0" fontId="113" fillId="0" borderId="47" applyNumberFormat="0" applyFont="0" applyFill="0" applyAlignment="0" applyProtection="0"/>
    <xf numFmtId="0" fontId="113" fillId="0" borderId="47" applyNumberFormat="0" applyFont="0" applyFill="0" applyAlignment="0" applyProtection="0"/>
    <xf numFmtId="0" fontId="113" fillId="0" borderId="126" applyNumberFormat="0" applyFont="0" applyFill="0" applyAlignment="0" applyProtection="0"/>
    <xf numFmtId="0" fontId="113" fillId="0" borderId="126" applyNumberFormat="0" applyFont="0" applyFill="0" applyAlignment="0" applyProtection="0"/>
    <xf numFmtId="0" fontId="113" fillId="0" borderId="126" applyNumberFormat="0" applyFont="0" applyFill="0" applyAlignment="0" applyProtection="0"/>
    <xf numFmtId="0" fontId="113" fillId="0" borderId="126" applyNumberFormat="0" applyFont="0" applyFill="0" applyAlignment="0" applyProtection="0"/>
    <xf numFmtId="0" fontId="113" fillId="0" borderId="126" applyNumberFormat="0" applyFont="0" applyFill="0" applyAlignment="0" applyProtection="0"/>
    <xf numFmtId="0" fontId="113" fillId="0" borderId="126" applyNumberFormat="0" applyFont="0" applyFill="0" applyAlignment="0" applyProtection="0"/>
    <xf numFmtId="0" fontId="113" fillId="0" borderId="126" applyNumberFormat="0" applyFont="0" applyFill="0" applyAlignment="0" applyProtection="0"/>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9" fillId="0" borderId="1" applyNumberFormat="0" applyFont="0" applyFill="0" applyAlignment="0" applyProtection="0">
      <alignment horizontal="center" wrapText="1"/>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0" fontId="136" fillId="0" borderId="88" applyFill="0" applyProtection="0">
      <alignment horizontal="right"/>
    </xf>
    <xf numFmtId="214" fontId="44" fillId="46" borderId="127" applyNumberFormat="0" applyFont="0" applyBorder="0">
      <alignment horizontal="right"/>
    </xf>
    <xf numFmtId="214" fontId="44" fillId="46" borderId="127" applyNumberFormat="0" applyFont="0" applyBorder="0">
      <alignment horizontal="right"/>
    </xf>
    <xf numFmtId="214" fontId="44" fillId="46" borderId="127" applyNumberFormat="0" applyFont="0" applyBorder="0">
      <alignment horizontal="right"/>
    </xf>
    <xf numFmtId="214" fontId="44" fillId="46" borderId="127" applyNumberFormat="0" applyFont="0" applyBorder="0">
      <alignment horizontal="right"/>
    </xf>
    <xf numFmtId="214" fontId="44" fillId="46" borderId="127" applyNumberFormat="0" applyFont="0" applyBorder="0">
      <alignment horizontal="right"/>
    </xf>
    <xf numFmtId="214" fontId="44" fillId="46" borderId="127" applyNumberFormat="0" applyFont="0" applyBorder="0">
      <alignment horizontal="right"/>
    </xf>
    <xf numFmtId="214" fontId="44" fillId="46" borderId="127" applyNumberFormat="0" applyFont="0" applyBorder="0">
      <alignment horizontal="right"/>
    </xf>
    <xf numFmtId="214" fontId="44" fillId="46" borderId="127" applyNumberFormat="0" applyFont="0" applyBorder="0">
      <alignment horizontal="right"/>
    </xf>
    <xf numFmtId="214" fontId="44" fillId="46" borderId="127" applyNumberFormat="0" applyFont="0" applyBorder="0">
      <alignment horizontal="right"/>
    </xf>
    <xf numFmtId="214" fontId="44" fillId="46" borderId="127" applyNumberFormat="0" applyFont="0" applyBorder="0">
      <alignment horizontal="right"/>
    </xf>
    <xf numFmtId="214" fontId="44" fillId="46" borderId="127" applyNumberFormat="0" applyFont="0" applyBorder="0">
      <alignment horizontal="right"/>
    </xf>
    <xf numFmtId="214" fontId="44" fillId="46" borderId="127" applyNumberFormat="0" applyFont="0" applyBorder="0">
      <alignment horizontal="right"/>
    </xf>
    <xf numFmtId="214" fontId="44" fillId="46" borderId="127" applyNumberFormat="0" applyFont="0" applyBorder="0">
      <alignment horizontal="right"/>
    </xf>
    <xf numFmtId="214" fontId="44" fillId="46" borderId="127" applyNumberFormat="0" applyFont="0" applyBorder="0">
      <alignment horizontal="right"/>
    </xf>
    <xf numFmtId="214" fontId="44" fillId="46" borderId="127" applyNumberFormat="0" applyFont="0" applyBorder="0">
      <alignment horizontal="right"/>
    </xf>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37" fontId="12" fillId="48" borderId="128" applyNumberFormat="0" applyBorder="0" applyAlignment="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229" fontId="12" fillId="0" borderId="30" applyNumberFormat="0" applyFont="0" applyFill="0" applyBorder="0" applyAlignment="0" applyProtection="0"/>
    <xf numFmtId="37" fontId="81" fillId="78" borderId="29" applyFill="0" applyBorder="0"/>
    <xf numFmtId="37" fontId="81" fillId="78" borderId="29" applyFill="0" applyBorder="0"/>
    <xf numFmtId="37" fontId="81" fillId="78" borderId="29" applyFill="0" applyBorder="0"/>
    <xf numFmtId="37" fontId="81" fillId="78" borderId="29" applyFill="0" applyBorder="0"/>
    <xf numFmtId="37" fontId="81" fillId="78" borderId="29" applyFill="0" applyBorder="0"/>
    <xf numFmtId="37" fontId="81" fillId="78" borderId="29" applyFill="0" applyBorder="0"/>
    <xf numFmtId="37" fontId="81" fillId="78" borderId="29" applyFill="0" applyBorder="0"/>
    <xf numFmtId="37" fontId="81" fillId="78" borderId="29" applyFill="0" applyBorder="0"/>
    <xf numFmtId="37" fontId="81" fillId="78" borderId="29" applyFill="0" applyBorder="0"/>
    <xf numFmtId="37" fontId="81" fillId="78" borderId="29" applyFill="0" applyBorder="0"/>
    <xf numFmtId="37" fontId="81" fillId="78" borderId="29" applyFill="0" applyBorder="0"/>
    <xf numFmtId="37" fontId="81" fillId="78" borderId="29" applyFill="0" applyBorder="0"/>
    <xf numFmtId="37" fontId="81" fillId="78" borderId="29" applyFill="0" applyBorder="0"/>
    <xf numFmtId="37" fontId="81" fillId="78" borderId="29" applyFill="0" applyBorder="0"/>
    <xf numFmtId="37" fontId="81" fillId="78" borderId="29" applyFill="0" applyBorder="0"/>
    <xf numFmtId="37" fontId="81" fillId="78" borderId="29" applyFill="0" applyBorder="0"/>
    <xf numFmtId="37" fontId="81" fillId="78" borderId="29" applyFill="0" applyBorder="0"/>
    <xf numFmtId="38" fontId="9" fillId="80" borderId="129"/>
    <xf numFmtId="38" fontId="9" fillId="80" borderId="129"/>
    <xf numFmtId="38" fontId="9" fillId="80" borderId="129"/>
    <xf numFmtId="38" fontId="9" fillId="80" borderId="129"/>
    <xf numFmtId="38" fontId="9" fillId="80" borderId="129"/>
    <xf numFmtId="38" fontId="9" fillId="80" borderId="129"/>
    <xf numFmtId="38" fontId="9" fillId="80" borderId="129"/>
    <xf numFmtId="38" fontId="9" fillId="80" borderId="129"/>
    <xf numFmtId="38" fontId="9" fillId="80" borderId="129"/>
    <xf numFmtId="38" fontId="9" fillId="80" borderId="129"/>
    <xf numFmtId="38" fontId="9" fillId="80" borderId="129"/>
    <xf numFmtId="38" fontId="9" fillId="80" borderId="129"/>
    <xf numFmtId="38" fontId="9" fillId="80" borderId="129"/>
    <xf numFmtId="38" fontId="9" fillId="80" borderId="129"/>
    <xf numFmtId="38" fontId="9" fillId="80" borderId="129"/>
    <xf numFmtId="38" fontId="9" fillId="80" borderId="129"/>
    <xf numFmtId="38" fontId="9" fillId="80" borderId="129"/>
    <xf numFmtId="38" fontId="9" fillId="80" borderId="129"/>
    <xf numFmtId="38" fontId="9" fillId="80" borderId="129"/>
    <xf numFmtId="38" fontId="9" fillId="80" borderId="129"/>
    <xf numFmtId="38" fontId="9" fillId="80" borderId="129"/>
    <xf numFmtId="38" fontId="9" fillId="80" borderId="129"/>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5" fillId="75" borderId="89" applyNumberFormat="0" applyAlignment="0" applyProtection="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0" fontId="147" fillId="80" borderId="7" applyBorder="0"/>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38" fontId="9" fillId="0" borderId="131"/>
    <xf numFmtId="38" fontId="9" fillId="0" borderId="131"/>
    <xf numFmtId="38" fontId="9" fillId="0" borderId="131"/>
    <xf numFmtId="38" fontId="9" fillId="0" borderId="131"/>
    <xf numFmtId="38" fontId="9" fillId="0" borderId="131"/>
    <xf numFmtId="38" fontId="9" fillId="0" borderId="131"/>
    <xf numFmtId="38" fontId="9" fillId="0" borderId="131"/>
    <xf numFmtId="38" fontId="9" fillId="0" borderId="131"/>
    <xf numFmtId="38" fontId="9" fillId="0" borderId="131"/>
    <xf numFmtId="38" fontId="9" fillId="0" borderId="131"/>
    <xf numFmtId="38" fontId="9" fillId="0" borderId="131"/>
    <xf numFmtId="38" fontId="9" fillId="0" borderId="131"/>
    <xf numFmtId="38" fontId="9" fillId="0" borderId="131"/>
    <xf numFmtId="38" fontId="9" fillId="0" borderId="131"/>
    <xf numFmtId="38" fontId="9" fillId="0" borderId="131"/>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0" fontId="156" fillId="0" borderId="29" applyNumberFormat="0" applyFill="0" applyProtection="0">
      <alignment horizontal="center"/>
    </xf>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8" fontId="51" fillId="0" borderId="0" applyFont="0" applyFill="0" applyBorder="0" applyAlignment="0" applyProtection="0"/>
    <xf numFmtId="8" fontId="51" fillId="0" borderId="0" applyFont="0" applyFill="0" applyBorder="0" applyAlignment="0" applyProtection="0"/>
    <xf numFmtId="8" fontId="166" fillId="0" borderId="0" applyBorder="0"/>
    <xf numFmtId="8" fontId="166" fillId="0" borderId="0" applyBorder="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251" fontId="9" fillId="46" borderId="129"/>
    <xf numFmtId="251" fontId="9" fillId="46" borderId="129"/>
    <xf numFmtId="251" fontId="9" fillId="46" borderId="129"/>
    <xf numFmtId="251" fontId="9" fillId="46" borderId="129"/>
    <xf numFmtId="251" fontId="9" fillId="46" borderId="129"/>
    <xf numFmtId="251" fontId="9" fillId="46" borderId="129"/>
    <xf numFmtId="251" fontId="9" fillId="46" borderId="129"/>
    <xf numFmtId="251" fontId="9" fillId="46" borderId="129"/>
    <xf numFmtId="251" fontId="9" fillId="46" borderId="129"/>
    <xf numFmtId="251" fontId="9" fillId="46" borderId="129"/>
    <xf numFmtId="251" fontId="9" fillId="46" borderId="129"/>
    <xf numFmtId="251" fontId="9" fillId="46" borderId="129"/>
    <xf numFmtId="251" fontId="9" fillId="46" borderId="129"/>
    <xf numFmtId="251" fontId="9" fillId="46" borderId="129"/>
    <xf numFmtId="251" fontId="9" fillId="46" borderId="129"/>
    <xf numFmtId="251" fontId="9" fillId="46" borderId="129"/>
    <xf numFmtId="251" fontId="9" fillId="46" borderId="129"/>
    <xf numFmtId="251" fontId="9" fillId="46" borderId="129"/>
    <xf numFmtId="251" fontId="9" fillId="46" borderId="129"/>
    <xf numFmtId="251" fontId="9" fillId="46" borderId="129"/>
    <xf numFmtId="251" fontId="9" fillId="46" borderId="129"/>
    <xf numFmtId="251" fontId="9" fillId="46" borderId="129"/>
    <xf numFmtId="5" fontId="130" fillId="0" borderId="0"/>
    <xf numFmtId="5" fontId="130" fillId="0" borderId="0"/>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4" fontId="13" fillId="0" borderId="29"/>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65" fontId="174"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249" fontId="9" fillId="0" borderId="29" applyFont="0" applyFill="0" applyBorder="0" applyAlignment="0" applyProtection="0">
      <alignment horizontal="right"/>
    </xf>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0" fontId="175" fillId="0" borderId="29"/>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2" fontId="131" fillId="0" borderId="110"/>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179" fillId="46" borderId="118" applyNumberFormat="0" applyBorder="0" applyAlignment="0">
      <alignment horizontal="center"/>
    </xf>
    <xf numFmtId="0" fontId="83" fillId="78" borderId="129" applyNumberFormat="0" applyAlignment="0">
      <alignment horizontal="center"/>
      <protection locked="0"/>
    </xf>
    <xf numFmtId="0" fontId="83" fillId="78" borderId="129" applyNumberFormat="0" applyAlignment="0">
      <alignment horizontal="center"/>
      <protection locked="0"/>
    </xf>
    <xf numFmtId="0" fontId="83" fillId="78" borderId="129" applyNumberFormat="0" applyAlignment="0">
      <alignment horizontal="center"/>
      <protection locked="0"/>
    </xf>
    <xf numFmtId="0" fontId="83" fillId="78" borderId="129" applyNumberFormat="0" applyAlignment="0">
      <alignment horizontal="center"/>
      <protection locked="0"/>
    </xf>
    <xf numFmtId="0" fontId="83" fillId="78" borderId="129" applyNumberFormat="0" applyAlignment="0">
      <alignment horizontal="center"/>
      <protection locked="0"/>
    </xf>
    <xf numFmtId="0" fontId="83" fillId="78" borderId="129" applyNumberFormat="0" applyAlignment="0">
      <alignment horizontal="center"/>
      <protection locked="0"/>
    </xf>
    <xf numFmtId="0" fontId="83" fillId="78" borderId="129" applyNumberFormat="0" applyAlignment="0">
      <alignment horizontal="center"/>
      <protection locked="0"/>
    </xf>
    <xf numFmtId="0" fontId="83" fillId="78" borderId="129" applyNumberFormat="0" applyAlignment="0">
      <alignment horizontal="center"/>
      <protection locked="0"/>
    </xf>
    <xf numFmtId="0" fontId="83" fillId="78" borderId="129" applyNumberFormat="0" applyAlignment="0">
      <alignment horizontal="center"/>
      <protection locked="0"/>
    </xf>
    <xf numFmtId="0" fontId="83" fillId="78" borderId="129" applyNumberFormat="0" applyAlignment="0">
      <alignment horizontal="center"/>
      <protection locked="0"/>
    </xf>
    <xf numFmtId="0" fontId="83" fillId="78" borderId="129" applyNumberFormat="0" applyAlignment="0">
      <alignment horizontal="center"/>
      <protection locked="0"/>
    </xf>
    <xf numFmtId="0" fontId="83" fillId="78" borderId="129" applyNumberFormat="0" applyAlignment="0">
      <alignment horizontal="center"/>
      <protection locked="0"/>
    </xf>
    <xf numFmtId="0" fontId="83" fillId="78" borderId="129" applyNumberFormat="0" applyAlignment="0">
      <alignment horizontal="center"/>
      <protection locked="0"/>
    </xf>
    <xf numFmtId="0" fontId="83" fillId="78" borderId="129" applyNumberFormat="0" applyAlignment="0">
      <alignment horizontal="center"/>
      <protection locked="0"/>
    </xf>
    <xf numFmtId="0" fontId="83" fillId="78" borderId="129" applyNumberFormat="0" applyAlignment="0">
      <alignment horizontal="center"/>
      <protection locked="0"/>
    </xf>
    <xf numFmtId="0" fontId="83" fillId="78" borderId="129" applyNumberFormat="0" applyAlignment="0">
      <alignment horizontal="center"/>
      <protection locked="0"/>
    </xf>
    <xf numFmtId="0" fontId="83" fillId="78" borderId="129" applyNumberFormat="0" applyAlignment="0">
      <alignment horizontal="center"/>
      <protection locked="0"/>
    </xf>
    <xf numFmtId="0" fontId="83" fillId="78" borderId="129" applyNumberFormat="0" applyAlignment="0">
      <alignment horizontal="center"/>
      <protection locked="0"/>
    </xf>
    <xf numFmtId="0" fontId="83" fillId="78" borderId="129" applyNumberFormat="0" applyAlignment="0">
      <alignment horizontal="center"/>
      <protection locked="0"/>
    </xf>
    <xf numFmtId="0" fontId="83" fillId="78" borderId="129" applyNumberFormat="0" applyAlignment="0">
      <alignment horizontal="center"/>
      <protection locked="0"/>
    </xf>
    <xf numFmtId="0" fontId="83" fillId="78" borderId="129" applyNumberFormat="0" applyAlignment="0">
      <alignment horizontal="center"/>
      <protection locked="0"/>
    </xf>
    <xf numFmtId="0" fontId="83" fillId="78" borderId="129" applyNumberFormat="0" applyAlignment="0">
      <alignment horizontal="center"/>
      <protection locked="0"/>
    </xf>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91" fillId="59" borderId="89" applyNumberFormat="0" applyAlignment="0" applyProtection="0"/>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2" fillId="86" borderId="132"/>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0" fontId="197" fillId="0" borderId="105">
      <alignment horizontal="right" wrapText="1"/>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202"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0" fontId="73" fillId="0" borderId="105">
      <alignment horizontal="left"/>
    </xf>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299" fontId="202" fillId="75" borderId="110" applyAlignment="0" applyProtection="0"/>
    <xf numFmtId="15" fontId="117" fillId="50" borderId="129">
      <alignment horizontal="center"/>
      <protection locked="0"/>
    </xf>
    <xf numFmtId="15" fontId="117" fillId="50" borderId="129">
      <alignment horizontal="center"/>
      <protection locked="0"/>
    </xf>
    <xf numFmtId="15" fontId="117" fillId="50" borderId="129">
      <alignment horizontal="center"/>
      <protection locked="0"/>
    </xf>
    <xf numFmtId="15" fontId="117" fillId="50" borderId="129">
      <alignment horizontal="center"/>
      <protection locked="0"/>
    </xf>
    <xf numFmtId="15" fontId="117" fillId="50" borderId="129">
      <alignment horizontal="center"/>
      <protection locked="0"/>
    </xf>
    <xf numFmtId="15" fontId="117" fillId="50" borderId="129">
      <alignment horizontal="center"/>
      <protection locked="0"/>
    </xf>
    <xf numFmtId="15" fontId="117" fillId="50" borderId="129">
      <alignment horizontal="center"/>
      <protection locked="0"/>
    </xf>
    <xf numFmtId="15" fontId="117" fillId="50" borderId="129">
      <alignment horizontal="center"/>
      <protection locked="0"/>
    </xf>
    <xf numFmtId="15" fontId="117" fillId="50" borderId="129">
      <alignment horizontal="center"/>
      <protection locked="0"/>
    </xf>
    <xf numFmtId="15" fontId="117" fillId="50" borderId="129">
      <alignment horizontal="center"/>
      <protection locked="0"/>
    </xf>
    <xf numFmtId="15" fontId="117" fillId="50" borderId="129">
      <alignment horizontal="center"/>
      <protection locked="0"/>
    </xf>
    <xf numFmtId="15" fontId="117" fillId="50" borderId="129">
      <alignment horizontal="center"/>
      <protection locked="0"/>
    </xf>
    <xf numFmtId="15" fontId="117" fillId="50" borderId="129">
      <alignment horizontal="center"/>
      <protection locked="0"/>
    </xf>
    <xf numFmtId="15" fontId="117" fillId="50" borderId="129">
      <alignment horizontal="center"/>
      <protection locked="0"/>
    </xf>
    <xf numFmtId="15" fontId="117" fillId="50" borderId="129">
      <alignment horizontal="center"/>
      <protection locked="0"/>
    </xf>
    <xf numFmtId="15" fontId="117" fillId="50" borderId="129">
      <alignment horizontal="center"/>
      <protection locked="0"/>
    </xf>
    <xf numFmtId="15" fontId="117" fillId="50" borderId="129">
      <alignment horizontal="center"/>
      <protection locked="0"/>
    </xf>
    <xf numFmtId="15" fontId="117" fillId="50" borderId="129">
      <alignment horizontal="center"/>
      <protection locked="0"/>
    </xf>
    <xf numFmtId="15" fontId="117" fillId="50" borderId="129">
      <alignment horizontal="center"/>
      <protection locked="0"/>
    </xf>
    <xf numFmtId="15" fontId="117" fillId="50" borderId="129">
      <alignment horizontal="center"/>
      <protection locked="0"/>
    </xf>
    <xf numFmtId="15" fontId="117" fillId="50" borderId="129">
      <alignment horizontal="center"/>
      <protection locked="0"/>
    </xf>
    <xf numFmtId="15" fontId="117" fillId="50" borderId="129">
      <alignment horizontal="center"/>
      <protection locked="0"/>
    </xf>
    <xf numFmtId="300" fontId="48" fillId="44" borderId="129" applyFont="0" applyAlignment="0"/>
    <xf numFmtId="300" fontId="48" fillId="44" borderId="129" applyFont="0" applyAlignment="0"/>
    <xf numFmtId="300" fontId="48" fillId="44" borderId="129" applyFont="0" applyAlignment="0"/>
    <xf numFmtId="300" fontId="48" fillId="44" borderId="129" applyFont="0" applyAlignment="0"/>
    <xf numFmtId="300" fontId="48" fillId="44" borderId="129" applyFont="0" applyAlignment="0"/>
    <xf numFmtId="300" fontId="48" fillId="44" borderId="129" applyFont="0" applyAlignment="0"/>
    <xf numFmtId="300" fontId="48" fillId="44" borderId="129" applyFont="0" applyAlignment="0"/>
    <xf numFmtId="300" fontId="48" fillId="44" borderId="129" applyFont="0" applyAlignment="0"/>
    <xf numFmtId="300" fontId="48" fillId="44" borderId="129" applyFont="0" applyAlignment="0"/>
    <xf numFmtId="300" fontId="48" fillId="44" borderId="129" applyFont="0" applyAlignment="0"/>
    <xf numFmtId="300" fontId="48" fillId="44" borderId="129" applyFont="0" applyAlignment="0"/>
    <xf numFmtId="300" fontId="48" fillId="44" borderId="129" applyFont="0" applyAlignment="0"/>
    <xf numFmtId="300" fontId="48" fillId="44" borderId="129" applyFont="0" applyAlignment="0"/>
    <xf numFmtId="300" fontId="48" fillId="44" borderId="129" applyFont="0" applyAlignment="0"/>
    <xf numFmtId="300" fontId="48" fillId="44" borderId="129" applyFont="0" applyAlignment="0"/>
    <xf numFmtId="300" fontId="48" fillId="44" borderId="129" applyFont="0" applyAlignment="0"/>
    <xf numFmtId="300" fontId="48" fillId="44" borderId="129" applyFont="0" applyAlignment="0"/>
    <xf numFmtId="300" fontId="48" fillId="44" borderId="129" applyFont="0" applyAlignment="0"/>
    <xf numFmtId="300" fontId="48" fillId="44" borderId="129" applyFont="0" applyAlignment="0"/>
    <xf numFmtId="300" fontId="48" fillId="44" borderId="129" applyFont="0" applyAlignment="0"/>
    <xf numFmtId="300" fontId="48" fillId="44" borderId="129" applyFont="0" applyAlignment="0"/>
    <xf numFmtId="300" fontId="48" fillId="44" borderId="129" applyFont="0" applyAlignment="0"/>
    <xf numFmtId="301" fontId="117" fillId="50" borderId="129" applyAlignment="0">
      <protection locked="0"/>
    </xf>
    <xf numFmtId="301" fontId="117" fillId="50" borderId="129" applyAlignment="0">
      <protection locked="0"/>
    </xf>
    <xf numFmtId="301" fontId="117" fillId="50" borderId="129" applyAlignment="0">
      <protection locked="0"/>
    </xf>
    <xf numFmtId="301" fontId="117" fillId="50" borderId="129" applyAlignment="0">
      <protection locked="0"/>
    </xf>
    <xf numFmtId="301" fontId="117" fillId="50" borderId="129" applyAlignment="0">
      <protection locked="0"/>
    </xf>
    <xf numFmtId="301" fontId="117" fillId="50" borderId="129" applyAlignment="0">
      <protection locked="0"/>
    </xf>
    <xf numFmtId="301" fontId="117" fillId="50" borderId="129" applyAlignment="0">
      <protection locked="0"/>
    </xf>
    <xf numFmtId="301" fontId="117" fillId="50" borderId="129" applyAlignment="0">
      <protection locked="0"/>
    </xf>
    <xf numFmtId="301" fontId="117" fillId="50" borderId="129" applyAlignment="0">
      <protection locked="0"/>
    </xf>
    <xf numFmtId="301" fontId="117" fillId="50" borderId="129" applyAlignment="0">
      <protection locked="0"/>
    </xf>
    <xf numFmtId="301" fontId="117" fillId="50" borderId="129" applyAlignment="0">
      <protection locked="0"/>
    </xf>
    <xf numFmtId="301" fontId="117" fillId="50" borderId="129" applyAlignment="0">
      <protection locked="0"/>
    </xf>
    <xf numFmtId="301" fontId="117" fillId="50" borderId="129" applyAlignment="0">
      <protection locked="0"/>
    </xf>
    <xf numFmtId="301" fontId="117" fillId="50" borderId="129" applyAlignment="0">
      <protection locked="0"/>
    </xf>
    <xf numFmtId="301" fontId="117" fillId="50" borderId="129" applyAlignment="0">
      <protection locked="0"/>
    </xf>
    <xf numFmtId="301" fontId="117" fillId="50" borderId="129" applyAlignment="0">
      <protection locked="0"/>
    </xf>
    <xf numFmtId="301" fontId="117" fillId="50" borderId="129" applyAlignment="0">
      <protection locked="0"/>
    </xf>
    <xf numFmtId="301" fontId="117" fillId="50" borderId="129" applyAlignment="0">
      <protection locked="0"/>
    </xf>
    <xf numFmtId="301" fontId="117" fillId="50" borderId="129" applyAlignment="0">
      <protection locked="0"/>
    </xf>
    <xf numFmtId="301" fontId="117" fillId="50" borderId="129" applyAlignment="0">
      <protection locked="0"/>
    </xf>
    <xf numFmtId="301" fontId="117" fillId="50" borderId="129" applyAlignment="0">
      <protection locked="0"/>
    </xf>
    <xf numFmtId="301" fontId="117" fillId="50" borderId="129" applyAlignment="0">
      <protection locked="0"/>
    </xf>
    <xf numFmtId="300" fontId="117" fillId="50" borderId="129" applyAlignment="0">
      <protection locked="0"/>
    </xf>
    <xf numFmtId="300" fontId="117" fillId="50" borderId="129" applyAlignment="0">
      <protection locked="0"/>
    </xf>
    <xf numFmtId="300" fontId="117" fillId="50" borderId="129" applyAlignment="0">
      <protection locked="0"/>
    </xf>
    <xf numFmtId="300" fontId="117" fillId="50" borderId="129" applyAlignment="0">
      <protection locked="0"/>
    </xf>
    <xf numFmtId="300" fontId="117" fillId="50" borderId="129" applyAlignment="0">
      <protection locked="0"/>
    </xf>
    <xf numFmtId="300" fontId="117" fillId="50" borderId="129" applyAlignment="0">
      <protection locked="0"/>
    </xf>
    <xf numFmtId="300" fontId="117" fillId="50" borderId="129" applyAlignment="0">
      <protection locked="0"/>
    </xf>
    <xf numFmtId="300" fontId="117" fillId="50" borderId="129" applyAlignment="0">
      <protection locked="0"/>
    </xf>
    <xf numFmtId="300" fontId="117" fillId="50" borderId="129" applyAlignment="0">
      <protection locked="0"/>
    </xf>
    <xf numFmtId="300" fontId="117" fillId="50" borderId="129" applyAlignment="0">
      <protection locked="0"/>
    </xf>
    <xf numFmtId="300" fontId="117" fillId="50" borderId="129" applyAlignment="0">
      <protection locked="0"/>
    </xf>
    <xf numFmtId="300" fontId="117" fillId="50" borderId="129" applyAlignment="0">
      <protection locked="0"/>
    </xf>
    <xf numFmtId="300" fontId="117" fillId="50" borderId="129" applyAlignment="0">
      <protection locked="0"/>
    </xf>
    <xf numFmtId="300" fontId="117" fillId="50" borderId="129" applyAlignment="0">
      <protection locked="0"/>
    </xf>
    <xf numFmtId="300" fontId="117" fillId="50" borderId="129" applyAlignment="0">
      <protection locked="0"/>
    </xf>
    <xf numFmtId="300" fontId="117" fillId="50" borderId="129" applyAlignment="0">
      <protection locked="0"/>
    </xf>
    <xf numFmtId="300" fontId="117" fillId="50" borderId="129" applyAlignment="0">
      <protection locked="0"/>
    </xf>
    <xf numFmtId="300" fontId="117" fillId="50" borderId="129" applyAlignment="0">
      <protection locked="0"/>
    </xf>
    <xf numFmtId="300" fontId="117" fillId="50" borderId="129" applyAlignment="0">
      <protection locked="0"/>
    </xf>
    <xf numFmtId="300" fontId="117" fillId="50" borderId="129" applyAlignment="0">
      <protection locked="0"/>
    </xf>
    <xf numFmtId="300" fontId="117" fillId="50" borderId="129" applyAlignment="0">
      <protection locked="0"/>
    </xf>
    <xf numFmtId="300" fontId="117" fillId="50" borderId="129" applyAlignment="0">
      <protection locked="0"/>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202" fontId="207" fillId="0" borderId="105">
      <alignment horizontal="center"/>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6"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0" fontId="48" fillId="0" borderId="107" applyNumberFormat="0" applyFont="0" applyAlignment="0" applyProtection="0"/>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05" fontId="9" fillId="0" borderId="108">
      <alignment horizontal="left"/>
      <protection locked="0"/>
    </xf>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38" fontId="15" fillId="46" borderId="109" applyNumberFormat="0" applyFont="0" applyAlignment="0"/>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223" fontId="12" fillId="78" borderId="132" applyFont="0" applyBorder="0" applyAlignment="0" applyProtection="0">
      <alignment vertical="top"/>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9" fillId="0" borderId="29" applyFill="0" applyProtection="0">
      <alignment horizontal="centerContinuous"/>
    </xf>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223" fillId="0" borderId="29"/>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3" applyNumberFormat="0" applyAlignment="0" applyProtection="0">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37" fillId="0" borderId="134">
      <alignment horizontal="left" vertic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30" fillId="0" borderId="47">
      <alignment horizontal="center"/>
    </xf>
    <xf numFmtId="0" fontId="289" fillId="0" borderId="0" applyNumberFormat="0" applyFill="0" applyBorder="0" applyAlignment="0" applyProtection="0">
      <alignment vertical="center"/>
    </xf>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7" fontId="221" fillId="47" borderId="135" applyNumberFormat="0" applyAlignment="0"/>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09" fontId="9" fillId="47" borderId="135" applyFont="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7" borderId="135" applyNumberFormat="0" applyFont="0" applyBorder="0" applyAlignment="0">
      <protection locked="0"/>
    </xf>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37" fontId="9" fillId="46" borderId="29" applyNumberFormat="0" applyBorder="0" applyAlignment="0"/>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229" fontId="9" fillId="47" borderId="135"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7" fontId="9" fillId="47" borderId="135" applyNumberFormat="0" applyFont="0" applyAlignment="0">
      <protection locked="0"/>
    </xf>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319" fontId="237" fillId="44" borderId="136"/>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0" fontId="12" fillId="47" borderId="132" applyNumberForma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196" fontId="45" fillId="44" borderId="132" applyNumberFormat="0" applyFont="0" applyBorder="0" applyAlignment="0" applyProtection="0"/>
    <xf numFmtId="251" fontId="9" fillId="44" borderId="137"/>
    <xf numFmtId="251" fontId="9" fillId="44" borderId="137"/>
    <xf numFmtId="251" fontId="9" fillId="44" borderId="137"/>
    <xf numFmtId="251" fontId="9" fillId="44" borderId="137"/>
    <xf numFmtId="251" fontId="9" fillId="44" borderId="137"/>
    <xf numFmtId="251" fontId="9" fillId="44" borderId="137"/>
    <xf numFmtId="251" fontId="9" fillId="44" borderId="137"/>
    <xf numFmtId="251" fontId="9" fillId="44" borderId="137"/>
    <xf numFmtId="251" fontId="9" fillId="44" borderId="137"/>
    <xf numFmtId="251" fontId="9" fillId="44" borderId="137"/>
    <xf numFmtId="251" fontId="9" fillId="44" borderId="137"/>
    <xf numFmtId="251" fontId="9" fillId="44" borderId="137"/>
    <xf numFmtId="251" fontId="9" fillId="44" borderId="137"/>
    <xf numFmtId="251" fontId="9" fillId="44" borderId="137"/>
    <xf numFmtId="251" fontId="9" fillId="44" borderId="137"/>
    <xf numFmtId="251" fontId="9" fillId="44" borderId="137"/>
    <xf numFmtId="251" fontId="9" fillId="44" borderId="137"/>
    <xf numFmtId="251" fontId="9" fillId="44" borderId="137"/>
    <xf numFmtId="251" fontId="9" fillId="44" borderId="137"/>
    <xf numFmtId="251" fontId="9" fillId="44" borderId="137"/>
    <xf numFmtId="251" fontId="9" fillId="44" borderId="137"/>
    <xf numFmtId="251" fontId="9" fillId="44" borderId="137"/>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04" fontId="12" fillId="47" borderId="29" applyNumberFormat="0" applyFont="0" applyAlignment="0" applyProtection="0">
      <alignment horizontal="center"/>
      <protection locked="0"/>
    </xf>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2" fontId="53" fillId="0" borderId="132"/>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0" fontId="116" fillId="0" borderId="29" applyNumberFormat="0" applyFont="0" applyFill="0" applyAlignment="0" applyProtection="0"/>
    <xf numFmtId="44" fontId="48" fillId="0" borderId="0">
      <alignment horizontal="justify"/>
    </xf>
    <xf numFmtId="44" fontId="48" fillId="0" borderId="0">
      <alignment horizontal="justify"/>
    </xf>
    <xf numFmtId="43" fontId="1" fillId="0" borderId="0" applyFont="0" applyFill="0" applyBorder="0" applyAlignment="0" applyProtection="0"/>
    <xf numFmtId="43" fontId="9" fillId="0" borderId="0" applyFont="0" applyFill="0" applyBorder="0" applyAlignment="0" applyProtection="0"/>
    <xf numFmtId="0" fontId="254" fillId="0" borderId="47"/>
    <xf numFmtId="0" fontId="254" fillId="0" borderId="47"/>
    <xf numFmtId="0" fontId="254" fillId="0" borderId="47"/>
    <xf numFmtId="0" fontId="254" fillId="0" borderId="47"/>
    <xf numFmtId="0" fontId="254" fillId="0" borderId="47"/>
    <xf numFmtId="0" fontId="254" fillId="0" borderId="47"/>
    <xf numFmtId="0" fontId="254" fillId="0" borderId="47"/>
    <xf numFmtId="0" fontId="254" fillId="0" borderId="47"/>
    <xf numFmtId="0" fontId="254" fillId="0" borderId="47"/>
    <xf numFmtId="0" fontId="254" fillId="0" borderId="47"/>
    <xf numFmtId="0" fontId="254" fillId="0" borderId="47"/>
    <xf numFmtId="0" fontId="254" fillId="0" borderId="47"/>
    <xf numFmtId="0" fontId="254" fillId="0" borderId="47"/>
    <xf numFmtId="0" fontId="254" fillId="0" borderId="47"/>
    <xf numFmtId="0" fontId="254" fillId="0" borderId="47"/>
    <xf numFmtId="0" fontId="254" fillId="0" borderId="47"/>
    <xf numFmtId="44" fontId="35" fillId="0" borderId="0" applyFont="0" applyFill="0" applyBorder="0" applyAlignment="0" applyProtection="0"/>
    <xf numFmtId="44" fontId="35" fillId="0" borderId="0" applyFont="0" applyFill="0" applyBorder="0" applyAlignment="0" applyProtection="0"/>
    <xf numFmtId="44" fontId="35"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35" fillId="0" borderId="0" applyFont="0" applyFill="0" applyBorder="0" applyAlignment="0" applyProtection="0"/>
    <xf numFmtId="44" fontId="35" fillId="0" borderId="0" applyFont="0" applyFill="0" applyBorder="0" applyAlignment="0" applyProtection="0"/>
    <xf numFmtId="44" fontId="35" fillId="0" borderId="0" applyFont="0" applyFill="0" applyBorder="0" applyAlignment="0" applyProtection="0"/>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327" fontId="9" fillId="0" borderId="29" applyFont="0" applyFill="0" applyBorder="0" applyAlignment="0" applyProtection="0">
      <alignment horizontal="centerContinuous"/>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206" fontId="9" fillId="0" borderId="138">
      <alignment horizontal="right"/>
    </xf>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37" fontId="12" fillId="0" borderId="29" applyNumberFormat="0" applyFont="0" applyFill="0" applyBorder="0" applyAlignment="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8" fillId="0" borderId="0" applyNumberFormat="0" applyFill="0" applyBorder="0">
      <alignment vertical="center"/>
    </xf>
    <xf numFmtId="0" fontId="8" fillId="0" borderId="0" applyNumberFormat="0" applyFill="0" applyBorder="0">
      <alignment vertical="center"/>
    </xf>
    <xf numFmtId="0" fontId="8" fillId="0" borderId="0" applyNumberFormat="0" applyFill="0" applyBorder="0">
      <alignment vertical="center"/>
    </xf>
    <xf numFmtId="0" fontId="8" fillId="0" borderId="0" applyNumberFormat="0" applyFill="0" applyBorder="0">
      <alignment vertical="center"/>
    </xf>
    <xf numFmtId="0" fontId="8" fillId="0" borderId="0" applyNumberFormat="0" applyFill="0" applyBorder="0">
      <alignment vertical="center"/>
    </xf>
    <xf numFmtId="0" fontId="8" fillId="0" borderId="0" applyNumberFormat="0" applyFill="0" applyBorder="0">
      <alignment vertical="center"/>
    </xf>
    <xf numFmtId="0" fontId="8" fillId="0" borderId="0" applyNumberFormat="0" applyFill="0" applyBorder="0">
      <alignment vertical="center"/>
    </xf>
    <xf numFmtId="0" fontId="8" fillId="0" borderId="0" applyNumberFormat="0" applyFill="0" applyBorder="0">
      <alignment vertical="center"/>
    </xf>
    <xf numFmtId="0" fontId="8" fillId="0" borderId="0" applyNumberFormat="0" applyFill="0" applyBorder="0">
      <alignment vertical="center"/>
    </xf>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0" fontId="223" fillId="0" borderId="29" applyFill="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37" fontId="12" fillId="78" borderId="134" applyNumberFormat="0" applyFont="0" applyFill="0" applyBorder="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0" fontId="9" fillId="50" borderId="139" applyNumberFormat="0" applyFont="0" applyAlignment="0" applyProtection="0"/>
    <xf numFmtId="337" fontId="9" fillId="0" borderId="137"/>
    <xf numFmtId="337" fontId="9" fillId="0" borderId="137"/>
    <xf numFmtId="337" fontId="9" fillId="0" borderId="137"/>
    <xf numFmtId="337" fontId="9" fillId="0" borderId="137"/>
    <xf numFmtId="337" fontId="9" fillId="0" borderId="137"/>
    <xf numFmtId="337" fontId="9" fillId="0" borderId="137"/>
    <xf numFmtId="337" fontId="9" fillId="0" borderId="137"/>
    <xf numFmtId="337" fontId="9" fillId="0" borderId="137"/>
    <xf numFmtId="337" fontId="9" fillId="0" borderId="137"/>
    <xf numFmtId="337" fontId="9" fillId="0" borderId="137"/>
    <xf numFmtId="337" fontId="9" fillId="0" borderId="137"/>
    <xf numFmtId="337" fontId="9" fillId="0" borderId="137"/>
    <xf numFmtId="337" fontId="9" fillId="0" borderId="137"/>
    <xf numFmtId="337" fontId="9" fillId="0" borderId="137"/>
    <xf numFmtId="337" fontId="9" fillId="0" borderId="137"/>
    <xf numFmtId="337" fontId="9" fillId="0" borderId="137"/>
    <xf numFmtId="337" fontId="9" fillId="0" borderId="137"/>
    <xf numFmtId="337" fontId="9" fillId="0" borderId="137"/>
    <xf numFmtId="337" fontId="9" fillId="0" borderId="137"/>
    <xf numFmtId="337" fontId="9" fillId="0" borderId="137"/>
    <xf numFmtId="337" fontId="9" fillId="0" borderId="137"/>
    <xf numFmtId="337" fontId="9" fillId="0" borderId="137"/>
    <xf numFmtId="212" fontId="67" fillId="0" borderId="137" applyBorder="0"/>
    <xf numFmtId="212" fontId="67" fillId="0" borderId="137" applyBorder="0"/>
    <xf numFmtId="212" fontId="67" fillId="0" borderId="137" applyBorder="0"/>
    <xf numFmtId="212" fontId="67" fillId="0" borderId="137" applyBorder="0"/>
    <xf numFmtId="212" fontId="67" fillId="0" borderId="137" applyBorder="0"/>
    <xf numFmtId="212" fontId="67" fillId="0" borderId="137" applyBorder="0"/>
    <xf numFmtId="212" fontId="67" fillId="0" borderId="137" applyBorder="0"/>
    <xf numFmtId="212" fontId="67" fillId="0" borderId="137" applyBorder="0"/>
    <xf numFmtId="212" fontId="67" fillId="0" borderId="137" applyBorder="0"/>
    <xf numFmtId="212" fontId="67" fillId="0" borderId="137" applyBorder="0"/>
    <xf numFmtId="212" fontId="67" fillId="0" borderId="137" applyBorder="0"/>
    <xf numFmtId="212" fontId="67" fillId="0" borderId="137" applyBorder="0"/>
    <xf numFmtId="212" fontId="67" fillId="0" borderId="137" applyBorder="0"/>
    <xf numFmtId="212" fontId="67" fillId="0" borderId="137" applyBorder="0"/>
    <xf numFmtId="212" fontId="67" fillId="0" borderId="137" applyBorder="0"/>
    <xf numFmtId="212" fontId="67" fillId="0" borderId="137" applyBorder="0"/>
    <xf numFmtId="212" fontId="67" fillId="0" borderId="137" applyBorder="0"/>
    <xf numFmtId="212" fontId="67" fillId="0" borderId="137" applyBorder="0"/>
    <xf numFmtId="212" fontId="67" fillId="0" borderId="137" applyBorder="0"/>
    <xf numFmtId="212" fontId="67" fillId="0" borderId="137" applyBorder="0"/>
    <xf numFmtId="212" fontId="67" fillId="0" borderId="137" applyBorder="0"/>
    <xf numFmtId="212" fontId="67" fillId="0" borderId="137" applyBorder="0"/>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39" fontId="262" fillId="46" borderId="132"/>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92" fillId="47" borderId="140" applyNumberFormat="0">
      <alignment horizontal="left" vertical="center"/>
    </xf>
    <xf numFmtId="0" fontId="215" fillId="96" borderId="80"/>
    <xf numFmtId="0" fontId="215" fillId="96" borderId="80"/>
    <xf numFmtId="341" fontId="48" fillId="0" borderId="141" applyNumberFormat="0" applyBorder="0">
      <alignment horizontal="right"/>
    </xf>
    <xf numFmtId="341" fontId="48" fillId="0" borderId="141" applyNumberFormat="0" applyBorder="0">
      <alignment horizontal="right"/>
    </xf>
    <xf numFmtId="341" fontId="48" fillId="0" borderId="141" applyNumberFormat="0" applyBorder="0">
      <alignment horizontal="right"/>
    </xf>
    <xf numFmtId="341" fontId="48" fillId="0" borderId="141" applyNumberFormat="0" applyBorder="0">
      <alignment horizontal="right"/>
    </xf>
    <xf numFmtId="341" fontId="48" fillId="0" borderId="141" applyNumberFormat="0" applyBorder="0">
      <alignment horizontal="right"/>
    </xf>
    <xf numFmtId="341" fontId="48" fillId="0" borderId="141" applyNumberFormat="0" applyBorder="0">
      <alignment horizontal="right"/>
    </xf>
    <xf numFmtId="341" fontId="48" fillId="0" borderId="141" applyNumberFormat="0" applyBorder="0">
      <alignment horizontal="right"/>
    </xf>
    <xf numFmtId="341" fontId="48" fillId="0" borderId="141" applyNumberFormat="0" applyBorder="0">
      <alignment horizontal="right"/>
    </xf>
    <xf numFmtId="341" fontId="48" fillId="0" borderId="141" applyNumberFormat="0" applyBorder="0">
      <alignment horizontal="right"/>
    </xf>
    <xf numFmtId="341" fontId="48" fillId="0" borderId="141" applyNumberFormat="0" applyBorder="0">
      <alignment horizontal="right"/>
    </xf>
    <xf numFmtId="341" fontId="48" fillId="0" borderId="141" applyNumberFormat="0" applyBorder="0">
      <alignment horizontal="right"/>
    </xf>
    <xf numFmtId="341" fontId="48" fillId="0" borderId="141" applyNumberFormat="0" applyBorder="0">
      <alignment horizontal="right"/>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3" fillId="50"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4" fillId="44" borderId="142" applyNumberFormat="0" applyProtection="0">
      <alignment vertical="center"/>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4" fontId="273" fillId="44" borderId="142" applyNumberFormat="0" applyProtection="0">
      <alignment horizontal="left" vertical="center"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0" fontId="273" fillId="44" borderId="142" applyNumberFormat="0" applyProtection="0">
      <alignment horizontal="left" vertical="top" indent="1"/>
    </xf>
    <xf numFmtId="4" fontId="273" fillId="98" borderId="143" applyNumberFormat="0" applyProtection="0">
      <alignment horizontal="center" vertical="center" wrapText="1"/>
    </xf>
    <xf numFmtId="4" fontId="273" fillId="98" borderId="143" applyNumberFormat="0" applyProtection="0">
      <alignment horizontal="center" vertical="center" wrapText="1"/>
    </xf>
    <xf numFmtId="4" fontId="273" fillId="98" borderId="143" applyNumberFormat="0" applyProtection="0">
      <alignment horizontal="center" vertical="center" wrapText="1"/>
    </xf>
    <xf numFmtId="4" fontId="273" fillId="98" borderId="143" applyNumberFormat="0" applyProtection="0">
      <alignment horizontal="center" vertical="center" wrapText="1"/>
    </xf>
    <xf numFmtId="4" fontId="273" fillId="98" borderId="143" applyNumberFormat="0" applyProtection="0">
      <alignment horizontal="center" vertical="center" wrapText="1"/>
    </xf>
    <xf numFmtId="4" fontId="273" fillId="98" borderId="143" applyNumberFormat="0" applyProtection="0">
      <alignment horizontal="center" vertical="center" wrapText="1"/>
    </xf>
    <xf numFmtId="4" fontId="273" fillId="98" borderId="143" applyNumberFormat="0" applyProtection="0">
      <alignment horizontal="center" vertical="center" wrapText="1"/>
    </xf>
    <xf numFmtId="4" fontId="273" fillId="98" borderId="143" applyNumberFormat="0" applyProtection="0">
      <alignment horizontal="center" vertical="center" wrapText="1"/>
    </xf>
    <xf numFmtId="4" fontId="273" fillId="98" borderId="143" applyNumberFormat="0" applyProtection="0">
      <alignment horizontal="center" vertical="center" wrapText="1"/>
    </xf>
    <xf numFmtId="4" fontId="273" fillId="98" borderId="143" applyNumberFormat="0" applyProtection="0">
      <alignment horizontal="center" vertical="center" wrapText="1"/>
    </xf>
    <xf numFmtId="4" fontId="273" fillId="98" borderId="143" applyNumberFormat="0" applyProtection="0">
      <alignment horizontal="center" vertical="center" wrapText="1"/>
    </xf>
    <xf numFmtId="4" fontId="273" fillId="98" borderId="143" applyNumberFormat="0" applyProtection="0">
      <alignment horizontal="center" vertical="center" wrapText="1"/>
    </xf>
    <xf numFmtId="4" fontId="273" fillId="98" borderId="143" applyNumberFormat="0" applyProtection="0">
      <alignment horizontal="center" vertical="center" wrapText="1"/>
    </xf>
    <xf numFmtId="4" fontId="273" fillId="98" borderId="143" applyNumberFormat="0" applyProtection="0">
      <alignment horizontal="center" vertical="center" wrapText="1"/>
    </xf>
    <xf numFmtId="4" fontId="273" fillId="98" borderId="143" applyNumberFormat="0" applyProtection="0">
      <alignment horizontal="center" vertical="center" wrapText="1"/>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55"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1"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9"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3"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67"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1"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70"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99"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144" fillId="62" borderId="142" applyNumberFormat="0" applyProtection="0">
      <alignment horizontal="right" vertical="center"/>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273" fillId="100" borderId="76" applyNumberFormat="0" applyProtection="0">
      <alignment horizontal="left" vertical="center" indent="1"/>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4" fontId="144" fillId="98" borderId="142" applyNumberFormat="0" applyProtection="0">
      <alignment horizontal="right" vertical="center"/>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center"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52" borderId="142" applyNumberFormat="0" applyProtection="0">
      <alignment horizontal="left" vertical="top"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center"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102" borderId="142" applyNumberFormat="0" applyProtection="0">
      <alignment horizontal="left" vertical="top"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center"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72" borderId="142" applyNumberFormat="0" applyProtection="0">
      <alignment horizontal="left" vertical="top"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center"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0" fontId="9" fillId="80" borderId="142" applyNumberFormat="0" applyProtection="0">
      <alignment horizontal="left" vertical="top" indent="1"/>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144"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275" fillId="47" borderId="142" applyNumberFormat="0" applyProtection="0">
      <alignment vertical="center"/>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4" fontId="144" fillId="47" borderId="142" applyNumberFormat="0" applyProtection="0">
      <alignment horizontal="left" vertical="center"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47" borderId="142" applyNumberFormat="0" applyProtection="0">
      <alignment horizontal="left" vertical="top" indent="1"/>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0" fontId="144" fillId="103"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4" fontId="275" fillId="101" borderId="142" applyNumberFormat="0" applyProtection="0">
      <alignment horizontal="right" vertical="center"/>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144" fillId="104" borderId="142" applyNumberFormat="0" applyProtection="0">
      <alignment horizontal="left" vertical="center" indent="1"/>
    </xf>
    <xf numFmtId="0" fontId="253" fillId="105" borderId="143" applyNumberFormat="0" applyProtection="0">
      <alignment horizontal="center" vertical="center" wrapText="1"/>
    </xf>
    <xf numFmtId="0" fontId="253" fillId="105" borderId="143" applyNumberFormat="0" applyProtection="0">
      <alignment horizontal="center" vertical="center" wrapText="1"/>
    </xf>
    <xf numFmtId="0" fontId="253" fillId="105" borderId="143" applyNumberFormat="0" applyProtection="0">
      <alignment horizontal="center" vertical="center" wrapText="1"/>
    </xf>
    <xf numFmtId="0" fontId="253" fillId="105" borderId="143" applyNumberFormat="0" applyProtection="0">
      <alignment horizontal="center" vertical="center" wrapText="1"/>
    </xf>
    <xf numFmtId="0" fontId="253" fillId="105" borderId="143" applyNumberFormat="0" applyProtection="0">
      <alignment horizontal="center" vertical="center" wrapText="1"/>
    </xf>
    <xf numFmtId="0" fontId="253" fillId="105" borderId="143" applyNumberFormat="0" applyProtection="0">
      <alignment horizontal="center" vertical="center" wrapText="1"/>
    </xf>
    <xf numFmtId="0" fontId="253" fillId="105" borderId="143" applyNumberFormat="0" applyProtection="0">
      <alignment horizontal="center" vertical="center" wrapText="1"/>
    </xf>
    <xf numFmtId="0" fontId="253" fillId="105" borderId="143" applyNumberFormat="0" applyProtection="0">
      <alignment horizontal="center" vertical="center" wrapText="1"/>
    </xf>
    <xf numFmtId="0" fontId="253" fillId="105" borderId="143" applyNumberFormat="0" applyProtection="0">
      <alignment horizontal="center" vertical="center" wrapText="1"/>
    </xf>
    <xf numFmtId="0" fontId="253" fillId="105" borderId="143" applyNumberFormat="0" applyProtection="0">
      <alignment horizontal="center" vertical="center" wrapText="1"/>
    </xf>
    <xf numFmtId="0" fontId="253" fillId="105" borderId="143" applyNumberFormat="0" applyProtection="0">
      <alignment horizontal="center" vertical="center" wrapText="1"/>
    </xf>
    <xf numFmtId="0" fontId="253" fillId="105" borderId="143" applyNumberFormat="0" applyProtection="0">
      <alignment horizontal="center" vertical="center" wrapText="1"/>
    </xf>
    <xf numFmtId="0" fontId="253" fillId="105" borderId="143" applyNumberFormat="0" applyProtection="0">
      <alignment horizontal="center" vertical="center" wrapText="1"/>
    </xf>
    <xf numFmtId="0" fontId="253" fillId="105" borderId="143" applyNumberFormat="0" applyProtection="0">
      <alignment horizontal="center" vertical="center" wrapText="1"/>
    </xf>
    <xf numFmtId="0" fontId="253" fillId="105" borderId="143" applyNumberFormat="0" applyProtection="0">
      <alignment horizontal="center" vertical="center" wrapText="1"/>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4" fontId="277" fillId="101" borderId="142" applyNumberFormat="0" applyProtection="0">
      <alignment horizontal="right" vertical="center"/>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0" fontId="216" fillId="107" borderId="144" applyNumberFormat="0" applyBorder="0">
      <alignment horizontal="center" vertical="center" wrapText="1"/>
    </xf>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4" fontId="8" fillId="0" borderId="0" applyFont="0" applyFill="0" applyBorder="0" applyAlignment="0" applyProtection="0"/>
    <xf numFmtId="44" fontId="1" fillId="0" borderId="0" applyFont="0" applyFill="0" applyBorder="0" applyAlignment="0" applyProtection="0"/>
    <xf numFmtId="229" fontId="9" fillId="47" borderId="194" applyFont="0" applyAlignment="0">
      <protection locked="0"/>
    </xf>
    <xf numFmtId="43" fontId="1" fillId="0" borderId="0" applyFont="0" applyFill="0" applyBorder="0" applyAlignment="0" applyProtection="0"/>
    <xf numFmtId="37" fontId="221" fillId="47" borderId="203" applyNumberFormat="0" applyAlignment="0"/>
    <xf numFmtId="0" fontId="67" fillId="0" borderId="208" applyNumberFormat="0" applyFill="0" applyAlignment="0" applyProtection="0"/>
    <xf numFmtId="202" fontId="207" fillId="0" borderId="183">
      <alignment horizontal="center"/>
    </xf>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251" fontId="9" fillId="46" borderId="172"/>
    <xf numFmtId="0" fontId="37" fillId="0" borderId="178">
      <alignment horizontal="left" vertical="center"/>
    </xf>
    <xf numFmtId="5" fontId="135" fillId="0" borderId="199" applyAlignment="0" applyProtection="0"/>
    <xf numFmtId="3" fontId="12" fillId="0" borderId="184" applyNumberFormat="0" applyFill="0" applyBorder="0" applyProtection="0"/>
    <xf numFmtId="5" fontId="135" fillId="0" borderId="199" applyAlignment="0" applyProtection="0"/>
    <xf numFmtId="202" fontId="73" fillId="0" borderId="183">
      <alignment horizontal="left" vertical="center"/>
    </xf>
    <xf numFmtId="202" fontId="73" fillId="0" borderId="183">
      <alignment horizontal="left" vertical="center"/>
    </xf>
    <xf numFmtId="5" fontId="135" fillId="0" borderId="199" applyAlignment="0" applyProtection="0"/>
    <xf numFmtId="202" fontId="73" fillId="0" borderId="183">
      <alignment horizontal="left" vertical="center"/>
    </xf>
    <xf numFmtId="202" fontId="73" fillId="0" borderId="183">
      <alignment horizontal="left" vertical="center"/>
    </xf>
    <xf numFmtId="5" fontId="135" fillId="0" borderId="199" applyAlignment="0" applyProtection="0"/>
    <xf numFmtId="202" fontId="73" fillId="0" borderId="183">
      <alignment horizontal="left" vertical="center"/>
    </xf>
    <xf numFmtId="202" fontId="73" fillId="0" borderId="183">
      <alignment horizontal="left" vertical="center"/>
    </xf>
    <xf numFmtId="223" fontId="12" fillId="78" borderId="176" applyFont="0" applyBorder="0" applyAlignment="0" applyProtection="0">
      <alignment vertical="top"/>
    </xf>
    <xf numFmtId="5" fontId="135" fillId="0" borderId="199" applyAlignment="0" applyProtection="0"/>
    <xf numFmtId="209" fontId="9" fillId="0" borderId="210" applyBorder="0">
      <alignment horizontal="right"/>
    </xf>
    <xf numFmtId="202" fontId="73" fillId="0" borderId="183">
      <alignment horizontal="left" vertical="center"/>
    </xf>
    <xf numFmtId="223" fontId="12" fillId="78" borderId="176" applyFont="0" applyBorder="0" applyAlignment="0" applyProtection="0">
      <alignment vertical="top"/>
    </xf>
    <xf numFmtId="3" fontId="12" fillId="0" borderId="184" applyNumberFormat="0" applyFill="0" applyBorder="0" applyProtection="0"/>
    <xf numFmtId="202" fontId="73" fillId="0" borderId="183">
      <alignment horizontal="left" vertical="center"/>
    </xf>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202" fontId="73" fillId="0" borderId="183">
      <alignment horizontal="left" vertical="center"/>
    </xf>
    <xf numFmtId="202" fontId="73" fillId="0" borderId="183">
      <alignment horizontal="left" vertical="center"/>
    </xf>
    <xf numFmtId="202" fontId="73" fillId="0" borderId="183">
      <alignment horizontal="left" vertical="center"/>
    </xf>
    <xf numFmtId="209" fontId="9" fillId="0" borderId="210" applyBorder="0">
      <alignment horizontal="right"/>
    </xf>
    <xf numFmtId="3" fontId="12" fillId="0" borderId="184" applyNumberFormat="0" applyFill="0" applyBorder="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202" fontId="73" fillId="0" borderId="183">
      <alignment horizontal="left" vertical="center"/>
    </xf>
    <xf numFmtId="202" fontId="73" fillId="0" borderId="183">
      <alignment horizontal="left" vertical="center"/>
    </xf>
    <xf numFmtId="202" fontId="73" fillId="0" borderId="183">
      <alignment horizontal="left" vertical="center"/>
    </xf>
    <xf numFmtId="209" fontId="9" fillId="0" borderId="210" applyBorder="0">
      <alignment horizontal="right"/>
    </xf>
    <xf numFmtId="3" fontId="12" fillId="0" borderId="184" applyNumberFormat="0" applyFill="0" applyBorder="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9" fontId="9" fillId="0" borderId="210" applyBorder="0">
      <alignment horizontal="right"/>
    </xf>
    <xf numFmtId="3" fontId="12" fillId="0" borderId="184" applyNumberFormat="0" applyFill="0" applyBorder="0" applyProtection="0"/>
    <xf numFmtId="10" fontId="12" fillId="47" borderId="176" applyNumberFormat="0" applyBorder="0" applyAlignment="0" applyProtection="0"/>
    <xf numFmtId="10" fontId="12" fillId="47" borderId="176" applyNumberFormat="0" applyBorder="0" applyAlignment="0" applyProtection="0"/>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5" fontId="48" fillId="52" borderId="209"/>
    <xf numFmtId="3" fontId="12" fillId="0" borderId="184" applyNumberFormat="0" applyFill="0" applyBorder="0" applyProtection="0"/>
    <xf numFmtId="319" fontId="237" fillId="44" borderId="195"/>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5" fontId="48" fillId="52" borderId="209"/>
    <xf numFmtId="3" fontId="12" fillId="0" borderId="184" applyNumberFormat="0" applyFill="0" applyBorder="0" applyProtection="0"/>
    <xf numFmtId="229" fontId="9" fillId="47" borderId="194" applyFont="0" applyAlignment="0">
      <protection locked="0"/>
    </xf>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5" fontId="48" fillId="52" borderId="209"/>
    <xf numFmtId="3" fontId="12" fillId="0" borderId="184" applyNumberFormat="0" applyFill="0" applyBorder="0" applyProtection="0"/>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9" fontId="9" fillId="0" borderId="210" applyBorder="0">
      <alignment horizontal="right"/>
    </xf>
    <xf numFmtId="205" fontId="48" fillId="52" borderId="209"/>
    <xf numFmtId="3" fontId="12" fillId="0" borderId="184" applyNumberFormat="0" applyFill="0" applyBorder="0" applyProtection="0"/>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9" fontId="9" fillId="0" borderId="210" applyBorder="0">
      <alignment horizontal="right"/>
    </xf>
    <xf numFmtId="3" fontId="12" fillId="0" borderId="184" applyNumberFormat="0" applyFill="0" applyBorder="0" applyProtection="0"/>
    <xf numFmtId="3" fontId="12" fillId="0" borderId="184" applyNumberFormat="0" applyFill="0" applyBorder="0" applyProtection="0"/>
    <xf numFmtId="5" fontId="135" fillId="0" borderId="199" applyAlignment="0" applyProtection="0"/>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9" fontId="9" fillId="0" borderId="210" applyBorder="0">
      <alignment horizontal="right"/>
    </xf>
    <xf numFmtId="3" fontId="12" fillId="0" borderId="184" applyNumberFormat="0" applyFill="0" applyBorder="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202" fontId="73" fillId="0" borderId="183">
      <alignment horizontal="left" vertical="center"/>
    </xf>
    <xf numFmtId="202" fontId="73" fillId="0" borderId="183">
      <alignment horizontal="left" vertical="center"/>
    </xf>
    <xf numFmtId="202" fontId="73" fillId="0" borderId="183">
      <alignment horizontal="left" vertical="center"/>
    </xf>
    <xf numFmtId="209" fontId="9" fillId="0" borderId="210" applyBorder="0">
      <alignment horizontal="right"/>
    </xf>
    <xf numFmtId="3" fontId="12" fillId="0" borderId="184" applyNumberFormat="0" applyFill="0" applyBorder="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202" fontId="73" fillId="0" borderId="183">
      <alignment horizontal="left" vertical="center"/>
    </xf>
    <xf numFmtId="202" fontId="73" fillId="0" borderId="183">
      <alignment horizontal="left" vertical="center"/>
    </xf>
    <xf numFmtId="202" fontId="73" fillId="0" borderId="183">
      <alignment horizontal="left" vertical="center"/>
    </xf>
    <xf numFmtId="209" fontId="9" fillId="0" borderId="210" applyBorder="0">
      <alignment horizontal="right"/>
    </xf>
    <xf numFmtId="3" fontId="12" fillId="0" borderId="184" applyNumberFormat="0" applyFill="0" applyBorder="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9" fontId="9" fillId="0" borderId="210" applyBorder="0">
      <alignment horizontal="right"/>
    </xf>
    <xf numFmtId="3" fontId="12" fillId="0" borderId="184" applyNumberFormat="0" applyFill="0" applyBorder="0" applyProtection="0"/>
    <xf numFmtId="223" fontId="12" fillId="78" borderId="176" applyFont="0" applyBorder="0" applyAlignment="0" applyProtection="0">
      <alignment vertical="top"/>
    </xf>
    <xf numFmtId="10" fontId="12" fillId="47" borderId="176" applyNumberFormat="0" applyBorder="0" applyAlignment="0" applyProtection="0"/>
    <xf numFmtId="300" fontId="117" fillId="50" borderId="172" applyAlignment="0">
      <protection locked="0"/>
    </xf>
    <xf numFmtId="10" fontId="12" fillId="47" borderId="176" applyNumberFormat="0" applyBorder="0" applyAlignment="0" applyProtection="0"/>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5" fontId="48" fillId="52" borderId="209"/>
    <xf numFmtId="3" fontId="12" fillId="0" borderId="184" applyNumberFormat="0" applyFill="0" applyBorder="0" applyProtection="0"/>
    <xf numFmtId="319" fontId="237" fillId="44" borderId="195"/>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5" fontId="48" fillId="52" borderId="209"/>
    <xf numFmtId="3" fontId="12" fillId="0" borderId="184" applyNumberFormat="0" applyFill="0" applyBorder="0" applyProtection="0"/>
    <xf numFmtId="37" fontId="9" fillId="47" borderId="194" applyNumberFormat="0" applyFont="0" applyBorder="0" applyAlignment="0">
      <protection locked="0"/>
    </xf>
    <xf numFmtId="202" fontId="73" fillId="0" borderId="183">
      <alignment horizontal="left"/>
    </xf>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5" fontId="48" fillId="52" borderId="209"/>
    <xf numFmtId="3" fontId="12" fillId="0" borderId="184" applyNumberFormat="0" applyFill="0" applyBorder="0" applyProtection="0"/>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9" fontId="9" fillId="0" borderId="210" applyBorder="0">
      <alignment horizontal="right"/>
    </xf>
    <xf numFmtId="205" fontId="48" fillId="52" borderId="209"/>
    <xf numFmtId="3" fontId="12" fillId="0" borderId="184" applyNumberFormat="0" applyFill="0" applyBorder="0" applyProtection="0"/>
    <xf numFmtId="2" fontId="53" fillId="0" borderId="176"/>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2" fontId="73" fillId="0" borderId="183">
      <alignment horizontal="left" vertical="center"/>
    </xf>
    <xf numFmtId="5" fontId="135" fillId="0" borderId="199" applyAlignment="0" applyProtection="0"/>
    <xf numFmtId="209" fontId="9" fillId="0" borderId="210" applyBorder="0">
      <alignment horizontal="right"/>
    </xf>
    <xf numFmtId="3" fontId="12" fillId="0" borderId="184" applyNumberFormat="0" applyFill="0" applyBorder="0" applyProtection="0"/>
    <xf numFmtId="3" fontId="12" fillId="0" borderId="184" applyNumberFormat="0" applyFill="0" applyBorder="0" applyProtection="0"/>
    <xf numFmtId="229" fontId="9" fillId="47" borderId="194" applyFont="0" applyAlignment="0">
      <protection locked="0"/>
    </xf>
    <xf numFmtId="196" fontId="45" fillId="44" borderId="176" applyNumberFormat="0" applyFont="0" applyBorder="0" applyAlignment="0" applyProtection="0"/>
    <xf numFmtId="196" fontId="45" fillId="44" borderId="176" applyNumberFormat="0" applyFont="0" applyBorder="0" applyAlignment="0" applyProtection="0"/>
    <xf numFmtId="0" fontId="9" fillId="0" borderId="176" applyNumberFormat="0" applyFont="0" applyFill="0" applyAlignment="0" applyProtection="0">
      <alignment horizontal="center" wrapText="1"/>
    </xf>
    <xf numFmtId="37" fontId="9" fillId="47" borderId="194" applyNumberFormat="0" applyFont="0" applyBorder="0" applyAlignment="0">
      <protection locked="0"/>
    </xf>
    <xf numFmtId="37" fontId="221" fillId="47" borderId="194" applyNumberFormat="0" applyAlignment="0"/>
    <xf numFmtId="10" fontId="12" fillId="47" borderId="176" applyNumberFormat="0" applyBorder="0" applyAlignment="0" applyProtection="0"/>
    <xf numFmtId="37" fontId="9" fillId="47" borderId="194" applyNumberFormat="0" applyFont="0" applyBorder="0" applyAlignment="0">
      <protection locked="0"/>
    </xf>
    <xf numFmtId="10" fontId="12" fillId="47" borderId="176" applyNumberFormat="0" applyBorder="0" applyAlignment="0" applyProtection="0"/>
    <xf numFmtId="37" fontId="9" fillId="47" borderId="194" applyNumberFormat="0" applyFont="0" applyBorder="0" applyAlignment="0">
      <protection locked="0"/>
    </xf>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4" fontId="1" fillId="0" borderId="0" applyFont="0" applyFill="0" applyBorder="0" applyAlignment="0" applyProtection="0"/>
    <xf numFmtId="309" fontId="9" fillId="47" borderId="194" applyFont="0" applyAlignment="0">
      <protection locked="0"/>
    </xf>
    <xf numFmtId="10" fontId="12" fillId="47" borderId="176"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67" fillId="0" borderId="208" applyNumberFormat="0" applyFill="0" applyAlignment="0" applyProtection="0"/>
    <xf numFmtId="43" fontId="9" fillId="0" borderId="0" applyFont="0" applyFill="0" applyBorder="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41" fontId="48" fillId="0" borderId="0" applyFont="0" applyFill="0" applyBorder="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43" fontId="50" fillId="0" borderId="0" applyFont="0" applyFill="0" applyBorder="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41" fontId="71" fillId="0" borderId="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0" fontId="136" fillId="0" borderId="186" applyFill="0" applyProtection="0">
      <alignment horizontal="right"/>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205" fontId="48" fillId="52" borderId="137"/>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5" fontId="135" fillId="0" borderId="199" applyAlignment="0" applyProtection="0"/>
    <xf numFmtId="209" fontId="9" fillId="0" borderId="151" applyBorder="0">
      <alignment horizontal="right"/>
    </xf>
    <xf numFmtId="209" fontId="9" fillId="0" borderId="151" applyBorder="0">
      <alignment horizontal="right"/>
    </xf>
    <xf numFmtId="209" fontId="9" fillId="0" borderId="151" applyBorder="0">
      <alignment horizontal="right"/>
    </xf>
    <xf numFmtId="0" fontId="13" fillId="77" borderId="209" applyNumberFormat="0" applyBorder="0" applyAlignment="0">
      <alignment horizontal="center" vertical="center"/>
      <protection locked="0"/>
    </xf>
    <xf numFmtId="0" fontId="13" fillId="77" borderId="209" applyNumberFormat="0" applyBorder="0" applyAlignment="0">
      <alignment horizontal="center" vertical="center"/>
      <protection locked="0"/>
    </xf>
    <xf numFmtId="0" fontId="117" fillId="44" borderId="209"/>
    <xf numFmtId="0" fontId="117" fillId="44" borderId="209"/>
    <xf numFmtId="0" fontId="117" fillId="44" borderId="209"/>
    <xf numFmtId="0" fontId="117" fillId="44" borderId="209"/>
    <xf numFmtId="0" fontId="117" fillId="44" borderId="209"/>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9" fontId="9" fillId="0" borderId="210" applyBorder="0">
      <alignment horizontal="right"/>
    </xf>
    <xf numFmtId="209" fontId="9" fillId="0" borderId="210" applyBorder="0">
      <alignment horizontal="right"/>
    </xf>
    <xf numFmtId="209" fontId="9" fillId="0" borderId="210" applyBorder="0">
      <alignment horizontal="right"/>
    </xf>
    <xf numFmtId="209" fontId="9" fillId="0" borderId="210" applyBorder="0">
      <alignment horizontal="right"/>
    </xf>
    <xf numFmtId="209" fontId="9" fillId="0" borderId="210" applyBorder="0">
      <alignment horizontal="right"/>
    </xf>
    <xf numFmtId="209" fontId="9" fillId="0" borderId="210" applyBorder="0">
      <alignment horizontal="right"/>
    </xf>
    <xf numFmtId="209" fontId="9" fillId="0" borderId="210" applyBorder="0">
      <alignment horizontal="right"/>
    </xf>
    <xf numFmtId="209" fontId="9" fillId="0" borderId="210" applyBorder="0">
      <alignment horizontal="right"/>
    </xf>
    <xf numFmtId="209" fontId="9" fillId="0" borderId="210" applyBorder="0">
      <alignment horizontal="right"/>
    </xf>
    <xf numFmtId="209" fontId="9" fillId="0" borderId="210" applyBorder="0">
      <alignment horizontal="right"/>
    </xf>
    <xf numFmtId="209" fontId="9" fillId="0" borderId="210" applyBorder="0">
      <alignment horizontal="right"/>
    </xf>
    <xf numFmtId="209" fontId="9" fillId="0" borderId="210" applyBorder="0">
      <alignment horizontal="right"/>
    </xf>
    <xf numFmtId="209" fontId="9" fillId="0" borderId="210" applyBorder="0">
      <alignment horizontal="right"/>
    </xf>
    <xf numFmtId="209" fontId="9" fillId="0" borderId="210" applyBorder="0">
      <alignment horizontal="right"/>
    </xf>
    <xf numFmtId="209" fontId="9" fillId="0" borderId="210" applyBorder="0">
      <alignment horizontal="right"/>
    </xf>
    <xf numFmtId="209" fontId="9" fillId="0" borderId="210" applyBorder="0">
      <alignment horizontal="right"/>
    </xf>
    <xf numFmtId="209" fontId="9" fillId="0" borderId="210" applyBorder="0">
      <alignment horizontal="right"/>
    </xf>
    <xf numFmtId="209" fontId="9" fillId="0" borderId="210" applyBorder="0">
      <alignment horizontal="right"/>
    </xf>
    <xf numFmtId="209" fontId="9" fillId="0" borderId="210" applyBorder="0">
      <alignment horizontal="right"/>
    </xf>
    <xf numFmtId="209" fontId="9" fillId="0" borderId="210" applyBorder="0">
      <alignment horizontal="right"/>
    </xf>
    <xf numFmtId="209" fontId="9" fillId="0" borderId="210" applyBorder="0">
      <alignment horizontal="right"/>
    </xf>
    <xf numFmtId="205" fontId="48" fillId="52" borderId="209"/>
    <xf numFmtId="205" fontId="48" fillId="52" borderId="209"/>
    <xf numFmtId="205" fontId="48" fillId="52" borderId="209"/>
    <xf numFmtId="205" fontId="48" fillId="52" borderId="209"/>
    <xf numFmtId="205" fontId="48" fillId="52" borderId="209"/>
    <xf numFmtId="205" fontId="48" fillId="52" borderId="209"/>
    <xf numFmtId="205" fontId="48" fillId="52" borderId="209"/>
    <xf numFmtId="205" fontId="48" fillId="52" borderId="209"/>
    <xf numFmtId="205" fontId="48" fillId="52" borderId="209"/>
    <xf numFmtId="205" fontId="48" fillId="52" borderId="209"/>
    <xf numFmtId="205" fontId="48" fillId="52" borderId="209"/>
    <xf numFmtId="205" fontId="48" fillId="52" borderId="209"/>
    <xf numFmtId="205" fontId="48" fillId="52" borderId="209"/>
    <xf numFmtId="205" fontId="48" fillId="52" borderId="209"/>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41" fontId="9" fillId="0" borderId="0" applyFont="0" applyFill="0" applyBorder="0" applyAlignment="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44" fontId="109" fillId="0" borderId="0" applyFont="0" applyFill="0" applyBorder="0" applyAlignment="0" applyProtection="0"/>
    <xf numFmtId="202" fontId="73" fillId="0" borderId="183">
      <alignment horizontal="left" vertical="center"/>
    </xf>
    <xf numFmtId="202" fontId="73" fillId="0" borderId="183">
      <alignment horizontal="left" vertical="center"/>
    </xf>
    <xf numFmtId="202" fontId="73" fillId="0" borderId="183">
      <alignment horizontal="left" vertical="center"/>
    </xf>
    <xf numFmtId="41" fontId="9" fillId="0" borderId="0" applyFont="0" applyFill="0" applyBorder="0" applyAlignment="0" applyProtection="0"/>
    <xf numFmtId="43" fontId="9" fillId="0" borderId="0" applyFont="0" applyFill="0" applyBorder="0" applyAlignment="0" applyProtection="0"/>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0" fontId="110" fillId="0" borderId="148" applyBorder="0"/>
    <xf numFmtId="0" fontId="110" fillId="0" borderId="148" applyBorder="0"/>
    <xf numFmtId="0" fontId="110" fillId="0" borderId="148" applyBorder="0"/>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8" fontId="109" fillId="0" borderId="0" applyFont="0" applyFill="0" applyBorder="0" applyAlignment="0" applyProtection="0"/>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0" fontId="117" fillId="44" borderId="137"/>
    <xf numFmtId="202" fontId="73" fillId="0" borderId="183">
      <alignment horizontal="left" vertical="center"/>
    </xf>
    <xf numFmtId="212" fontId="118" fillId="44" borderId="137" applyBorder="0"/>
    <xf numFmtId="213" fontId="117" fillId="44" borderId="137">
      <alignment horizontal="center"/>
      <protection locked="0"/>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0" fontId="13" fillId="77" borderId="137" applyNumberFormat="0" applyBorder="0" applyAlignment="0">
      <alignment horizontal="center" vertical="center"/>
      <protection locked="0"/>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5" fontId="135" fillId="0" borderId="119" applyAlignment="0" applyProtection="0"/>
    <xf numFmtId="5" fontId="135" fillId="0" borderId="119" applyAlignment="0" applyProtection="0"/>
    <xf numFmtId="5" fontId="135" fillId="0" borderId="119" applyAlignment="0" applyProtection="0"/>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214" fontId="44" fillId="46" borderId="152" applyNumberFormat="0" applyFont="0" applyBorder="0">
      <alignment horizontal="right"/>
    </xf>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37" fontId="12" fillId="48" borderId="153" applyNumberFormat="0" applyBorder="0" applyAlignment="0"/>
    <xf numFmtId="37" fontId="12" fillId="48" borderId="153" applyNumberFormat="0" applyBorder="0" applyAlignment="0"/>
    <xf numFmtId="37" fontId="12" fillId="48" borderId="153" applyNumberFormat="0" applyBorder="0" applyAlignment="0"/>
    <xf numFmtId="229" fontId="12" fillId="0" borderId="149" applyNumberFormat="0" applyFont="0" applyFill="0" applyBorder="0" applyAlignment="0" applyProtection="0"/>
    <xf numFmtId="37" fontId="81" fillId="78" borderId="148" applyFill="0" applyBorder="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38" fontId="9" fillId="80" borderId="137"/>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147" fillId="80" borderId="145" applyBorder="0"/>
    <xf numFmtId="0" fontId="147" fillId="80" borderId="145" applyBorder="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43" fontId="5" fillId="0" borderId="0" applyFont="0" applyFill="0" applyBorder="0" applyAlignment="0" applyProtection="0"/>
    <xf numFmtId="43" fontId="5"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67" fillId="0" borderId="208" applyNumberFormat="0" applyFill="0" applyAlignment="0" applyProtection="0"/>
    <xf numFmtId="0" fontId="67" fillId="0" borderId="208" applyNumberFormat="0" applyFill="0" applyAlignment="0" applyProtection="0"/>
    <xf numFmtId="43" fontId="144" fillId="0" borderId="0" applyFont="0" applyFill="0" applyBorder="0" applyAlignment="0" applyProtection="0"/>
    <xf numFmtId="0" fontId="67" fillId="0" borderId="208" applyNumberFormat="0" applyFill="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0" fontId="67" fillId="0" borderId="208" applyNumberFormat="0" applyFill="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0" fontId="67" fillId="0" borderId="208" applyNumberFormat="0" applyFill="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14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67" fillId="0" borderId="208" applyNumberFormat="0" applyFill="0" applyAlignment="0" applyProtection="0"/>
    <xf numFmtId="0" fontId="67" fillId="0" borderId="208" applyNumberFormat="0" applyFill="0" applyAlignment="0" applyProtection="0"/>
    <xf numFmtId="43" fontId="9"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4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67" fillId="0" borderId="208" applyNumberFormat="0" applyFill="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0" fontId="67" fillId="0" borderId="208" applyNumberFormat="0" applyFill="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5"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6" fontId="51" fillId="0" borderId="0" applyFont="0" applyFill="0" applyBorder="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8" fontId="51" fillId="0" borderId="0" applyFont="0" applyFill="0" applyBorder="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4" fontId="277" fillId="101" borderId="197" applyNumberFormat="0" applyProtection="0">
      <alignment horizontal="right" vertical="center"/>
    </xf>
    <xf numFmtId="0" fontId="253" fillId="105" borderId="207" applyNumberFormat="0" applyProtection="0">
      <alignment horizontal="center" vertical="center" wrapText="1"/>
    </xf>
    <xf numFmtId="0" fontId="253" fillId="105" borderId="207" applyNumberFormat="0" applyProtection="0">
      <alignment horizontal="center" vertical="center" wrapText="1"/>
    </xf>
    <xf numFmtId="0" fontId="253" fillId="105" borderId="207" applyNumberFormat="0" applyProtection="0">
      <alignment horizontal="center" vertical="center" wrapText="1"/>
    </xf>
    <xf numFmtId="0" fontId="144" fillId="104" borderId="197" applyNumberFormat="0" applyProtection="0">
      <alignment horizontal="left" vertical="center" indent="1"/>
    </xf>
    <xf numFmtId="4" fontId="275" fillId="101" borderId="197" applyNumberFormat="0" applyProtection="0">
      <alignment horizontal="right" vertical="center"/>
    </xf>
    <xf numFmtId="8" fontId="166" fillId="0" borderId="0" applyBorder="0"/>
    <xf numFmtId="0" fontId="144" fillId="103" borderId="197" applyNumberFormat="0" applyProtection="0">
      <alignment horizontal="right" vertical="center"/>
    </xf>
    <xf numFmtId="0" fontId="144" fillId="47" borderId="197" applyNumberFormat="0" applyProtection="0">
      <alignment horizontal="left" vertical="top" indent="1"/>
    </xf>
    <xf numFmtId="44" fontId="9" fillId="0" borderId="0" applyFont="0" applyFill="0" applyBorder="0" applyAlignment="0" applyProtection="0"/>
    <xf numFmtId="4" fontId="144" fillId="47" borderId="197" applyNumberFormat="0" applyProtection="0">
      <alignment horizontal="left" vertical="center" indent="1"/>
    </xf>
    <xf numFmtId="4" fontId="275" fillId="47" borderId="197" applyNumberFormat="0" applyProtection="0">
      <alignment vertical="center"/>
    </xf>
    <xf numFmtId="44" fontId="9" fillId="0" borderId="0" applyFont="0" applyFill="0" applyBorder="0" applyAlignment="0" applyProtection="0"/>
    <xf numFmtId="4" fontId="144" fillId="47" borderId="197" applyNumberFormat="0" applyProtection="0">
      <alignment vertical="center"/>
    </xf>
    <xf numFmtId="0" fontId="9" fillId="80" borderId="197" applyNumberFormat="0" applyProtection="0">
      <alignment horizontal="left" vertical="top" indent="1"/>
    </xf>
    <xf numFmtId="44" fontId="1"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251" fontId="9" fillId="46" borderId="137"/>
    <xf numFmtId="0" fontId="9" fillId="80" borderId="197" applyNumberFormat="0" applyProtection="0">
      <alignment horizontal="left" vertical="center" indent="1"/>
    </xf>
    <xf numFmtId="0" fontId="9" fillId="72" borderId="197" applyNumberFormat="0" applyProtection="0">
      <alignment horizontal="left" vertical="top" indent="1"/>
    </xf>
    <xf numFmtId="0" fontId="9" fillId="72" borderId="197" applyNumberFormat="0" applyProtection="0">
      <alignment horizontal="left" vertical="center" indent="1"/>
    </xf>
    <xf numFmtId="0" fontId="9" fillId="102" borderId="197" applyNumberFormat="0" applyProtection="0">
      <alignment horizontal="left" vertical="top" indent="1"/>
    </xf>
    <xf numFmtId="0" fontId="9" fillId="102" borderId="197" applyNumberFormat="0" applyProtection="0">
      <alignment horizontal="left" vertical="center" indent="1"/>
    </xf>
    <xf numFmtId="0" fontId="9" fillId="52" borderId="197" applyNumberFormat="0" applyProtection="0">
      <alignment horizontal="left" vertical="top" indent="1"/>
    </xf>
    <xf numFmtId="0" fontId="9" fillId="52" borderId="197" applyNumberFormat="0" applyProtection="0">
      <alignment horizontal="left" vertical="center" indent="1"/>
    </xf>
    <xf numFmtId="4" fontId="144" fillId="98" borderId="197" applyNumberFormat="0" applyProtection="0">
      <alignment horizontal="right" vertical="center"/>
    </xf>
    <xf numFmtId="4" fontId="144" fillId="62" borderId="197" applyNumberFormat="0" applyProtection="0">
      <alignment horizontal="right" vertical="center"/>
    </xf>
    <xf numFmtId="5" fontId="130" fillId="0" borderId="0"/>
    <xf numFmtId="4" fontId="144" fillId="99" borderId="197" applyNumberFormat="0" applyProtection="0">
      <alignment horizontal="right" vertical="center"/>
    </xf>
    <xf numFmtId="4" fontId="144" fillId="70" borderId="197" applyNumberFormat="0" applyProtection="0">
      <alignment horizontal="right" vertical="center"/>
    </xf>
    <xf numFmtId="4" fontId="144" fillId="71" borderId="197" applyNumberFormat="0" applyProtection="0">
      <alignment horizontal="right" vertical="center"/>
    </xf>
    <xf numFmtId="4" fontId="144" fillId="67" borderId="197" applyNumberFormat="0" applyProtection="0">
      <alignment horizontal="right" vertical="center"/>
    </xf>
    <xf numFmtId="4" fontId="144" fillId="63" borderId="197" applyNumberFormat="0" applyProtection="0">
      <alignment horizontal="right" vertical="center"/>
    </xf>
    <xf numFmtId="4" fontId="144" fillId="69" borderId="197" applyNumberFormat="0" applyProtection="0">
      <alignment horizontal="right" vertical="center"/>
    </xf>
    <xf numFmtId="4" fontId="144" fillId="61" borderId="197" applyNumberFormat="0" applyProtection="0">
      <alignment horizontal="right" vertical="center"/>
    </xf>
    <xf numFmtId="4" fontId="144" fillId="55" borderId="197" applyNumberFormat="0" applyProtection="0">
      <alignment horizontal="right" vertical="center"/>
    </xf>
    <xf numFmtId="4" fontId="273" fillId="98" borderId="207" applyNumberFormat="0" applyProtection="0">
      <alignment horizontal="center" vertical="center" wrapText="1"/>
    </xf>
    <xf numFmtId="4" fontId="273" fillId="98" borderId="207" applyNumberFormat="0" applyProtection="0">
      <alignment horizontal="center" vertical="center" wrapText="1"/>
    </xf>
    <xf numFmtId="4" fontId="273" fillId="98" borderId="207" applyNumberFormat="0" applyProtection="0">
      <alignment horizontal="center" vertical="center" wrapText="1"/>
    </xf>
    <xf numFmtId="0" fontId="273" fillId="44" borderId="197" applyNumberFormat="0" applyProtection="0">
      <alignment horizontal="left" vertical="top" indent="1"/>
    </xf>
    <xf numFmtId="4" fontId="273" fillId="44" borderId="197" applyNumberFormat="0" applyProtection="0">
      <alignment horizontal="left" vertical="center" indent="1"/>
    </xf>
    <xf numFmtId="4" fontId="273" fillId="50" borderId="197" applyNumberFormat="0" applyProtection="0">
      <alignment vertical="center"/>
    </xf>
    <xf numFmtId="341" fontId="48" fillId="0" borderId="206" applyNumberFormat="0" applyBorder="0">
      <alignment horizontal="right"/>
    </xf>
    <xf numFmtId="341" fontId="48" fillId="0" borderId="206" applyNumberFormat="0" applyBorder="0">
      <alignment horizontal="right"/>
    </xf>
    <xf numFmtId="341" fontId="48" fillId="0" borderId="206" applyNumberFormat="0" applyBorder="0">
      <alignment horizontal="right"/>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264" fontId="13" fillId="0" borderId="148"/>
    <xf numFmtId="264" fontId="13" fillId="0" borderId="148"/>
    <xf numFmtId="264" fontId="13" fillId="0" borderId="148"/>
    <xf numFmtId="249" fontId="9"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39" fontId="262" fillId="46" borderId="176"/>
    <xf numFmtId="39" fontId="262" fillId="46" borderId="176"/>
    <xf numFmtId="0" fontId="175" fillId="0" borderId="148"/>
    <xf numFmtId="0" fontId="175" fillId="0" borderId="148"/>
    <xf numFmtId="0" fontId="175" fillId="0" borderId="148"/>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2" fontId="131" fillId="0" borderId="146"/>
    <xf numFmtId="2" fontId="131" fillId="0" borderId="146"/>
    <xf numFmtId="2" fontId="131" fillId="0" borderId="14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212" fontId="67" fillId="0" borderId="201" applyBorder="0"/>
    <xf numFmtId="37" fontId="9" fillId="47" borderId="203" applyNumberFormat="0" applyFont="0" applyBorder="0" applyAlignment="0">
      <protection locked="0"/>
    </xf>
    <xf numFmtId="37" fontId="9" fillId="47" borderId="203" applyNumberFormat="0" applyFont="0" applyBorder="0" applyAlignment="0">
      <protection locked="0"/>
    </xf>
    <xf numFmtId="37" fontId="9" fillId="47" borderId="203" applyNumberFormat="0" applyFont="0" applyBorder="0" applyAlignment="0">
      <protection locked="0"/>
    </xf>
    <xf numFmtId="37" fontId="9" fillId="47" borderId="203" applyNumberFormat="0" applyFont="0" applyBorder="0" applyAlignment="0">
      <protection locked="0"/>
    </xf>
    <xf numFmtId="37" fontId="9" fillId="47" borderId="203" applyNumberFormat="0" applyFont="0" applyBorder="0" applyAlignment="0">
      <protection locked="0"/>
    </xf>
    <xf numFmtId="0" fontId="83" fillId="78" borderId="137" applyNumberFormat="0" applyAlignment="0">
      <alignment horizontal="center"/>
      <protection locked="0"/>
    </xf>
    <xf numFmtId="37" fontId="9" fillId="47" borderId="203" applyNumberFormat="0" applyFont="0" applyBorder="0" applyAlignment="0">
      <protection locked="0"/>
    </xf>
    <xf numFmtId="37" fontId="9" fillId="47" borderId="203" applyNumberFormat="0" applyFont="0" applyBorder="0" applyAlignment="0">
      <protection locked="0"/>
    </xf>
    <xf numFmtId="37" fontId="9" fillId="47" borderId="203" applyNumberFormat="0" applyFont="0" applyBorder="0" applyAlignment="0">
      <protection locked="0"/>
    </xf>
    <xf numFmtId="37" fontId="9" fillId="47" borderId="203" applyNumberFormat="0" applyFont="0" applyBorder="0" applyAlignment="0">
      <protection locked="0"/>
    </xf>
    <xf numFmtId="37" fontId="9" fillId="47" borderId="203" applyNumberFormat="0" applyFont="0" applyBorder="0" applyAlignment="0">
      <protection locked="0"/>
    </xf>
    <xf numFmtId="37" fontId="9" fillId="47" borderId="203" applyNumberFormat="0" applyFont="0" applyBorder="0" applyAlignment="0">
      <protection locked="0"/>
    </xf>
    <xf numFmtId="37" fontId="9" fillId="47" borderId="203" applyNumberFormat="0" applyFont="0" applyBorder="0" applyAlignment="0">
      <protection locked="0"/>
    </xf>
    <xf numFmtId="37" fontId="9" fillId="47" borderId="203" applyNumberFormat="0" applyFont="0" applyBorder="0" applyAlignment="0">
      <protection locked="0"/>
    </xf>
    <xf numFmtId="309" fontId="9" fillId="47" borderId="203" applyFont="0" applyAlignment="0">
      <protection locked="0"/>
    </xf>
    <xf numFmtId="309" fontId="9" fillId="47" borderId="203" applyFont="0" applyAlignment="0">
      <protection locked="0"/>
    </xf>
    <xf numFmtId="309" fontId="9" fillId="47" borderId="203" applyFont="0" applyAlignment="0">
      <protection locked="0"/>
    </xf>
    <xf numFmtId="309" fontId="9" fillId="47" borderId="203" applyFont="0" applyAlignment="0">
      <protection locked="0"/>
    </xf>
    <xf numFmtId="309" fontId="9" fillId="47" borderId="203" applyFont="0" applyAlignment="0">
      <protection locked="0"/>
    </xf>
    <xf numFmtId="309" fontId="9" fillId="47" borderId="203" applyFont="0" applyAlignment="0">
      <protection locked="0"/>
    </xf>
    <xf numFmtId="309" fontId="9" fillId="47" borderId="203" applyFont="0" applyAlignment="0">
      <protection locked="0"/>
    </xf>
    <xf numFmtId="309" fontId="9" fillId="47" borderId="203" applyFont="0" applyAlignment="0">
      <protection locked="0"/>
    </xf>
    <xf numFmtId="309" fontId="9" fillId="47" borderId="203" applyFont="0" applyAlignment="0">
      <protection locked="0"/>
    </xf>
    <xf numFmtId="37" fontId="221" fillId="47" borderId="203" applyNumberFormat="0" applyAlignment="0"/>
    <xf numFmtId="37" fontId="221" fillId="47" borderId="203" applyNumberFormat="0" applyAlignment="0"/>
    <xf numFmtId="37" fontId="221" fillId="47" borderId="203" applyNumberFormat="0" applyAlignment="0"/>
    <xf numFmtId="37" fontId="221" fillId="47" borderId="203" applyNumberFormat="0" applyAlignment="0"/>
    <xf numFmtId="37" fontId="221" fillId="47" borderId="203" applyNumberFormat="0" applyAlignment="0"/>
    <xf numFmtId="37" fontId="221" fillId="47" borderId="203" applyNumberFormat="0" applyAlignment="0"/>
    <xf numFmtId="37" fontId="221" fillId="47" borderId="203" applyNumberFormat="0" applyAlignment="0"/>
    <xf numFmtId="37" fontId="221" fillId="47" borderId="203" applyNumberFormat="0" applyAlignment="0"/>
    <xf numFmtId="0" fontId="37" fillId="0" borderId="178">
      <alignment horizontal="left" vertical="center"/>
    </xf>
    <xf numFmtId="0" fontId="37" fillId="0" borderId="178">
      <alignment horizontal="left" vertical="center"/>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38" fontId="15" fillId="46" borderId="193" applyNumberFormat="0" applyFont="0" applyAlignment="0"/>
    <xf numFmtId="38" fontId="15" fillId="46" borderId="193" applyNumberFormat="0" applyFont="0" applyAlignment="0"/>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0" fontId="48" fillId="0" borderId="192" applyNumberFormat="0" applyFont="0" applyAlignment="0" applyProtection="0"/>
    <xf numFmtId="0" fontId="48" fillId="0" borderId="192"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41" fontId="74" fillId="0" borderId="183" applyFill="0" applyBorder="0" applyProtection="0">
      <alignment horizontal="right" vertical="top"/>
    </xf>
    <xf numFmtId="300" fontId="117" fillId="50" borderId="201" applyAlignment="0">
      <protection locked="0"/>
    </xf>
    <xf numFmtId="300" fontId="117" fillId="50" borderId="201" applyAlignment="0">
      <protection locked="0"/>
    </xf>
    <xf numFmtId="300" fontId="117" fillId="50" borderId="201" applyAlignment="0">
      <protection locked="0"/>
    </xf>
    <xf numFmtId="301" fontId="117" fillId="50" borderId="201" applyAlignment="0">
      <protection locked="0"/>
    </xf>
    <xf numFmtId="0" fontId="147" fillId="80" borderId="177" applyBorder="0"/>
    <xf numFmtId="0" fontId="147" fillId="80" borderId="177" applyBorder="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9" fillId="50" borderId="196" applyNumberFormat="0" applyFont="0" applyAlignment="0" applyProtection="0"/>
    <xf numFmtId="0" fontId="12" fillId="86" borderId="144"/>
    <xf numFmtId="0" fontId="12" fillId="86" borderId="144"/>
    <xf numFmtId="0" fontId="12" fillId="86" borderId="144"/>
    <xf numFmtId="0" fontId="12" fillId="86" borderId="144"/>
    <xf numFmtId="4" fontId="277" fillId="101" borderId="197" applyNumberFormat="0" applyProtection="0">
      <alignment horizontal="right" vertical="center"/>
    </xf>
    <xf numFmtId="4" fontId="144" fillId="99" borderId="197" applyNumberFormat="0" applyProtection="0">
      <alignment horizontal="right" vertic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202" fontId="73" fillId="0" borderId="183">
      <alignment horizontal="left" vertical="center"/>
    </xf>
    <xf numFmtId="2" fontId="131" fillId="0" borderId="178"/>
    <xf numFmtId="2" fontId="131" fillId="0" borderId="178"/>
    <xf numFmtId="2" fontId="131" fillId="0" borderId="178"/>
    <xf numFmtId="4" fontId="144" fillId="71" borderId="197" applyNumberFormat="0" applyProtection="0">
      <alignment horizontal="right" vertical="center"/>
    </xf>
    <xf numFmtId="299" fontId="202" fillId="75" borderId="146" applyAlignment="0" applyProtection="0"/>
    <xf numFmtId="15" fontId="117" fillId="50" borderId="137">
      <alignment horizontal="center"/>
      <protection locked="0"/>
    </xf>
    <xf numFmtId="300" fontId="48" fillId="44" borderId="137" applyFont="0" applyAlignment="0"/>
    <xf numFmtId="301" fontId="117" fillId="50" borderId="137" applyAlignment="0">
      <protection locked="0"/>
    </xf>
    <xf numFmtId="300" fontId="117" fillId="50" borderId="137" applyAlignment="0">
      <protection locked="0"/>
    </xf>
    <xf numFmtId="41" fontId="74" fillId="0" borderId="105" applyFill="0" applyBorder="0" applyProtection="0">
      <alignment horizontal="right" vertical="top"/>
    </xf>
    <xf numFmtId="41" fontId="192" fillId="0" borderId="0" applyFill="0" applyBorder="0" applyAlignment="0" applyProtection="0">
      <alignment horizontal="right" vertical="top"/>
    </xf>
    <xf numFmtId="41" fontId="192" fillId="0" borderId="0" applyFill="0" applyBorder="0" applyAlignment="0" applyProtection="0">
      <alignment horizontal="right" vertical="top"/>
    </xf>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7" fillId="0" borderId="183">
      <alignment horizontal="right" wrapText="1"/>
    </xf>
    <xf numFmtId="0" fontId="9" fillId="50" borderId="196" applyNumberFormat="0" applyFont="0" applyAlignment="0" applyProtection="0"/>
    <xf numFmtId="4" fontId="277" fillId="101" borderId="197" applyNumberFormat="0" applyProtection="0">
      <alignment horizontal="right" vertical="center"/>
    </xf>
    <xf numFmtId="4" fontId="274" fillId="44" borderId="197" applyNumberFormat="0" applyProtection="0">
      <alignment vertical="center"/>
    </xf>
    <xf numFmtId="4" fontId="144" fillId="62" borderId="197" applyNumberFormat="0" applyProtection="0">
      <alignment horizontal="right" vertical="center"/>
    </xf>
    <xf numFmtId="5" fontId="135" fillId="0" borderId="199" applyAlignment="0" applyProtection="0"/>
    <xf numFmtId="0" fontId="273" fillId="44" borderId="197" applyNumberFormat="0" applyProtection="0">
      <alignment horizontal="left" vertical="top" indent="1"/>
    </xf>
    <xf numFmtId="202" fontId="73" fillId="0" borderId="183">
      <alignment horizontal="left" vertical="center"/>
    </xf>
    <xf numFmtId="0" fontId="144" fillId="104" borderId="197" applyNumberFormat="0" applyProtection="0">
      <alignment horizontal="left" vertical="center" indent="1"/>
    </xf>
    <xf numFmtId="0" fontId="73" fillId="0" borderId="183">
      <alignment horizontal="left"/>
    </xf>
    <xf numFmtId="4" fontId="275" fillId="101" borderId="197" applyNumberFormat="0" applyProtection="0">
      <alignment horizontal="right" vertical="center"/>
    </xf>
    <xf numFmtId="4" fontId="273" fillId="44" borderId="197" applyNumberFormat="0" applyProtection="0">
      <alignment horizontal="left" vertical="center" indent="1"/>
    </xf>
    <xf numFmtId="0" fontId="145" fillId="75" borderId="189" applyNumberFormat="0" applyAlignment="0" applyProtection="0"/>
    <xf numFmtId="4" fontId="144" fillId="61" borderId="197" applyNumberFormat="0" applyProtection="0">
      <alignment horizontal="right" vertical="center"/>
    </xf>
    <xf numFmtId="38" fontId="15" fillId="46" borderId="193" applyNumberFormat="0" applyFont="0" applyAlignment="0"/>
    <xf numFmtId="305" fontId="9" fillId="0" borderId="200">
      <alignment horizontal="left"/>
      <protection locked="0"/>
    </xf>
    <xf numFmtId="37" fontId="12" fillId="78" borderId="178" applyNumberFormat="0" applyFont="0" applyFill="0" applyBorder="0" applyAlignment="0" applyProtection="0"/>
    <xf numFmtId="4" fontId="144" fillId="69" borderId="197" applyNumberFormat="0" applyProtection="0">
      <alignment horizontal="right" vertical="center"/>
    </xf>
    <xf numFmtId="4" fontId="144" fillId="61" borderId="197" applyNumberFormat="0" applyProtection="0">
      <alignment horizontal="right" vertical="center"/>
    </xf>
    <xf numFmtId="4" fontId="144" fillId="55" borderId="197" applyNumberFormat="0" applyProtection="0">
      <alignment horizontal="right" vertical="center"/>
    </xf>
    <xf numFmtId="4" fontId="273" fillId="44" borderId="197" applyNumberFormat="0" applyProtection="0">
      <alignment horizontal="left" vertical="center" indent="1"/>
    </xf>
    <xf numFmtId="4" fontId="274" fillId="44" borderId="197" applyNumberFormat="0" applyProtection="0">
      <alignment vertical="center"/>
    </xf>
    <xf numFmtId="4" fontId="273" fillId="50" borderId="197" applyNumberFormat="0" applyProtection="0">
      <alignment vertical="center"/>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223" fillId="0" borderId="148"/>
    <xf numFmtId="0" fontId="223" fillId="0" borderId="148"/>
    <xf numFmtId="0" fontId="223" fillId="0" borderId="148"/>
    <xf numFmtId="0" fontId="223" fillId="0" borderId="148"/>
    <xf numFmtId="0" fontId="37" fillId="0" borderId="146">
      <alignment horizontal="left" vertical="center"/>
    </xf>
    <xf numFmtId="0" fontId="9" fillId="50" borderId="196" applyNumberFormat="0" applyFont="0" applyAlignment="0" applyProtection="0"/>
    <xf numFmtId="0" fontId="9" fillId="50" borderId="196" applyNumberFormat="0" applyFont="0" applyAlignment="0" applyProtection="0"/>
    <xf numFmtId="37" fontId="12" fillId="78" borderId="178" applyNumberFormat="0" applyFont="0" applyFill="0" applyBorder="0" applyAlignment="0" applyProtection="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 fontId="53" fillId="0" borderId="144"/>
    <xf numFmtId="2" fontId="53" fillId="0" borderId="144"/>
    <xf numFmtId="2" fontId="53" fillId="0" borderId="144"/>
    <xf numFmtId="2" fontId="53" fillId="0" borderId="144"/>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44" fontId="48" fillId="0" borderId="0">
      <alignment horizontal="justify"/>
    </xf>
    <xf numFmtId="41" fontId="9" fillId="0" borderId="0" applyFont="0" applyFill="0" applyBorder="0" applyAlignment="0" applyProtection="0"/>
    <xf numFmtId="41" fontId="9" fillId="0" borderId="0" applyFont="0" applyFill="0" applyBorder="0" applyAlignment="0" applyProtection="0"/>
    <xf numFmtId="41"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53"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5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5"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35"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35" fillId="0" borderId="0" applyFont="0" applyFill="0" applyBorder="0" applyAlignment="0" applyProtection="0"/>
    <xf numFmtId="44" fontId="9" fillId="0" borderId="0" applyFont="0" applyFill="0" applyBorder="0" applyAlignment="0" applyProtection="0"/>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2" fontId="53" fillId="0" borderId="176"/>
    <xf numFmtId="2" fontId="53" fillId="0" borderId="176"/>
    <xf numFmtId="2" fontId="53" fillId="0" borderId="176"/>
    <xf numFmtId="196" fontId="45" fillId="44" borderId="176" applyNumberFormat="0" applyFont="0" applyBorder="0" applyAlignment="0" applyProtection="0"/>
    <xf numFmtId="196" fontId="45" fillId="44" borderId="176" applyNumberFormat="0" applyFon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319" fontId="237" fillId="44" borderId="195"/>
    <xf numFmtId="37" fontId="9" fillId="47" borderId="194" applyNumberFormat="0" applyFont="0" applyAlignment="0">
      <protection locked="0"/>
    </xf>
    <xf numFmtId="37" fontId="9" fillId="47" borderId="194" applyNumberFormat="0" applyFont="0" applyAlignment="0">
      <protection locked="0"/>
    </xf>
    <xf numFmtId="37" fontId="9" fillId="47" borderId="194" applyNumberFormat="0" applyFont="0" applyAlignment="0">
      <protection locked="0"/>
    </xf>
    <xf numFmtId="37" fontId="9" fillId="47" borderId="194" applyNumberFormat="0" applyFont="0" applyBorder="0" applyAlignment="0">
      <protection locked="0"/>
    </xf>
    <xf numFmtId="37" fontId="9" fillId="47" borderId="194" applyNumberFormat="0" applyFont="0" applyBorder="0" applyAlignment="0">
      <protection locked="0"/>
    </xf>
    <xf numFmtId="0" fontId="37" fillId="0" borderId="178">
      <alignment horizontal="left" vertical="center"/>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38" fontId="15" fillId="46" borderId="193" applyNumberFormat="0" applyFont="0" applyAlignment="0"/>
    <xf numFmtId="305" fontId="9" fillId="0" borderId="179">
      <alignment horizontal="left"/>
      <protection locked="0"/>
    </xf>
    <xf numFmtId="0" fontId="48" fillId="0" borderId="192" applyNumberFormat="0" applyFont="0" applyAlignment="0" applyProtection="0"/>
    <xf numFmtId="0" fontId="48" fillId="0" borderId="192"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41" fontId="74" fillId="0" borderId="183" applyFill="0" applyBorder="0" applyProtection="0">
      <alignment horizontal="right" vertical="top"/>
    </xf>
    <xf numFmtId="202" fontId="207" fillId="0" borderId="183">
      <alignment horizontal="center"/>
    </xf>
    <xf numFmtId="301" fontId="117" fillId="50" borderId="172" applyAlignment="0">
      <protection locked="0"/>
    </xf>
    <xf numFmtId="300" fontId="48" fillId="44" borderId="172" applyFont="0" applyAlignment="0"/>
    <xf numFmtId="15" fontId="117" fillId="50" borderId="172">
      <alignment horizontal="center"/>
      <protection locked="0"/>
    </xf>
    <xf numFmtId="299" fontId="202" fillId="75" borderId="178" applyAlignment="0" applyProtection="0"/>
    <xf numFmtId="0" fontId="73" fillId="0" borderId="183">
      <alignment horizontal="left"/>
    </xf>
    <xf numFmtId="0" fontId="197" fillId="0" borderId="183">
      <alignment horizontal="right" wrapText="1"/>
    </xf>
    <xf numFmtId="0" fontId="12" fillId="86" borderId="176"/>
    <xf numFmtId="0" fontId="12" fillId="86" borderId="176"/>
    <xf numFmtId="0" fontId="12" fillId="86" borderId="176"/>
    <xf numFmtId="0" fontId="12" fillId="86" borderId="176"/>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37" fontId="12" fillId="78" borderId="146" applyNumberFormat="0" applyFont="0" applyFill="0" applyBorder="0" applyAlignment="0" applyProtection="0"/>
    <xf numFmtId="6" fontId="51" fillId="0" borderId="0" applyFont="0" applyFill="0" applyBorder="0" applyAlignment="0" applyProtection="0"/>
    <xf numFmtId="39" fontId="262" fillId="46" borderId="144"/>
    <xf numFmtId="39" fontId="262" fillId="46" borderId="144"/>
    <xf numFmtId="39" fontId="262" fillId="46" borderId="144"/>
    <xf numFmtId="39" fontId="262" fillId="46" borderId="144"/>
    <xf numFmtId="0" fontId="92" fillId="47" borderId="145" applyNumberFormat="0">
      <alignment horizontal="left" vertical="center"/>
    </xf>
    <xf numFmtId="0" fontId="92" fillId="47" borderId="145" applyNumberFormat="0">
      <alignment horizontal="left" vertical="center"/>
    </xf>
    <xf numFmtId="9" fontId="9" fillId="0" borderId="0" applyFont="0" applyFill="0" applyBorder="0" applyAlignment="0" applyProtection="0"/>
    <xf numFmtId="4" fontId="273" fillId="98" borderId="154" applyNumberFormat="0" applyProtection="0">
      <alignment horizontal="center" vertical="center" wrapText="1"/>
    </xf>
    <xf numFmtId="0" fontId="13" fillId="77" borderId="172" applyNumberFormat="0" applyBorder="0" applyAlignment="0">
      <alignment horizontal="center" vertical="center"/>
      <protection locked="0"/>
    </xf>
    <xf numFmtId="4" fontId="273" fillId="100" borderId="155" applyNumberFormat="0" applyProtection="0">
      <alignment horizontal="left" vertical="center" indent="1"/>
    </xf>
    <xf numFmtId="4" fontId="273" fillId="100" borderId="155" applyNumberFormat="0" applyProtection="0">
      <alignment horizontal="left" vertical="center" indent="1"/>
    </xf>
    <xf numFmtId="0" fontId="67" fillId="0" borderId="182" applyNumberFormat="0" applyFill="0" applyAlignment="0" applyProtection="0"/>
    <xf numFmtId="0" fontId="253" fillId="105" borderId="154" applyNumberFormat="0" applyProtection="0">
      <alignment horizontal="center" vertical="center" wrapText="1"/>
    </xf>
    <xf numFmtId="38" fontId="15" fillId="46" borderId="193" applyNumberFormat="0" applyFont="0" applyAlignment="0"/>
    <xf numFmtId="0" fontId="67" fillId="0" borderId="208" applyNumberFormat="0" applyFill="0" applyAlignment="0" applyProtection="0"/>
    <xf numFmtId="44"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4" fontId="109" fillId="0" borderId="0" applyFont="0" applyFill="0" applyBorder="0" applyAlignment="0" applyProtection="0"/>
    <xf numFmtId="202" fontId="73" fillId="0" borderId="183">
      <alignment horizontal="left" vertical="center"/>
    </xf>
    <xf numFmtId="8" fontId="109" fillId="0" borderId="0" applyFont="0" applyFill="0" applyBorder="0" applyAlignment="0" applyProtection="0"/>
    <xf numFmtId="5" fontId="135" fillId="0" borderId="119" applyAlignment="0" applyProtection="0"/>
    <xf numFmtId="5" fontId="135" fillId="0" borderId="119" applyAlignment="0" applyProtection="0"/>
    <xf numFmtId="5" fontId="135" fillId="0" borderId="119" applyAlignment="0" applyProtection="0"/>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166" fillId="0" borderId="0" applyBorder="0"/>
    <xf numFmtId="44" fontId="9" fillId="0" borderId="0" applyFont="0" applyFill="0" applyBorder="0" applyAlignment="0" applyProtection="0"/>
    <xf numFmtId="44" fontId="9" fillId="0" borderId="0" applyFont="0" applyFill="0" applyBorder="0" applyAlignment="0" applyProtection="0"/>
    <xf numFmtId="5" fontId="130" fillId="0" borderId="0"/>
    <xf numFmtId="2" fontId="131" fillId="0" borderId="146"/>
    <xf numFmtId="2" fontId="131" fillId="0" borderId="146"/>
    <xf numFmtId="2" fontId="131" fillId="0" borderId="146"/>
    <xf numFmtId="196" fontId="45" fillId="44" borderId="176" applyNumberFormat="0" applyFont="0" applyBorder="0" applyAlignment="0" applyProtection="0"/>
    <xf numFmtId="212" fontId="67" fillId="0" borderId="201" applyBorder="0"/>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44" fontId="48" fillId="0" borderId="0">
      <alignment horizontal="justify"/>
    </xf>
    <xf numFmtId="0" fontId="37" fillId="0" borderId="156" applyNumberFormat="0" applyAlignment="0" applyProtection="0">
      <alignment horizontal="left" vertical="center"/>
    </xf>
    <xf numFmtId="0" fontId="147" fillId="80" borderId="177" applyBorder="0"/>
    <xf numFmtId="0" fontId="67" fillId="0" borderId="208" applyNumberFormat="0" applyFill="0" applyAlignment="0" applyProtection="0"/>
    <xf numFmtId="0" fontId="145" fillId="75" borderId="189" applyNumberFormat="0" applyAlignment="0" applyProtection="0"/>
    <xf numFmtId="0" fontId="110" fillId="0" borderId="148" applyBorder="0"/>
    <xf numFmtId="0" fontId="110" fillId="0" borderId="148" applyBorder="0"/>
    <xf numFmtId="0" fontId="110" fillId="0" borderId="148" applyBorder="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229" fontId="12" fillId="0" borderId="149" applyNumberFormat="0" applyFont="0" applyFill="0" applyBorder="0" applyAlignment="0" applyProtection="0"/>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264" fontId="13" fillId="0" borderId="148"/>
    <xf numFmtId="264" fontId="13" fillId="0" borderId="148"/>
    <xf numFmtId="264" fontId="13" fillId="0" borderId="148"/>
    <xf numFmtId="249" fontId="9"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0" fontId="175" fillId="0" borderId="148"/>
    <xf numFmtId="0" fontId="175" fillId="0" borderId="148"/>
    <xf numFmtId="0" fontId="175" fillId="0" borderId="148"/>
    <xf numFmtId="299" fontId="202" fillId="75" borderId="146" applyAlignment="0" applyProtection="0"/>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223" fillId="0" borderId="148"/>
    <xf numFmtId="0" fontId="223" fillId="0" borderId="148"/>
    <xf numFmtId="0" fontId="223" fillId="0" borderId="148"/>
    <xf numFmtId="0" fontId="223" fillId="0" borderId="148"/>
    <xf numFmtId="0" fontId="37" fillId="0" borderId="146">
      <alignment horizontal="left" vertical="center"/>
    </xf>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37" fontId="12" fillId="78" borderId="146" applyNumberFormat="0" applyFont="0" applyFill="0" applyBorder="0" applyAlignment="0" applyProtection="0"/>
    <xf numFmtId="0" fontId="179" fillId="46" borderId="198" applyNumberFormat="0" applyBorder="0" applyAlignment="0">
      <alignment horizontal="center"/>
    </xf>
    <xf numFmtId="4" fontId="273" fillId="100" borderId="155" applyNumberFormat="0" applyProtection="0">
      <alignment horizontal="left" vertical="center" indent="1"/>
    </xf>
    <xf numFmtId="0" fontId="67" fillId="0" borderId="208" applyNumberFormat="0" applyFill="0" applyAlignment="0" applyProtection="0"/>
    <xf numFmtId="0" fontId="145" fillId="75" borderId="189" applyNumberFormat="0" applyAlignment="0" applyProtection="0"/>
    <xf numFmtId="0" fontId="37" fillId="0" borderId="156" applyNumberFormat="0" applyAlignment="0" applyProtection="0">
      <alignment horizontal="left" vertical="center"/>
    </xf>
    <xf numFmtId="0" fontId="145" fillId="75" borderId="189" applyNumberFormat="0" applyAlignment="0" applyProtection="0"/>
    <xf numFmtId="4" fontId="273" fillId="100" borderId="155" applyNumberFormat="0" applyProtection="0">
      <alignment horizontal="left" vertical="center" indent="1"/>
    </xf>
    <xf numFmtId="0" fontId="9" fillId="0" borderId="176" applyNumberFormat="0" applyFont="0" applyFill="0" applyAlignment="0" applyProtection="0">
      <alignment horizontal="center" wrapText="1"/>
    </xf>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5" fontId="135" fillId="0" borderId="119" applyAlignment="0" applyProtection="0"/>
    <xf numFmtId="0" fontId="145" fillId="75" borderId="189" applyNumberFormat="0" applyAlignment="0" applyProtection="0"/>
    <xf numFmtId="4" fontId="273" fillId="100" borderId="155" applyNumberFormat="0" applyProtection="0">
      <alignment horizontal="left" vertical="center" indent="1"/>
    </xf>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4" fontId="273" fillId="100" borderId="155" applyNumberFormat="0" applyProtection="0">
      <alignment horizontal="left" vertical="center" indent="1"/>
    </xf>
    <xf numFmtId="0" fontId="145" fillId="75" borderId="189" applyNumberFormat="0" applyAlignment="0" applyProtection="0"/>
    <xf numFmtId="38" fontId="9" fillId="80" borderId="209"/>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38" fontId="9" fillId="80" borderId="209"/>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67" fillId="0" borderId="182" applyNumberFormat="0" applyFill="0" applyAlignment="0" applyProtection="0"/>
    <xf numFmtId="0" fontId="145" fillId="75" borderId="189" applyNumberFormat="0" applyAlignment="0" applyProtection="0"/>
    <xf numFmtId="0" fontId="145" fillId="75" borderId="189" applyNumberFormat="0" applyAlignment="0" applyProtection="0"/>
    <xf numFmtId="0" fontId="67" fillId="0" borderId="208" applyNumberFormat="0" applyFill="0" applyAlignment="0" applyProtection="0"/>
    <xf numFmtId="4" fontId="273" fillId="100" borderId="155" applyNumberFormat="0" applyProtection="0">
      <alignment horizontal="left" vertical="center" indent="1"/>
    </xf>
    <xf numFmtId="38" fontId="9" fillId="80" borderId="209"/>
    <xf numFmtId="0" fontId="37" fillId="0" borderId="156" applyNumberFormat="0" applyAlignment="0" applyProtection="0">
      <alignment horizontal="left" vertical="center"/>
    </xf>
    <xf numFmtId="0" fontId="145" fillId="75" borderId="189" applyNumberFormat="0" applyAlignment="0" applyProtection="0"/>
    <xf numFmtId="5" fontId="135" fillId="0" borderId="119"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4" fontId="273" fillId="100" borderId="155" applyNumberFormat="0" applyProtection="0">
      <alignment horizontal="left" vertical="center" indent="1"/>
    </xf>
    <xf numFmtId="0" fontId="145" fillId="75" borderId="189" applyNumberFormat="0" applyAlignment="0" applyProtection="0"/>
    <xf numFmtId="0" fontId="67" fillId="0" borderId="182" applyNumberFormat="0" applyFill="0" applyAlignment="0" applyProtection="0"/>
    <xf numFmtId="37" fontId="12" fillId="78" borderId="146" applyNumberFormat="0" applyFont="0" applyFill="0" applyBorder="0" applyAlignment="0" applyProtection="0"/>
    <xf numFmtId="0" fontId="145" fillId="75" borderId="189" applyNumberFormat="0" applyAlignment="0" applyProtection="0"/>
    <xf numFmtId="37" fontId="12" fillId="78" borderId="146" applyNumberFormat="0" applyFont="0" applyFill="0" applyBorder="0" applyAlignment="0" applyProtection="0"/>
    <xf numFmtId="0" fontId="67" fillId="0" borderId="182" applyNumberFormat="0" applyFill="0" applyAlignment="0" applyProtection="0"/>
    <xf numFmtId="4" fontId="273" fillId="100" borderId="155" applyNumberFormat="0" applyProtection="0">
      <alignment horizontal="left" vertical="center" indent="1"/>
    </xf>
    <xf numFmtId="0" fontId="37" fillId="0" borderId="156" applyNumberFormat="0" applyAlignment="0" applyProtection="0">
      <alignment horizontal="left" vertical="center"/>
    </xf>
    <xf numFmtId="0" fontId="145" fillId="75" borderId="189" applyNumberFormat="0" applyAlignment="0" applyProtection="0"/>
    <xf numFmtId="0" fontId="67" fillId="0" borderId="182" applyNumberFormat="0" applyFill="0" applyAlignment="0" applyProtection="0"/>
    <xf numFmtId="0" fontId="145" fillId="75" borderId="189" applyNumberFormat="0" applyAlignment="0" applyProtection="0"/>
    <xf numFmtId="0" fontId="145" fillId="75" borderId="189" applyNumberFormat="0" applyAlignment="0" applyProtection="0"/>
    <xf numFmtId="5" fontId="135" fillId="0" borderId="119"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202" fontId="73" fillId="0" borderId="183">
      <alignment horizontal="left" vertical="center"/>
    </xf>
    <xf numFmtId="0" fontId="67" fillId="0" borderId="208" applyNumberFormat="0" applyFill="0" applyAlignment="0" applyProtection="0"/>
    <xf numFmtId="0" fontId="9" fillId="0" borderId="176" applyNumberFormat="0" applyFont="0" applyFill="0" applyAlignment="0" applyProtection="0">
      <alignment horizontal="center" wrapText="1"/>
    </xf>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4" fontId="273" fillId="100" borderId="155" applyNumberFormat="0" applyProtection="0">
      <alignment horizontal="left" vertical="center" indent="1"/>
    </xf>
    <xf numFmtId="4" fontId="273" fillId="100" borderId="155" applyNumberFormat="0" applyProtection="0">
      <alignment horizontal="left" vertical="center" indent="1"/>
    </xf>
    <xf numFmtId="0" fontId="145" fillId="75" borderId="189" applyNumberFormat="0" applyAlignment="0" applyProtection="0"/>
    <xf numFmtId="0" fontId="145" fillId="75" borderId="189" applyNumberFormat="0" applyAlignment="0" applyProtection="0"/>
    <xf numFmtId="4" fontId="273" fillId="100" borderId="155" applyNumberFormat="0" applyProtection="0">
      <alignment horizontal="left" vertical="center" indent="1"/>
    </xf>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36" fillId="0" borderId="186" applyFill="0" applyProtection="0">
      <alignment horizontal="right"/>
    </xf>
    <xf numFmtId="202" fontId="73" fillId="0" borderId="183">
      <alignment horizontal="left" vertical="center"/>
    </xf>
    <xf numFmtId="0" fontId="145" fillId="75" borderId="189" applyNumberFormat="0" applyAlignment="0" applyProtection="0"/>
    <xf numFmtId="0" fontId="37" fillId="0" borderId="156" applyNumberFormat="0" applyAlignment="0" applyProtection="0">
      <alignment horizontal="left" vertical="center"/>
    </xf>
    <xf numFmtId="0" fontId="145" fillId="75" borderId="189" applyNumberFormat="0" applyAlignment="0" applyProtection="0"/>
    <xf numFmtId="0" fontId="145" fillId="75" borderId="189" applyNumberFormat="0" applyAlignment="0" applyProtection="0"/>
    <xf numFmtId="0" fontId="67" fillId="0" borderId="182" applyNumberFormat="0" applyFill="0" applyAlignment="0" applyProtection="0"/>
    <xf numFmtId="0" fontId="145" fillId="75" borderId="189" applyNumberFormat="0" applyAlignment="0" applyProtection="0"/>
    <xf numFmtId="4" fontId="273" fillId="100" borderId="155" applyNumberFormat="0" applyProtection="0">
      <alignment horizontal="left" vertical="center" indent="1"/>
    </xf>
    <xf numFmtId="4" fontId="273" fillId="100" borderId="155" applyNumberFormat="0" applyProtection="0">
      <alignment horizontal="left" vertical="center" indent="1"/>
    </xf>
    <xf numFmtId="0" fontId="145" fillId="75" borderId="189" applyNumberFormat="0" applyAlignment="0" applyProtection="0"/>
    <xf numFmtId="38" fontId="9" fillId="80" borderId="209"/>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4" fontId="273" fillId="100" borderId="155" applyNumberFormat="0" applyProtection="0">
      <alignment horizontal="left" vertical="center" indent="1"/>
    </xf>
    <xf numFmtId="4" fontId="273" fillId="100" borderId="155" applyNumberFormat="0" applyProtection="0">
      <alignment horizontal="left" vertical="center" indent="1"/>
    </xf>
    <xf numFmtId="0" fontId="145" fillId="75" borderId="189" applyNumberFormat="0" applyAlignment="0" applyProtection="0"/>
    <xf numFmtId="213" fontId="117" fillId="44" borderId="209">
      <alignment horizontal="center"/>
      <protection locked="0"/>
    </xf>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202" fontId="73" fillId="0" borderId="183">
      <alignment horizontal="left" vertical="center"/>
    </xf>
    <xf numFmtId="202" fontId="73" fillId="0" borderId="183">
      <alignment horizontal="left" vertical="center"/>
    </xf>
    <xf numFmtId="202" fontId="73" fillId="0" borderId="183">
      <alignment horizontal="left" vertical="center"/>
    </xf>
    <xf numFmtId="0" fontId="145" fillId="75" borderId="189" applyNumberFormat="0" applyAlignment="0" applyProtection="0"/>
    <xf numFmtId="202" fontId="73" fillId="0" borderId="183">
      <alignment horizontal="left" vertical="center"/>
    </xf>
    <xf numFmtId="38" fontId="9" fillId="80" borderId="209"/>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0" fontId="191" fillId="59" borderId="189" applyNumberFormat="0" applyAlignment="0" applyProtection="0"/>
    <xf numFmtId="0" fontId="191" fillId="59" borderId="189" applyNumberFormat="0" applyAlignment="0" applyProtection="0"/>
    <xf numFmtId="41" fontId="74" fillId="0" borderId="105" applyFill="0" applyBorder="0" applyProtection="0">
      <alignment horizontal="right" vertical="top"/>
    </xf>
    <xf numFmtId="5" fontId="135" fillId="0" borderId="119"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301" fontId="117" fillId="50" borderId="201" applyAlignment="0">
      <protection locked="0"/>
    </xf>
    <xf numFmtId="0" fontId="179" fillId="46" borderId="198" applyNumberFormat="0" applyBorder="0" applyAlignment="0">
      <alignment horizontal="center"/>
    </xf>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12" fillId="86" borderId="176"/>
    <xf numFmtId="0" fontId="67" fillId="0" borderId="182" applyNumberFormat="0" applyFill="0" applyAlignment="0" applyProtection="0"/>
    <xf numFmtId="2" fontId="131" fillId="0" borderId="178"/>
    <xf numFmtId="299" fontId="202" fillId="75" borderId="146" applyAlignment="0" applyProtection="0"/>
    <xf numFmtId="41" fontId="74" fillId="0" borderId="105" applyFill="0" applyBorder="0" applyProtection="0">
      <alignment horizontal="right" vertical="top"/>
    </xf>
    <xf numFmtId="0" fontId="9" fillId="72" borderId="197" applyNumberFormat="0" applyProtection="0">
      <alignment horizontal="left" vertical="center" indent="1"/>
    </xf>
    <xf numFmtId="299" fontId="202" fillId="75" borderId="146" applyAlignment="0" applyProtection="0"/>
    <xf numFmtId="202" fontId="73" fillId="0" borderId="183">
      <alignment horizontal="left" vertical="center"/>
    </xf>
    <xf numFmtId="202" fontId="73" fillId="0" borderId="183">
      <alignment horizontal="left" vertical="center"/>
    </xf>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202" fontId="73" fillId="0" borderId="183">
      <alignment horizontal="left" vertical="center"/>
    </xf>
    <xf numFmtId="5" fontId="135" fillId="0" borderId="119" applyAlignment="0" applyProtection="0"/>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38" fontId="9" fillId="80" borderId="209"/>
    <xf numFmtId="202" fontId="73" fillId="0" borderId="183">
      <alignment horizontal="left" vertical="center"/>
    </xf>
    <xf numFmtId="0" fontId="145" fillId="75" borderId="189" applyNumberFormat="0" applyAlignment="0" applyProtection="0"/>
    <xf numFmtId="0" fontId="67" fillId="0" borderId="208" applyNumberFormat="0" applyFill="0" applyAlignment="0" applyProtection="0"/>
    <xf numFmtId="0" fontId="136" fillId="0" borderId="186" applyFill="0" applyProtection="0">
      <alignment horizontal="right"/>
    </xf>
    <xf numFmtId="0" fontId="145" fillId="75" borderId="189" applyNumberFormat="0" applyAlignment="0" applyProtection="0"/>
    <xf numFmtId="0" fontId="145" fillId="75" borderId="189" applyNumberFormat="0" applyAlignment="0" applyProtection="0"/>
    <xf numFmtId="0" fontId="9" fillId="0" borderId="176" applyNumberFormat="0" applyFont="0" applyFill="0" applyAlignment="0" applyProtection="0">
      <alignment horizontal="center" wrapText="1"/>
    </xf>
    <xf numFmtId="0" fontId="145" fillId="75" borderId="189" applyNumberFormat="0" applyAlignment="0" applyProtection="0"/>
    <xf numFmtId="0" fontId="145" fillId="75" borderId="189" applyNumberFormat="0" applyAlignment="0" applyProtection="0"/>
    <xf numFmtId="0" fontId="67" fillId="0" borderId="208" applyNumberFormat="0" applyFill="0" applyAlignment="0" applyProtection="0"/>
    <xf numFmtId="0" fontId="9" fillId="0" borderId="176" applyNumberFormat="0" applyFont="0" applyFill="0" applyAlignment="0" applyProtection="0">
      <alignment horizontal="center" wrapText="1"/>
    </xf>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36" fillId="0" borderId="186" applyFill="0" applyProtection="0">
      <alignment horizontal="right"/>
    </xf>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4" fontId="273" fillId="100" borderId="155" applyNumberFormat="0" applyProtection="0">
      <alignment horizontal="left" vertical="center" indent="1"/>
    </xf>
    <xf numFmtId="0" fontId="136" fillId="0" borderId="186" applyFill="0" applyProtection="0">
      <alignment horizontal="right"/>
    </xf>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4" fontId="273" fillId="100" borderId="155" applyNumberFormat="0" applyProtection="0">
      <alignment horizontal="left" vertical="center" indent="1"/>
    </xf>
    <xf numFmtId="0" fontId="145" fillId="75" borderId="189" applyNumberFormat="0" applyAlignment="0" applyProtection="0"/>
    <xf numFmtId="0" fontId="9" fillId="0" borderId="176" applyNumberFormat="0" applyFont="0" applyFill="0" applyAlignment="0" applyProtection="0">
      <alignment horizontal="center" wrapText="1"/>
    </xf>
    <xf numFmtId="38" fontId="9" fillId="80" borderId="209"/>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38" fontId="9" fillId="80" borderId="209"/>
    <xf numFmtId="0" fontId="145" fillId="75" borderId="189" applyNumberFormat="0" applyAlignment="0" applyProtection="0"/>
    <xf numFmtId="0" fontId="67" fillId="0" borderId="208" applyNumberFormat="0" applyFill="0" applyAlignment="0" applyProtection="0"/>
    <xf numFmtId="0" fontId="67" fillId="0" borderId="208" applyNumberFormat="0" applyFill="0" applyAlignment="0" applyProtection="0"/>
    <xf numFmtId="0" fontId="145" fillId="75" borderId="189" applyNumberFormat="0" applyAlignment="0" applyProtection="0"/>
    <xf numFmtId="0" fontId="145" fillId="75" borderId="189" applyNumberFormat="0" applyAlignment="0" applyProtection="0"/>
    <xf numFmtId="5" fontId="135" fillId="0" borderId="119" applyAlignment="0" applyProtection="0"/>
    <xf numFmtId="5" fontId="135" fillId="0" borderId="119" applyAlignment="0" applyProtection="0"/>
    <xf numFmtId="0" fontId="145" fillId="75" borderId="189" applyNumberFormat="0" applyAlignment="0" applyProtection="0"/>
    <xf numFmtId="0" fontId="67" fillId="0" borderId="182" applyNumberFormat="0" applyFill="0" applyAlignment="0" applyProtection="0"/>
    <xf numFmtId="0" fontId="145" fillId="75" borderId="189" applyNumberFormat="0" applyAlignment="0" applyProtection="0"/>
    <xf numFmtId="0" fontId="145" fillId="75" borderId="189" applyNumberFormat="0" applyAlignment="0" applyProtection="0"/>
    <xf numFmtId="0" fontId="9" fillId="0" borderId="176" applyNumberFormat="0" applyFont="0" applyFill="0" applyAlignment="0" applyProtection="0">
      <alignment horizontal="center" wrapText="1"/>
    </xf>
    <xf numFmtId="0" fontId="145" fillId="75" borderId="189" applyNumberFormat="0" applyAlignment="0" applyProtection="0"/>
    <xf numFmtId="0" fontId="145" fillId="75" borderId="189" applyNumberFormat="0" applyAlignment="0" applyProtection="0"/>
    <xf numFmtId="38" fontId="9" fillId="80" borderId="209"/>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4" fontId="273" fillId="100" borderId="155" applyNumberFormat="0" applyProtection="0">
      <alignment horizontal="left" vertical="center" indent="1"/>
    </xf>
    <xf numFmtId="214" fontId="44" fillId="46" borderId="211" applyNumberFormat="0" applyFont="0" applyBorder="0">
      <alignment horizontal="right"/>
    </xf>
    <xf numFmtId="0" fontId="67" fillId="0" borderId="182" applyNumberFormat="0" applyFill="0" applyAlignment="0" applyProtection="0"/>
    <xf numFmtId="38" fontId="9" fillId="80" borderId="209"/>
    <xf numFmtId="5" fontId="135" fillId="0" borderId="119" applyAlignment="0" applyProtection="0"/>
    <xf numFmtId="202" fontId="73" fillId="0" borderId="183">
      <alignment horizontal="left" vertical="center"/>
    </xf>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67" fillId="0" borderId="208" applyNumberFormat="0" applyFill="0" applyAlignment="0" applyProtection="0"/>
    <xf numFmtId="4" fontId="273" fillId="100" borderId="155" applyNumberFormat="0" applyProtection="0">
      <alignment horizontal="left" vertical="center" indent="1"/>
    </xf>
    <xf numFmtId="0" fontId="145" fillId="75" borderId="189" applyNumberFormat="0" applyAlignment="0" applyProtection="0"/>
    <xf numFmtId="0" fontId="67" fillId="0" borderId="208" applyNumberFormat="0" applyFill="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5" fontId="135" fillId="0" borderId="119" applyAlignment="0" applyProtection="0"/>
    <xf numFmtId="5" fontId="135" fillId="0" borderId="119"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213" fontId="117" fillId="44" borderId="172">
      <alignment horizontal="center"/>
      <protection locked="0"/>
    </xf>
    <xf numFmtId="4" fontId="273" fillId="100" borderId="155" applyNumberFormat="0" applyProtection="0">
      <alignment horizontal="left" vertical="center" indent="1"/>
    </xf>
    <xf numFmtId="4" fontId="273" fillId="100" borderId="155" applyNumberFormat="0" applyProtection="0">
      <alignment horizontal="left" vertical="center" indent="1"/>
    </xf>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202" fontId="73" fillId="0" borderId="183">
      <alignment horizontal="left" vertical="center"/>
    </xf>
    <xf numFmtId="0" fontId="145" fillId="75" borderId="189" applyNumberFormat="0" applyAlignment="0" applyProtection="0"/>
    <xf numFmtId="4" fontId="273" fillId="100" borderId="155" applyNumberFormat="0" applyProtection="0">
      <alignment horizontal="left" vertical="center" indent="1"/>
    </xf>
    <xf numFmtId="0" fontId="37" fillId="0" borderId="156" applyNumberFormat="0" applyAlignment="0" applyProtection="0">
      <alignment horizontal="left" vertical="center"/>
    </xf>
    <xf numFmtId="0" fontId="67" fillId="0" borderId="208" applyNumberFormat="0" applyFill="0" applyAlignment="0" applyProtection="0"/>
    <xf numFmtId="4" fontId="273" fillId="100" borderId="155" applyNumberFormat="0" applyProtection="0">
      <alignment horizontal="left" vertical="center" indent="1"/>
    </xf>
    <xf numFmtId="38" fontId="9" fillId="80" borderId="209"/>
    <xf numFmtId="0" fontId="9" fillId="0" borderId="176" applyNumberFormat="0" applyFont="0" applyFill="0" applyAlignment="0" applyProtection="0">
      <alignment horizontal="center" wrapText="1"/>
    </xf>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67" fillId="0" borderId="208" applyNumberFormat="0" applyFill="0" applyAlignment="0" applyProtection="0"/>
    <xf numFmtId="0" fontId="145" fillId="75" borderId="189" applyNumberFormat="0" applyAlignment="0" applyProtection="0"/>
    <xf numFmtId="37" fontId="12" fillId="48" borderId="212" applyNumberFormat="0" applyBorder="0" applyAlignment="0"/>
    <xf numFmtId="0" fontId="145" fillId="75" borderId="189" applyNumberFormat="0" applyAlignment="0" applyProtection="0"/>
    <xf numFmtId="0" fontId="9" fillId="0" borderId="176" applyNumberFormat="0" applyFont="0" applyFill="0" applyAlignment="0" applyProtection="0">
      <alignment horizontal="center" wrapText="1"/>
    </xf>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67" fillId="0" borderId="208" applyNumberFormat="0" applyFill="0" applyAlignment="0" applyProtection="0"/>
    <xf numFmtId="0" fontId="145" fillId="75" borderId="189" applyNumberFormat="0" applyAlignment="0" applyProtection="0"/>
    <xf numFmtId="0" fontId="145" fillId="75" borderId="189" applyNumberFormat="0" applyAlignment="0" applyProtection="0"/>
    <xf numFmtId="5" fontId="135" fillId="0" borderId="119" applyAlignment="0" applyProtection="0"/>
    <xf numFmtId="5" fontId="135" fillId="0" borderId="199" applyAlignment="0" applyProtection="0"/>
    <xf numFmtId="4" fontId="273" fillId="100" borderId="155" applyNumberFormat="0" applyProtection="0">
      <alignment horizontal="left" vertical="center" indent="1"/>
    </xf>
    <xf numFmtId="4" fontId="273" fillId="100" borderId="155" applyNumberFormat="0" applyProtection="0">
      <alignment horizontal="left" vertical="center" indent="1"/>
    </xf>
    <xf numFmtId="0" fontId="145" fillId="75" borderId="189" applyNumberFormat="0" applyAlignment="0" applyProtection="0"/>
    <xf numFmtId="0" fontId="145" fillId="75" borderId="189" applyNumberFormat="0" applyAlignment="0" applyProtection="0"/>
    <xf numFmtId="0" fontId="37" fillId="0" borderId="146">
      <alignment horizontal="left" vertical="center"/>
    </xf>
    <xf numFmtId="0" fontId="145" fillId="75" borderId="189" applyNumberFormat="0" applyAlignment="0" applyProtection="0"/>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202" fontId="73" fillId="0" borderId="183">
      <alignment horizontal="left" vertical="center"/>
    </xf>
    <xf numFmtId="0" fontId="145" fillId="75" borderId="189" applyNumberFormat="0" applyAlignment="0" applyProtection="0"/>
    <xf numFmtId="0" fontId="9" fillId="0" borderId="176" applyNumberFormat="0" applyFont="0" applyFill="0" applyAlignment="0" applyProtection="0">
      <alignment horizontal="center" wrapText="1"/>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38" fontId="9" fillId="80" borderId="209"/>
    <xf numFmtId="5" fontId="135" fillId="0" borderId="119" applyAlignment="0" applyProtection="0"/>
    <xf numFmtId="2" fontId="131" fillId="0" borderId="146"/>
    <xf numFmtId="2" fontId="131" fillId="0" borderId="146"/>
    <xf numFmtId="2" fontId="131" fillId="0" borderId="146"/>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145" fillId="75" borderId="189" applyNumberFormat="0" applyAlignment="0" applyProtection="0"/>
    <xf numFmtId="202" fontId="73" fillId="0" borderId="183">
      <alignment horizontal="left" vertical="center"/>
    </xf>
    <xf numFmtId="0" fontId="145" fillId="75" borderId="189" applyNumberFormat="0" applyAlignment="0" applyProtection="0"/>
    <xf numFmtId="0" fontId="145" fillId="75" borderId="189" applyNumberFormat="0" applyAlignment="0" applyProtection="0"/>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13" fillId="77" borderId="209" applyNumberFormat="0" applyBorder="0" applyAlignment="0">
      <alignment horizontal="center" vertical="center"/>
      <protection locked="0"/>
    </xf>
    <xf numFmtId="0" fontId="145" fillId="75" borderId="189" applyNumberFormat="0" applyAlignment="0" applyProtection="0"/>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145" fillId="75" borderId="189" applyNumberFormat="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145" fillId="75" borderId="189" applyNumberFormat="0" applyAlignment="0" applyProtection="0"/>
    <xf numFmtId="196" fontId="45" fillId="44" borderId="176" applyNumberFormat="0" applyFont="0" applyBorder="0" applyAlignment="0" applyProtection="0"/>
    <xf numFmtId="212" fontId="67" fillId="0" borderId="201" applyBorder="0"/>
    <xf numFmtId="0" fontId="145" fillId="75" borderId="189" applyNumberFormat="0" applyAlignment="0" applyProtection="0"/>
    <xf numFmtId="4" fontId="273" fillId="100" borderId="155" applyNumberFormat="0" applyProtection="0">
      <alignment horizontal="left" vertical="center" indent="1"/>
    </xf>
    <xf numFmtId="4" fontId="273" fillId="100" borderId="155" applyNumberFormat="0" applyProtection="0">
      <alignment horizontal="left" vertical="center" indent="1"/>
    </xf>
    <xf numFmtId="0" fontId="145" fillId="75" borderId="189" applyNumberFormat="0" applyAlignment="0" applyProtection="0"/>
    <xf numFmtId="0" fontId="145" fillId="75" borderId="189" applyNumberFormat="0" applyAlignment="0" applyProtection="0"/>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145" fillId="75" borderId="189" applyNumberFormat="0" applyAlignment="0" applyProtection="0"/>
    <xf numFmtId="0" fontId="37" fillId="0" borderId="146">
      <alignment horizontal="left" vertical="center"/>
    </xf>
    <xf numFmtId="2" fontId="131" fillId="0" borderId="146"/>
    <xf numFmtId="2" fontId="131" fillId="0" borderId="146"/>
    <xf numFmtId="2" fontId="131" fillId="0" borderId="146"/>
    <xf numFmtId="0" fontId="145" fillId="75" borderId="189" applyNumberFormat="0" applyAlignment="0" applyProtection="0"/>
    <xf numFmtId="202" fontId="73" fillId="0" borderId="183">
      <alignment horizontal="left" vertical="center"/>
    </xf>
    <xf numFmtId="202" fontId="73" fillId="0" borderId="183">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145" fillId="75" borderId="189" applyNumberFormat="0" applyAlignment="0" applyProtection="0"/>
    <xf numFmtId="319" fontId="237" fillId="44" borderId="204"/>
    <xf numFmtId="2" fontId="53" fillId="0" borderId="176"/>
    <xf numFmtId="10" fontId="12" fillId="47" borderId="176" applyNumberFormat="0" applyBorder="0" applyAlignment="0" applyProtection="0"/>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4" fontId="273" fillId="100" borderId="155" applyNumberFormat="0" applyProtection="0">
      <alignment horizontal="left" vertical="center" indent="1"/>
    </xf>
    <xf numFmtId="4" fontId="273" fillId="100" borderId="155" applyNumberFormat="0" applyProtection="0">
      <alignment horizontal="left" vertical="center" indent="1"/>
    </xf>
    <xf numFmtId="0" fontId="145" fillId="75" borderId="189" applyNumberFormat="0" applyAlignment="0" applyProtection="0"/>
    <xf numFmtId="0" fontId="145" fillId="75" borderId="189" applyNumberFormat="0" applyAlignment="0" applyProtection="0"/>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145" fillId="75" borderId="189" applyNumberFormat="0" applyAlignment="0" applyProtection="0"/>
    <xf numFmtId="2" fontId="131" fillId="0" borderId="146"/>
    <xf numFmtId="2" fontId="131" fillId="0" borderId="146"/>
    <xf numFmtId="2" fontId="131" fillId="0" borderId="146"/>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67" fillId="0" borderId="150" applyNumberFormat="0" applyFill="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36" fillId="0" borderId="186" applyFill="0" applyProtection="0">
      <alignment horizontal="right"/>
    </xf>
    <xf numFmtId="0" fontId="136" fillId="0" borderId="186" applyFill="0" applyProtection="0">
      <alignment horizontal="right"/>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205" fontId="48" fillId="52" borderId="129"/>
    <xf numFmtId="205" fontId="48" fillId="52" borderId="129"/>
    <xf numFmtId="205" fontId="48" fillId="52" borderId="129"/>
    <xf numFmtId="5" fontId="135" fillId="0" borderId="199" applyAlignment="0" applyProtection="0"/>
    <xf numFmtId="209" fontId="9" fillId="0" borderId="151" applyBorder="0">
      <alignment horizontal="right"/>
    </xf>
    <xf numFmtId="209" fontId="9" fillId="0" borderId="151" applyBorder="0">
      <alignment horizontal="right"/>
    </xf>
    <xf numFmtId="209" fontId="9" fillId="0" borderId="151" applyBorder="0">
      <alignment horizontal="right"/>
    </xf>
    <xf numFmtId="209" fontId="9" fillId="0" borderId="151" applyBorder="0">
      <alignment horizontal="right"/>
    </xf>
    <xf numFmtId="209" fontId="9" fillId="0" borderId="151" applyBorder="0">
      <alignment horizontal="right"/>
    </xf>
    <xf numFmtId="209" fontId="9" fillId="0" borderId="151" applyBorder="0">
      <alignment horizontal="right"/>
    </xf>
    <xf numFmtId="212" fontId="118" fillId="44" borderId="209" applyBorder="0"/>
    <xf numFmtId="202" fontId="73" fillId="0" borderId="183">
      <alignment horizontal="left" vertical="center"/>
    </xf>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202" fontId="73" fillId="0" borderId="183">
      <alignment horizontal="left" vertical="center"/>
    </xf>
    <xf numFmtId="0" fontId="117" fillId="44" borderId="129"/>
    <xf numFmtId="0" fontId="117" fillId="44" borderId="129"/>
    <xf numFmtId="0" fontId="117" fillId="44" borderId="129"/>
    <xf numFmtId="212" fontId="118" fillId="44" borderId="129" applyBorder="0"/>
    <xf numFmtId="212" fontId="118" fillId="44" borderId="129" applyBorder="0"/>
    <xf numFmtId="212" fontId="118" fillId="44" borderId="129" applyBorder="0"/>
    <xf numFmtId="213" fontId="117" fillId="44" borderId="129">
      <alignment horizontal="center"/>
      <protection locked="0"/>
    </xf>
    <xf numFmtId="213" fontId="117" fillId="44" borderId="129">
      <alignment horizontal="center"/>
      <protection locked="0"/>
    </xf>
    <xf numFmtId="213" fontId="117" fillId="44" borderId="129">
      <alignment horizontal="center"/>
      <protection locked="0"/>
    </xf>
    <xf numFmtId="202" fontId="73" fillId="0" borderId="183">
      <alignment horizontal="left" vertical="center"/>
    </xf>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202" fontId="73" fillId="0" borderId="183">
      <alignment horizontal="left" vertical="center"/>
    </xf>
    <xf numFmtId="202" fontId="73" fillId="0" borderId="183">
      <alignment horizontal="left" vertical="center"/>
    </xf>
    <xf numFmtId="0" fontId="13" fillId="77" borderId="129" applyNumberFormat="0" applyBorder="0" applyAlignment="0">
      <alignment horizontal="center" vertical="center"/>
      <protection locked="0"/>
    </xf>
    <xf numFmtId="0" fontId="13" fillId="77" borderId="129" applyNumberFormat="0" applyBorder="0" applyAlignment="0">
      <alignment horizontal="center" vertical="center"/>
      <protection locked="0"/>
    </xf>
    <xf numFmtId="0" fontId="13" fillId="77" borderId="129" applyNumberFormat="0" applyBorder="0" applyAlignment="0">
      <alignment horizontal="center" vertical="center"/>
      <protection locked="0"/>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5" fontId="135" fillId="0" borderId="119" applyAlignment="0" applyProtection="0"/>
    <xf numFmtId="5" fontId="135" fillId="0" borderId="119" applyAlignment="0" applyProtection="0"/>
    <xf numFmtId="5" fontId="135" fillId="0" borderId="119" applyAlignment="0" applyProtection="0"/>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67" fillId="0" borderId="208" applyNumberFormat="0" applyFill="0" applyAlignment="0" applyProtection="0"/>
    <xf numFmtId="214" fontId="44" fillId="46" borderId="152" applyNumberFormat="0" applyFont="0" applyBorder="0">
      <alignment horizontal="right"/>
    </xf>
    <xf numFmtId="214" fontId="44" fillId="46" borderId="152" applyNumberFormat="0" applyFont="0" applyBorder="0">
      <alignment horizontal="right"/>
    </xf>
    <xf numFmtId="214" fontId="44" fillId="46" borderId="152" applyNumberFormat="0" applyFont="0" applyBorder="0">
      <alignment horizontal="right"/>
    </xf>
    <xf numFmtId="37" fontId="12" fillId="48" borderId="153" applyNumberFormat="0" applyBorder="0" applyAlignment="0"/>
    <xf numFmtId="37" fontId="12" fillId="48" borderId="153" applyNumberFormat="0" applyBorder="0" applyAlignment="0"/>
    <xf numFmtId="37" fontId="12" fillId="48" borderId="153" applyNumberFormat="0" applyBorder="0" applyAlignment="0"/>
    <xf numFmtId="37" fontId="12" fillId="48" borderId="153" applyNumberFormat="0" applyBorder="0" applyAlignment="0"/>
    <xf numFmtId="37" fontId="12" fillId="48" borderId="153" applyNumberFormat="0" applyBorder="0" applyAlignment="0"/>
    <xf numFmtId="37" fontId="12" fillId="48" borderId="153" applyNumberFormat="0" applyBorder="0" applyAlignment="0"/>
    <xf numFmtId="37" fontId="12" fillId="48" borderId="153" applyNumberFormat="0" applyBorder="0" applyAlignment="0"/>
    <xf numFmtId="37" fontId="12" fillId="48" borderId="153" applyNumberFormat="0" applyBorder="0" applyAlignment="0"/>
    <xf numFmtId="37" fontId="12" fillId="48" borderId="153" applyNumberFormat="0" applyBorder="0" applyAlignment="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37" fontId="81" fillId="78" borderId="148" applyFill="0" applyBorder="0"/>
    <xf numFmtId="37" fontId="81" fillId="78" borderId="148" applyFill="0" applyBorder="0"/>
    <xf numFmtId="38" fontId="9" fillId="80" borderId="157"/>
    <xf numFmtId="38" fontId="9" fillId="80" borderId="157"/>
    <xf numFmtId="38" fontId="9" fillId="80" borderId="157"/>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38" fontId="9" fillId="0" borderId="158"/>
    <xf numFmtId="38" fontId="9" fillId="0" borderId="158"/>
    <xf numFmtId="38" fontId="9" fillId="0" borderId="158"/>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251" fontId="9" fillId="46" borderId="157"/>
    <xf numFmtId="251" fontId="9" fillId="46" borderId="157"/>
    <xf numFmtId="251" fontId="9" fillId="46" borderId="157"/>
    <xf numFmtId="4" fontId="274" fillId="44" borderId="197" applyNumberFormat="0" applyProtection="0">
      <alignment vertical="center"/>
    </xf>
    <xf numFmtId="264" fontId="13" fillId="0" borderId="148"/>
    <xf numFmtId="264" fontId="13" fillId="0" borderId="148"/>
    <xf numFmtId="264" fontId="13" fillId="0" borderId="148"/>
    <xf numFmtId="264" fontId="13" fillId="0" borderId="148"/>
    <xf numFmtId="264" fontId="13" fillId="0" borderId="148"/>
    <xf numFmtId="264" fontId="13" fillId="0" borderId="148"/>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0" fontId="175" fillId="0" borderId="148"/>
    <xf numFmtId="0" fontId="175" fillId="0" borderId="148"/>
    <xf numFmtId="0" fontId="175" fillId="0" borderId="148"/>
    <xf numFmtId="0" fontId="175" fillId="0" borderId="148"/>
    <xf numFmtId="0" fontId="175" fillId="0" borderId="148"/>
    <xf numFmtId="0" fontId="175" fillId="0" borderId="148"/>
    <xf numFmtId="206" fontId="9" fillId="0" borderId="205">
      <alignment horizontal="right"/>
    </xf>
    <xf numFmtId="10" fontId="12" fillId="47" borderId="176" applyNumberFormat="0" applyBorder="0" applyAlignment="0" applyProtection="0"/>
    <xf numFmtId="229" fontId="9" fillId="47" borderId="203" applyFont="0" applyAlignment="0">
      <protection locked="0"/>
    </xf>
    <xf numFmtId="37" fontId="9" fillId="47" borderId="203" applyNumberFormat="0" applyFont="0" applyBorder="0" applyAlignment="0">
      <protection locked="0"/>
    </xf>
    <xf numFmtId="37" fontId="9" fillId="47" borderId="203" applyNumberFormat="0" applyFont="0" applyBorder="0" applyAlignment="0">
      <protection locked="0"/>
    </xf>
    <xf numFmtId="0" fontId="83" fillId="78" borderId="157" applyNumberFormat="0" applyAlignment="0">
      <alignment horizontal="center"/>
      <protection locked="0"/>
    </xf>
    <xf numFmtId="0" fontId="83" fillId="78" borderId="157" applyNumberFormat="0" applyAlignment="0">
      <alignment horizontal="center"/>
      <protection locked="0"/>
    </xf>
    <xf numFmtId="0" fontId="83" fillId="78" borderId="157" applyNumberFormat="0" applyAlignment="0">
      <alignment horizontal="center"/>
      <protection locked="0"/>
    </xf>
    <xf numFmtId="0" fontId="191" fillId="59" borderId="189" applyNumberFormat="0" applyAlignment="0" applyProtection="0"/>
    <xf numFmtId="38" fontId="9" fillId="80" borderId="201"/>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179" fillId="46" borderId="198" applyNumberFormat="0" applyBorder="0" applyAlignment="0">
      <alignment horizontal="center"/>
    </xf>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202" fontId="73" fillId="0" borderId="183">
      <alignment horizontal="left" vertical="center"/>
    </xf>
    <xf numFmtId="299" fontId="202" fillId="75" borderId="146" applyAlignment="0" applyProtection="0"/>
    <xf numFmtId="299" fontId="202" fillId="75" borderId="146" applyAlignment="0" applyProtection="0"/>
    <xf numFmtId="299" fontId="202" fillId="75" borderId="146" applyAlignment="0" applyProtection="0"/>
    <xf numFmtId="15" fontId="117" fillId="50" borderId="157">
      <alignment horizontal="center"/>
      <protection locked="0"/>
    </xf>
    <xf numFmtId="15" fontId="117" fillId="50" borderId="157">
      <alignment horizontal="center"/>
      <protection locked="0"/>
    </xf>
    <xf numFmtId="15" fontId="117" fillId="50" borderId="157">
      <alignment horizontal="center"/>
      <protection locked="0"/>
    </xf>
    <xf numFmtId="300" fontId="48" fillId="44" borderId="157" applyFont="0" applyAlignment="0"/>
    <xf numFmtId="300" fontId="48" fillId="44" borderId="157" applyFont="0" applyAlignment="0"/>
    <xf numFmtId="300" fontId="48" fillId="44" borderId="157" applyFont="0" applyAlignment="0"/>
    <xf numFmtId="301" fontId="117" fillId="50" borderId="157" applyAlignment="0">
      <protection locked="0"/>
    </xf>
    <xf numFmtId="301" fontId="117" fillId="50" borderId="157" applyAlignment="0">
      <protection locked="0"/>
    </xf>
    <xf numFmtId="301" fontId="117" fillId="50" borderId="157" applyAlignment="0">
      <protection locked="0"/>
    </xf>
    <xf numFmtId="300" fontId="117" fillId="50" borderId="157" applyAlignment="0">
      <protection locked="0"/>
    </xf>
    <xf numFmtId="300" fontId="117" fillId="50" borderId="157" applyAlignment="0">
      <protection locked="0"/>
    </xf>
    <xf numFmtId="300" fontId="117" fillId="50" borderId="157" applyAlignment="0">
      <protection locked="0"/>
    </xf>
    <xf numFmtId="0" fontId="145" fillId="75" borderId="189" applyNumberFormat="0" applyAlignment="0" applyProtection="0"/>
    <xf numFmtId="41" fontId="74" fillId="0" borderId="105" applyFill="0" applyBorder="0" applyProtection="0">
      <alignment horizontal="right" vertical="top"/>
    </xf>
    <xf numFmtId="38" fontId="15" fillId="46" borderId="193" applyNumberFormat="0" applyFont="0" applyAlignment="0"/>
    <xf numFmtId="0" fontId="145" fillId="75" borderId="189" applyNumberFormat="0" applyAlignment="0" applyProtection="0"/>
    <xf numFmtId="0" fontId="9" fillId="80" borderId="197" applyNumberFormat="0" applyProtection="0">
      <alignment horizontal="left" vertical="center" indent="1"/>
    </xf>
    <xf numFmtId="0" fontId="273" fillId="44" borderId="197" applyNumberFormat="0" applyProtection="0">
      <alignment horizontal="left" vertical="top" indent="1"/>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37" fillId="0" borderId="146">
      <alignment horizontal="left" vertical="center"/>
    </xf>
    <xf numFmtId="0" fontId="37" fillId="0" borderId="146">
      <alignment horizontal="left" vertical="center"/>
    </xf>
    <xf numFmtId="0" fontId="37" fillId="0" borderId="146">
      <alignment horizontal="left" vertical="center"/>
    </xf>
    <xf numFmtId="37" fontId="221" fillId="47" borderId="159" applyNumberFormat="0" applyAlignment="0"/>
    <xf numFmtId="37" fontId="221" fillId="47" borderId="159" applyNumberFormat="0" applyAlignment="0"/>
    <xf numFmtId="37" fontId="221" fillId="47" borderId="159" applyNumberFormat="0" applyAlignment="0"/>
    <xf numFmtId="37" fontId="221" fillId="47" borderId="159" applyNumberFormat="0" applyAlignment="0"/>
    <xf numFmtId="37" fontId="221" fillId="47" borderId="159" applyNumberFormat="0" applyAlignment="0"/>
    <xf numFmtId="37" fontId="221" fillId="47" borderId="159" applyNumberFormat="0" applyAlignment="0"/>
    <xf numFmtId="37" fontId="221" fillId="47" borderId="159" applyNumberFormat="0" applyAlignment="0"/>
    <xf numFmtId="37" fontId="221" fillId="47" borderId="159" applyNumberFormat="0" applyAlignment="0"/>
    <xf numFmtId="37" fontId="221" fillId="47" borderId="159" applyNumberFormat="0" applyAlignment="0"/>
    <xf numFmtId="309" fontId="9" fillId="47" borderId="159" applyFont="0" applyAlignment="0">
      <protection locked="0"/>
    </xf>
    <xf numFmtId="309" fontId="9" fillId="47" borderId="159" applyFont="0" applyAlignment="0">
      <protection locked="0"/>
    </xf>
    <xf numFmtId="309" fontId="9" fillId="47" borderId="159" applyFont="0" applyAlignment="0">
      <protection locked="0"/>
    </xf>
    <xf numFmtId="309" fontId="9" fillId="47" borderId="159" applyFont="0" applyAlignment="0">
      <protection locked="0"/>
    </xf>
    <xf numFmtId="309" fontId="9" fillId="47" borderId="159" applyFont="0" applyAlignment="0">
      <protection locked="0"/>
    </xf>
    <xf numFmtId="309" fontId="9" fillId="47" borderId="159" applyFont="0" applyAlignment="0">
      <protection locked="0"/>
    </xf>
    <xf numFmtId="309" fontId="9" fillId="47" borderId="159" applyFont="0" applyAlignment="0">
      <protection locked="0"/>
    </xf>
    <xf numFmtId="309" fontId="9" fillId="47" borderId="159" applyFont="0" applyAlignment="0">
      <protection locked="0"/>
    </xf>
    <xf numFmtId="309" fontId="9" fillId="47" borderId="159" applyFont="0" applyAlignment="0">
      <protection locked="0"/>
    </xf>
    <xf numFmtId="37" fontId="9" fillId="47" borderId="159" applyNumberFormat="0" applyFont="0" applyBorder="0" applyAlignment="0">
      <protection locked="0"/>
    </xf>
    <xf numFmtId="37" fontId="9" fillId="47" borderId="159" applyNumberFormat="0" applyFont="0" applyBorder="0" applyAlignment="0">
      <protection locked="0"/>
    </xf>
    <xf numFmtId="37" fontId="9" fillId="47" borderId="159" applyNumberFormat="0" applyFont="0" applyBorder="0" applyAlignment="0">
      <protection locked="0"/>
    </xf>
    <xf numFmtId="37" fontId="9" fillId="47" borderId="159" applyNumberFormat="0" applyFont="0" applyBorder="0" applyAlignment="0">
      <protection locked="0"/>
    </xf>
    <xf numFmtId="37" fontId="9" fillId="47" borderId="159" applyNumberFormat="0" applyFont="0" applyBorder="0" applyAlignment="0">
      <protection locked="0"/>
    </xf>
    <xf numFmtId="37" fontId="9" fillId="47" borderId="159" applyNumberFormat="0" applyFont="0" applyBorder="0" applyAlignment="0">
      <protection locked="0"/>
    </xf>
    <xf numFmtId="37" fontId="9" fillId="47" borderId="159" applyNumberFormat="0" applyFont="0" applyBorder="0" applyAlignment="0">
      <protection locked="0"/>
    </xf>
    <xf numFmtId="37" fontId="9" fillId="47" borderId="159" applyNumberFormat="0" applyFont="0" applyBorder="0" applyAlignment="0">
      <protection locked="0"/>
    </xf>
    <xf numFmtId="37" fontId="9" fillId="47" borderId="159" applyNumberFormat="0" applyFont="0" applyBorder="0" applyAlignment="0">
      <protection locked="0"/>
    </xf>
    <xf numFmtId="37" fontId="9" fillId="47" borderId="159" applyNumberFormat="0" applyFont="0" applyBorder="0" applyAlignment="0">
      <protection locked="0"/>
    </xf>
    <xf numFmtId="37" fontId="9" fillId="47" borderId="159" applyNumberFormat="0" applyFont="0" applyBorder="0" applyAlignment="0">
      <protection locked="0"/>
    </xf>
    <xf numFmtId="37" fontId="9" fillId="47" borderId="159" applyNumberFormat="0" applyFont="0" applyBorder="0" applyAlignment="0">
      <protection locked="0"/>
    </xf>
    <xf numFmtId="37" fontId="9" fillId="47" borderId="159" applyNumberFormat="0" applyFont="0" applyBorder="0" applyAlignment="0">
      <protection locked="0"/>
    </xf>
    <xf numFmtId="37" fontId="9" fillId="47" borderId="159" applyNumberFormat="0" applyFont="0" applyBorder="0" applyAlignment="0">
      <protection locked="0"/>
    </xf>
    <xf numFmtId="37" fontId="9" fillId="47" borderId="159" applyNumberFormat="0" applyFont="0" applyBorder="0" applyAlignment="0">
      <protection locked="0"/>
    </xf>
    <xf numFmtId="37" fontId="9" fillId="47" borderId="159" applyNumberFormat="0" applyFont="0" applyBorder="0" applyAlignment="0">
      <protection locked="0"/>
    </xf>
    <xf numFmtId="37" fontId="9" fillId="47" borderId="159" applyNumberFormat="0" applyFont="0" applyBorder="0" applyAlignment="0">
      <protection locked="0"/>
    </xf>
    <xf numFmtId="37" fontId="9" fillId="47" borderId="159" applyNumberFormat="0" applyFont="0" applyBorder="0" applyAlignment="0">
      <protection locked="0"/>
    </xf>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229" fontId="9" fillId="47" borderId="159" applyFont="0" applyAlignment="0">
      <protection locked="0"/>
    </xf>
    <xf numFmtId="229" fontId="9" fillId="47" borderId="159" applyFont="0" applyAlignment="0">
      <protection locked="0"/>
    </xf>
    <xf numFmtId="229" fontId="9" fillId="47" borderId="159" applyFont="0" applyAlignment="0">
      <protection locked="0"/>
    </xf>
    <xf numFmtId="229" fontId="9" fillId="47" borderId="159" applyFont="0" applyAlignment="0">
      <protection locked="0"/>
    </xf>
    <xf numFmtId="229" fontId="9" fillId="47" borderId="159" applyFont="0" applyAlignment="0">
      <protection locked="0"/>
    </xf>
    <xf numFmtId="229" fontId="9" fillId="47" borderId="159" applyFont="0" applyAlignment="0">
      <protection locked="0"/>
    </xf>
    <xf numFmtId="229" fontId="9" fillId="47" borderId="159" applyFont="0" applyAlignment="0">
      <protection locked="0"/>
    </xf>
    <xf numFmtId="229" fontId="9" fillId="47" borderId="159" applyFont="0" applyAlignment="0">
      <protection locked="0"/>
    </xf>
    <xf numFmtId="229" fontId="9" fillId="47" borderId="159" applyFont="0" applyAlignment="0">
      <protection locked="0"/>
    </xf>
    <xf numFmtId="37" fontId="9" fillId="47" borderId="159" applyNumberFormat="0" applyFont="0" applyAlignment="0">
      <protection locked="0"/>
    </xf>
    <xf numFmtId="37" fontId="9" fillId="47" borderId="159" applyNumberFormat="0" applyFont="0" applyAlignment="0">
      <protection locked="0"/>
    </xf>
    <xf numFmtId="37" fontId="9" fillId="47" borderId="159" applyNumberFormat="0" applyFont="0" applyAlignment="0">
      <protection locked="0"/>
    </xf>
    <xf numFmtId="37" fontId="9" fillId="47" borderId="159" applyNumberFormat="0" applyFont="0" applyAlignment="0">
      <protection locked="0"/>
    </xf>
    <xf numFmtId="37" fontId="9" fillId="47" borderId="159" applyNumberFormat="0" applyFont="0" applyAlignment="0">
      <protection locked="0"/>
    </xf>
    <xf numFmtId="37" fontId="9" fillId="47" borderId="159" applyNumberFormat="0" applyFont="0" applyAlignment="0">
      <protection locked="0"/>
    </xf>
    <xf numFmtId="37" fontId="9" fillId="47" borderId="159" applyNumberFormat="0" applyFont="0" applyAlignment="0">
      <protection locked="0"/>
    </xf>
    <xf numFmtId="37" fontId="9" fillId="47" borderId="159" applyNumberFormat="0" applyFont="0" applyAlignment="0">
      <protection locked="0"/>
    </xf>
    <xf numFmtId="37" fontId="9" fillId="47" borderId="159" applyNumberFormat="0" applyFont="0" applyAlignment="0">
      <protection locked="0"/>
    </xf>
    <xf numFmtId="319" fontId="237" fillId="44" borderId="160"/>
    <xf numFmtId="319" fontId="237" fillId="44" borderId="160"/>
    <xf numFmtId="319" fontId="237" fillId="44" borderId="160"/>
    <xf numFmtId="319" fontId="237" fillId="44" borderId="160"/>
    <xf numFmtId="319" fontId="237" fillId="44" borderId="160"/>
    <xf numFmtId="319" fontId="237" fillId="44" borderId="160"/>
    <xf numFmtId="319" fontId="237" fillId="44" borderId="160"/>
    <xf numFmtId="319" fontId="237" fillId="44" borderId="160"/>
    <xf numFmtId="319" fontId="237" fillId="44" borderId="16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251" fontId="9" fillId="44" borderId="157"/>
    <xf numFmtId="251" fontId="9" fillId="44" borderId="157"/>
    <xf numFmtId="251" fontId="9" fillId="44" borderId="157"/>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43" fontId="1"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8" fillId="0" borderId="0" applyFont="0" applyFill="0" applyBorder="0" applyAlignment="0" applyProtection="0"/>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206" fontId="9" fillId="0" borderId="161">
      <alignment horizontal="right"/>
    </xf>
    <xf numFmtId="206" fontId="9" fillId="0" borderId="161">
      <alignment horizontal="right"/>
    </xf>
    <xf numFmtId="206" fontId="9" fillId="0" borderId="161">
      <alignment horizontal="right"/>
    </xf>
    <xf numFmtId="206" fontId="9" fillId="0" borderId="161">
      <alignment horizontal="right"/>
    </xf>
    <xf numFmtId="206" fontId="9" fillId="0" borderId="161">
      <alignment horizontal="right"/>
    </xf>
    <xf numFmtId="206" fontId="9" fillId="0" borderId="161">
      <alignment horizontal="right"/>
    </xf>
    <xf numFmtId="206" fontId="9" fillId="0" borderId="161">
      <alignment horizontal="right"/>
    </xf>
    <xf numFmtId="206" fontId="9" fillId="0" borderId="161">
      <alignment horizontal="right"/>
    </xf>
    <xf numFmtId="206" fontId="9" fillId="0" borderId="161">
      <alignment horizontal="right"/>
    </xf>
    <xf numFmtId="206" fontId="9" fillId="0" borderId="161">
      <alignment horizontal="right"/>
    </xf>
    <xf numFmtId="206" fontId="9" fillId="0" borderId="161">
      <alignment horizontal="right"/>
    </xf>
    <xf numFmtId="206" fontId="9" fillId="0" borderId="161">
      <alignment horizontal="right"/>
    </xf>
    <xf numFmtId="206" fontId="9" fillId="0" borderId="161">
      <alignment horizontal="right"/>
    </xf>
    <xf numFmtId="206" fontId="9" fillId="0" borderId="161">
      <alignment horizontal="right"/>
    </xf>
    <xf numFmtId="206" fontId="9" fillId="0" borderId="161">
      <alignment horizontal="right"/>
    </xf>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10" fontId="12" fillId="47" borderId="176" applyNumberFormat="0" applyBorder="0" applyAlignment="0" applyProtection="0"/>
    <xf numFmtId="309" fontId="9" fillId="47" borderId="194" applyFont="0" applyAlignment="0">
      <protection locked="0"/>
    </xf>
    <xf numFmtId="309" fontId="9" fillId="47" borderId="194" applyFont="0" applyAlignment="0">
      <protection locked="0"/>
    </xf>
    <xf numFmtId="37" fontId="221" fillId="47" borderId="194" applyNumberFormat="0" applyAlignment="0"/>
    <xf numFmtId="37" fontId="221" fillId="47" borderId="194" applyNumberFormat="0" applyAlignment="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0" fontId="179" fillId="46" borderId="181" applyNumberFormat="0" applyBorder="0" applyAlignment="0">
      <alignment horizontal="center"/>
    </xf>
    <xf numFmtId="337" fontId="9" fillId="0" borderId="157"/>
    <xf numFmtId="337" fontId="9" fillId="0" borderId="157"/>
    <xf numFmtId="337" fontId="9" fillId="0" borderId="157"/>
    <xf numFmtId="212" fontId="67" fillId="0" borderId="157" applyBorder="0"/>
    <xf numFmtId="212" fontId="67" fillId="0" borderId="157" applyBorder="0"/>
    <xf numFmtId="212" fontId="67" fillId="0" borderId="157" applyBorder="0"/>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341" fontId="48" fillId="0" borderId="162" applyNumberFormat="0" applyBorder="0">
      <alignment horizontal="right"/>
    </xf>
    <xf numFmtId="341" fontId="48" fillId="0" borderId="162" applyNumberFormat="0" applyBorder="0">
      <alignment horizontal="right"/>
    </xf>
    <xf numFmtId="341" fontId="48" fillId="0" borderId="162" applyNumberFormat="0" applyBorder="0">
      <alignment horizontal="right"/>
    </xf>
    <xf numFmtId="4" fontId="273" fillId="98" borderId="163" applyNumberFormat="0" applyProtection="0">
      <alignment horizontal="center" vertical="center" wrapText="1"/>
    </xf>
    <xf numFmtId="4" fontId="273" fillId="98" borderId="163" applyNumberFormat="0" applyProtection="0">
      <alignment horizontal="center" vertical="center" wrapText="1"/>
    </xf>
    <xf numFmtId="4" fontId="273" fillId="98" borderId="163" applyNumberFormat="0" applyProtection="0">
      <alignment horizontal="center" vertical="center" wrapText="1"/>
    </xf>
    <xf numFmtId="0" fontId="253" fillId="105" borderId="163" applyNumberFormat="0" applyProtection="0">
      <alignment horizontal="center" vertical="center" wrapText="1"/>
    </xf>
    <xf numFmtId="0" fontId="253" fillId="105" borderId="163" applyNumberFormat="0" applyProtection="0">
      <alignment horizontal="center" vertical="center" wrapText="1"/>
    </xf>
    <xf numFmtId="0" fontId="253" fillId="105" borderId="163" applyNumberFormat="0" applyProtection="0">
      <alignment horizontal="center" vertical="center" wrapText="1"/>
    </xf>
    <xf numFmtId="41" fontId="48" fillId="0" borderId="0" applyFont="0" applyFill="0" applyBorder="0" applyAlignment="0" applyProtection="0"/>
    <xf numFmtId="43" fontId="50" fillId="0" borderId="0" applyFont="0" applyFill="0" applyBorder="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67" fillId="0" borderId="164" applyNumberFormat="0" applyFill="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38" fontId="9" fillId="80" borderId="209"/>
    <xf numFmtId="38" fontId="9" fillId="80" borderId="209"/>
    <xf numFmtId="38" fontId="9" fillId="80" borderId="209"/>
    <xf numFmtId="38" fontId="9" fillId="80" borderId="209"/>
    <xf numFmtId="38" fontId="9" fillId="80" borderId="209"/>
    <xf numFmtId="38" fontId="9" fillId="80" borderId="209"/>
    <xf numFmtId="38" fontId="9" fillId="80" borderId="209"/>
    <xf numFmtId="38" fontId="9" fillId="80" borderId="209"/>
    <xf numFmtId="38" fontId="9" fillId="80" borderId="209"/>
    <xf numFmtId="38" fontId="9" fillId="80" borderId="209"/>
    <xf numFmtId="41" fontId="71" fillId="0" borderId="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37" fontId="12" fillId="48" borderId="212" applyNumberFormat="0" applyBorder="0" applyAlignment="0"/>
    <xf numFmtId="214" fontId="44" fillId="46" borderId="211" applyNumberFormat="0" applyFont="0" applyBorder="0">
      <alignment horizontal="right"/>
    </xf>
    <xf numFmtId="214" fontId="44" fillId="46" borderId="211" applyNumberFormat="0" applyFont="0" applyBorder="0">
      <alignment horizontal="right"/>
    </xf>
    <xf numFmtId="214" fontId="44" fillId="46" borderId="211" applyNumberFormat="0" applyFont="0" applyBorder="0">
      <alignment horizontal="right"/>
    </xf>
    <xf numFmtId="214" fontId="44" fillId="46" borderId="211" applyNumberFormat="0" applyFont="0" applyBorder="0">
      <alignment horizontal="right"/>
    </xf>
    <xf numFmtId="214" fontId="44" fillId="46" borderId="211" applyNumberFormat="0" applyFont="0" applyBorder="0">
      <alignment horizontal="right"/>
    </xf>
    <xf numFmtId="214" fontId="44" fillId="46" borderId="211" applyNumberFormat="0" applyFont="0" applyBorder="0">
      <alignment horizontal="right"/>
    </xf>
    <xf numFmtId="214" fontId="44" fillId="46" borderId="211" applyNumberFormat="0" applyFont="0" applyBorder="0">
      <alignment horizontal="right"/>
    </xf>
    <xf numFmtId="214" fontId="44" fillId="46" borderId="211" applyNumberFormat="0" applyFont="0" applyBorder="0">
      <alignment horizontal="right"/>
    </xf>
    <xf numFmtId="214" fontId="44" fillId="46" borderId="211" applyNumberFormat="0" applyFont="0" applyBorder="0">
      <alignment horizontal="right"/>
    </xf>
    <xf numFmtId="214" fontId="44" fillId="46" borderId="211" applyNumberFormat="0" applyFont="0" applyBorder="0">
      <alignment horizontal="right"/>
    </xf>
    <xf numFmtId="214" fontId="44" fillId="46" borderId="211" applyNumberFormat="0" applyFont="0" applyBorder="0">
      <alignment horizontal="right"/>
    </xf>
    <xf numFmtId="214" fontId="44" fillId="46" borderId="211" applyNumberFormat="0" applyFont="0" applyBorder="0">
      <alignment horizontal="right"/>
    </xf>
    <xf numFmtId="214" fontId="44" fillId="46" borderId="211" applyNumberFormat="0" applyFont="0" applyBorder="0">
      <alignment horizontal="right"/>
    </xf>
    <xf numFmtId="214" fontId="44" fillId="46" borderId="211" applyNumberFormat="0" applyFont="0" applyBorder="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136" fillId="0" borderId="186" applyFill="0" applyProtection="0">
      <alignment horizontal="right"/>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205" fontId="48" fillId="52" borderId="165"/>
    <xf numFmtId="205" fontId="48" fillId="52" borderId="165"/>
    <xf numFmtId="205" fontId="48" fillId="52" borderId="165"/>
    <xf numFmtId="205" fontId="48" fillId="52" borderId="165"/>
    <xf numFmtId="205" fontId="48" fillId="52" borderId="165"/>
    <xf numFmtId="205" fontId="48" fillId="52" borderId="165"/>
    <xf numFmtId="205" fontId="48" fillId="52" borderId="165"/>
    <xf numFmtId="205" fontId="48" fillId="52" borderId="165"/>
    <xf numFmtId="205" fontId="48" fillId="52" borderId="165"/>
    <xf numFmtId="205" fontId="48" fillId="52" borderId="165"/>
    <xf numFmtId="205" fontId="48" fillId="52" borderId="165"/>
    <xf numFmtId="205" fontId="48" fillId="52" borderId="165"/>
    <xf numFmtId="205" fontId="48" fillId="52" borderId="165"/>
    <xf numFmtId="205" fontId="48" fillId="52" borderId="165"/>
    <xf numFmtId="205" fontId="48" fillId="52" borderId="165"/>
    <xf numFmtId="205" fontId="48" fillId="52" borderId="165"/>
    <xf numFmtId="205" fontId="48" fillId="52" borderId="165"/>
    <xf numFmtId="205" fontId="48" fillId="52" borderId="165"/>
    <xf numFmtId="205" fontId="48" fillId="52" borderId="165"/>
    <xf numFmtId="205" fontId="48" fillId="52" borderId="165"/>
    <xf numFmtId="205" fontId="48" fillId="52" borderId="165"/>
    <xf numFmtId="205" fontId="48" fillId="52" borderId="165"/>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209" fontId="9" fillId="0" borderId="166" applyBorder="0">
      <alignment horizontal="right"/>
    </xf>
    <xf numFmtId="0" fontId="13" fillId="77" borderId="209" applyNumberFormat="0" applyBorder="0" applyAlignment="0">
      <alignment horizontal="center" vertical="center"/>
      <protection locked="0"/>
    </xf>
    <xf numFmtId="0" fontId="13" fillId="77" borderId="209" applyNumberFormat="0" applyBorder="0" applyAlignment="0">
      <alignment horizontal="center" vertical="center"/>
      <protection locked="0"/>
    </xf>
    <xf numFmtId="0" fontId="13" fillId="77" borderId="209" applyNumberFormat="0" applyBorder="0" applyAlignment="0">
      <alignment horizontal="center" vertical="center"/>
      <protection locked="0"/>
    </xf>
    <xf numFmtId="0" fontId="13" fillId="77" borderId="209" applyNumberFormat="0" applyBorder="0" applyAlignment="0">
      <alignment horizontal="center" vertical="center"/>
      <protection locked="0"/>
    </xf>
    <xf numFmtId="0" fontId="13" fillId="77" borderId="209" applyNumberFormat="0" applyBorder="0" applyAlignment="0">
      <alignment horizontal="center" vertical="center"/>
      <protection locked="0"/>
    </xf>
    <xf numFmtId="0" fontId="13" fillId="77" borderId="209" applyNumberFormat="0" applyBorder="0" applyAlignment="0">
      <alignment horizontal="center" vertical="center"/>
      <protection locked="0"/>
    </xf>
    <xf numFmtId="0" fontId="13" fillId="77" borderId="209" applyNumberFormat="0" applyBorder="0" applyAlignment="0">
      <alignment horizontal="center" vertical="center"/>
      <protection locked="0"/>
    </xf>
    <xf numFmtId="0" fontId="13" fillId="77" borderId="209" applyNumberFormat="0" applyBorder="0" applyAlignment="0">
      <alignment horizontal="center" vertical="center"/>
      <protection locked="0"/>
    </xf>
    <xf numFmtId="0" fontId="13" fillId="77" borderId="209" applyNumberFormat="0" applyBorder="0" applyAlignment="0">
      <alignment horizontal="center" vertical="center"/>
      <protection locked="0"/>
    </xf>
    <xf numFmtId="0" fontId="13" fillId="77" borderId="209" applyNumberFormat="0" applyBorder="0" applyAlignment="0">
      <alignment horizontal="center" vertical="center"/>
      <protection locked="0"/>
    </xf>
    <xf numFmtId="0" fontId="13" fillId="77" borderId="209" applyNumberFormat="0" applyBorder="0" applyAlignment="0">
      <alignment horizontal="center" vertical="center"/>
      <protection locked="0"/>
    </xf>
    <xf numFmtId="0" fontId="13" fillId="77" borderId="209" applyNumberFormat="0" applyBorder="0" applyAlignment="0">
      <alignment horizontal="center" vertical="center"/>
      <protection locked="0"/>
    </xf>
    <xf numFmtId="0" fontId="13" fillId="77" borderId="209" applyNumberFormat="0" applyBorder="0" applyAlignment="0">
      <alignment horizontal="center" vertical="center"/>
      <protection locked="0"/>
    </xf>
    <xf numFmtId="0" fontId="13" fillId="77" borderId="209" applyNumberFormat="0" applyBorder="0" applyAlignment="0">
      <alignment horizontal="center" vertical="center"/>
      <protection locked="0"/>
    </xf>
    <xf numFmtId="0" fontId="13" fillId="77" borderId="209" applyNumberFormat="0" applyBorder="0" applyAlignment="0">
      <alignment horizontal="center" vertical="center"/>
      <protection locked="0"/>
    </xf>
    <xf numFmtId="0" fontId="13" fillId="77" borderId="209" applyNumberFormat="0" applyBorder="0" applyAlignment="0">
      <alignment horizontal="center" vertical="center"/>
      <protection locked="0"/>
    </xf>
    <xf numFmtId="0" fontId="13" fillId="77" borderId="209" applyNumberFormat="0" applyBorder="0" applyAlignment="0">
      <alignment horizontal="center" vertical="center"/>
      <protection locked="0"/>
    </xf>
    <xf numFmtId="0" fontId="13" fillId="77" borderId="209" applyNumberFormat="0" applyBorder="0" applyAlignment="0">
      <alignment horizontal="center" vertical="center"/>
      <protection locked="0"/>
    </xf>
    <xf numFmtId="0" fontId="13" fillId="77" borderId="209" applyNumberFormat="0" applyBorder="0" applyAlignment="0">
      <alignment horizontal="center" vertical="center"/>
      <protection locked="0"/>
    </xf>
    <xf numFmtId="213" fontId="117" fillId="44" borderId="209">
      <alignment horizontal="center"/>
      <protection locked="0"/>
    </xf>
    <xf numFmtId="213" fontId="117" fillId="44" borderId="209">
      <alignment horizontal="center"/>
      <protection locked="0"/>
    </xf>
    <xf numFmtId="213" fontId="117" fillId="44" borderId="209">
      <alignment horizontal="center"/>
      <protection locked="0"/>
    </xf>
    <xf numFmtId="213" fontId="117" fillId="44" borderId="209">
      <alignment horizontal="center"/>
      <protection locked="0"/>
    </xf>
    <xf numFmtId="213" fontId="117" fillId="44" borderId="209">
      <alignment horizontal="center"/>
      <protection locked="0"/>
    </xf>
    <xf numFmtId="213" fontId="117" fillId="44" borderId="209">
      <alignment horizontal="center"/>
      <protection locked="0"/>
    </xf>
    <xf numFmtId="213" fontId="117" fillId="44" borderId="209">
      <alignment horizontal="center"/>
      <protection locked="0"/>
    </xf>
    <xf numFmtId="213" fontId="117" fillId="44" borderId="209">
      <alignment horizontal="center"/>
      <protection locked="0"/>
    </xf>
    <xf numFmtId="213" fontId="117" fillId="44" borderId="209">
      <alignment horizontal="center"/>
      <protection locked="0"/>
    </xf>
    <xf numFmtId="213" fontId="117" fillId="44" borderId="209">
      <alignment horizontal="center"/>
      <protection locked="0"/>
    </xf>
    <xf numFmtId="213" fontId="117" fillId="44" borderId="209">
      <alignment horizontal="center"/>
      <protection locked="0"/>
    </xf>
    <xf numFmtId="213" fontId="117" fillId="44" borderId="209">
      <alignment horizontal="center"/>
      <protection locked="0"/>
    </xf>
    <xf numFmtId="213" fontId="117" fillId="44" borderId="209">
      <alignment horizontal="center"/>
      <protection locked="0"/>
    </xf>
    <xf numFmtId="213" fontId="117" fillId="44" borderId="209">
      <alignment horizontal="center"/>
      <protection locked="0"/>
    </xf>
    <xf numFmtId="213" fontId="117" fillId="44" borderId="209">
      <alignment horizontal="center"/>
      <protection locked="0"/>
    </xf>
    <xf numFmtId="213" fontId="117" fillId="44" borderId="209">
      <alignment horizontal="center"/>
      <protection locked="0"/>
    </xf>
    <xf numFmtId="213" fontId="117" fillId="44" borderId="209">
      <alignment horizontal="center"/>
      <protection locked="0"/>
    </xf>
    <xf numFmtId="213" fontId="117" fillId="44" borderId="209">
      <alignment horizontal="center"/>
      <protection locked="0"/>
    </xf>
    <xf numFmtId="213" fontId="117" fillId="44" borderId="209">
      <alignment horizontal="center"/>
      <protection locked="0"/>
    </xf>
    <xf numFmtId="213" fontId="117" fillId="44" borderId="209">
      <alignment horizontal="center"/>
      <protection locked="0"/>
    </xf>
    <xf numFmtId="213" fontId="117" fillId="44" borderId="209">
      <alignment horizontal="center"/>
      <protection locked="0"/>
    </xf>
    <xf numFmtId="212" fontId="118" fillId="44" borderId="209" applyBorder="0"/>
    <xf numFmtId="212" fontId="118" fillId="44" borderId="209" applyBorder="0"/>
    <xf numFmtId="212" fontId="118" fillId="44" borderId="209" applyBorder="0"/>
    <xf numFmtId="212" fontId="118" fillId="44" borderId="209" applyBorder="0"/>
    <xf numFmtId="212" fontId="118" fillId="44" borderId="209" applyBorder="0"/>
    <xf numFmtId="212" fontId="118" fillId="44" borderId="209" applyBorder="0"/>
    <xf numFmtId="212" fontId="118" fillId="44" borderId="209" applyBorder="0"/>
    <xf numFmtId="212" fontId="118" fillId="44" borderId="209" applyBorder="0"/>
    <xf numFmtId="212" fontId="118" fillId="44" borderId="209" applyBorder="0"/>
    <xf numFmtId="212" fontId="118" fillId="44" borderId="209" applyBorder="0"/>
    <xf numFmtId="212" fontId="118" fillId="44" borderId="209" applyBorder="0"/>
    <xf numFmtId="212" fontId="118" fillId="44" borderId="209" applyBorder="0"/>
    <xf numFmtId="212" fontId="118" fillId="44" borderId="209" applyBorder="0"/>
    <xf numFmtId="212" fontId="118" fillId="44" borderId="209" applyBorder="0"/>
    <xf numFmtId="212" fontId="118" fillId="44" borderId="209" applyBorder="0"/>
    <xf numFmtId="212" fontId="118" fillId="44" borderId="209" applyBorder="0"/>
    <xf numFmtId="212" fontId="118" fillId="44" borderId="209" applyBorder="0"/>
    <xf numFmtId="212" fontId="118" fillId="44" borderId="209" applyBorder="0"/>
    <xf numFmtId="212" fontId="118" fillId="44" borderId="209" applyBorder="0"/>
    <xf numFmtId="212" fontId="118" fillId="44" borderId="209" applyBorder="0"/>
    <xf numFmtId="212" fontId="118" fillId="44" borderId="209" applyBorder="0"/>
    <xf numFmtId="0" fontId="117" fillId="44" borderId="209"/>
    <xf numFmtId="0" fontId="117" fillId="44" borderId="209"/>
    <xf numFmtId="0" fontId="117" fillId="44" borderId="209"/>
    <xf numFmtId="0" fontId="117" fillId="44" borderId="209"/>
    <xf numFmtId="0" fontId="117" fillId="44" borderId="209"/>
    <xf numFmtId="0" fontId="117" fillId="44" borderId="209"/>
    <xf numFmtId="0" fontId="117" fillId="44" borderId="209"/>
    <xf numFmtId="0" fontId="117" fillId="44" borderId="209"/>
    <xf numFmtId="0" fontId="117" fillId="44" borderId="209"/>
    <xf numFmtId="0" fontId="117" fillId="44" borderId="209"/>
    <xf numFmtId="0" fontId="117" fillId="44" borderId="209"/>
    <xf numFmtId="0" fontId="117" fillId="44" borderId="209"/>
    <xf numFmtId="0" fontId="117" fillId="44" borderId="209"/>
    <xf numFmtId="0" fontId="117" fillId="44" borderId="209"/>
    <xf numFmtId="0" fontId="117" fillId="44" borderId="209"/>
    <xf numFmtId="0" fontId="117" fillId="44" borderId="209"/>
    <xf numFmtId="0" fontId="117" fillId="44" borderId="209"/>
    <xf numFmtId="41" fontId="9" fillId="0" borderId="0" applyFont="0" applyFill="0" applyBorder="0" applyAlignment="0" applyProtection="0"/>
    <xf numFmtId="44" fontId="109" fillId="0" borderId="0" applyFont="0" applyFill="0" applyBorder="0" applyAlignment="0" applyProtection="0"/>
    <xf numFmtId="44" fontId="10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202" fontId="73" fillId="0" borderId="183">
      <alignment horizontal="left" vertical="center"/>
    </xf>
    <xf numFmtId="202" fontId="73" fillId="0" borderId="183">
      <alignment horizontal="left" vertical="center"/>
    </xf>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0" fontId="110" fillId="0" borderId="148" applyBorder="0"/>
    <xf numFmtId="8" fontId="109" fillId="0" borderId="0" applyFont="0" applyFill="0" applyBorder="0" applyAlignment="0" applyProtection="0"/>
    <xf numFmtId="8" fontId="109" fillId="0" borderId="0" applyFont="0" applyFill="0" applyBorder="0" applyAlignment="0" applyProtection="0"/>
    <xf numFmtId="0" fontId="117" fillId="44" borderId="165"/>
    <xf numFmtId="0" fontId="117" fillId="44" borderId="165"/>
    <xf numFmtId="0" fontId="117" fillId="44" borderId="165"/>
    <xf numFmtId="0" fontId="117" fillId="44" borderId="165"/>
    <xf numFmtId="0" fontId="117" fillId="44" borderId="165"/>
    <xf numFmtId="0" fontId="117" fillId="44" borderId="165"/>
    <xf numFmtId="0" fontId="117" fillId="44" borderId="165"/>
    <xf numFmtId="0" fontId="117" fillId="44" borderId="165"/>
    <xf numFmtId="0" fontId="117" fillId="44" borderId="165"/>
    <xf numFmtId="0" fontId="117" fillId="44" borderId="165"/>
    <xf numFmtId="0" fontId="117" fillId="44" borderId="165"/>
    <xf numFmtId="0" fontId="117" fillId="44" borderId="165"/>
    <xf numFmtId="0" fontId="117" fillId="44" borderId="165"/>
    <xf numFmtId="0" fontId="117" fillId="44" borderId="165"/>
    <xf numFmtId="0" fontId="117" fillId="44" borderId="165"/>
    <xf numFmtId="0" fontId="117" fillId="44" borderId="165"/>
    <xf numFmtId="0" fontId="117" fillId="44" borderId="165"/>
    <xf numFmtId="0" fontId="117" fillId="44" borderId="165"/>
    <xf numFmtId="0" fontId="117" fillId="44" borderId="165"/>
    <xf numFmtId="0" fontId="117" fillId="44" borderId="165"/>
    <xf numFmtId="0" fontId="117" fillId="44" borderId="165"/>
    <xf numFmtId="0" fontId="117" fillId="44" borderId="165"/>
    <xf numFmtId="212" fontId="118" fillId="44" borderId="165" applyBorder="0"/>
    <xf numFmtId="212" fontId="118" fillId="44" borderId="165" applyBorder="0"/>
    <xf numFmtId="212" fontId="118" fillId="44" borderId="165" applyBorder="0"/>
    <xf numFmtId="212" fontId="118" fillId="44" borderId="165" applyBorder="0"/>
    <xf numFmtId="212" fontId="118" fillId="44" borderId="165" applyBorder="0"/>
    <xf numFmtId="212" fontId="118" fillId="44" borderId="165" applyBorder="0"/>
    <xf numFmtId="212" fontId="118" fillId="44" borderId="165" applyBorder="0"/>
    <xf numFmtId="212" fontId="118" fillId="44" borderId="165" applyBorder="0"/>
    <xf numFmtId="212" fontId="118" fillId="44" borderId="165" applyBorder="0"/>
    <xf numFmtId="212" fontId="118" fillId="44" borderId="165" applyBorder="0"/>
    <xf numFmtId="212" fontId="118" fillId="44" borderId="165" applyBorder="0"/>
    <xf numFmtId="212" fontId="118" fillId="44" borderId="165" applyBorder="0"/>
    <xf numFmtId="212" fontId="118" fillId="44" borderId="165" applyBorder="0"/>
    <xf numFmtId="212" fontId="118" fillId="44" borderId="165" applyBorder="0"/>
    <xf numFmtId="212" fontId="118" fillId="44" borderId="165" applyBorder="0"/>
    <xf numFmtId="212" fontId="118" fillId="44" borderId="165" applyBorder="0"/>
    <xf numFmtId="212" fontId="118" fillId="44" borderId="165" applyBorder="0"/>
    <xf numFmtId="212" fontId="118" fillId="44" borderId="165" applyBorder="0"/>
    <xf numFmtId="212" fontId="118" fillId="44" borderId="165" applyBorder="0"/>
    <xf numFmtId="212" fontId="118" fillId="44" borderId="165" applyBorder="0"/>
    <xf numFmtId="212" fontId="118" fillId="44" borderId="165" applyBorder="0"/>
    <xf numFmtId="212" fontId="118" fillId="44" borderId="165" applyBorder="0"/>
    <xf numFmtId="213" fontId="117" fillId="44" borderId="165">
      <alignment horizontal="center"/>
      <protection locked="0"/>
    </xf>
    <xf numFmtId="213" fontId="117" fillId="44" borderId="165">
      <alignment horizontal="center"/>
      <protection locked="0"/>
    </xf>
    <xf numFmtId="213" fontId="117" fillId="44" borderId="165">
      <alignment horizontal="center"/>
      <protection locked="0"/>
    </xf>
    <xf numFmtId="213" fontId="117" fillId="44" borderId="165">
      <alignment horizontal="center"/>
      <protection locked="0"/>
    </xf>
    <xf numFmtId="213" fontId="117" fillId="44" borderId="165">
      <alignment horizontal="center"/>
      <protection locked="0"/>
    </xf>
    <xf numFmtId="213" fontId="117" fillId="44" borderId="165">
      <alignment horizontal="center"/>
      <protection locked="0"/>
    </xf>
    <xf numFmtId="213" fontId="117" fillId="44" borderId="165">
      <alignment horizontal="center"/>
      <protection locked="0"/>
    </xf>
    <xf numFmtId="213" fontId="117" fillId="44" borderId="165">
      <alignment horizontal="center"/>
      <protection locked="0"/>
    </xf>
    <xf numFmtId="213" fontId="117" fillId="44" borderId="165">
      <alignment horizontal="center"/>
      <protection locked="0"/>
    </xf>
    <xf numFmtId="213" fontId="117" fillId="44" borderId="165">
      <alignment horizontal="center"/>
      <protection locked="0"/>
    </xf>
    <xf numFmtId="213" fontId="117" fillId="44" borderId="165">
      <alignment horizontal="center"/>
      <protection locked="0"/>
    </xf>
    <xf numFmtId="213" fontId="117" fillId="44" borderId="165">
      <alignment horizontal="center"/>
      <protection locked="0"/>
    </xf>
    <xf numFmtId="213" fontId="117" fillId="44" borderId="165">
      <alignment horizontal="center"/>
      <protection locked="0"/>
    </xf>
    <xf numFmtId="213" fontId="117" fillId="44" borderId="165">
      <alignment horizontal="center"/>
      <protection locked="0"/>
    </xf>
    <xf numFmtId="213" fontId="117" fillId="44" borderId="165">
      <alignment horizontal="center"/>
      <protection locked="0"/>
    </xf>
    <xf numFmtId="213" fontId="117" fillId="44" borderId="165">
      <alignment horizontal="center"/>
      <protection locked="0"/>
    </xf>
    <xf numFmtId="213" fontId="117" fillId="44" borderId="165">
      <alignment horizontal="center"/>
      <protection locked="0"/>
    </xf>
    <xf numFmtId="213" fontId="117" fillId="44" borderId="165">
      <alignment horizontal="center"/>
      <protection locked="0"/>
    </xf>
    <xf numFmtId="213" fontId="117" fillId="44" borderId="165">
      <alignment horizontal="center"/>
      <protection locked="0"/>
    </xf>
    <xf numFmtId="213" fontId="117" fillId="44" borderId="165">
      <alignment horizontal="center"/>
      <protection locked="0"/>
    </xf>
    <xf numFmtId="213" fontId="117" fillId="44" borderId="165">
      <alignment horizontal="center"/>
      <protection locked="0"/>
    </xf>
    <xf numFmtId="213" fontId="117" fillId="44" borderId="165">
      <alignment horizontal="center"/>
      <protection locked="0"/>
    </xf>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9" fontId="9" fillId="0" borderId="148" applyNumberFormat="0" applyFont="0" applyFill="0" applyAlignment="0" applyProtection="0"/>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0" fontId="13" fillId="77" borderId="165" applyNumberFormat="0" applyBorder="0" applyAlignment="0">
      <alignment horizontal="center" vertical="center"/>
      <protection locked="0"/>
    </xf>
    <xf numFmtId="0" fontId="13" fillId="77" borderId="165" applyNumberFormat="0" applyBorder="0" applyAlignment="0">
      <alignment horizontal="center" vertical="center"/>
      <protection locked="0"/>
    </xf>
    <xf numFmtId="0" fontId="13" fillId="77" borderId="165" applyNumberFormat="0" applyBorder="0" applyAlignment="0">
      <alignment horizontal="center" vertical="center"/>
      <protection locked="0"/>
    </xf>
    <xf numFmtId="0" fontId="13" fillId="77" borderId="165" applyNumberFormat="0" applyBorder="0" applyAlignment="0">
      <alignment horizontal="center" vertical="center"/>
      <protection locked="0"/>
    </xf>
    <xf numFmtId="0" fontId="13" fillId="77" borderId="165" applyNumberFormat="0" applyBorder="0" applyAlignment="0">
      <alignment horizontal="center" vertical="center"/>
      <protection locked="0"/>
    </xf>
    <xf numFmtId="0" fontId="13" fillId="77" borderId="165" applyNumberFormat="0" applyBorder="0" applyAlignment="0">
      <alignment horizontal="center" vertical="center"/>
      <protection locked="0"/>
    </xf>
    <xf numFmtId="0" fontId="13" fillId="77" borderId="165" applyNumberFormat="0" applyBorder="0" applyAlignment="0">
      <alignment horizontal="center" vertical="center"/>
      <protection locked="0"/>
    </xf>
    <xf numFmtId="0" fontId="13" fillId="77" borderId="165" applyNumberFormat="0" applyBorder="0" applyAlignment="0">
      <alignment horizontal="center" vertical="center"/>
      <protection locked="0"/>
    </xf>
    <xf numFmtId="0" fontId="13" fillId="77" borderId="165" applyNumberFormat="0" applyBorder="0" applyAlignment="0">
      <alignment horizontal="center" vertical="center"/>
      <protection locked="0"/>
    </xf>
    <xf numFmtId="0" fontId="13" fillId="77" borderId="165" applyNumberFormat="0" applyBorder="0" applyAlignment="0">
      <alignment horizontal="center" vertical="center"/>
      <protection locked="0"/>
    </xf>
    <xf numFmtId="0" fontId="13" fillId="77" borderId="165" applyNumberFormat="0" applyBorder="0" applyAlignment="0">
      <alignment horizontal="center" vertical="center"/>
      <protection locked="0"/>
    </xf>
    <xf numFmtId="0" fontId="13" fillId="77" borderId="165" applyNumberFormat="0" applyBorder="0" applyAlignment="0">
      <alignment horizontal="center" vertical="center"/>
      <protection locked="0"/>
    </xf>
    <xf numFmtId="0" fontId="13" fillId="77" borderId="165" applyNumberFormat="0" applyBorder="0" applyAlignment="0">
      <alignment horizontal="center" vertical="center"/>
      <protection locked="0"/>
    </xf>
    <xf numFmtId="0" fontId="13" fillId="77" borderId="165" applyNumberFormat="0" applyBorder="0" applyAlignment="0">
      <alignment horizontal="center" vertical="center"/>
      <protection locked="0"/>
    </xf>
    <xf numFmtId="0" fontId="13" fillId="77" borderId="165" applyNumberFormat="0" applyBorder="0" applyAlignment="0">
      <alignment horizontal="center" vertical="center"/>
      <protection locked="0"/>
    </xf>
    <xf numFmtId="0" fontId="13" fillId="77" borderId="165" applyNumberFormat="0" applyBorder="0" applyAlignment="0">
      <alignment horizontal="center" vertical="center"/>
      <protection locked="0"/>
    </xf>
    <xf numFmtId="0" fontId="13" fillId="77" borderId="165" applyNumberFormat="0" applyBorder="0" applyAlignment="0">
      <alignment horizontal="center" vertical="center"/>
      <protection locked="0"/>
    </xf>
    <xf numFmtId="0" fontId="13" fillId="77" borderId="165" applyNumberFormat="0" applyBorder="0" applyAlignment="0">
      <alignment horizontal="center" vertical="center"/>
      <protection locked="0"/>
    </xf>
    <xf numFmtId="0" fontId="13" fillId="77" borderId="165" applyNumberFormat="0" applyBorder="0" applyAlignment="0">
      <alignment horizontal="center" vertical="center"/>
      <protection locked="0"/>
    </xf>
    <xf numFmtId="0" fontId="13" fillId="77" borderId="165" applyNumberFormat="0" applyBorder="0" applyAlignment="0">
      <alignment horizontal="center" vertical="center"/>
      <protection locked="0"/>
    </xf>
    <xf numFmtId="0" fontId="13" fillId="77" borderId="165" applyNumberFormat="0" applyBorder="0" applyAlignment="0">
      <alignment horizontal="center" vertical="center"/>
      <protection locked="0"/>
    </xf>
    <xf numFmtId="0" fontId="13" fillId="77" borderId="165" applyNumberFormat="0" applyBorder="0" applyAlignment="0">
      <alignment horizontal="center" vertical="center"/>
      <protection locked="0"/>
    </xf>
    <xf numFmtId="202" fontId="73" fillId="0" borderId="183">
      <alignment horizontal="left" vertical="center"/>
    </xf>
    <xf numFmtId="202" fontId="73" fillId="0" borderId="183">
      <alignment horizontal="left" vertical="center"/>
    </xf>
    <xf numFmtId="202" fontId="73" fillId="0" borderId="183">
      <alignment horizontal="left" vertical="center"/>
    </xf>
    <xf numFmtId="202" fontId="73" fillId="0" borderId="183">
      <alignment horizontal="left" vertical="center"/>
    </xf>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0" fontId="132" fillId="0" borderId="148" applyNumberFormat="0" applyFill="0"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5" fontId="135" fillId="0" borderId="119" applyAlignment="0" applyProtection="0"/>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9" fillId="0" borderId="144" applyNumberFormat="0" applyFont="0" applyFill="0" applyAlignment="0" applyProtection="0">
      <alignment horizontal="center" wrapText="1"/>
    </xf>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214" fontId="44" fillId="46" borderId="167" applyNumberFormat="0" applyFont="0" applyBorder="0">
      <alignment horizontal="right"/>
    </xf>
    <xf numFmtId="214" fontId="44" fillId="46" borderId="167" applyNumberFormat="0" applyFont="0" applyBorder="0">
      <alignment horizontal="right"/>
    </xf>
    <xf numFmtId="214" fontId="44" fillId="46" borderId="167" applyNumberFormat="0" applyFont="0" applyBorder="0">
      <alignment horizontal="right"/>
    </xf>
    <xf numFmtId="214" fontId="44" fillId="46" borderId="167" applyNumberFormat="0" applyFont="0" applyBorder="0">
      <alignment horizontal="right"/>
    </xf>
    <xf numFmtId="214" fontId="44" fillId="46" borderId="167" applyNumberFormat="0" applyFont="0" applyBorder="0">
      <alignment horizontal="right"/>
    </xf>
    <xf numFmtId="214" fontId="44" fillId="46" borderId="167" applyNumberFormat="0" applyFont="0" applyBorder="0">
      <alignment horizontal="right"/>
    </xf>
    <xf numFmtId="214" fontId="44" fillId="46" borderId="167" applyNumberFormat="0" applyFont="0" applyBorder="0">
      <alignment horizontal="right"/>
    </xf>
    <xf numFmtId="214" fontId="44" fillId="46" borderId="167" applyNumberFormat="0" applyFont="0" applyBorder="0">
      <alignment horizontal="right"/>
    </xf>
    <xf numFmtId="214" fontId="44" fillId="46" borderId="167" applyNumberFormat="0" applyFont="0" applyBorder="0">
      <alignment horizontal="right"/>
    </xf>
    <xf numFmtId="214" fontId="44" fillId="46" borderId="167" applyNumberFormat="0" applyFont="0" applyBorder="0">
      <alignment horizontal="right"/>
    </xf>
    <xf numFmtId="214" fontId="44" fillId="46" borderId="167" applyNumberFormat="0" applyFont="0" applyBorder="0">
      <alignment horizontal="right"/>
    </xf>
    <xf numFmtId="214" fontId="44" fillId="46" borderId="167" applyNumberFormat="0" applyFont="0" applyBorder="0">
      <alignment horizontal="right"/>
    </xf>
    <xf numFmtId="214" fontId="44" fillId="46" borderId="167" applyNumberFormat="0" applyFont="0" applyBorder="0">
      <alignment horizontal="right"/>
    </xf>
    <xf numFmtId="214" fontId="44" fillId="46" borderId="167" applyNumberFormat="0" applyFont="0" applyBorder="0">
      <alignment horizontal="right"/>
    </xf>
    <xf numFmtId="214" fontId="44" fillId="46" borderId="167" applyNumberFormat="0" applyFont="0" applyBorder="0">
      <alignment horizontal="right"/>
    </xf>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37" fontId="12" fillId="48" borderId="168" applyNumberFormat="0" applyBorder="0" applyAlignment="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229" fontId="12" fillId="0" borderId="149" applyNumberFormat="0" applyFont="0" applyFill="0" applyBorder="0" applyAlignment="0" applyProtection="0"/>
    <xf numFmtId="37" fontId="81" fillId="78" borderId="148" applyFill="0" applyBorder="0"/>
    <xf numFmtId="37" fontId="81" fillId="78" borderId="148" applyFill="0" applyBorder="0"/>
    <xf numFmtId="37" fontId="81" fillId="78" borderId="148" applyFill="0" applyBorder="0"/>
    <xf numFmtId="37" fontId="81" fillId="78" borderId="148" applyFill="0" applyBorder="0"/>
    <xf numFmtId="37" fontId="81" fillId="78" borderId="148" applyFill="0" applyBorder="0"/>
    <xf numFmtId="37" fontId="81" fillId="78" borderId="148" applyFill="0" applyBorder="0"/>
    <xf numFmtId="37" fontId="81" fillId="78" borderId="148" applyFill="0" applyBorder="0"/>
    <xf numFmtId="37" fontId="81" fillId="78" borderId="148" applyFill="0" applyBorder="0"/>
    <xf numFmtId="37" fontId="81" fillId="78" borderId="148" applyFill="0" applyBorder="0"/>
    <xf numFmtId="37" fontId="81" fillId="78" borderId="148" applyFill="0" applyBorder="0"/>
    <xf numFmtId="37" fontId="81" fillId="78" borderId="148" applyFill="0" applyBorder="0"/>
    <xf numFmtId="37" fontId="81" fillId="78" borderId="148" applyFill="0" applyBorder="0"/>
    <xf numFmtId="37" fontId="81" fillId="78" borderId="148" applyFill="0" applyBorder="0"/>
    <xf numFmtId="37" fontId="81" fillId="78" borderId="148" applyFill="0" applyBorder="0"/>
    <xf numFmtId="37" fontId="81" fillId="78" borderId="148" applyFill="0" applyBorder="0"/>
    <xf numFmtId="37" fontId="81" fillId="78" borderId="148" applyFill="0" applyBorder="0"/>
    <xf numFmtId="37" fontId="81" fillId="78" borderId="148" applyFill="0" applyBorder="0"/>
    <xf numFmtId="38" fontId="9" fillId="80" borderId="165"/>
    <xf numFmtId="38" fontId="9" fillId="80" borderId="165"/>
    <xf numFmtId="38" fontId="9" fillId="80" borderId="165"/>
    <xf numFmtId="38" fontId="9" fillId="80" borderId="165"/>
    <xf numFmtId="38" fontId="9" fillId="80" borderId="165"/>
    <xf numFmtId="38" fontId="9" fillId="80" borderId="165"/>
    <xf numFmtId="38" fontId="9" fillId="80" borderId="165"/>
    <xf numFmtId="38" fontId="9" fillId="80" borderId="165"/>
    <xf numFmtId="38" fontId="9" fillId="80" borderId="165"/>
    <xf numFmtId="38" fontId="9" fillId="80" borderId="165"/>
    <xf numFmtId="38" fontId="9" fillId="80" borderId="165"/>
    <xf numFmtId="38" fontId="9" fillId="80" borderId="165"/>
    <xf numFmtId="38" fontId="9" fillId="80" borderId="165"/>
    <xf numFmtId="38" fontId="9" fillId="80" borderId="165"/>
    <xf numFmtId="38" fontId="9" fillId="80" borderId="165"/>
    <xf numFmtId="38" fontId="9" fillId="80" borderId="165"/>
    <xf numFmtId="38" fontId="9" fillId="80" borderId="165"/>
    <xf numFmtId="38" fontId="9" fillId="80" borderId="165"/>
    <xf numFmtId="38" fontId="9" fillId="80" borderId="165"/>
    <xf numFmtId="38" fontId="9" fillId="80" borderId="165"/>
    <xf numFmtId="38" fontId="9" fillId="80" borderId="165"/>
    <xf numFmtId="38" fontId="9" fillId="80" borderId="165"/>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67" fillId="0" borderId="208" applyNumberFormat="0" applyFill="0" applyAlignment="0" applyProtection="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0" fontId="147" fillId="80" borderId="145" applyBorder="0"/>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8" fontId="9" fillId="0" borderId="130" applyFont="0" applyFill="0" applyBorder="0" applyProtection="0">
      <alignment horizontal="right"/>
    </xf>
    <xf numFmtId="38" fontId="9" fillId="0" borderId="169"/>
    <xf numFmtId="38" fontId="9" fillId="0" borderId="169"/>
    <xf numFmtId="38" fontId="9" fillId="0" borderId="169"/>
    <xf numFmtId="38" fontId="9" fillId="0" borderId="169"/>
    <xf numFmtId="38" fontId="9" fillId="0" borderId="169"/>
    <xf numFmtId="38" fontId="9" fillId="0" borderId="169"/>
    <xf numFmtId="38" fontId="9" fillId="0" borderId="169"/>
    <xf numFmtId="38" fontId="9" fillId="0" borderId="169"/>
    <xf numFmtId="38" fontId="9" fillId="0" borderId="169"/>
    <xf numFmtId="38" fontId="9" fillId="0" borderId="169"/>
    <xf numFmtId="38" fontId="9" fillId="0" borderId="169"/>
    <xf numFmtId="38" fontId="9" fillId="0" borderId="169"/>
    <xf numFmtId="38" fontId="9" fillId="0" borderId="169"/>
    <xf numFmtId="38" fontId="9" fillId="0" borderId="169"/>
    <xf numFmtId="38" fontId="9" fillId="0" borderId="169"/>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0" fontId="156" fillId="0" borderId="148" applyNumberFormat="0" applyFill="0" applyProtection="0">
      <alignment horizontal="center"/>
    </xf>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6" fontId="51" fillId="0" borderId="0" applyFont="0" applyFill="0" applyBorder="0" applyAlignment="0" applyProtection="0"/>
    <xf numFmtId="8" fontId="51" fillId="0" borderId="0" applyFont="0" applyFill="0" applyBorder="0" applyAlignment="0" applyProtection="0"/>
    <xf numFmtId="8" fontId="51" fillId="0" borderId="0" applyFont="0" applyFill="0" applyBorder="0" applyAlignment="0" applyProtection="0"/>
    <xf numFmtId="8" fontId="166" fillId="0" borderId="0" applyBorder="0"/>
    <xf numFmtId="8" fontId="166" fillId="0" borderId="0" applyBorder="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251" fontId="9" fillId="46" borderId="165"/>
    <xf numFmtId="251" fontId="9" fillId="46" borderId="165"/>
    <xf numFmtId="251" fontId="9" fillId="46" borderId="165"/>
    <xf numFmtId="251" fontId="9" fillId="46" borderId="165"/>
    <xf numFmtId="251" fontId="9" fillId="46" borderId="165"/>
    <xf numFmtId="251" fontId="9" fillId="46" borderId="165"/>
    <xf numFmtId="251" fontId="9" fillId="46" borderId="165"/>
    <xf numFmtId="251" fontId="9" fillId="46" borderId="165"/>
    <xf numFmtId="251" fontId="9" fillId="46" borderId="165"/>
    <xf numFmtId="251" fontId="9" fillId="46" borderId="165"/>
    <xf numFmtId="251" fontId="9" fillId="46" borderId="165"/>
    <xf numFmtId="251" fontId="9" fillId="46" borderId="165"/>
    <xf numFmtId="251" fontId="9" fillId="46" borderId="165"/>
    <xf numFmtId="251" fontId="9" fillId="46" borderId="165"/>
    <xf numFmtId="251" fontId="9" fillId="46" borderId="165"/>
    <xf numFmtId="251" fontId="9" fillId="46" borderId="165"/>
    <xf numFmtId="251" fontId="9" fillId="46" borderId="165"/>
    <xf numFmtId="251" fontId="9" fillId="46" borderId="165"/>
    <xf numFmtId="251" fontId="9" fillId="46" borderId="165"/>
    <xf numFmtId="251" fontId="9" fillId="46" borderId="165"/>
    <xf numFmtId="251" fontId="9" fillId="46" borderId="165"/>
    <xf numFmtId="251" fontId="9" fillId="46" borderId="165"/>
    <xf numFmtId="5" fontId="130" fillId="0" borderId="0"/>
    <xf numFmtId="5" fontId="130" fillId="0" borderId="0"/>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4" fontId="13" fillId="0" borderId="148"/>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65" fontId="174"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249" fontId="9" fillId="0" borderId="148" applyFont="0" applyFill="0" applyBorder="0" applyAlignment="0" applyProtection="0">
      <alignment horizontal="right"/>
    </xf>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0" fontId="175" fillId="0" borderId="148"/>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2" fontId="131" fillId="0" borderId="146"/>
    <xf numFmtId="337" fontId="9" fillId="0" borderId="201"/>
    <xf numFmtId="337" fontId="9" fillId="0" borderId="201"/>
    <xf numFmtId="337" fontId="9" fillId="0" borderId="201"/>
    <xf numFmtId="0" fontId="9" fillId="50" borderId="196" applyNumberFormat="0" applyFont="0" applyAlignment="0" applyProtection="0"/>
    <xf numFmtId="0" fontId="9" fillId="50" borderId="196" applyNumberFormat="0" applyFont="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206" fontId="9" fillId="0" borderId="205">
      <alignment horizontal="right"/>
    </xf>
    <xf numFmtId="206" fontId="9" fillId="0" borderId="205">
      <alignment horizontal="right"/>
    </xf>
    <xf numFmtId="206" fontId="9" fillId="0" borderId="205">
      <alignment horizontal="right"/>
    </xf>
    <xf numFmtId="206" fontId="9" fillId="0" borderId="205">
      <alignment horizontal="right"/>
    </xf>
    <xf numFmtId="206" fontId="9" fillId="0" borderId="205">
      <alignment horizontal="right"/>
    </xf>
    <xf numFmtId="206" fontId="9" fillId="0" borderId="205">
      <alignment horizontal="right"/>
    </xf>
    <xf numFmtId="206" fontId="9" fillId="0" borderId="205">
      <alignment horizontal="right"/>
    </xf>
    <xf numFmtId="206" fontId="9" fillId="0" borderId="205">
      <alignment horizontal="right"/>
    </xf>
    <xf numFmtId="206" fontId="9" fillId="0" borderId="205">
      <alignment horizontal="right"/>
    </xf>
    <xf numFmtId="206" fontId="9" fillId="0" borderId="205">
      <alignment horizontal="right"/>
    </xf>
    <xf numFmtId="206" fontId="9" fillId="0" borderId="205">
      <alignment horizontal="right"/>
    </xf>
    <xf numFmtId="206" fontId="9" fillId="0" borderId="205">
      <alignment horizontal="right"/>
    </xf>
    <xf numFmtId="206" fontId="9" fillId="0" borderId="205">
      <alignment horizontal="right"/>
    </xf>
    <xf numFmtId="206" fontId="9" fillId="0" borderId="205">
      <alignment horizontal="right"/>
    </xf>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51" fontId="9" fillId="44" borderId="201"/>
    <xf numFmtId="251" fontId="9" fillId="44" borderId="201"/>
    <xf numFmtId="251" fontId="9" fillId="44" borderId="201"/>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319" fontId="237" fillId="44" borderId="204"/>
    <xf numFmtId="319" fontId="237" fillId="44" borderId="204"/>
    <xf numFmtId="319" fontId="237" fillId="44" borderId="204"/>
    <xf numFmtId="319" fontId="237" fillId="44" borderId="204"/>
    <xf numFmtId="319" fontId="237" fillId="44" borderId="204"/>
    <xf numFmtId="319" fontId="237" fillId="44" borderId="204"/>
    <xf numFmtId="319" fontId="237" fillId="44" borderId="204"/>
    <xf numFmtId="319" fontId="237" fillId="44" borderId="204"/>
    <xf numFmtId="37" fontId="9" fillId="47" borderId="203" applyNumberFormat="0" applyFont="0" applyAlignment="0">
      <protection locked="0"/>
    </xf>
    <xf numFmtId="37" fontId="9" fillId="47" borderId="203" applyNumberFormat="0" applyFont="0" applyAlignment="0">
      <protection locked="0"/>
    </xf>
    <xf numFmtId="37" fontId="9" fillId="47" borderId="203" applyNumberFormat="0" applyFont="0" applyAlignment="0">
      <protection locked="0"/>
    </xf>
    <xf numFmtId="37" fontId="9" fillId="47" borderId="203" applyNumberFormat="0" applyFont="0" applyAlignment="0">
      <protection locked="0"/>
    </xf>
    <xf numFmtId="37" fontId="9" fillId="47" borderId="203" applyNumberFormat="0" applyFont="0" applyAlignment="0">
      <protection locked="0"/>
    </xf>
    <xf numFmtId="37" fontId="9" fillId="47" borderId="203" applyNumberFormat="0" applyFont="0" applyAlignment="0">
      <protection locked="0"/>
    </xf>
    <xf numFmtId="37" fontId="9" fillId="47" borderId="203" applyNumberFormat="0" applyFont="0" applyAlignment="0">
      <protection locked="0"/>
    </xf>
    <xf numFmtId="37" fontId="9" fillId="47" borderId="203" applyNumberFormat="0" applyFont="0" applyAlignment="0">
      <protection locked="0"/>
    </xf>
    <xf numFmtId="37" fontId="9" fillId="47" borderId="203" applyNumberFormat="0" applyFont="0" applyAlignment="0">
      <protection locked="0"/>
    </xf>
    <xf numFmtId="229" fontId="9" fillId="47" borderId="203" applyFont="0" applyAlignment="0">
      <protection locked="0"/>
    </xf>
    <xf numFmtId="229" fontId="9" fillId="47" borderId="203" applyFont="0" applyAlignment="0">
      <protection locked="0"/>
    </xf>
    <xf numFmtId="229" fontId="9" fillId="47" borderId="203" applyFont="0" applyAlignment="0">
      <protection locked="0"/>
    </xf>
    <xf numFmtId="229" fontId="9" fillId="47" borderId="203" applyFont="0" applyAlignment="0">
      <protection locked="0"/>
    </xf>
    <xf numFmtId="229" fontId="9" fillId="47" borderId="203" applyFont="0" applyAlignment="0">
      <protection locked="0"/>
    </xf>
    <xf numFmtId="229" fontId="9" fillId="47" borderId="203" applyFont="0" applyAlignment="0">
      <protection locked="0"/>
    </xf>
    <xf numFmtId="229" fontId="9" fillId="47" borderId="203" applyFont="0" applyAlignment="0">
      <protection locked="0"/>
    </xf>
    <xf numFmtId="229" fontId="9" fillId="47" borderId="203" applyFont="0" applyAlignment="0">
      <protection locked="0"/>
    </xf>
    <xf numFmtId="37" fontId="9" fillId="47" borderId="203" applyNumberFormat="0" applyFont="0" applyBorder="0" applyAlignment="0">
      <protection locked="0"/>
    </xf>
    <xf numFmtId="37" fontId="9" fillId="47" borderId="203" applyNumberFormat="0" applyFont="0" applyBorder="0" applyAlignment="0">
      <protection locked="0"/>
    </xf>
    <xf numFmtId="37" fontId="9" fillId="47" borderId="203" applyNumberFormat="0" applyFont="0" applyBorder="0" applyAlignment="0">
      <protection locked="0"/>
    </xf>
    <xf numFmtId="0" fontId="83" fillId="78" borderId="165" applyNumberFormat="0" applyAlignment="0">
      <alignment horizontal="center"/>
      <protection locked="0"/>
    </xf>
    <xf numFmtId="0" fontId="83" fillId="78" borderId="165" applyNumberFormat="0" applyAlignment="0">
      <alignment horizontal="center"/>
      <protection locked="0"/>
    </xf>
    <xf numFmtId="0" fontId="83" fillId="78" borderId="165" applyNumberFormat="0" applyAlignment="0">
      <alignment horizontal="center"/>
      <protection locked="0"/>
    </xf>
    <xf numFmtId="0" fontId="83" fillId="78" borderId="165" applyNumberFormat="0" applyAlignment="0">
      <alignment horizontal="center"/>
      <protection locked="0"/>
    </xf>
    <xf numFmtId="0" fontId="83" fillId="78" borderId="165" applyNumberFormat="0" applyAlignment="0">
      <alignment horizontal="center"/>
      <protection locked="0"/>
    </xf>
    <xf numFmtId="0" fontId="83" fillId="78" borderId="165" applyNumberFormat="0" applyAlignment="0">
      <alignment horizontal="center"/>
      <protection locked="0"/>
    </xf>
    <xf numFmtId="0" fontId="83" fillId="78" borderId="165" applyNumberFormat="0" applyAlignment="0">
      <alignment horizontal="center"/>
      <protection locked="0"/>
    </xf>
    <xf numFmtId="0" fontId="83" fillId="78" borderId="165" applyNumberFormat="0" applyAlignment="0">
      <alignment horizontal="center"/>
      <protection locked="0"/>
    </xf>
    <xf numFmtId="0" fontId="83" fillId="78" borderId="165" applyNumberFormat="0" applyAlignment="0">
      <alignment horizontal="center"/>
      <protection locked="0"/>
    </xf>
    <xf numFmtId="0" fontId="83" fillId="78" borderId="165" applyNumberFormat="0" applyAlignment="0">
      <alignment horizontal="center"/>
      <protection locked="0"/>
    </xf>
    <xf numFmtId="0" fontId="83" fillId="78" borderId="165" applyNumberFormat="0" applyAlignment="0">
      <alignment horizontal="center"/>
      <protection locked="0"/>
    </xf>
    <xf numFmtId="0" fontId="83" fillId="78" borderId="165" applyNumberFormat="0" applyAlignment="0">
      <alignment horizontal="center"/>
      <protection locked="0"/>
    </xf>
    <xf numFmtId="0" fontId="83" fillId="78" borderId="165" applyNumberFormat="0" applyAlignment="0">
      <alignment horizontal="center"/>
      <protection locked="0"/>
    </xf>
    <xf numFmtId="0" fontId="83" fillId="78" borderId="165" applyNumberFormat="0" applyAlignment="0">
      <alignment horizontal="center"/>
      <protection locked="0"/>
    </xf>
    <xf numFmtId="0" fontId="83" fillId="78" borderId="165" applyNumberFormat="0" applyAlignment="0">
      <alignment horizontal="center"/>
      <protection locked="0"/>
    </xf>
    <xf numFmtId="0" fontId="83" fillId="78" borderId="165" applyNumberFormat="0" applyAlignment="0">
      <alignment horizontal="center"/>
      <protection locked="0"/>
    </xf>
    <xf numFmtId="0" fontId="83" fillId="78" borderId="165" applyNumberFormat="0" applyAlignment="0">
      <alignment horizontal="center"/>
      <protection locked="0"/>
    </xf>
    <xf numFmtId="0" fontId="83" fillId="78" borderId="165" applyNumberFormat="0" applyAlignment="0">
      <alignment horizontal="center"/>
      <protection locked="0"/>
    </xf>
    <xf numFmtId="0" fontId="83" fillId="78" borderId="165" applyNumberFormat="0" applyAlignment="0">
      <alignment horizontal="center"/>
      <protection locked="0"/>
    </xf>
    <xf numFmtId="0" fontId="83" fillId="78" borderId="165" applyNumberFormat="0" applyAlignment="0">
      <alignment horizontal="center"/>
      <protection locked="0"/>
    </xf>
    <xf numFmtId="0" fontId="83" fillId="78" borderId="165" applyNumberFormat="0" applyAlignment="0">
      <alignment horizontal="center"/>
      <protection locked="0"/>
    </xf>
    <xf numFmtId="0" fontId="83" fillId="78" borderId="165" applyNumberFormat="0" applyAlignment="0">
      <alignment horizontal="center"/>
      <protection locked="0"/>
    </xf>
    <xf numFmtId="301" fontId="117" fillId="50" borderId="201" applyAlignment="0">
      <protection locked="0"/>
    </xf>
    <xf numFmtId="300" fontId="48" fillId="44" borderId="201" applyFont="0" applyAlignment="0"/>
    <xf numFmtId="300" fontId="48" fillId="44" borderId="201" applyFont="0" applyAlignment="0"/>
    <xf numFmtId="300" fontId="48" fillId="44" borderId="201" applyFont="0" applyAlignment="0"/>
    <xf numFmtId="15" fontId="117" fillId="50" borderId="201">
      <alignment horizontal="center"/>
      <protection locked="0"/>
    </xf>
    <xf numFmtId="15" fontId="117" fillId="50" borderId="201">
      <alignment horizontal="center"/>
      <protection locked="0"/>
    </xf>
    <xf numFmtId="15" fontId="117" fillId="50" borderId="201">
      <alignment horizontal="center"/>
      <protection locked="0"/>
    </xf>
    <xf numFmtId="299" fontId="202" fillId="75" borderId="178" applyAlignment="0" applyProtection="0"/>
    <xf numFmtId="299" fontId="202" fillId="75" borderId="178" applyAlignment="0" applyProtection="0"/>
    <xf numFmtId="299" fontId="202" fillId="75" borderId="178" applyAlignment="0" applyProtection="0"/>
    <xf numFmtId="0" fontId="73" fillId="0" borderId="183">
      <alignment horizontal="left"/>
    </xf>
    <xf numFmtId="202" fontId="73" fillId="0" borderId="183">
      <alignment horizontal="left"/>
    </xf>
    <xf numFmtId="0" fontId="197" fillId="0" borderId="183">
      <alignment horizontal="right" wrapText="1"/>
    </xf>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83" fillId="78" borderId="201" applyNumberFormat="0" applyAlignment="0">
      <alignment horizontal="center"/>
      <protection locked="0"/>
    </xf>
    <xf numFmtId="0" fontId="83" fillId="78" borderId="201" applyNumberFormat="0" applyAlignment="0">
      <alignment horizontal="center"/>
      <protection locked="0"/>
    </xf>
    <xf numFmtId="0" fontId="83" fillId="78" borderId="201" applyNumberFormat="0" applyAlignment="0">
      <alignment horizontal="center"/>
      <protection locked="0"/>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251" fontId="9" fillId="46" borderId="201"/>
    <xf numFmtId="251" fontId="9" fillId="46" borderId="201"/>
    <xf numFmtId="251" fontId="9" fillId="46" borderId="201"/>
    <xf numFmtId="38" fontId="9" fillId="0" borderId="202"/>
    <xf numFmtId="38" fontId="9" fillId="0" borderId="202"/>
    <xf numFmtId="38" fontId="9" fillId="0" borderId="202"/>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38" fontId="9" fillId="80" borderId="201"/>
    <xf numFmtId="38" fontId="9" fillId="80" borderId="201"/>
    <xf numFmtId="37" fontId="12" fillId="48" borderId="188" applyNumberFormat="0" applyBorder="0" applyAlignment="0"/>
    <xf numFmtId="37" fontId="12" fillId="48" borderId="188" applyNumberFormat="0" applyBorder="0" applyAlignment="0"/>
    <xf numFmtId="37" fontId="12" fillId="48" borderId="188" applyNumberFormat="0" applyBorder="0" applyAlignment="0"/>
    <xf numFmtId="37" fontId="12" fillId="48" borderId="188" applyNumberFormat="0" applyBorder="0" applyAlignment="0"/>
    <xf numFmtId="37" fontId="12" fillId="48" borderId="188" applyNumberFormat="0" applyBorder="0" applyAlignment="0"/>
    <xf numFmtId="37" fontId="12" fillId="48" borderId="188" applyNumberFormat="0" applyBorder="0" applyAlignment="0"/>
    <xf numFmtId="37" fontId="12" fillId="48" borderId="188" applyNumberFormat="0" applyBorder="0" applyAlignment="0"/>
    <xf numFmtId="37" fontId="12" fillId="48" borderId="188" applyNumberFormat="0" applyBorder="0" applyAlignment="0"/>
    <xf numFmtId="37" fontId="12" fillId="48" borderId="188" applyNumberFormat="0" applyBorder="0" applyAlignment="0"/>
    <xf numFmtId="214" fontId="44" fillId="46" borderId="187" applyNumberFormat="0" applyFont="0" applyBorder="0">
      <alignment horizontal="right"/>
    </xf>
    <xf numFmtId="214" fontId="44" fillId="46" borderId="187" applyNumberFormat="0" applyFont="0" applyBorder="0">
      <alignment horizontal="right"/>
    </xf>
    <xf numFmtId="214" fontId="44" fillId="46" borderId="187" applyNumberFormat="0" applyFont="0" applyBorder="0">
      <alignment horizontal="right"/>
    </xf>
    <xf numFmtId="0" fontId="136" fillId="0" borderId="186" applyFill="0" applyProtection="0">
      <alignment horizontal="right"/>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5" fontId="135" fillId="0" borderId="199" applyAlignment="0" applyProtection="0"/>
    <xf numFmtId="5" fontId="135" fillId="0" borderId="199" applyAlignment="0" applyProtection="0"/>
    <xf numFmtId="5" fontId="135" fillId="0" borderId="199" applyAlignment="0" applyProtection="0"/>
    <xf numFmtId="0" fontId="13" fillId="77" borderId="172" applyNumberFormat="0" applyBorder="0" applyAlignment="0">
      <alignment horizontal="center" vertical="center"/>
      <protection locked="0"/>
    </xf>
    <xf numFmtId="0" fontId="13" fillId="77" borderId="172" applyNumberFormat="0" applyBorder="0" applyAlignment="0">
      <alignment horizontal="center" vertical="center"/>
      <protection locked="0"/>
    </xf>
    <xf numFmtId="0" fontId="13" fillId="77" borderId="172" applyNumberFormat="0" applyBorder="0" applyAlignment="0">
      <alignment horizontal="center" vertical="center"/>
      <protection locked="0"/>
    </xf>
    <xf numFmtId="213" fontId="117" fillId="44" borderId="172">
      <alignment horizontal="center"/>
      <protection locked="0"/>
    </xf>
    <xf numFmtId="213" fontId="117" fillId="44" borderId="172">
      <alignment horizontal="center"/>
      <protection locked="0"/>
    </xf>
    <xf numFmtId="212" fontId="118" fillId="44" borderId="172" applyBorder="0"/>
    <xf numFmtId="212" fontId="118" fillId="44" borderId="172" applyBorder="0"/>
    <xf numFmtId="212" fontId="118" fillId="44" borderId="172" applyBorder="0"/>
    <xf numFmtId="0" fontId="117" fillId="44" borderId="172"/>
    <xf numFmtId="0" fontId="117" fillId="44" borderId="172"/>
    <xf numFmtId="0" fontId="117" fillId="44" borderId="172"/>
    <xf numFmtId="202" fontId="73" fillId="0" borderId="183">
      <alignment horizontal="left" vertical="center"/>
    </xf>
    <xf numFmtId="202" fontId="73" fillId="0" borderId="183">
      <alignment horizontal="left" vertical="center"/>
    </xf>
    <xf numFmtId="202" fontId="73" fillId="0" borderId="183">
      <alignment horizontal="left" vertical="center"/>
    </xf>
    <xf numFmtId="209" fontId="9" fillId="0" borderId="185" applyBorder="0">
      <alignment horizontal="right"/>
    </xf>
    <xf numFmtId="209" fontId="9" fillId="0" borderId="185" applyBorder="0">
      <alignment horizontal="right"/>
    </xf>
    <xf numFmtId="209" fontId="9" fillId="0" borderId="185" applyBorder="0">
      <alignment horizontal="right"/>
    </xf>
    <xf numFmtId="209" fontId="9" fillId="0" borderId="185" applyBorder="0">
      <alignment horizontal="right"/>
    </xf>
    <xf numFmtId="209" fontId="9" fillId="0" borderId="185" applyBorder="0">
      <alignment horizontal="right"/>
    </xf>
    <xf numFmtId="209" fontId="9" fillId="0" borderId="185" applyBorder="0">
      <alignment horizontal="right"/>
    </xf>
    <xf numFmtId="205" fontId="48" fillId="52" borderId="172"/>
    <xf numFmtId="205" fontId="48" fillId="52" borderId="172"/>
    <xf numFmtId="205" fontId="48" fillId="52" borderId="172"/>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202" fontId="73" fillId="0" borderId="183">
      <alignment horizontal="left" vertical="center"/>
    </xf>
    <xf numFmtId="202" fontId="73" fillId="0" borderId="183">
      <alignment horizontal="left" vertical="center"/>
    </xf>
    <xf numFmtId="202" fontId="73" fillId="0" borderId="183">
      <alignment horizontal="left" vertical="center"/>
    </xf>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2" fontId="131" fillId="0" borderId="178"/>
    <xf numFmtId="2" fontId="131" fillId="0" borderId="178"/>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2" fontId="131" fillId="0" borderId="178"/>
    <xf numFmtId="2" fontId="131" fillId="0" borderId="178"/>
    <xf numFmtId="2" fontId="131" fillId="0" borderId="178"/>
    <xf numFmtId="0" fontId="37" fillId="0" borderId="178">
      <alignment horizontal="left" vertical="center"/>
    </xf>
    <xf numFmtId="4" fontId="144" fillId="70" borderId="197" applyNumberFormat="0" applyProtection="0">
      <alignment horizontal="right" vertical="center"/>
    </xf>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2" fillId="86" borderId="144"/>
    <xf numFmtId="0" fontId="191" fillId="59" borderId="189" applyNumberFormat="0" applyAlignment="0" applyProtection="0"/>
    <xf numFmtId="0" fontId="191" fillId="59" borderId="189" applyNumberFormat="0" applyAlignment="0" applyProtection="0"/>
    <xf numFmtId="0" fontId="9" fillId="80" borderId="197" applyNumberFormat="0" applyProtection="0">
      <alignment horizontal="left" vertical="top" indent="1"/>
    </xf>
    <xf numFmtId="4" fontId="144" fillId="71" borderId="197" applyNumberFormat="0" applyProtection="0">
      <alignment horizontal="right" vertical="center"/>
    </xf>
    <xf numFmtId="0" fontId="37" fillId="0" borderId="178">
      <alignment horizontal="left" vertical="center"/>
    </xf>
    <xf numFmtId="0" fontId="197" fillId="0" borderId="183">
      <alignment horizontal="right" wrapText="1"/>
    </xf>
    <xf numFmtId="5" fontId="135" fillId="0" borderId="199" applyAlignment="0" applyProtection="0"/>
    <xf numFmtId="202" fontId="207" fillId="0" borderId="183">
      <alignment horizontal="center"/>
    </xf>
    <xf numFmtId="0" fontId="145" fillId="75" borderId="189" applyNumberFormat="0" applyAlignment="0" applyProtection="0"/>
    <xf numFmtId="0" fontId="273" fillId="44" borderId="197" applyNumberFormat="0" applyProtection="0">
      <alignment horizontal="left" vertical="top" indent="1"/>
    </xf>
    <xf numFmtId="202" fontId="73" fillId="0" borderId="183">
      <alignment horizontal="left" vertical="center"/>
    </xf>
    <xf numFmtId="4" fontId="144" fillId="98" borderId="197" applyNumberFormat="0" applyProtection="0">
      <alignment horizontal="right" vertical="center"/>
    </xf>
    <xf numFmtId="202" fontId="73" fillId="0" borderId="183">
      <alignment horizontal="left" vertical="center"/>
    </xf>
    <xf numFmtId="0" fontId="145" fillId="75" borderId="189" applyNumberFormat="0" applyAlignment="0" applyProtection="0"/>
    <xf numFmtId="3" fontId="12" fillId="0" borderId="184" applyNumberFormat="0" applyFill="0" applyBorder="0" applyProtection="0"/>
    <xf numFmtId="4" fontId="273" fillId="44" borderId="197" applyNumberFormat="0" applyProtection="0">
      <alignment horizontal="left" vertical="center" indent="1"/>
    </xf>
    <xf numFmtId="0" fontId="145" fillId="75" borderId="189" applyNumberFormat="0" applyAlignment="0" applyProtection="0"/>
    <xf numFmtId="0" fontId="191" fillId="59" borderId="189" applyNumberFormat="0" applyAlignment="0" applyProtection="0"/>
    <xf numFmtId="202" fontId="73" fillId="0" borderId="183">
      <alignment horizontal="left" vertical="center"/>
    </xf>
    <xf numFmtId="202" fontId="73" fillId="0" borderId="183">
      <alignment horizontal="left" vertical="center"/>
    </xf>
    <xf numFmtId="4" fontId="144" fillId="55" borderId="197" applyNumberFormat="0" applyProtection="0">
      <alignment horizontal="right" vertical="center"/>
    </xf>
    <xf numFmtId="5" fontId="135" fillId="0" borderId="199" applyAlignment="0" applyProtection="0"/>
    <xf numFmtId="5" fontId="135" fillId="0" borderId="199" applyAlignment="0" applyProtection="0"/>
    <xf numFmtId="0" fontId="9" fillId="52" borderId="197" applyNumberFormat="0" applyProtection="0">
      <alignment horizontal="left" vertical="top" indent="1"/>
    </xf>
    <xf numFmtId="0" fontId="145" fillId="75" borderId="189" applyNumberFormat="0" applyAlignment="0" applyProtection="0"/>
    <xf numFmtId="0" fontId="145" fillId="75" borderId="189" applyNumberFormat="0" applyAlignment="0" applyProtection="0"/>
    <xf numFmtId="0" fontId="9" fillId="102" borderId="197" applyNumberFormat="0" applyProtection="0">
      <alignment horizontal="left" vertical="top" indent="1"/>
    </xf>
    <xf numFmtId="4" fontId="144" fillId="98" borderId="197" applyNumberFormat="0" applyProtection="0">
      <alignment horizontal="right" vertical="center"/>
    </xf>
    <xf numFmtId="5" fontId="135" fillId="0" borderId="199" applyAlignment="0" applyProtection="0"/>
    <xf numFmtId="0" fontId="191" fillId="59" borderId="189" applyNumberFormat="0" applyAlignment="0" applyProtection="0"/>
    <xf numFmtId="4" fontId="144" fillId="47" borderId="197" applyNumberFormat="0" applyProtection="0">
      <alignment horizontal="left" vertical="center" indent="1"/>
    </xf>
    <xf numFmtId="3" fontId="12" fillId="0" borderId="184" applyNumberFormat="0" applyFill="0" applyBorder="0" applyProtection="0"/>
    <xf numFmtId="0" fontId="9" fillId="80" borderId="197" applyNumberFormat="0" applyProtection="0">
      <alignment horizontal="left" vertical="center" indent="1"/>
    </xf>
    <xf numFmtId="0" fontId="191" fillId="59" borderId="189" applyNumberFormat="0" applyAlignment="0" applyProtection="0"/>
    <xf numFmtId="0" fontId="191" fillId="59" borderId="189" applyNumberFormat="0" applyAlignment="0" applyProtection="0"/>
    <xf numFmtId="5" fontId="135" fillId="0" borderId="199" applyAlignment="0" applyProtection="0"/>
    <xf numFmtId="0" fontId="9" fillId="50" borderId="196" applyNumberFormat="0" applyFont="0" applyAlignment="0" applyProtection="0"/>
    <xf numFmtId="5" fontId="135" fillId="0" borderId="199" applyAlignment="0" applyProtection="0"/>
    <xf numFmtId="0" fontId="145" fillId="75" borderId="189" applyNumberFormat="0" applyAlignment="0" applyProtection="0"/>
    <xf numFmtId="0" fontId="145" fillId="75" borderId="189" applyNumberFormat="0" applyAlignment="0" applyProtection="0"/>
    <xf numFmtId="3" fontId="12" fillId="0" borderId="184" applyNumberFormat="0" applyFill="0" applyBorder="0" applyProtection="0"/>
    <xf numFmtId="0" fontId="144" fillId="47" borderId="197" applyNumberFormat="0" applyProtection="0">
      <alignment horizontal="left" vertical="top" indent="1"/>
    </xf>
    <xf numFmtId="4" fontId="144" fillId="47" borderId="197" applyNumberFormat="0" applyProtection="0">
      <alignment vertical="center"/>
    </xf>
    <xf numFmtId="4" fontId="144" fillId="99" borderId="197" applyNumberFormat="0" applyProtection="0">
      <alignment horizontal="right" vertical="center"/>
    </xf>
    <xf numFmtId="202" fontId="73" fillId="0" borderId="183">
      <alignment horizontal="left" vertical="center"/>
    </xf>
    <xf numFmtId="0" fontId="191" fillId="59" borderId="189" applyNumberFormat="0" applyAlignment="0" applyProtection="0"/>
    <xf numFmtId="4" fontId="144" fillId="62" borderId="197" applyNumberFormat="0" applyProtection="0">
      <alignment horizontal="right" vertical="center"/>
    </xf>
    <xf numFmtId="0" fontId="9" fillId="80" borderId="197" applyNumberFormat="0" applyProtection="0">
      <alignment horizontal="left" vertical="top" indent="1"/>
    </xf>
    <xf numFmtId="4" fontId="144" fillId="69" borderId="197" applyNumberFormat="0" applyProtection="0">
      <alignment horizontal="right" vertical="center"/>
    </xf>
    <xf numFmtId="202" fontId="73" fillId="0" borderId="183">
      <alignment horizontal="left"/>
    </xf>
    <xf numFmtId="4" fontId="275" fillId="101" borderId="197" applyNumberFormat="0" applyProtection="0">
      <alignment horizontal="right" vertical="center"/>
    </xf>
    <xf numFmtId="202" fontId="73" fillId="0" borderId="183">
      <alignment horizontal="left" vertical="center"/>
    </xf>
    <xf numFmtId="4" fontId="273" fillId="50" borderId="197" applyNumberFormat="0" applyProtection="0">
      <alignment vertical="center"/>
    </xf>
    <xf numFmtId="4" fontId="144" fillId="63" borderId="197" applyNumberFormat="0" applyProtection="0">
      <alignment horizontal="right" vertical="center"/>
    </xf>
    <xf numFmtId="4" fontId="144" fillId="63" borderId="197" applyNumberFormat="0" applyProtection="0">
      <alignment horizontal="right" vertical="center"/>
    </xf>
    <xf numFmtId="3" fontId="12" fillId="0" borderId="184" applyNumberFormat="0" applyFill="0" applyBorder="0" applyProtection="0"/>
    <xf numFmtId="0" fontId="145" fillId="75" borderId="189" applyNumberFormat="0" applyAlignment="0" applyProtection="0"/>
    <xf numFmtId="3" fontId="12" fillId="0" borderId="184" applyNumberFormat="0" applyFill="0" applyBorder="0" applyProtection="0"/>
    <xf numFmtId="4" fontId="144" fillId="47" borderId="197" applyNumberFormat="0" applyProtection="0">
      <alignment horizontal="left" vertical="center" indent="1"/>
    </xf>
    <xf numFmtId="4" fontId="144" fillId="61" borderId="197" applyNumberFormat="0" applyProtection="0">
      <alignment horizontal="right" vertical="center"/>
    </xf>
    <xf numFmtId="0" fontId="145" fillId="75" borderId="189" applyNumberFormat="0"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299" fontId="202" fillId="75" borderId="146" applyAlignment="0" applyProtection="0"/>
    <xf numFmtId="15" fontId="117" fillId="50" borderId="165">
      <alignment horizontal="center"/>
      <protection locked="0"/>
    </xf>
    <xf numFmtId="15" fontId="117" fillId="50" borderId="165">
      <alignment horizontal="center"/>
      <protection locked="0"/>
    </xf>
    <xf numFmtId="15" fontId="117" fillId="50" borderId="165">
      <alignment horizontal="center"/>
      <protection locked="0"/>
    </xf>
    <xf numFmtId="15" fontId="117" fillId="50" borderId="165">
      <alignment horizontal="center"/>
      <protection locked="0"/>
    </xf>
    <xf numFmtId="15" fontId="117" fillId="50" borderId="165">
      <alignment horizontal="center"/>
      <protection locked="0"/>
    </xf>
    <xf numFmtId="15" fontId="117" fillId="50" borderId="165">
      <alignment horizontal="center"/>
      <protection locked="0"/>
    </xf>
    <xf numFmtId="15" fontId="117" fillId="50" borderId="165">
      <alignment horizontal="center"/>
      <protection locked="0"/>
    </xf>
    <xf numFmtId="15" fontId="117" fillId="50" borderId="165">
      <alignment horizontal="center"/>
      <protection locked="0"/>
    </xf>
    <xf numFmtId="15" fontId="117" fillId="50" borderId="165">
      <alignment horizontal="center"/>
      <protection locked="0"/>
    </xf>
    <xf numFmtId="15" fontId="117" fillId="50" borderId="165">
      <alignment horizontal="center"/>
      <protection locked="0"/>
    </xf>
    <xf numFmtId="15" fontId="117" fillId="50" borderId="165">
      <alignment horizontal="center"/>
      <protection locked="0"/>
    </xf>
    <xf numFmtId="15" fontId="117" fillId="50" borderId="165">
      <alignment horizontal="center"/>
      <protection locked="0"/>
    </xf>
    <xf numFmtId="15" fontId="117" fillId="50" borderId="165">
      <alignment horizontal="center"/>
      <protection locked="0"/>
    </xf>
    <xf numFmtId="15" fontId="117" fillId="50" borderId="165">
      <alignment horizontal="center"/>
      <protection locked="0"/>
    </xf>
    <xf numFmtId="15" fontId="117" fillId="50" borderId="165">
      <alignment horizontal="center"/>
      <protection locked="0"/>
    </xf>
    <xf numFmtId="15" fontId="117" fillId="50" borderId="165">
      <alignment horizontal="center"/>
      <protection locked="0"/>
    </xf>
    <xf numFmtId="15" fontId="117" fillId="50" borderId="165">
      <alignment horizontal="center"/>
      <protection locked="0"/>
    </xf>
    <xf numFmtId="15" fontId="117" fillId="50" borderId="165">
      <alignment horizontal="center"/>
      <protection locked="0"/>
    </xf>
    <xf numFmtId="15" fontId="117" fillId="50" borderId="165">
      <alignment horizontal="center"/>
      <protection locked="0"/>
    </xf>
    <xf numFmtId="15" fontId="117" fillId="50" borderId="165">
      <alignment horizontal="center"/>
      <protection locked="0"/>
    </xf>
    <xf numFmtId="15" fontId="117" fillId="50" borderId="165">
      <alignment horizontal="center"/>
      <protection locked="0"/>
    </xf>
    <xf numFmtId="15" fontId="117" fillId="50" borderId="165">
      <alignment horizontal="center"/>
      <protection locked="0"/>
    </xf>
    <xf numFmtId="300" fontId="48" fillId="44" borderId="165" applyFont="0" applyAlignment="0"/>
    <xf numFmtId="300" fontId="48" fillId="44" borderId="165" applyFont="0" applyAlignment="0"/>
    <xf numFmtId="300" fontId="48" fillId="44" borderId="165" applyFont="0" applyAlignment="0"/>
    <xf numFmtId="300" fontId="48" fillId="44" borderId="165" applyFont="0" applyAlignment="0"/>
    <xf numFmtId="300" fontId="48" fillId="44" borderId="165" applyFont="0" applyAlignment="0"/>
    <xf numFmtId="300" fontId="48" fillId="44" borderId="165" applyFont="0" applyAlignment="0"/>
    <xf numFmtId="300" fontId="48" fillId="44" borderId="165" applyFont="0" applyAlignment="0"/>
    <xf numFmtId="300" fontId="48" fillId="44" borderId="165" applyFont="0" applyAlignment="0"/>
    <xf numFmtId="300" fontId="48" fillId="44" borderId="165" applyFont="0" applyAlignment="0"/>
    <xf numFmtId="300" fontId="48" fillId="44" borderId="165" applyFont="0" applyAlignment="0"/>
    <xf numFmtId="300" fontId="48" fillId="44" borderId="165" applyFont="0" applyAlignment="0"/>
    <xf numFmtId="300" fontId="48" fillId="44" borderId="165" applyFont="0" applyAlignment="0"/>
    <xf numFmtId="300" fontId="48" fillId="44" borderId="165" applyFont="0" applyAlignment="0"/>
    <xf numFmtId="300" fontId="48" fillId="44" borderId="165" applyFont="0" applyAlignment="0"/>
    <xf numFmtId="300" fontId="48" fillId="44" borderId="165" applyFont="0" applyAlignment="0"/>
    <xf numFmtId="300" fontId="48" fillId="44" borderId="165" applyFont="0" applyAlignment="0"/>
    <xf numFmtId="300" fontId="48" fillId="44" borderId="165" applyFont="0" applyAlignment="0"/>
    <xf numFmtId="300" fontId="48" fillId="44" borderId="165" applyFont="0" applyAlignment="0"/>
    <xf numFmtId="300" fontId="48" fillId="44" borderId="165" applyFont="0" applyAlignment="0"/>
    <xf numFmtId="300" fontId="48" fillId="44" borderId="165" applyFont="0" applyAlignment="0"/>
    <xf numFmtId="300" fontId="48" fillId="44" borderId="165" applyFont="0" applyAlignment="0"/>
    <xf numFmtId="300" fontId="48" fillId="44" borderId="165" applyFont="0" applyAlignment="0"/>
    <xf numFmtId="301" fontId="117" fillId="50" borderId="165" applyAlignment="0">
      <protection locked="0"/>
    </xf>
    <xf numFmtId="301" fontId="117" fillId="50" borderId="165" applyAlignment="0">
      <protection locked="0"/>
    </xf>
    <xf numFmtId="301" fontId="117" fillId="50" borderId="165" applyAlignment="0">
      <protection locked="0"/>
    </xf>
    <xf numFmtId="301" fontId="117" fillId="50" borderId="165" applyAlignment="0">
      <protection locked="0"/>
    </xf>
    <xf numFmtId="301" fontId="117" fillId="50" borderId="165" applyAlignment="0">
      <protection locked="0"/>
    </xf>
    <xf numFmtId="301" fontId="117" fillId="50" borderId="165" applyAlignment="0">
      <protection locked="0"/>
    </xf>
    <xf numFmtId="301" fontId="117" fillId="50" borderId="165" applyAlignment="0">
      <protection locked="0"/>
    </xf>
    <xf numFmtId="301" fontId="117" fillId="50" borderId="165" applyAlignment="0">
      <protection locked="0"/>
    </xf>
    <xf numFmtId="301" fontId="117" fillId="50" borderId="165" applyAlignment="0">
      <protection locked="0"/>
    </xf>
    <xf numFmtId="301" fontId="117" fillId="50" borderId="165" applyAlignment="0">
      <protection locked="0"/>
    </xf>
    <xf numFmtId="301" fontId="117" fillId="50" borderId="165" applyAlignment="0">
      <protection locked="0"/>
    </xf>
    <xf numFmtId="301" fontId="117" fillId="50" borderId="165" applyAlignment="0">
      <protection locked="0"/>
    </xf>
    <xf numFmtId="301" fontId="117" fillId="50" borderId="165" applyAlignment="0">
      <protection locked="0"/>
    </xf>
    <xf numFmtId="301" fontId="117" fillId="50" borderId="165" applyAlignment="0">
      <protection locked="0"/>
    </xf>
    <xf numFmtId="301" fontId="117" fillId="50" borderId="165" applyAlignment="0">
      <protection locked="0"/>
    </xf>
    <xf numFmtId="301" fontId="117" fillId="50" borderId="165" applyAlignment="0">
      <protection locked="0"/>
    </xf>
    <xf numFmtId="301" fontId="117" fillId="50" borderId="165" applyAlignment="0">
      <protection locked="0"/>
    </xf>
    <xf numFmtId="301" fontId="117" fillId="50" borderId="165" applyAlignment="0">
      <protection locked="0"/>
    </xf>
    <xf numFmtId="301" fontId="117" fillId="50" borderId="165" applyAlignment="0">
      <protection locked="0"/>
    </xf>
    <xf numFmtId="301" fontId="117" fillId="50" borderId="165" applyAlignment="0">
      <protection locked="0"/>
    </xf>
    <xf numFmtId="301" fontId="117" fillId="50" borderId="165" applyAlignment="0">
      <protection locked="0"/>
    </xf>
    <xf numFmtId="301" fontId="117" fillId="50" borderId="165" applyAlignment="0">
      <protection locked="0"/>
    </xf>
    <xf numFmtId="300" fontId="117" fillId="50" borderId="165" applyAlignment="0">
      <protection locked="0"/>
    </xf>
    <xf numFmtId="300" fontId="117" fillId="50" borderId="165" applyAlignment="0">
      <protection locked="0"/>
    </xf>
    <xf numFmtId="300" fontId="117" fillId="50" borderId="165" applyAlignment="0">
      <protection locked="0"/>
    </xf>
    <xf numFmtId="300" fontId="117" fillId="50" borderId="165" applyAlignment="0">
      <protection locked="0"/>
    </xf>
    <xf numFmtId="300" fontId="117" fillId="50" borderId="165" applyAlignment="0">
      <protection locked="0"/>
    </xf>
    <xf numFmtId="300" fontId="117" fillId="50" borderId="165" applyAlignment="0">
      <protection locked="0"/>
    </xf>
    <xf numFmtId="300" fontId="117" fillId="50" borderId="165" applyAlignment="0">
      <protection locked="0"/>
    </xf>
    <xf numFmtId="300" fontId="117" fillId="50" borderId="165" applyAlignment="0">
      <protection locked="0"/>
    </xf>
    <xf numFmtId="300" fontId="117" fillId="50" borderId="165" applyAlignment="0">
      <protection locked="0"/>
    </xf>
    <xf numFmtId="300" fontId="117" fillId="50" borderId="165" applyAlignment="0">
      <protection locked="0"/>
    </xf>
    <xf numFmtId="300" fontId="117" fillId="50" borderId="165" applyAlignment="0">
      <protection locked="0"/>
    </xf>
    <xf numFmtId="300" fontId="117" fillId="50" borderId="165" applyAlignment="0">
      <protection locked="0"/>
    </xf>
    <xf numFmtId="300" fontId="117" fillId="50" borderId="165" applyAlignment="0">
      <protection locked="0"/>
    </xf>
    <xf numFmtId="300" fontId="117" fillId="50" borderId="165" applyAlignment="0">
      <protection locked="0"/>
    </xf>
    <xf numFmtId="300" fontId="117" fillId="50" borderId="165" applyAlignment="0">
      <protection locked="0"/>
    </xf>
    <xf numFmtId="300" fontId="117" fillId="50" borderId="165" applyAlignment="0">
      <protection locked="0"/>
    </xf>
    <xf numFmtId="300" fontId="117" fillId="50" borderId="165" applyAlignment="0">
      <protection locked="0"/>
    </xf>
    <xf numFmtId="300" fontId="117" fillId="50" borderId="165" applyAlignment="0">
      <protection locked="0"/>
    </xf>
    <xf numFmtId="300" fontId="117" fillId="50" borderId="165" applyAlignment="0">
      <protection locked="0"/>
    </xf>
    <xf numFmtId="300" fontId="117" fillId="50" borderId="165" applyAlignment="0">
      <protection locked="0"/>
    </xf>
    <xf numFmtId="300" fontId="117" fillId="50" borderId="165" applyAlignment="0">
      <protection locked="0"/>
    </xf>
    <xf numFmtId="300" fontId="117" fillId="50" borderId="165" applyAlignment="0">
      <protection locked="0"/>
    </xf>
    <xf numFmtId="5" fontId="135" fillId="0" borderId="199" applyAlignment="0" applyProtection="0"/>
    <xf numFmtId="0" fontId="136" fillId="0" borderId="186" applyFill="0" applyProtection="0">
      <alignment horizontal="right"/>
    </xf>
    <xf numFmtId="0" fontId="136" fillId="0" borderId="186" applyFill="0" applyProtection="0">
      <alignment horizontal="right"/>
    </xf>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299" fontId="202" fillId="75" borderId="178"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41" fontId="74" fillId="0" borderId="183" applyFill="0" applyBorder="0" applyProtection="0">
      <alignment horizontal="right" vertical="top"/>
    </xf>
    <xf numFmtId="202" fontId="207" fillId="0" borderId="183">
      <alignment horizontal="center"/>
    </xf>
    <xf numFmtId="299" fontId="202" fillId="75" borderId="178"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79" fillId="46" borderId="198" applyNumberFormat="0" applyBorder="0" applyAlignment="0">
      <alignment horizontal="center"/>
    </xf>
    <xf numFmtId="0" fontId="145" fillId="75" borderId="189" applyNumberFormat="0" applyAlignment="0" applyProtection="0"/>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41" fontId="74" fillId="0" borderId="105" applyFill="0" applyBorder="0" applyProtection="0">
      <alignment horizontal="right" vertical="top"/>
    </xf>
    <xf numFmtId="0" fontId="191" fillId="59"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202" fontId="73" fillId="0" borderId="183">
      <alignment horizontal="left"/>
    </xf>
    <xf numFmtId="0" fontId="136" fillId="0" borderId="186" applyFill="0" applyProtection="0">
      <alignment horizontal="right"/>
    </xf>
    <xf numFmtId="0" fontId="136" fillId="0" borderId="186" applyFill="0" applyProtection="0">
      <alignment horizontal="right"/>
    </xf>
    <xf numFmtId="5" fontId="135" fillId="0" borderId="199" applyAlignment="0" applyProtection="0"/>
    <xf numFmtId="41" fontId="74" fillId="0" borderId="183" applyFill="0" applyBorder="0" applyProtection="0">
      <alignment horizontal="right" vertical="top"/>
    </xf>
    <xf numFmtId="0" fontId="48" fillId="0" borderId="191" applyNumberFormat="0" applyFont="0" applyAlignment="0" applyProtection="0"/>
    <xf numFmtId="0" fontId="48" fillId="0" borderId="191"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305" fontId="9" fillId="0" borderId="200">
      <alignment horizontal="left"/>
      <protection locked="0"/>
    </xf>
    <xf numFmtId="38" fontId="15" fillId="46" borderId="193" applyNumberFormat="0" applyFont="0" applyAlignment="0"/>
    <xf numFmtId="202" fontId="73" fillId="0" borderId="183">
      <alignment horizontal="left" vertical="center"/>
    </xf>
    <xf numFmtId="0" fontId="73" fillId="0" borderId="183">
      <alignment horizontal="left"/>
    </xf>
    <xf numFmtId="0" fontId="9" fillId="102" borderId="197" applyNumberFormat="0" applyProtection="0">
      <alignment horizontal="left" vertical="center" indent="1"/>
    </xf>
    <xf numFmtId="202" fontId="73" fillId="0" borderId="183">
      <alignment horizontal="left" vertical="center"/>
    </xf>
    <xf numFmtId="0" fontId="144" fillId="104" borderId="197" applyNumberFormat="0" applyProtection="0">
      <alignment horizontal="left" vertical="center" indent="1"/>
    </xf>
    <xf numFmtId="0" fontId="9" fillId="72" borderId="197" applyNumberFormat="0" applyProtection="0">
      <alignment horizontal="left" vertical="top" indent="1"/>
    </xf>
    <xf numFmtId="4" fontId="144" fillId="70" borderId="197" applyNumberFormat="0" applyProtection="0">
      <alignment horizontal="right" vertical="center"/>
    </xf>
    <xf numFmtId="0" fontId="9" fillId="72" borderId="197" applyNumberFormat="0" applyProtection="0">
      <alignment horizontal="left" vertical="top" indent="1"/>
    </xf>
    <xf numFmtId="0" fontId="9" fillId="72" borderId="197" applyNumberFormat="0" applyProtection="0">
      <alignment horizontal="left" vertical="center" indent="1"/>
    </xf>
    <xf numFmtId="4" fontId="144" fillId="67" borderId="197" applyNumberFormat="0" applyProtection="0">
      <alignment horizontal="right" vertical="center"/>
    </xf>
    <xf numFmtId="0" fontId="191" fillId="59" borderId="189" applyNumberFormat="0" applyAlignment="0" applyProtection="0"/>
    <xf numFmtId="4" fontId="144" fillId="67" borderId="197" applyNumberFormat="0" applyProtection="0">
      <alignment horizontal="right" vertical="center"/>
    </xf>
    <xf numFmtId="4" fontId="144" fillId="55" borderId="197" applyNumberFormat="0" applyProtection="0">
      <alignment horizontal="right" vertical="center"/>
    </xf>
    <xf numFmtId="0" fontId="144" fillId="47" borderId="197" applyNumberFormat="0" applyProtection="0">
      <alignment horizontal="left" vertical="top" indent="1"/>
    </xf>
    <xf numFmtId="0" fontId="9" fillId="52" borderId="197" applyNumberFormat="0" applyProtection="0">
      <alignment horizontal="left" vertical="center" indent="1"/>
    </xf>
    <xf numFmtId="4" fontId="275" fillId="47" borderId="197" applyNumberFormat="0" applyProtection="0">
      <alignmen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3" fontId="12" fillId="0" borderId="184" applyNumberFormat="0" applyFill="0" applyBorder="0" applyProtection="0"/>
    <xf numFmtId="5" fontId="135" fillId="0" borderId="199" applyAlignment="0" applyProtection="0"/>
    <xf numFmtId="4" fontId="275" fillId="47" borderId="197" applyNumberFormat="0" applyProtection="0">
      <alignment vertical="center"/>
    </xf>
    <xf numFmtId="4" fontId="273" fillId="50" borderId="197" applyNumberFormat="0" applyProtection="0">
      <alignment vertical="center"/>
    </xf>
    <xf numFmtId="4" fontId="144" fillId="69" borderId="197" applyNumberFormat="0" applyProtection="0">
      <alignment horizontal="right" vertical="center"/>
    </xf>
    <xf numFmtId="0" fontId="9" fillId="50" borderId="196" applyNumberFormat="0" applyFont="0" applyAlignment="0" applyProtection="0"/>
    <xf numFmtId="4" fontId="144" fillId="47" borderId="197" applyNumberFormat="0" applyProtection="0">
      <alignment vertical="center"/>
    </xf>
    <xf numFmtId="0" fontId="191" fillId="59" borderId="189" applyNumberFormat="0" applyAlignment="0" applyProtection="0"/>
    <xf numFmtId="37" fontId="12" fillId="78" borderId="178" applyNumberFormat="0" applyFont="0" applyFill="0" applyBorder="0" applyAlignment="0" applyProtection="0"/>
    <xf numFmtId="4" fontId="274" fillId="44" borderId="197" applyNumberFormat="0" applyProtection="0">
      <alignment vertical="center"/>
    </xf>
    <xf numFmtId="0" fontId="191" fillId="59" borderId="189" applyNumberFormat="0" applyAlignment="0" applyProtection="0"/>
    <xf numFmtId="37" fontId="12" fillId="78" borderId="178" applyNumberFormat="0" applyFont="0" applyFill="0" applyBorder="0" applyAlignment="0" applyProtection="0"/>
    <xf numFmtId="0" fontId="191" fillId="59" borderId="189" applyNumberFormat="0" applyAlignment="0" applyProtection="0"/>
    <xf numFmtId="0" fontId="9" fillId="52" borderId="197" applyNumberFormat="0" applyProtection="0">
      <alignment horizontal="left" vertical="top" indent="1"/>
    </xf>
    <xf numFmtId="38" fontId="15" fillId="46" borderId="193" applyNumberFormat="0" applyFont="0" applyAlignment="0"/>
    <xf numFmtId="5" fontId="135" fillId="0" borderId="199" applyAlignment="0" applyProtection="0"/>
    <xf numFmtId="0" fontId="9" fillId="102" borderId="197" applyNumberFormat="0" applyProtection="0">
      <alignment horizontal="left" vertical="top" indent="1"/>
    </xf>
    <xf numFmtId="0" fontId="9" fillId="52" borderId="197" applyNumberFormat="0" applyProtection="0">
      <alignment horizontal="left" vertical="center" indent="1"/>
    </xf>
    <xf numFmtId="0" fontId="145" fillId="75" borderId="189" applyNumberFormat="0" applyAlignment="0" applyProtection="0"/>
    <xf numFmtId="202" fontId="73" fillId="0" borderId="183">
      <alignment horizontal="left" vertical="center"/>
    </xf>
    <xf numFmtId="0" fontId="191" fillId="59" borderId="189" applyNumberFormat="0" applyAlignment="0" applyProtection="0"/>
    <xf numFmtId="0" fontId="9" fillId="102" borderId="197" applyNumberFormat="0" applyProtection="0">
      <alignment horizontal="left" vertical="center" indent="1"/>
    </xf>
    <xf numFmtId="0" fontId="37" fillId="0" borderId="178">
      <alignment horizontal="left" vertical="center"/>
    </xf>
    <xf numFmtId="299" fontId="202" fillId="75" borderId="178" applyAlignment="0" applyProtection="0"/>
    <xf numFmtId="0" fontId="145" fillId="75" borderId="189" applyNumberFormat="0" applyAlignment="0" applyProtection="0"/>
    <xf numFmtId="0" fontId="191" fillId="59" borderId="189" applyNumberFormat="0" applyAlignment="0" applyProtection="0"/>
    <xf numFmtId="0" fontId="9" fillId="80" borderId="197" applyNumberFormat="0" applyProtection="0">
      <alignment horizontal="left" vertical="center" indent="1"/>
    </xf>
    <xf numFmtId="0" fontId="179" fillId="46" borderId="198" applyNumberFormat="0" applyBorder="0" applyAlignment="0">
      <alignment horizontal="center"/>
    </xf>
    <xf numFmtId="0" fontId="179" fillId="46" borderId="198" applyNumberFormat="0" applyBorder="0" applyAlignment="0">
      <alignment horizontal="center"/>
    </xf>
    <xf numFmtId="2" fontId="131" fillId="0" borderId="178"/>
    <xf numFmtId="2" fontId="131" fillId="0" borderId="178"/>
    <xf numFmtId="2" fontId="131" fillId="0" borderId="178"/>
    <xf numFmtId="5" fontId="135" fillId="0" borderId="180" applyAlignment="0" applyProtection="0"/>
    <xf numFmtId="5" fontId="135" fillId="0" borderId="180" applyAlignment="0" applyProtection="0"/>
    <xf numFmtId="5" fontId="135" fillId="0" borderId="180" applyAlignment="0" applyProtection="0"/>
    <xf numFmtId="4" fontId="277" fillId="101" borderId="197" applyNumberFormat="0" applyProtection="0">
      <alignment horizontal="right" vertical="center"/>
    </xf>
    <xf numFmtId="0" fontId="144" fillId="104" borderId="197" applyNumberFormat="0" applyProtection="0">
      <alignment horizontal="left" vertical="center" indent="1"/>
    </xf>
    <xf numFmtId="4" fontId="275" fillId="101" borderId="197" applyNumberFormat="0" applyProtection="0">
      <alignment horizontal="right" vertical="center"/>
    </xf>
    <xf numFmtId="0" fontId="144" fillId="103" borderId="197" applyNumberFormat="0" applyProtection="0">
      <alignment horizontal="right" vertical="center"/>
    </xf>
    <xf numFmtId="0" fontId="144" fillId="47" borderId="197" applyNumberFormat="0" applyProtection="0">
      <alignment horizontal="left" vertical="top" indent="1"/>
    </xf>
    <xf numFmtId="4" fontId="144" fillId="47" borderId="197" applyNumberFormat="0" applyProtection="0">
      <alignment horizontal="left" vertical="center" indent="1"/>
    </xf>
    <xf numFmtId="4" fontId="275" fillId="47" borderId="197" applyNumberFormat="0" applyProtection="0">
      <alignment vertical="center"/>
    </xf>
    <xf numFmtId="4" fontId="144" fillId="47" borderId="197" applyNumberFormat="0" applyProtection="0">
      <alignment vertical="center"/>
    </xf>
    <xf numFmtId="0" fontId="9" fillId="80"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center" indent="1"/>
    </xf>
    <xf numFmtId="0" fontId="9" fillId="102" borderId="197" applyNumberFormat="0" applyProtection="0">
      <alignment horizontal="left" vertical="top" indent="1"/>
    </xf>
    <xf numFmtId="0" fontId="9" fillId="102" borderId="197" applyNumberFormat="0" applyProtection="0">
      <alignment horizontal="left" vertical="center" indent="1"/>
    </xf>
    <xf numFmtId="0" fontId="9" fillId="52" borderId="197" applyNumberFormat="0" applyProtection="0">
      <alignment horizontal="left" vertical="top" indent="1"/>
    </xf>
    <xf numFmtId="0" fontId="9" fillId="52" borderId="197" applyNumberFormat="0" applyProtection="0">
      <alignment horizontal="left" vertical="center" indent="1"/>
    </xf>
    <xf numFmtId="4" fontId="144" fillId="98" borderId="197" applyNumberFormat="0" applyProtection="0">
      <alignment horizontal="right" vertical="center"/>
    </xf>
    <xf numFmtId="4" fontId="144" fillId="62" borderId="197" applyNumberFormat="0" applyProtection="0">
      <alignment horizontal="right" vertical="center"/>
    </xf>
    <xf numFmtId="4" fontId="144" fillId="99" borderId="197" applyNumberFormat="0" applyProtection="0">
      <alignment horizontal="right" vertical="center"/>
    </xf>
    <xf numFmtId="4" fontId="144" fillId="70" borderId="197" applyNumberFormat="0" applyProtection="0">
      <alignment horizontal="right" vertical="center"/>
    </xf>
    <xf numFmtId="4" fontId="144" fillId="71" borderId="197" applyNumberFormat="0" applyProtection="0">
      <alignment horizontal="right" vertical="center"/>
    </xf>
    <xf numFmtId="4" fontId="144" fillId="67" borderId="197" applyNumberFormat="0" applyProtection="0">
      <alignment horizontal="right" vertical="center"/>
    </xf>
    <xf numFmtId="4" fontId="144" fillId="63" borderId="197" applyNumberFormat="0" applyProtection="0">
      <alignment horizontal="right" vertical="center"/>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223" fontId="12" fillId="78" borderId="144" applyFont="0" applyBorder="0" applyAlignment="0" applyProtection="0">
      <alignment vertical="top"/>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9" fillId="0" borderId="148" applyFill="0" applyProtection="0">
      <alignment horizontal="centerContinuous"/>
    </xf>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223" fillId="0" borderId="148"/>
    <xf numFmtId="0" fontId="92" fillId="47" borderId="177" applyNumberFormat="0">
      <alignment horizontal="left" vertical="center"/>
    </xf>
    <xf numFmtId="0" fontId="92" fillId="47" borderId="177" applyNumberFormat="0">
      <alignment horizontal="left" vertical="center"/>
    </xf>
    <xf numFmtId="39" fontId="262" fillId="46" borderId="176"/>
    <xf numFmtId="39" fontId="262" fillId="46" borderId="176"/>
    <xf numFmtId="39" fontId="262" fillId="46" borderId="176"/>
    <xf numFmtId="39" fontId="262" fillId="46" borderId="176"/>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0" fontId="37" fillId="0" borderId="146">
      <alignment horizontal="left" vertical="center"/>
    </xf>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7" fontId="221" fillId="47" borderId="170" applyNumberFormat="0" applyAlignment="0"/>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09" fontId="9" fillId="47" borderId="170" applyFont="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7" borderId="170" applyNumberFormat="0" applyFont="0" applyBorder="0" applyAlignment="0">
      <protection locked="0"/>
    </xf>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37" fontId="9" fillId="46" borderId="148" applyNumberFormat="0" applyBorder="0" applyAlignment="0"/>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229" fontId="9" fillId="47" borderId="17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7" fontId="9" fillId="47" borderId="170" applyNumberFormat="0" applyFont="0" applyAlignment="0">
      <protection locked="0"/>
    </xf>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319" fontId="237" fillId="44" borderId="171"/>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0" fontId="12" fillId="47" borderId="144" applyNumberForma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196" fontId="45" fillId="44" borderId="144" applyNumberFormat="0" applyFont="0" applyBorder="0" applyAlignment="0" applyProtection="0"/>
    <xf numFmtId="251" fontId="9" fillId="44" borderId="172"/>
    <xf numFmtId="251" fontId="9" fillId="44" borderId="172"/>
    <xf numFmtId="251" fontId="9" fillId="44" borderId="172"/>
    <xf numFmtId="251" fontId="9" fillId="44" borderId="172"/>
    <xf numFmtId="251" fontId="9" fillId="44" borderId="172"/>
    <xf numFmtId="251" fontId="9" fillId="44" borderId="172"/>
    <xf numFmtId="251" fontId="9" fillId="44" borderId="172"/>
    <xf numFmtId="251" fontId="9" fillId="44" borderId="172"/>
    <xf numFmtId="251" fontId="9" fillId="44" borderId="172"/>
    <xf numFmtId="251" fontId="9" fillId="44" borderId="172"/>
    <xf numFmtId="251" fontId="9" fillId="44" borderId="172"/>
    <xf numFmtId="251" fontId="9" fillId="44" borderId="172"/>
    <xf numFmtId="251" fontId="9" fillId="44" borderId="172"/>
    <xf numFmtId="251" fontId="9" fillId="44" borderId="172"/>
    <xf numFmtId="251" fontId="9" fillId="44" borderId="172"/>
    <xf numFmtId="251" fontId="9" fillId="44" borderId="172"/>
    <xf numFmtId="251" fontId="9" fillId="44" borderId="172"/>
    <xf numFmtId="251" fontId="9" fillId="44" borderId="172"/>
    <xf numFmtId="251" fontId="9" fillId="44" borderId="172"/>
    <xf numFmtId="251" fontId="9" fillId="44" borderId="172"/>
    <xf numFmtId="251" fontId="9" fillId="44" borderId="172"/>
    <xf numFmtId="251" fontId="9" fillId="44" borderId="172"/>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04" fontId="12" fillId="47" borderId="148" applyNumberFormat="0" applyFont="0" applyAlignment="0" applyProtection="0">
      <alignment horizontal="center"/>
      <protection locked="0"/>
    </xf>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2" fontId="53" fillId="0" borderId="144"/>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0" fontId="116" fillId="0" borderId="148" applyNumberFormat="0" applyFont="0" applyFill="0" applyAlignment="0" applyProtection="0"/>
    <xf numFmtId="44" fontId="48" fillId="0" borderId="0">
      <alignment horizontal="justify"/>
    </xf>
    <xf numFmtId="44" fontId="48" fillId="0" borderId="0">
      <alignment horizontal="justify"/>
    </xf>
    <xf numFmtId="43" fontId="1" fillId="0" borderId="0" applyFont="0" applyFill="0" applyBorder="0" applyAlignment="0" applyProtection="0"/>
    <xf numFmtId="43" fontId="9" fillId="0" borderId="0" applyFont="0" applyFill="0" applyBorder="0" applyAlignment="0" applyProtection="0"/>
    <xf numFmtId="44" fontId="35" fillId="0" borderId="0" applyFont="0" applyFill="0" applyBorder="0" applyAlignment="0" applyProtection="0"/>
    <xf numFmtId="44" fontId="35" fillId="0" borderId="0" applyFont="0" applyFill="0" applyBorder="0" applyAlignment="0" applyProtection="0"/>
    <xf numFmtId="44" fontId="35"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35" fillId="0" borderId="0" applyFont="0" applyFill="0" applyBorder="0" applyAlignment="0" applyProtection="0"/>
    <xf numFmtId="44" fontId="35" fillId="0" borderId="0" applyFont="0" applyFill="0" applyBorder="0" applyAlignment="0" applyProtection="0"/>
    <xf numFmtId="44" fontId="35" fillId="0" borderId="0" applyFont="0" applyFill="0" applyBorder="0" applyAlignment="0" applyProtection="0"/>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327" fontId="9" fillId="0" borderId="148" applyFont="0" applyFill="0" applyBorder="0" applyAlignment="0" applyProtection="0">
      <alignment horizontal="centerContinuous"/>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206" fontId="9" fillId="0" borderId="173">
      <alignment horizontal="right"/>
    </xf>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37" fontId="12" fillId="0" borderId="148" applyNumberFormat="0" applyFont="0" applyFill="0" applyBorder="0" applyAlignment="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0" fontId="223" fillId="0" borderId="148" applyFill="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37" fontId="12" fillId="78" borderId="146" applyNumberFormat="0" applyFont="0" applyFill="0" applyBorder="0" applyAlignment="0" applyProtection="0"/>
    <xf numFmtId="0" fontId="83" fillId="78" borderId="172" applyNumberFormat="0" applyAlignment="0">
      <alignment horizontal="center"/>
      <protection locked="0"/>
    </xf>
    <xf numFmtId="0" fontId="179" fillId="46" borderId="181" applyNumberFormat="0" applyBorder="0" applyAlignment="0">
      <alignment horizontal="center"/>
    </xf>
    <xf numFmtId="0" fontId="179" fillId="46" borderId="181" applyNumberFormat="0" applyBorder="0" applyAlignment="0">
      <alignment horizontal="center"/>
    </xf>
    <xf numFmtId="2" fontId="131" fillId="0" borderId="178"/>
    <xf numFmtId="2" fontId="131" fillId="0" borderId="178"/>
    <xf numFmtId="2" fontId="131" fillId="0" borderId="178"/>
    <xf numFmtId="337" fontId="9" fillId="0" borderId="172"/>
    <xf numFmtId="337" fontId="9" fillId="0" borderId="172"/>
    <xf numFmtId="337" fontId="9" fillId="0" borderId="172"/>
    <xf numFmtId="337" fontId="9" fillId="0" borderId="172"/>
    <xf numFmtId="337" fontId="9" fillId="0" borderId="172"/>
    <xf numFmtId="337" fontId="9" fillId="0" borderId="172"/>
    <xf numFmtId="337" fontId="9" fillId="0" borderId="172"/>
    <xf numFmtId="337" fontId="9" fillId="0" borderId="172"/>
    <xf numFmtId="337" fontId="9" fillId="0" borderId="172"/>
    <xf numFmtId="337" fontId="9" fillId="0" borderId="172"/>
    <xf numFmtId="337" fontId="9" fillId="0" borderId="172"/>
    <xf numFmtId="337" fontId="9" fillId="0" borderId="172"/>
    <xf numFmtId="337" fontId="9" fillId="0" borderId="172"/>
    <xf numFmtId="337" fontId="9" fillId="0" borderId="172"/>
    <xf numFmtId="337" fontId="9" fillId="0" borderId="172"/>
    <xf numFmtId="337" fontId="9" fillId="0" borderId="172"/>
    <xf numFmtId="337" fontId="9" fillId="0" borderId="172"/>
    <xf numFmtId="337" fontId="9" fillId="0" borderId="172"/>
    <xf numFmtId="337" fontId="9" fillId="0" borderId="172"/>
    <xf numFmtId="337" fontId="9" fillId="0" borderId="172"/>
    <xf numFmtId="337" fontId="9" fillId="0" borderId="172"/>
    <xf numFmtId="337" fontId="9" fillId="0" borderId="172"/>
    <xf numFmtId="212" fontId="67" fillId="0" borderId="172" applyBorder="0"/>
    <xf numFmtId="212" fontId="67" fillId="0" borderId="172" applyBorder="0"/>
    <xf numFmtId="212" fontId="67" fillId="0" borderId="172" applyBorder="0"/>
    <xf numFmtId="212" fontId="67" fillId="0" borderId="172" applyBorder="0"/>
    <xf numFmtId="212" fontId="67" fillId="0" borderId="172" applyBorder="0"/>
    <xf numFmtId="212" fontId="67" fillId="0" borderId="172" applyBorder="0"/>
    <xf numFmtId="212" fontId="67" fillId="0" borderId="172" applyBorder="0"/>
    <xf numFmtId="212" fontId="67" fillId="0" borderId="172" applyBorder="0"/>
    <xf numFmtId="212" fontId="67" fillId="0" borderId="172" applyBorder="0"/>
    <xf numFmtId="212" fontId="67" fillId="0" borderId="172" applyBorder="0"/>
    <xf numFmtId="212" fontId="67" fillId="0" borderId="172" applyBorder="0"/>
    <xf numFmtId="212" fontId="67" fillId="0" borderId="172" applyBorder="0"/>
    <xf numFmtId="212" fontId="67" fillId="0" borderId="172" applyBorder="0"/>
    <xf numFmtId="212" fontId="67" fillId="0" borderId="172" applyBorder="0"/>
    <xf numFmtId="212" fontId="67" fillId="0" borderId="172" applyBorder="0"/>
    <xf numFmtId="212" fontId="67" fillId="0" borderId="172" applyBorder="0"/>
    <xf numFmtId="212" fontId="67" fillId="0" borderId="172" applyBorder="0"/>
    <xf numFmtId="212" fontId="67" fillId="0" borderId="172" applyBorder="0"/>
    <xf numFmtId="212" fontId="67" fillId="0" borderId="172" applyBorder="0"/>
    <xf numFmtId="212" fontId="67" fillId="0" borderId="172" applyBorder="0"/>
    <xf numFmtId="212" fontId="67" fillId="0" borderId="172" applyBorder="0"/>
    <xf numFmtId="212" fontId="67" fillId="0" borderId="172" applyBorder="0"/>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39" fontId="262" fillId="46" borderId="144"/>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0" fontId="92" fillId="47" borderId="145" applyNumberFormat="0">
      <alignment horizontal="left" vertical="center"/>
    </xf>
    <xf numFmtId="341" fontId="48" fillId="0" borderId="174" applyNumberFormat="0" applyBorder="0">
      <alignment horizontal="right"/>
    </xf>
    <xf numFmtId="341" fontId="48" fillId="0" borderId="174" applyNumberFormat="0" applyBorder="0">
      <alignment horizontal="right"/>
    </xf>
    <xf numFmtId="341" fontId="48" fillId="0" borderId="174" applyNumberFormat="0" applyBorder="0">
      <alignment horizontal="right"/>
    </xf>
    <xf numFmtId="341" fontId="48" fillId="0" borderId="174" applyNumberFormat="0" applyBorder="0">
      <alignment horizontal="right"/>
    </xf>
    <xf numFmtId="341" fontId="48" fillId="0" borderId="174" applyNumberFormat="0" applyBorder="0">
      <alignment horizontal="right"/>
    </xf>
    <xf numFmtId="341" fontId="48" fillId="0" borderId="174" applyNumberFormat="0" applyBorder="0">
      <alignment horizontal="right"/>
    </xf>
    <xf numFmtId="341" fontId="48" fillId="0" borderId="174" applyNumberFormat="0" applyBorder="0">
      <alignment horizontal="right"/>
    </xf>
    <xf numFmtId="341" fontId="48" fillId="0" borderId="174" applyNumberFormat="0" applyBorder="0">
      <alignment horizontal="right"/>
    </xf>
    <xf numFmtId="341" fontId="48" fillId="0" borderId="174" applyNumberFormat="0" applyBorder="0">
      <alignment horizontal="right"/>
    </xf>
    <xf numFmtId="341" fontId="48" fillId="0" borderId="174" applyNumberFormat="0" applyBorder="0">
      <alignment horizontal="right"/>
    </xf>
    <xf numFmtId="341" fontId="48" fillId="0" borderId="174" applyNumberFormat="0" applyBorder="0">
      <alignment horizontal="right"/>
    </xf>
    <xf numFmtId="341" fontId="48" fillId="0" borderId="174" applyNumberFormat="0" applyBorder="0">
      <alignment horizontal="right"/>
    </xf>
    <xf numFmtId="38" fontId="9" fillId="0" borderId="190"/>
    <xf numFmtId="4" fontId="273" fillId="98" borderId="175" applyNumberFormat="0" applyProtection="0">
      <alignment horizontal="center" vertical="center" wrapText="1"/>
    </xf>
    <xf numFmtId="4" fontId="273" fillId="98" borderId="175" applyNumberFormat="0" applyProtection="0">
      <alignment horizontal="center" vertical="center" wrapText="1"/>
    </xf>
    <xf numFmtId="4" fontId="273" fillId="98" borderId="175" applyNumberFormat="0" applyProtection="0">
      <alignment horizontal="center" vertical="center" wrapText="1"/>
    </xf>
    <xf numFmtId="4" fontId="273" fillId="98" borderId="175" applyNumberFormat="0" applyProtection="0">
      <alignment horizontal="center" vertical="center" wrapText="1"/>
    </xf>
    <xf numFmtId="4" fontId="273" fillId="98" borderId="175" applyNumberFormat="0" applyProtection="0">
      <alignment horizontal="center" vertical="center" wrapText="1"/>
    </xf>
    <xf numFmtId="4" fontId="273" fillId="98" borderId="175" applyNumberFormat="0" applyProtection="0">
      <alignment horizontal="center" vertical="center" wrapText="1"/>
    </xf>
    <xf numFmtId="4" fontId="273" fillId="98" borderId="175" applyNumberFormat="0" applyProtection="0">
      <alignment horizontal="center" vertical="center" wrapText="1"/>
    </xf>
    <xf numFmtId="4" fontId="273" fillId="98" borderId="175" applyNumberFormat="0" applyProtection="0">
      <alignment horizontal="center" vertical="center" wrapText="1"/>
    </xf>
    <xf numFmtId="4" fontId="273" fillId="98" borderId="175" applyNumberFormat="0" applyProtection="0">
      <alignment horizontal="center" vertical="center" wrapText="1"/>
    </xf>
    <xf numFmtId="4" fontId="273" fillId="98" borderId="175" applyNumberFormat="0" applyProtection="0">
      <alignment horizontal="center" vertical="center" wrapText="1"/>
    </xf>
    <xf numFmtId="4" fontId="273" fillId="98" borderId="175" applyNumberFormat="0" applyProtection="0">
      <alignment horizontal="center" vertical="center" wrapText="1"/>
    </xf>
    <xf numFmtId="4" fontId="273" fillId="98" borderId="175" applyNumberFormat="0" applyProtection="0">
      <alignment horizontal="center" vertical="center" wrapText="1"/>
    </xf>
    <xf numFmtId="4" fontId="273" fillId="98" borderId="175" applyNumberFormat="0" applyProtection="0">
      <alignment horizontal="center" vertical="center" wrapText="1"/>
    </xf>
    <xf numFmtId="4" fontId="273" fillId="98" borderId="175" applyNumberFormat="0" applyProtection="0">
      <alignment horizontal="center" vertical="center" wrapText="1"/>
    </xf>
    <xf numFmtId="4" fontId="273" fillId="98" borderId="175" applyNumberFormat="0" applyProtection="0">
      <alignment horizontal="center" vertical="center" wrapText="1"/>
    </xf>
    <xf numFmtId="0" fontId="147" fillId="80" borderId="177" applyBorder="0"/>
    <xf numFmtId="0" fontId="147" fillId="80" borderId="177" applyBorder="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38" fontId="9" fillId="80" borderId="172"/>
    <xf numFmtId="37" fontId="12" fillId="48" borderId="188" applyNumberFormat="0" applyBorder="0" applyAlignment="0"/>
    <xf numFmtId="37" fontId="12" fillId="48" borderId="188" applyNumberFormat="0" applyBorder="0" applyAlignment="0"/>
    <xf numFmtId="37" fontId="12" fillId="48" borderId="188" applyNumberFormat="0" applyBorder="0" applyAlignment="0"/>
    <xf numFmtId="214" fontId="44" fillId="46" borderId="187" applyNumberFormat="0" applyFont="0" applyBorder="0">
      <alignment horizontal="right"/>
    </xf>
    <xf numFmtId="0" fontId="136" fillId="0" borderId="186" applyFill="0" applyProtection="0">
      <alignment horizontal="right"/>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0" fontId="9" fillId="0" borderId="176" applyNumberFormat="0" applyFont="0" applyFill="0" applyAlignment="0" applyProtection="0">
      <alignment horizontal="center" wrapText="1"/>
    </xf>
    <xf numFmtId="5" fontId="135" fillId="0" borderId="180" applyAlignment="0" applyProtection="0"/>
    <xf numFmtId="5" fontId="135" fillId="0" borderId="180" applyAlignment="0" applyProtection="0"/>
    <xf numFmtId="5" fontId="135" fillId="0" borderId="180" applyAlignment="0" applyProtection="0"/>
    <xf numFmtId="213" fontId="117" fillId="44" borderId="172">
      <alignment horizontal="center"/>
      <protection locked="0"/>
    </xf>
    <xf numFmtId="212" fontId="118" fillId="44" borderId="172" applyBorder="0"/>
    <xf numFmtId="0" fontId="117" fillId="44" borderId="172"/>
    <xf numFmtId="202" fontId="73" fillId="0" borderId="183">
      <alignment horizontal="left" vertical="center"/>
    </xf>
    <xf numFmtId="202" fontId="73" fillId="0" borderId="183">
      <alignment horizontal="left" vertical="center"/>
    </xf>
    <xf numFmtId="202" fontId="73" fillId="0" borderId="183">
      <alignment horizontal="left" vertical="center"/>
    </xf>
    <xf numFmtId="209" fontId="9" fillId="0" borderId="185" applyBorder="0">
      <alignment horizontal="right"/>
    </xf>
    <xf numFmtId="209" fontId="9" fillId="0" borderId="185" applyBorder="0">
      <alignment horizontal="right"/>
    </xf>
    <xf numFmtId="209" fontId="9" fillId="0" borderId="185" applyBorder="0">
      <alignment horizontal="right"/>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4" fontId="273" fillId="100" borderId="155" applyNumberFormat="0" applyProtection="0">
      <alignment horizontal="left" vertical="center" indent="1"/>
    </xf>
    <xf numFmtId="205" fontId="48" fillId="52" borderId="172"/>
    <xf numFmtId="3" fontId="12" fillId="0" borderId="184" applyNumberFormat="0" applyFill="0" applyBorder="0" applyProtection="0"/>
    <xf numFmtId="3" fontId="12" fillId="0" borderId="184" applyNumberFormat="0" applyFill="0" applyBorder="0" applyProtection="0"/>
    <xf numFmtId="3" fontId="12" fillId="0" borderId="184" applyNumberFormat="0" applyFill="0" applyBorder="0" applyProtection="0"/>
    <xf numFmtId="202" fontId="73" fillId="0" borderId="183">
      <alignment horizontal="left" vertical="center"/>
    </xf>
    <xf numFmtId="202" fontId="73" fillId="0" borderId="183">
      <alignment horizontal="left" vertical="center"/>
    </xf>
    <xf numFmtId="202" fontId="73" fillId="0" borderId="183">
      <alignment horizontal="left" vertical="center"/>
    </xf>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67" fillId="0" borderId="182" applyNumberFormat="0" applyFill="0" applyAlignment="0" applyProtection="0"/>
    <xf numFmtId="0" fontId="253" fillId="105" borderId="175" applyNumberFormat="0" applyProtection="0">
      <alignment horizontal="center" vertical="center" wrapText="1"/>
    </xf>
    <xf numFmtId="0" fontId="253" fillId="105" borderId="175" applyNumberFormat="0" applyProtection="0">
      <alignment horizontal="center" vertical="center" wrapText="1"/>
    </xf>
    <xf numFmtId="0" fontId="253" fillId="105" borderId="175" applyNumberFormat="0" applyProtection="0">
      <alignment horizontal="center" vertical="center" wrapText="1"/>
    </xf>
    <xf numFmtId="0" fontId="253" fillId="105" borderId="175" applyNumberFormat="0" applyProtection="0">
      <alignment horizontal="center" vertical="center" wrapText="1"/>
    </xf>
    <xf numFmtId="0" fontId="253" fillId="105" borderId="175" applyNumberFormat="0" applyProtection="0">
      <alignment horizontal="center" vertical="center" wrapText="1"/>
    </xf>
    <xf numFmtId="0" fontId="253" fillId="105" borderId="175" applyNumberFormat="0" applyProtection="0">
      <alignment horizontal="center" vertical="center" wrapText="1"/>
    </xf>
    <xf numFmtId="0" fontId="253" fillId="105" borderId="175" applyNumberFormat="0" applyProtection="0">
      <alignment horizontal="center" vertical="center" wrapText="1"/>
    </xf>
    <xf numFmtId="0" fontId="253" fillId="105" borderId="175" applyNumberFormat="0" applyProtection="0">
      <alignment horizontal="center" vertical="center" wrapText="1"/>
    </xf>
    <xf numFmtId="0" fontId="253" fillId="105" borderId="175" applyNumberFormat="0" applyProtection="0">
      <alignment horizontal="center" vertical="center" wrapText="1"/>
    </xf>
    <xf numFmtId="0" fontId="253" fillId="105" borderId="175" applyNumberFormat="0" applyProtection="0">
      <alignment horizontal="center" vertical="center" wrapText="1"/>
    </xf>
    <xf numFmtId="0" fontId="253" fillId="105" borderId="175" applyNumberFormat="0" applyProtection="0">
      <alignment horizontal="center" vertical="center" wrapText="1"/>
    </xf>
    <xf numFmtId="0" fontId="253" fillId="105" borderId="175" applyNumberFormat="0" applyProtection="0">
      <alignment horizontal="center" vertical="center" wrapText="1"/>
    </xf>
    <xf numFmtId="0" fontId="253" fillId="105" borderId="175" applyNumberFormat="0" applyProtection="0">
      <alignment horizontal="center" vertical="center" wrapText="1"/>
    </xf>
    <xf numFmtId="0" fontId="253" fillId="105" borderId="175" applyNumberFormat="0" applyProtection="0">
      <alignment horizontal="center" vertical="center" wrapText="1"/>
    </xf>
    <xf numFmtId="0" fontId="253" fillId="105" borderId="175" applyNumberFormat="0" applyProtection="0">
      <alignment horizontal="center" vertical="center" wrapText="1"/>
    </xf>
    <xf numFmtId="43" fontId="1" fillId="0" borderId="0" applyFont="0" applyFill="0" applyBorder="0" applyAlignment="0" applyProtection="0"/>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16" fillId="107" borderId="176" applyNumberFormat="0" applyBorder="0">
      <alignment horizontal="center" vertical="center" wrapText="1"/>
    </xf>
    <xf numFmtId="0" fontId="290" fillId="0" borderId="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5" fillId="75" borderId="189" applyNumberFormat="0" applyAlignment="0" applyProtection="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0" fontId="147" fillId="80" borderId="177" applyBorder="0"/>
    <xf numFmtId="38" fontId="9" fillId="0" borderId="213"/>
    <xf numFmtId="38" fontId="9" fillId="0" borderId="213"/>
    <xf numFmtId="38" fontId="9" fillId="0" borderId="213"/>
    <xf numFmtId="38" fontId="9" fillId="0" borderId="213"/>
    <xf numFmtId="38" fontId="9" fillId="0" borderId="213"/>
    <xf numFmtId="38" fontId="9" fillId="0" borderId="213"/>
    <xf numFmtId="38" fontId="9" fillId="0" borderId="213"/>
    <xf numFmtId="38" fontId="9" fillId="0" borderId="213"/>
    <xf numFmtId="38" fontId="9" fillId="0" borderId="213"/>
    <xf numFmtId="38" fontId="9" fillId="0" borderId="213"/>
    <xf numFmtId="38" fontId="9" fillId="0" borderId="213"/>
    <xf numFmtId="38" fontId="9" fillId="0" borderId="213"/>
    <xf numFmtId="38" fontId="9" fillId="0" borderId="213"/>
    <xf numFmtId="38" fontId="9" fillId="0" borderId="213"/>
    <xf numFmtId="38" fontId="9" fillId="0" borderId="213"/>
    <xf numFmtId="251" fontId="9" fillId="46" borderId="209"/>
    <xf numFmtId="251" fontId="9" fillId="46" borderId="209"/>
    <xf numFmtId="251" fontId="9" fillId="46" borderId="209"/>
    <xf numFmtId="251" fontId="9" fillId="46" borderId="209"/>
    <xf numFmtId="251" fontId="9" fillId="46" borderId="209"/>
    <xf numFmtId="251" fontId="9" fillId="46" borderId="209"/>
    <xf numFmtId="251" fontId="9" fillId="46" borderId="209"/>
    <xf numFmtId="251" fontId="9" fillId="46" borderId="209"/>
    <xf numFmtId="251" fontId="9" fillId="46" borderId="209"/>
    <xf numFmtId="251" fontId="9" fillId="46" borderId="209"/>
    <xf numFmtId="251" fontId="9" fillId="46" borderId="209"/>
    <xf numFmtId="251" fontId="9" fillId="46" borderId="209"/>
    <xf numFmtId="251" fontId="9" fillId="46" borderId="209"/>
    <xf numFmtId="251" fontId="9" fillId="46" borderId="209"/>
    <xf numFmtId="251" fontId="9" fillId="46" borderId="209"/>
    <xf numFmtId="251" fontId="9" fillId="46" borderId="209"/>
    <xf numFmtId="251" fontId="9" fillId="46" borderId="209"/>
    <xf numFmtId="251" fontId="9" fillId="46" borderId="209"/>
    <xf numFmtId="251" fontId="9" fillId="46" borderId="209"/>
    <xf numFmtId="251" fontId="9" fillId="46" borderId="209"/>
    <xf numFmtId="251" fontId="9" fillId="46" borderId="209"/>
    <xf numFmtId="251" fontId="9" fillId="46" borderId="209"/>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2" fontId="131" fillId="0" borderId="178"/>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179" fillId="46" borderId="198" applyNumberFormat="0" applyBorder="0" applyAlignment="0">
      <alignment horizontal="center"/>
    </xf>
    <xf numFmtId="0" fontId="83" fillId="78" borderId="209" applyNumberFormat="0" applyAlignment="0">
      <alignment horizontal="center"/>
      <protection locked="0"/>
    </xf>
    <xf numFmtId="0" fontId="83" fillId="78" borderId="209" applyNumberFormat="0" applyAlignment="0">
      <alignment horizontal="center"/>
      <protection locked="0"/>
    </xf>
    <xf numFmtId="0" fontId="83" fillId="78" borderId="209" applyNumberFormat="0" applyAlignment="0">
      <alignment horizontal="center"/>
      <protection locked="0"/>
    </xf>
    <xf numFmtId="0" fontId="83" fillId="78" borderId="209" applyNumberFormat="0" applyAlignment="0">
      <alignment horizontal="center"/>
      <protection locked="0"/>
    </xf>
    <xf numFmtId="0" fontId="83" fillId="78" borderId="209" applyNumberFormat="0" applyAlignment="0">
      <alignment horizontal="center"/>
      <protection locked="0"/>
    </xf>
    <xf numFmtId="0" fontId="83" fillId="78" borderId="209" applyNumberFormat="0" applyAlignment="0">
      <alignment horizontal="center"/>
      <protection locked="0"/>
    </xf>
    <xf numFmtId="0" fontId="83" fillId="78" borderId="209" applyNumberFormat="0" applyAlignment="0">
      <alignment horizontal="center"/>
      <protection locked="0"/>
    </xf>
    <xf numFmtId="0" fontId="83" fillId="78" borderId="209" applyNumberFormat="0" applyAlignment="0">
      <alignment horizontal="center"/>
      <protection locked="0"/>
    </xf>
    <xf numFmtId="0" fontId="83" fillId="78" borderId="209" applyNumberFormat="0" applyAlignment="0">
      <alignment horizontal="center"/>
      <protection locked="0"/>
    </xf>
    <xf numFmtId="0" fontId="83" fillId="78" borderId="209" applyNumberFormat="0" applyAlignment="0">
      <alignment horizontal="center"/>
      <protection locked="0"/>
    </xf>
    <xf numFmtId="0" fontId="83" fillId="78" borderId="209" applyNumberFormat="0" applyAlignment="0">
      <alignment horizontal="center"/>
      <protection locked="0"/>
    </xf>
    <xf numFmtId="0" fontId="83" fillId="78" borderId="209" applyNumberFormat="0" applyAlignment="0">
      <alignment horizontal="center"/>
      <protection locked="0"/>
    </xf>
    <xf numFmtId="0" fontId="83" fillId="78" borderId="209" applyNumberFormat="0" applyAlignment="0">
      <alignment horizontal="center"/>
      <protection locked="0"/>
    </xf>
    <xf numFmtId="0" fontId="83" fillId="78" borderId="209" applyNumberFormat="0" applyAlignment="0">
      <alignment horizontal="center"/>
      <protection locked="0"/>
    </xf>
    <xf numFmtId="0" fontId="83" fillId="78" borderId="209" applyNumberFormat="0" applyAlignment="0">
      <alignment horizontal="center"/>
      <protection locked="0"/>
    </xf>
    <xf numFmtId="0" fontId="83" fillId="78" borderId="209" applyNumberFormat="0" applyAlignment="0">
      <alignment horizontal="center"/>
      <protection locked="0"/>
    </xf>
    <xf numFmtId="0" fontId="83" fillId="78" borderId="209" applyNumberFormat="0" applyAlignment="0">
      <alignment horizontal="center"/>
      <protection locked="0"/>
    </xf>
    <xf numFmtId="0" fontId="83" fillId="78" borderId="209" applyNumberFormat="0" applyAlignment="0">
      <alignment horizontal="center"/>
      <protection locked="0"/>
    </xf>
    <xf numFmtId="0" fontId="83" fillId="78" borderId="209" applyNumberFormat="0" applyAlignment="0">
      <alignment horizontal="center"/>
      <protection locked="0"/>
    </xf>
    <xf numFmtId="0" fontId="83" fillId="78" borderId="209" applyNumberFormat="0" applyAlignment="0">
      <alignment horizontal="center"/>
      <protection locked="0"/>
    </xf>
    <xf numFmtId="0" fontId="83" fillId="78" borderId="209" applyNumberFormat="0" applyAlignment="0">
      <alignment horizontal="center"/>
      <protection locked="0"/>
    </xf>
    <xf numFmtId="0" fontId="83" fillId="78" borderId="209" applyNumberFormat="0" applyAlignment="0">
      <alignment horizontal="center"/>
      <protection locked="0"/>
    </xf>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91" fillId="59" borderId="189" applyNumberFormat="0" applyAlignment="0" applyProtection="0"/>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2" fillId="86" borderId="176"/>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0" fontId="197" fillId="0" borderId="183">
      <alignment horizontal="right" wrapText="1"/>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202"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0" fontId="73" fillId="0" borderId="183">
      <alignment horizontal="left"/>
    </xf>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299" fontId="202" fillId="75" borderId="178" applyAlignment="0" applyProtection="0"/>
    <xf numFmtId="15" fontId="117" fillId="50" borderId="209">
      <alignment horizontal="center"/>
      <protection locked="0"/>
    </xf>
    <xf numFmtId="15" fontId="117" fillId="50" borderId="209">
      <alignment horizontal="center"/>
      <protection locked="0"/>
    </xf>
    <xf numFmtId="15" fontId="117" fillId="50" borderId="209">
      <alignment horizontal="center"/>
      <protection locked="0"/>
    </xf>
    <xf numFmtId="15" fontId="117" fillId="50" borderId="209">
      <alignment horizontal="center"/>
      <protection locked="0"/>
    </xf>
    <xf numFmtId="15" fontId="117" fillId="50" borderId="209">
      <alignment horizontal="center"/>
      <protection locked="0"/>
    </xf>
    <xf numFmtId="15" fontId="117" fillId="50" borderId="209">
      <alignment horizontal="center"/>
      <protection locked="0"/>
    </xf>
    <xf numFmtId="15" fontId="117" fillId="50" borderId="209">
      <alignment horizontal="center"/>
      <protection locked="0"/>
    </xf>
    <xf numFmtId="15" fontId="117" fillId="50" borderId="209">
      <alignment horizontal="center"/>
      <protection locked="0"/>
    </xf>
    <xf numFmtId="15" fontId="117" fillId="50" borderId="209">
      <alignment horizontal="center"/>
      <protection locked="0"/>
    </xf>
    <xf numFmtId="15" fontId="117" fillId="50" borderId="209">
      <alignment horizontal="center"/>
      <protection locked="0"/>
    </xf>
    <xf numFmtId="15" fontId="117" fillId="50" borderId="209">
      <alignment horizontal="center"/>
      <protection locked="0"/>
    </xf>
    <xf numFmtId="15" fontId="117" fillId="50" borderId="209">
      <alignment horizontal="center"/>
      <protection locked="0"/>
    </xf>
    <xf numFmtId="15" fontId="117" fillId="50" borderId="209">
      <alignment horizontal="center"/>
      <protection locked="0"/>
    </xf>
    <xf numFmtId="15" fontId="117" fillId="50" borderId="209">
      <alignment horizontal="center"/>
      <protection locked="0"/>
    </xf>
    <xf numFmtId="15" fontId="117" fillId="50" borderId="209">
      <alignment horizontal="center"/>
      <protection locked="0"/>
    </xf>
    <xf numFmtId="15" fontId="117" fillId="50" borderId="209">
      <alignment horizontal="center"/>
      <protection locked="0"/>
    </xf>
    <xf numFmtId="15" fontId="117" fillId="50" borderId="209">
      <alignment horizontal="center"/>
      <protection locked="0"/>
    </xf>
    <xf numFmtId="15" fontId="117" fillId="50" borderId="209">
      <alignment horizontal="center"/>
      <protection locked="0"/>
    </xf>
    <xf numFmtId="15" fontId="117" fillId="50" borderId="209">
      <alignment horizontal="center"/>
      <protection locked="0"/>
    </xf>
    <xf numFmtId="15" fontId="117" fillId="50" borderId="209">
      <alignment horizontal="center"/>
      <protection locked="0"/>
    </xf>
    <xf numFmtId="15" fontId="117" fillId="50" borderId="209">
      <alignment horizontal="center"/>
      <protection locked="0"/>
    </xf>
    <xf numFmtId="15" fontId="117" fillId="50" borderId="209">
      <alignment horizontal="center"/>
      <protection locked="0"/>
    </xf>
    <xf numFmtId="300" fontId="48" fillId="44" borderId="209" applyFont="0" applyAlignment="0"/>
    <xf numFmtId="300" fontId="48" fillId="44" borderId="209" applyFont="0" applyAlignment="0"/>
    <xf numFmtId="300" fontId="48" fillId="44" borderId="209" applyFont="0" applyAlignment="0"/>
    <xf numFmtId="300" fontId="48" fillId="44" borderId="209" applyFont="0" applyAlignment="0"/>
    <xf numFmtId="300" fontId="48" fillId="44" borderId="209" applyFont="0" applyAlignment="0"/>
    <xf numFmtId="300" fontId="48" fillId="44" borderId="209" applyFont="0" applyAlignment="0"/>
    <xf numFmtId="300" fontId="48" fillId="44" borderId="209" applyFont="0" applyAlignment="0"/>
    <xf numFmtId="300" fontId="48" fillId="44" borderId="209" applyFont="0" applyAlignment="0"/>
    <xf numFmtId="300" fontId="48" fillId="44" borderId="209" applyFont="0" applyAlignment="0"/>
    <xf numFmtId="300" fontId="48" fillId="44" borderId="209" applyFont="0" applyAlignment="0"/>
    <xf numFmtId="300" fontId="48" fillId="44" borderId="209" applyFont="0" applyAlignment="0"/>
    <xf numFmtId="300" fontId="48" fillId="44" borderId="209" applyFont="0" applyAlignment="0"/>
    <xf numFmtId="300" fontId="48" fillId="44" borderId="209" applyFont="0" applyAlignment="0"/>
    <xf numFmtId="300" fontId="48" fillId="44" borderId="209" applyFont="0" applyAlignment="0"/>
    <xf numFmtId="300" fontId="48" fillId="44" borderId="209" applyFont="0" applyAlignment="0"/>
    <xf numFmtId="300" fontId="48" fillId="44" borderId="209" applyFont="0" applyAlignment="0"/>
    <xf numFmtId="300" fontId="48" fillId="44" borderId="209" applyFont="0" applyAlignment="0"/>
    <xf numFmtId="300" fontId="48" fillId="44" borderId="209" applyFont="0" applyAlignment="0"/>
    <xf numFmtId="300" fontId="48" fillId="44" borderId="209" applyFont="0" applyAlignment="0"/>
    <xf numFmtId="300" fontId="48" fillId="44" borderId="209" applyFont="0" applyAlignment="0"/>
    <xf numFmtId="300" fontId="48" fillId="44" borderId="209" applyFont="0" applyAlignment="0"/>
    <xf numFmtId="300" fontId="48" fillId="44" borderId="209" applyFont="0" applyAlignment="0"/>
    <xf numFmtId="301" fontId="117" fillId="50" borderId="209" applyAlignment="0">
      <protection locked="0"/>
    </xf>
    <xf numFmtId="301" fontId="117" fillId="50" borderId="209" applyAlignment="0">
      <protection locked="0"/>
    </xf>
    <xf numFmtId="301" fontId="117" fillId="50" borderId="209" applyAlignment="0">
      <protection locked="0"/>
    </xf>
    <xf numFmtId="301" fontId="117" fillId="50" borderId="209" applyAlignment="0">
      <protection locked="0"/>
    </xf>
    <xf numFmtId="301" fontId="117" fillId="50" borderId="209" applyAlignment="0">
      <protection locked="0"/>
    </xf>
    <xf numFmtId="301" fontId="117" fillId="50" borderId="209" applyAlignment="0">
      <protection locked="0"/>
    </xf>
    <xf numFmtId="301" fontId="117" fillId="50" borderId="209" applyAlignment="0">
      <protection locked="0"/>
    </xf>
    <xf numFmtId="301" fontId="117" fillId="50" borderId="209" applyAlignment="0">
      <protection locked="0"/>
    </xf>
    <xf numFmtId="301" fontId="117" fillId="50" borderId="209" applyAlignment="0">
      <protection locked="0"/>
    </xf>
    <xf numFmtId="301" fontId="117" fillId="50" borderId="209" applyAlignment="0">
      <protection locked="0"/>
    </xf>
    <xf numFmtId="301" fontId="117" fillId="50" borderId="209" applyAlignment="0">
      <protection locked="0"/>
    </xf>
    <xf numFmtId="301" fontId="117" fillId="50" borderId="209" applyAlignment="0">
      <protection locked="0"/>
    </xf>
    <xf numFmtId="301" fontId="117" fillId="50" borderId="209" applyAlignment="0">
      <protection locked="0"/>
    </xf>
    <xf numFmtId="301" fontId="117" fillId="50" borderId="209" applyAlignment="0">
      <protection locked="0"/>
    </xf>
    <xf numFmtId="301" fontId="117" fillId="50" borderId="209" applyAlignment="0">
      <protection locked="0"/>
    </xf>
    <xf numFmtId="301" fontId="117" fillId="50" borderId="209" applyAlignment="0">
      <protection locked="0"/>
    </xf>
    <xf numFmtId="301" fontId="117" fillId="50" borderId="209" applyAlignment="0">
      <protection locked="0"/>
    </xf>
    <xf numFmtId="301" fontId="117" fillId="50" borderId="209" applyAlignment="0">
      <protection locked="0"/>
    </xf>
    <xf numFmtId="301" fontId="117" fillId="50" borderId="209" applyAlignment="0">
      <protection locked="0"/>
    </xf>
    <xf numFmtId="301" fontId="117" fillId="50" borderId="209" applyAlignment="0">
      <protection locked="0"/>
    </xf>
    <xf numFmtId="301" fontId="117" fillId="50" borderId="209" applyAlignment="0">
      <protection locked="0"/>
    </xf>
    <xf numFmtId="301" fontId="117" fillId="50" borderId="209" applyAlignment="0">
      <protection locked="0"/>
    </xf>
    <xf numFmtId="300" fontId="117" fillId="50" borderId="209" applyAlignment="0">
      <protection locked="0"/>
    </xf>
    <xf numFmtId="300" fontId="117" fillId="50" borderId="209" applyAlignment="0">
      <protection locked="0"/>
    </xf>
    <xf numFmtId="300" fontId="117" fillId="50" borderId="209" applyAlignment="0">
      <protection locked="0"/>
    </xf>
    <xf numFmtId="300" fontId="117" fillId="50" borderId="209" applyAlignment="0">
      <protection locked="0"/>
    </xf>
    <xf numFmtId="300" fontId="117" fillId="50" borderId="209" applyAlignment="0">
      <protection locked="0"/>
    </xf>
    <xf numFmtId="300" fontId="117" fillId="50" borderId="209" applyAlignment="0">
      <protection locked="0"/>
    </xf>
    <xf numFmtId="300" fontId="117" fillId="50" borderId="209" applyAlignment="0">
      <protection locked="0"/>
    </xf>
    <xf numFmtId="300" fontId="117" fillId="50" borderId="209" applyAlignment="0">
      <protection locked="0"/>
    </xf>
    <xf numFmtId="300" fontId="117" fillId="50" borderId="209" applyAlignment="0">
      <protection locked="0"/>
    </xf>
    <xf numFmtId="300" fontId="117" fillId="50" borderId="209" applyAlignment="0">
      <protection locked="0"/>
    </xf>
    <xf numFmtId="300" fontId="117" fillId="50" borderId="209" applyAlignment="0">
      <protection locked="0"/>
    </xf>
    <xf numFmtId="300" fontId="117" fillId="50" borderId="209" applyAlignment="0">
      <protection locked="0"/>
    </xf>
    <xf numFmtId="300" fontId="117" fillId="50" borderId="209" applyAlignment="0">
      <protection locked="0"/>
    </xf>
    <xf numFmtId="300" fontId="117" fillId="50" borderId="209" applyAlignment="0">
      <protection locked="0"/>
    </xf>
    <xf numFmtId="300" fontId="117" fillId="50" borderId="209" applyAlignment="0">
      <protection locked="0"/>
    </xf>
    <xf numFmtId="300" fontId="117" fillId="50" borderId="209" applyAlignment="0">
      <protection locked="0"/>
    </xf>
    <xf numFmtId="300" fontId="117" fillId="50" borderId="209" applyAlignment="0">
      <protection locked="0"/>
    </xf>
    <xf numFmtId="300" fontId="117" fillId="50" borderId="209" applyAlignment="0">
      <protection locked="0"/>
    </xf>
    <xf numFmtId="300" fontId="117" fillId="50" borderId="209" applyAlignment="0">
      <protection locked="0"/>
    </xf>
    <xf numFmtId="300" fontId="117" fillId="50" borderId="209" applyAlignment="0">
      <protection locked="0"/>
    </xf>
    <xf numFmtId="300" fontId="117" fillId="50" borderId="209" applyAlignment="0">
      <protection locked="0"/>
    </xf>
    <xf numFmtId="300" fontId="117" fillId="50" borderId="209" applyAlignment="0">
      <protection locked="0"/>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202" fontId="207" fillId="0" borderId="183">
      <alignment horizontal="center"/>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41" fontId="74" fillId="0" borderId="183" applyFill="0" applyBorder="0" applyProtection="0">
      <alignment horizontal="right" vertical="top"/>
    </xf>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1"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0" fontId="48" fillId="0" borderId="192" applyNumberFormat="0" applyFont="0" applyAlignment="0" applyProtection="0"/>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05" fontId="9" fillId="0" borderId="200">
      <alignment horizontal="left"/>
      <protection locked="0"/>
    </xf>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38" fontId="15" fillId="46" borderId="193" applyNumberFormat="0" applyFont="0" applyAlignment="0"/>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223" fontId="12" fillId="78" borderId="176" applyFont="0" applyBorder="0" applyAlignment="0" applyProtection="0">
      <alignment vertical="top"/>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56" applyNumberFormat="0" applyAlignment="0" applyProtection="0">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0" fontId="37" fillId="0" borderId="178">
      <alignment horizontal="left" vertical="center"/>
    </xf>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7" fontId="221" fillId="47" borderId="214" applyNumberFormat="0" applyAlignment="0"/>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09" fontId="9" fillId="47" borderId="214" applyFont="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37" fontId="9" fillId="47" borderId="214" applyNumberFormat="0" applyFont="0" applyBorder="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229" fontId="9" fillId="47" borderId="214"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7" fontId="9" fillId="47" borderId="214" applyNumberFormat="0" applyFont="0" applyAlignment="0">
      <protection locked="0"/>
    </xf>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319" fontId="237" fillId="44" borderId="215"/>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0" fontId="12" fillId="47" borderId="176" applyNumberForma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196" fontId="45" fillId="44" borderId="176" applyNumberFormat="0" applyFont="0" applyBorder="0" applyAlignment="0" applyProtection="0"/>
    <xf numFmtId="251" fontId="9" fillId="44" borderId="216"/>
    <xf numFmtId="251" fontId="9" fillId="44" borderId="216"/>
    <xf numFmtId="251" fontId="9" fillId="44" borderId="216"/>
    <xf numFmtId="251" fontId="9" fillId="44" borderId="216"/>
    <xf numFmtId="251" fontId="9" fillId="44" borderId="216"/>
    <xf numFmtId="251" fontId="9" fillId="44" borderId="216"/>
    <xf numFmtId="251" fontId="9" fillId="44" borderId="216"/>
    <xf numFmtId="251" fontId="9" fillId="44" borderId="216"/>
    <xf numFmtId="251" fontId="9" fillId="44" borderId="216"/>
    <xf numFmtId="251" fontId="9" fillId="44" borderId="216"/>
    <xf numFmtId="251" fontId="9" fillId="44" borderId="216"/>
    <xf numFmtId="251" fontId="9" fillId="44" borderId="216"/>
    <xf numFmtId="251" fontId="9" fillId="44" borderId="216"/>
    <xf numFmtId="251" fontId="9" fillId="44" borderId="216"/>
    <xf numFmtId="251" fontId="9" fillId="44" borderId="216"/>
    <xf numFmtId="251" fontId="9" fillId="44" borderId="216"/>
    <xf numFmtId="251" fontId="9" fillId="44" borderId="216"/>
    <xf numFmtId="251" fontId="9" fillId="44" borderId="216"/>
    <xf numFmtId="251" fontId="9" fillId="44" borderId="216"/>
    <xf numFmtId="251" fontId="9" fillId="44" borderId="216"/>
    <xf numFmtId="251" fontId="9" fillId="44" borderId="216"/>
    <xf numFmtId="251" fontId="9" fillId="44" borderId="21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 fontId="53" fillId="0" borderId="176"/>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206" fontId="9" fillId="0" borderId="217">
      <alignment horizontal="right"/>
    </xf>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37" fontId="12" fillId="78" borderId="178" applyNumberFormat="0" applyFont="0" applyFill="0" applyBorder="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0" fontId="9" fillId="50" borderId="196" applyNumberFormat="0" applyFont="0" applyAlignment="0" applyProtection="0"/>
    <xf numFmtId="337" fontId="9" fillId="0" borderId="216"/>
    <xf numFmtId="337" fontId="9" fillId="0" borderId="216"/>
    <xf numFmtId="337" fontId="9" fillId="0" borderId="216"/>
    <xf numFmtId="337" fontId="9" fillId="0" borderId="216"/>
    <xf numFmtId="337" fontId="9" fillId="0" borderId="216"/>
    <xf numFmtId="337" fontId="9" fillId="0" borderId="216"/>
    <xf numFmtId="337" fontId="9" fillId="0" borderId="216"/>
    <xf numFmtId="337" fontId="9" fillId="0" borderId="216"/>
    <xf numFmtId="337" fontId="9" fillId="0" borderId="216"/>
    <xf numFmtId="337" fontId="9" fillId="0" borderId="216"/>
    <xf numFmtId="337" fontId="9" fillId="0" borderId="216"/>
    <xf numFmtId="337" fontId="9" fillId="0" borderId="216"/>
    <xf numFmtId="337" fontId="9" fillId="0" borderId="216"/>
    <xf numFmtId="337" fontId="9" fillId="0" borderId="216"/>
    <xf numFmtId="337" fontId="9" fillId="0" borderId="216"/>
    <xf numFmtId="337" fontId="9" fillId="0" borderId="216"/>
    <xf numFmtId="337" fontId="9" fillId="0" borderId="216"/>
    <xf numFmtId="337" fontId="9" fillId="0" borderId="216"/>
    <xf numFmtId="337" fontId="9" fillId="0" borderId="216"/>
    <xf numFmtId="337" fontId="9" fillId="0" borderId="216"/>
    <xf numFmtId="337" fontId="9" fillId="0" borderId="216"/>
    <xf numFmtId="337" fontId="9" fillId="0" borderId="216"/>
    <xf numFmtId="212" fontId="67" fillId="0" borderId="216" applyBorder="0"/>
    <xf numFmtId="212" fontId="67" fillId="0" borderId="216" applyBorder="0"/>
    <xf numFmtId="212" fontId="67" fillId="0" borderId="216" applyBorder="0"/>
    <xf numFmtId="212" fontId="67" fillId="0" borderId="216" applyBorder="0"/>
    <xf numFmtId="212" fontId="67" fillId="0" borderId="216" applyBorder="0"/>
    <xf numFmtId="212" fontId="67" fillId="0" borderId="216" applyBorder="0"/>
    <xf numFmtId="212" fontId="67" fillId="0" borderId="216" applyBorder="0"/>
    <xf numFmtId="212" fontId="67" fillId="0" borderId="216" applyBorder="0"/>
    <xf numFmtId="212" fontId="67" fillId="0" borderId="216" applyBorder="0"/>
    <xf numFmtId="212" fontId="67" fillId="0" borderId="216" applyBorder="0"/>
    <xf numFmtId="212" fontId="67" fillId="0" borderId="216" applyBorder="0"/>
    <xf numFmtId="212" fontId="67" fillId="0" borderId="216" applyBorder="0"/>
    <xf numFmtId="212" fontId="67" fillId="0" borderId="216" applyBorder="0"/>
    <xf numFmtId="212" fontId="67" fillId="0" borderId="216" applyBorder="0"/>
    <xf numFmtId="212" fontId="67" fillId="0" borderId="216" applyBorder="0"/>
    <xf numFmtId="212" fontId="67" fillId="0" borderId="216" applyBorder="0"/>
    <xf numFmtId="212" fontId="67" fillId="0" borderId="216" applyBorder="0"/>
    <xf numFmtId="212" fontId="67" fillId="0" borderId="216" applyBorder="0"/>
    <xf numFmtId="212" fontId="67" fillId="0" borderId="216" applyBorder="0"/>
    <xf numFmtId="212" fontId="67" fillId="0" borderId="216" applyBorder="0"/>
    <xf numFmtId="212" fontId="67" fillId="0" borderId="216" applyBorder="0"/>
    <xf numFmtId="212" fontId="67" fillId="0" borderId="216" applyBorder="0"/>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39" fontId="262" fillId="46" borderId="176"/>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0" fontId="92" fillId="47" borderId="177" applyNumberFormat="0">
      <alignment horizontal="left" vertical="center"/>
    </xf>
    <xf numFmtId="341" fontId="48" fillId="0" borderId="218" applyNumberFormat="0" applyBorder="0">
      <alignment horizontal="right"/>
    </xf>
    <xf numFmtId="341" fontId="48" fillId="0" borderId="218" applyNumberFormat="0" applyBorder="0">
      <alignment horizontal="right"/>
    </xf>
    <xf numFmtId="341" fontId="48" fillId="0" borderId="218" applyNumberFormat="0" applyBorder="0">
      <alignment horizontal="right"/>
    </xf>
    <xf numFmtId="341" fontId="48" fillId="0" borderId="218" applyNumberFormat="0" applyBorder="0">
      <alignment horizontal="right"/>
    </xf>
    <xf numFmtId="341" fontId="48" fillId="0" borderId="218" applyNumberFormat="0" applyBorder="0">
      <alignment horizontal="right"/>
    </xf>
    <xf numFmtId="341" fontId="48" fillId="0" borderId="218" applyNumberFormat="0" applyBorder="0">
      <alignment horizontal="right"/>
    </xf>
    <xf numFmtId="341" fontId="48" fillId="0" borderId="218" applyNumberFormat="0" applyBorder="0">
      <alignment horizontal="right"/>
    </xf>
    <xf numFmtId="341" fontId="48" fillId="0" borderId="218" applyNumberFormat="0" applyBorder="0">
      <alignment horizontal="right"/>
    </xf>
    <xf numFmtId="341" fontId="48" fillId="0" borderId="218" applyNumberFormat="0" applyBorder="0">
      <alignment horizontal="right"/>
    </xf>
    <xf numFmtId="341" fontId="48" fillId="0" borderId="218" applyNumberFormat="0" applyBorder="0">
      <alignment horizontal="right"/>
    </xf>
    <xf numFmtId="341" fontId="48" fillId="0" borderId="218" applyNumberFormat="0" applyBorder="0">
      <alignment horizontal="right"/>
    </xf>
    <xf numFmtId="341" fontId="48" fillId="0" borderId="218" applyNumberFormat="0" applyBorder="0">
      <alignment horizontal="right"/>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3" fillId="50"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4" fillId="44" borderId="197" applyNumberFormat="0" applyProtection="0">
      <alignment vertical="center"/>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4" fontId="273" fillId="44" borderId="197" applyNumberFormat="0" applyProtection="0">
      <alignment horizontal="left" vertical="center"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0" fontId="273" fillId="44" borderId="197" applyNumberFormat="0" applyProtection="0">
      <alignment horizontal="left" vertical="top" indent="1"/>
    </xf>
    <xf numFmtId="4" fontId="273" fillId="98" borderId="219" applyNumberFormat="0" applyProtection="0">
      <alignment horizontal="center" vertical="center" wrapText="1"/>
    </xf>
    <xf numFmtId="4" fontId="273" fillId="98" borderId="219" applyNumberFormat="0" applyProtection="0">
      <alignment horizontal="center" vertical="center" wrapText="1"/>
    </xf>
    <xf numFmtId="4" fontId="273" fillId="98" borderId="219" applyNumberFormat="0" applyProtection="0">
      <alignment horizontal="center" vertical="center" wrapText="1"/>
    </xf>
    <xf numFmtId="4" fontId="273" fillId="98" borderId="219" applyNumberFormat="0" applyProtection="0">
      <alignment horizontal="center" vertical="center" wrapText="1"/>
    </xf>
    <xf numFmtId="4" fontId="273" fillId="98" borderId="219" applyNumberFormat="0" applyProtection="0">
      <alignment horizontal="center" vertical="center" wrapText="1"/>
    </xf>
    <xf numFmtId="4" fontId="273" fillId="98" borderId="219" applyNumberFormat="0" applyProtection="0">
      <alignment horizontal="center" vertical="center" wrapText="1"/>
    </xf>
    <xf numFmtId="4" fontId="273" fillId="98" borderId="219" applyNumberFormat="0" applyProtection="0">
      <alignment horizontal="center" vertical="center" wrapText="1"/>
    </xf>
    <xf numFmtId="4" fontId="273" fillId="98" borderId="219" applyNumberFormat="0" applyProtection="0">
      <alignment horizontal="center" vertical="center" wrapText="1"/>
    </xf>
    <xf numFmtId="4" fontId="273" fillId="98" borderId="219" applyNumberFormat="0" applyProtection="0">
      <alignment horizontal="center" vertical="center" wrapText="1"/>
    </xf>
    <xf numFmtId="4" fontId="273" fillId="98" borderId="219" applyNumberFormat="0" applyProtection="0">
      <alignment horizontal="center" vertical="center" wrapText="1"/>
    </xf>
    <xf numFmtId="4" fontId="273" fillId="98" borderId="219" applyNumberFormat="0" applyProtection="0">
      <alignment horizontal="center" vertical="center" wrapText="1"/>
    </xf>
    <xf numFmtId="4" fontId="273" fillId="98" borderId="219" applyNumberFormat="0" applyProtection="0">
      <alignment horizontal="center" vertical="center" wrapText="1"/>
    </xf>
    <xf numFmtId="4" fontId="273" fillId="98" borderId="219" applyNumberFormat="0" applyProtection="0">
      <alignment horizontal="center" vertical="center" wrapText="1"/>
    </xf>
    <xf numFmtId="4" fontId="273" fillId="98" borderId="219" applyNumberFormat="0" applyProtection="0">
      <alignment horizontal="center" vertical="center" wrapText="1"/>
    </xf>
    <xf numFmtId="4" fontId="273" fillId="98" borderId="219" applyNumberFormat="0" applyProtection="0">
      <alignment horizontal="center" vertical="center" wrapText="1"/>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55"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1"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9"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3"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67"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1"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70"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99"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62"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4" fontId="144" fillId="98" borderId="197" applyNumberFormat="0" applyProtection="0">
      <alignment horizontal="right" vertical="center"/>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center"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52" borderId="197" applyNumberFormat="0" applyProtection="0">
      <alignment horizontal="left" vertical="top"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center"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102" borderId="197" applyNumberFormat="0" applyProtection="0">
      <alignment horizontal="left" vertical="top"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center"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72" borderId="197" applyNumberFormat="0" applyProtection="0">
      <alignment horizontal="left" vertical="top"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center"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0" fontId="9" fillId="80" borderId="197" applyNumberFormat="0" applyProtection="0">
      <alignment horizontal="left" vertical="top" indent="1"/>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144"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275" fillId="47" borderId="197" applyNumberFormat="0" applyProtection="0">
      <alignment vertical="center"/>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4" fontId="144" fillId="47" borderId="197" applyNumberFormat="0" applyProtection="0">
      <alignment horizontal="left" vertical="center"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47" borderId="197" applyNumberFormat="0" applyProtection="0">
      <alignment horizontal="left" vertical="top" indent="1"/>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0" fontId="144" fillId="103"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4" fontId="275" fillId="101" borderId="197" applyNumberFormat="0" applyProtection="0">
      <alignment horizontal="right" vertical="center"/>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144" fillId="104" borderId="197" applyNumberFormat="0" applyProtection="0">
      <alignment horizontal="left" vertical="center" indent="1"/>
    </xf>
    <xf numFmtId="0" fontId="253" fillId="105" borderId="219" applyNumberFormat="0" applyProtection="0">
      <alignment horizontal="center" vertical="center" wrapText="1"/>
    </xf>
    <xf numFmtId="0" fontId="253" fillId="105" borderId="219" applyNumberFormat="0" applyProtection="0">
      <alignment horizontal="center" vertical="center" wrapText="1"/>
    </xf>
    <xf numFmtId="0" fontId="253" fillId="105" borderId="219" applyNumberFormat="0" applyProtection="0">
      <alignment horizontal="center" vertical="center" wrapText="1"/>
    </xf>
    <xf numFmtId="0" fontId="253" fillId="105" borderId="219" applyNumberFormat="0" applyProtection="0">
      <alignment horizontal="center" vertical="center" wrapText="1"/>
    </xf>
    <xf numFmtId="0" fontId="253" fillId="105" borderId="219" applyNumberFormat="0" applyProtection="0">
      <alignment horizontal="center" vertical="center" wrapText="1"/>
    </xf>
    <xf numFmtId="0" fontId="253" fillId="105" borderId="219" applyNumberFormat="0" applyProtection="0">
      <alignment horizontal="center" vertical="center" wrapText="1"/>
    </xf>
    <xf numFmtId="0" fontId="253" fillId="105" borderId="219" applyNumberFormat="0" applyProtection="0">
      <alignment horizontal="center" vertical="center" wrapText="1"/>
    </xf>
    <xf numFmtId="0" fontId="253" fillId="105" borderId="219" applyNumberFormat="0" applyProtection="0">
      <alignment horizontal="center" vertical="center" wrapText="1"/>
    </xf>
    <xf numFmtId="0" fontId="253" fillId="105" borderId="219" applyNumberFormat="0" applyProtection="0">
      <alignment horizontal="center" vertical="center" wrapText="1"/>
    </xf>
    <xf numFmtId="0" fontId="253" fillId="105" borderId="219" applyNumberFormat="0" applyProtection="0">
      <alignment horizontal="center" vertical="center" wrapText="1"/>
    </xf>
    <xf numFmtId="0" fontId="253" fillId="105" borderId="219" applyNumberFormat="0" applyProtection="0">
      <alignment horizontal="center" vertical="center" wrapText="1"/>
    </xf>
    <xf numFmtId="0" fontId="253" fillId="105" borderId="219" applyNumberFormat="0" applyProtection="0">
      <alignment horizontal="center" vertical="center" wrapText="1"/>
    </xf>
    <xf numFmtId="0" fontId="253" fillId="105" borderId="219" applyNumberFormat="0" applyProtection="0">
      <alignment horizontal="center" vertical="center" wrapText="1"/>
    </xf>
    <xf numFmtId="0" fontId="253" fillId="105" borderId="219" applyNumberFormat="0" applyProtection="0">
      <alignment horizontal="center" vertical="center" wrapText="1"/>
    </xf>
    <xf numFmtId="0" fontId="253" fillId="105" borderId="219" applyNumberFormat="0" applyProtection="0">
      <alignment horizontal="center" vertical="center" wrapText="1"/>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4" fontId="277" fillId="101" borderId="197" applyNumberFormat="0" applyProtection="0">
      <alignment horizontal="right" vertical="center"/>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0" fontId="216" fillId="107" borderId="220" applyNumberFormat="0" applyBorder="0">
      <alignment horizontal="center" vertical="center" wrapText="1"/>
    </xf>
    <xf numFmtId="41"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0" fontId="314" fillId="0" borderId="0" applyNumberFormat="0" applyFill="0" applyBorder="0" applyAlignment="0" applyProtection="0"/>
    <xf numFmtId="43" fontId="9" fillId="0" borderId="0" applyFont="0" applyFill="0" applyBorder="0" applyAlignment="0" applyProtection="0"/>
    <xf numFmtId="348" fontId="9" fillId="0" borderId="0" applyFont="0" applyFill="0" applyBorder="0" applyAlignment="0" applyProtection="0"/>
    <xf numFmtId="9" fontId="9" fillId="0" borderId="0" applyFont="0" applyFill="0" applyBorder="0" applyAlignment="0" applyProtection="0"/>
    <xf numFmtId="0" fontId="8" fillId="0" borderId="0" applyNumberFormat="0" applyFill="0" applyBorder="0">
      <alignment vertical="center"/>
    </xf>
    <xf numFmtId="165" fontId="1" fillId="0" borderId="0" applyFont="0" applyFill="0" applyBorder="0" applyAlignment="0" applyProtection="0"/>
    <xf numFmtId="164" fontId="12" fillId="0" borderId="0" applyFont="0" applyFill="0" applyBorder="0" applyAlignment="0" applyProtection="0"/>
    <xf numFmtId="0" fontId="12" fillId="0" borderId="0"/>
    <xf numFmtId="43" fontId="8" fillId="0" borderId="0" applyFont="0" applyFill="0" applyBorder="0" applyAlignment="0" applyProtection="0"/>
    <xf numFmtId="44" fontId="8" fillId="0" borderId="0" applyFont="0" applyFill="0" applyBorder="0" applyAlignment="0" applyProtection="0"/>
    <xf numFmtId="44" fontId="1" fillId="0" borderId="0" applyFont="0" applyFill="0" applyBorder="0" applyAlignment="0" applyProtection="0"/>
    <xf numFmtId="165" fontId="1" fillId="0" borderId="0" applyFont="0" applyFill="0" applyBorder="0" applyAlignment="0" applyProtection="0"/>
    <xf numFmtId="43" fontId="35" fillId="0" borderId="0" applyFont="0" applyFill="0" applyBorder="0" applyAlignment="0" applyProtection="0"/>
    <xf numFmtId="0" fontId="1" fillId="0" borderId="0"/>
    <xf numFmtId="44" fontId="9"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0" fontId="1" fillId="0" borderId="0"/>
    <xf numFmtId="44" fontId="8" fillId="0" borderId="0" applyFont="0" applyFill="0" applyBorder="0" applyAlignment="0" applyProtection="0"/>
    <xf numFmtId="0" fontId="1" fillId="0" borderId="0"/>
    <xf numFmtId="0" fontId="1" fillId="0" borderId="0"/>
    <xf numFmtId="0" fontId="1" fillId="0" borderId="0"/>
    <xf numFmtId="0" fontId="288" fillId="0" borderId="0" applyNumberFormat="0" applyFill="0" applyBorder="0" applyAlignment="0" applyProtection="0"/>
    <xf numFmtId="165"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35" fillId="0" borderId="0" applyFont="0" applyFill="0" applyBorder="0" applyAlignment="0" applyProtection="0"/>
    <xf numFmtId="0" fontId="313" fillId="0" borderId="0"/>
    <xf numFmtId="0" fontId="9" fillId="0" borderId="0"/>
    <xf numFmtId="43" fontId="1"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5" fontId="1" fillId="0" borderId="0" applyFont="0" applyFill="0" applyBorder="0" applyAlignment="0" applyProtection="0"/>
    <xf numFmtId="44" fontId="1" fillId="0" borderId="0" applyFont="0" applyFill="0" applyBorder="0" applyAlignment="0" applyProtection="0"/>
    <xf numFmtId="0" fontId="36" fillId="0" borderId="0" applyNumberFormat="0" applyFill="0" applyBorder="0" applyAlignment="0" applyProtection="0">
      <alignment vertical="top"/>
      <protection locked="0"/>
    </xf>
    <xf numFmtId="43" fontId="1" fillId="0" borderId="0" applyFont="0" applyFill="0" applyBorder="0" applyAlignment="0" applyProtection="0"/>
    <xf numFmtId="0" fontId="2" fillId="0" borderId="0"/>
    <xf numFmtId="43" fontId="2" fillId="0" borderId="0" applyFont="0" applyFill="0" applyBorder="0" applyAlignment="0" applyProtection="0"/>
    <xf numFmtId="165" fontId="1" fillId="0" borderId="0" applyFont="0" applyFill="0" applyBorder="0" applyAlignment="0" applyProtection="0"/>
    <xf numFmtId="0" fontId="2" fillId="0" borderId="0"/>
    <xf numFmtId="165" fontId="1" fillId="0" borderId="0" applyFont="0" applyFill="0" applyBorder="0" applyAlignment="0" applyProtection="0"/>
    <xf numFmtId="0" fontId="2" fillId="0" borderId="0"/>
    <xf numFmtId="0" fontId="2" fillId="0" borderId="0"/>
    <xf numFmtId="165" fontId="1" fillId="0" borderId="0" applyFont="0" applyFill="0" applyBorder="0" applyAlignment="0" applyProtection="0"/>
    <xf numFmtId="0" fontId="2" fillId="0" borderId="0"/>
    <xf numFmtId="165"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cellStyleXfs>
  <cellXfs count="935">
    <xf numFmtId="0" fontId="0" fillId="0" borderId="0" xfId="0"/>
    <xf numFmtId="0" fontId="0" fillId="0" borderId="0" xfId="0" applyProtection="1">
      <protection locked="0"/>
    </xf>
    <xf numFmtId="40" fontId="39" fillId="42" borderId="10" xfId="0" applyNumberFormat="1" applyFont="1" applyFill="1" applyBorder="1" applyAlignment="1" applyProtection="1">
      <alignment horizontal="center" vertical="center"/>
      <protection hidden="1"/>
    </xf>
    <xf numFmtId="0" fontId="17" fillId="6" borderId="7" xfId="0" applyFont="1" applyFill="1" applyBorder="1" applyAlignment="1" applyProtection="1">
      <protection hidden="1"/>
    </xf>
    <xf numFmtId="0" fontId="17" fillId="6" borderId="2" xfId="0" applyFont="1" applyFill="1" applyBorder="1" applyAlignment="1" applyProtection="1">
      <protection hidden="1"/>
    </xf>
    <xf numFmtId="0" fontId="0" fillId="0" borderId="0" xfId="0" applyProtection="1">
      <protection hidden="1"/>
    </xf>
    <xf numFmtId="0" fontId="0" fillId="0" borderId="0" xfId="0" applyBorder="1" applyProtection="1">
      <protection hidden="1"/>
    </xf>
    <xf numFmtId="0" fontId="0" fillId="0" borderId="78" xfId="0" applyBorder="1" applyProtection="1">
      <protection hidden="1"/>
    </xf>
    <xf numFmtId="0" fontId="33" fillId="0" borderId="1" xfId="0" applyFont="1" applyBorder="1" applyAlignment="1" applyProtection="1">
      <alignment horizontal="center"/>
      <protection hidden="1"/>
    </xf>
    <xf numFmtId="0" fontId="0" fillId="0" borderId="1" xfId="0" applyBorder="1" applyAlignment="1" applyProtection="1">
      <alignment horizontal="center"/>
      <protection hidden="1"/>
    </xf>
    <xf numFmtId="0" fontId="0" fillId="0" borderId="77" xfId="22" applyNumberFormat="1" applyFont="1" applyBorder="1" applyAlignment="1" applyProtection="1">
      <alignment horizontal="center"/>
      <protection hidden="1"/>
    </xf>
    <xf numFmtId="0" fontId="0" fillId="0" borderId="1" xfId="0" applyFont="1" applyBorder="1" applyAlignment="1" applyProtection="1">
      <alignment horizontal="left"/>
      <protection hidden="1"/>
    </xf>
    <xf numFmtId="9" fontId="0" fillId="0" borderId="77" xfId="3954" applyNumberFormat="1" applyFont="1" applyBorder="1" applyAlignment="1" applyProtection="1">
      <alignment horizontal="center"/>
      <protection hidden="1"/>
    </xf>
    <xf numFmtId="0" fontId="12" fillId="41" borderId="1" xfId="0" applyFont="1" applyFill="1" applyBorder="1" applyAlignment="1" applyProtection="1">
      <alignment horizontal="left" vertical="center" wrapText="1" indent="3"/>
      <protection hidden="1"/>
    </xf>
    <xf numFmtId="344" fontId="12" fillId="41" borderId="7" xfId="0" applyNumberFormat="1" applyFont="1" applyFill="1" applyBorder="1" applyAlignment="1" applyProtection="1">
      <alignment horizontal="left" vertical="center" wrapText="1" indent="3"/>
      <protection hidden="1"/>
    </xf>
    <xf numFmtId="40" fontId="12" fillId="38" borderId="10" xfId="0" quotePrefix="1" applyNumberFormat="1" applyFont="1" applyFill="1" applyBorder="1" applyAlignment="1" applyProtection="1">
      <alignment horizontal="center" vertical="center"/>
      <protection hidden="1"/>
    </xf>
    <xf numFmtId="40" fontId="12" fillId="40" borderId="10" xfId="0" quotePrefix="1" applyNumberFormat="1" applyFont="1" applyFill="1" applyBorder="1" applyAlignment="1" applyProtection="1">
      <alignment horizontal="center" vertical="center"/>
      <protection hidden="1"/>
    </xf>
    <xf numFmtId="40" fontId="14" fillId="5" borderId="10" xfId="0" applyNumberFormat="1" applyFont="1" applyFill="1" applyBorder="1" applyAlignment="1" applyProtection="1">
      <alignment horizontal="center" vertical="center" wrapText="1"/>
      <protection hidden="1"/>
    </xf>
    <xf numFmtId="0" fontId="9" fillId="39" borderId="1" xfId="1" applyFont="1" applyFill="1" applyBorder="1" applyAlignment="1" applyProtection="1">
      <alignment horizontal="center" vertical="center"/>
      <protection hidden="1"/>
    </xf>
    <xf numFmtId="0" fontId="9" fillId="39" borderId="1" xfId="1" applyFont="1" applyFill="1" applyBorder="1" applyAlignment="1" applyProtection="1">
      <alignment horizontal="center" vertical="center"/>
    </xf>
    <xf numFmtId="0" fontId="0" fillId="0" borderId="0" xfId="0" applyProtection="1"/>
    <xf numFmtId="0" fontId="34" fillId="0" borderId="0" xfId="0" applyFont="1" applyFill="1" applyProtection="1">
      <protection hidden="1"/>
    </xf>
    <xf numFmtId="0" fontId="34" fillId="0" borderId="0" xfId="0" applyFont="1"/>
    <xf numFmtId="0" fontId="287" fillId="0" borderId="0" xfId="0" applyFont="1"/>
    <xf numFmtId="0" fontId="34" fillId="0" borderId="0" xfId="0" applyFont="1" applyFill="1"/>
    <xf numFmtId="40" fontId="283" fillId="38" borderId="1" xfId="0" applyNumberFormat="1" applyFont="1" applyFill="1" applyBorder="1" applyAlignment="1" applyProtection="1">
      <alignment vertical="center"/>
    </xf>
    <xf numFmtId="0" fontId="31" fillId="2" borderId="0" xfId="0" applyFont="1" applyFill="1"/>
    <xf numFmtId="0" fontId="0" fillId="0" borderId="0" xfId="0"/>
    <xf numFmtId="0" fontId="0" fillId="0" borderId="0" xfId="0" applyAlignment="1"/>
    <xf numFmtId="0" fontId="18" fillId="0" borderId="0" xfId="0" applyFont="1" applyBorder="1" applyProtection="1">
      <protection hidden="1"/>
    </xf>
    <xf numFmtId="0" fontId="285" fillId="111" borderId="0" xfId="0" applyFont="1" applyFill="1" applyAlignment="1" applyProtection="1">
      <alignment horizontal="center"/>
    </xf>
    <xf numFmtId="0" fontId="291" fillId="0" borderId="0" xfId="0" applyFont="1" applyFill="1" applyBorder="1" applyProtection="1"/>
    <xf numFmtId="0" fontId="34" fillId="0" borderId="0" xfId="0" applyFont="1" applyProtection="1">
      <protection locked="0"/>
    </xf>
    <xf numFmtId="0" fontId="31" fillId="0" borderId="0" xfId="0" applyFont="1" applyProtection="1">
      <protection locked="0"/>
    </xf>
    <xf numFmtId="0" fontId="5" fillId="0" borderId="0" xfId="0" applyFont="1" applyProtection="1">
      <protection locked="0"/>
    </xf>
    <xf numFmtId="0" fontId="5" fillId="113" borderId="220" xfId="0" applyFont="1" applyFill="1" applyBorder="1" applyAlignment="1" applyProtection="1">
      <alignment vertical="center"/>
    </xf>
    <xf numFmtId="0" fontId="31" fillId="0" borderId="0" xfId="0" applyFont="1" applyFill="1"/>
    <xf numFmtId="0" fontId="291" fillId="0" borderId="0" xfId="0" applyFont="1" applyAlignment="1" applyProtection="1">
      <alignment horizontal="left" vertical="center"/>
    </xf>
    <xf numFmtId="0" fontId="5" fillId="0" borderId="0" xfId="0" applyFont="1" applyProtection="1"/>
    <xf numFmtId="0" fontId="3" fillId="116" borderId="220" xfId="0" applyFont="1" applyFill="1" applyBorder="1" applyAlignment="1" applyProtection="1">
      <alignment horizontal="center" vertical="center" wrapText="1"/>
    </xf>
    <xf numFmtId="0" fontId="3" fillId="116" borderId="220" xfId="0" applyFont="1" applyFill="1" applyBorder="1" applyAlignment="1" applyProtection="1">
      <alignment horizontal="center" vertical="center"/>
    </xf>
    <xf numFmtId="0" fontId="3" fillId="116" borderId="220" xfId="0" quotePrefix="1" applyFont="1" applyFill="1" applyBorder="1" applyAlignment="1" applyProtection="1">
      <alignment horizontal="center" vertical="center" wrapText="1"/>
    </xf>
    <xf numFmtId="0" fontId="5" fillId="116" borderId="220" xfId="0" applyFont="1" applyFill="1" applyBorder="1" applyAlignment="1" applyProtection="1">
      <alignment horizontal="center"/>
    </xf>
    <xf numFmtId="345" fontId="5" fillId="116" borderId="220" xfId="0" applyNumberFormat="1" applyFont="1" applyFill="1" applyBorder="1" applyAlignment="1" applyProtection="1">
      <alignment horizontal="right"/>
    </xf>
    <xf numFmtId="0" fontId="5" fillId="116" borderId="220" xfId="0" quotePrefix="1" applyFont="1" applyFill="1" applyBorder="1" applyAlignment="1" applyProtection="1">
      <alignment horizontal="center" vertical="center"/>
    </xf>
    <xf numFmtId="346" fontId="5" fillId="116" borderId="220" xfId="0" quotePrefix="1" applyNumberFormat="1" applyFont="1" applyFill="1" applyBorder="1" applyAlignment="1" applyProtection="1">
      <alignment horizontal="center" vertical="center"/>
    </xf>
    <xf numFmtId="15" fontId="5" fillId="116" borderId="198" xfId="0" applyNumberFormat="1" applyFont="1" applyFill="1" applyBorder="1" applyProtection="1"/>
    <xf numFmtId="15" fontId="5" fillId="116" borderId="220" xfId="0" applyNumberFormat="1" applyFont="1" applyFill="1" applyBorder="1" applyProtection="1"/>
    <xf numFmtId="345" fontId="5" fillId="116" borderId="220" xfId="0" applyNumberFormat="1" applyFont="1" applyFill="1" applyBorder="1" applyProtection="1"/>
    <xf numFmtId="345" fontId="3" fillId="116" borderId="220" xfId="0" applyNumberFormat="1" applyFont="1" applyFill="1" applyBorder="1" applyProtection="1"/>
    <xf numFmtId="0" fontId="5" fillId="116" borderId="198" xfId="0" applyFont="1" applyFill="1" applyBorder="1" applyProtection="1"/>
    <xf numFmtId="0" fontId="5" fillId="116" borderId="198" xfId="0" applyFont="1" applyFill="1" applyBorder="1" applyAlignment="1" applyProtection="1">
      <alignment horizontal="center"/>
    </xf>
    <xf numFmtId="0" fontId="5" fillId="116" borderId="198" xfId="0" quotePrefix="1" applyFont="1" applyFill="1" applyBorder="1" applyAlignment="1" applyProtection="1">
      <alignment horizontal="center" vertical="center"/>
    </xf>
    <xf numFmtId="346" fontId="5" fillId="116" borderId="198" xfId="0" quotePrefix="1" applyNumberFormat="1" applyFont="1" applyFill="1" applyBorder="1" applyAlignment="1" applyProtection="1">
      <alignment horizontal="center" vertical="center"/>
    </xf>
    <xf numFmtId="0" fontId="5" fillId="116" borderId="178" xfId="0" applyFont="1" applyFill="1" applyBorder="1" applyAlignment="1" applyProtection="1">
      <alignment horizontal="center"/>
    </xf>
    <xf numFmtId="0" fontId="5" fillId="116" borderId="178" xfId="0" applyFont="1" applyFill="1" applyBorder="1" applyProtection="1"/>
    <xf numFmtId="0" fontId="5" fillId="116" borderId="178" xfId="0" quotePrefix="1" applyFont="1" applyFill="1" applyBorder="1" applyAlignment="1" applyProtection="1">
      <alignment horizontal="left"/>
    </xf>
    <xf numFmtId="15" fontId="5" fillId="116" borderId="9" xfId="0" applyNumberFormat="1" applyFont="1" applyFill="1" applyBorder="1" applyProtection="1"/>
    <xf numFmtId="345" fontId="3" fillId="116" borderId="9" xfId="0" applyNumberFormat="1" applyFont="1" applyFill="1" applyBorder="1" applyProtection="1"/>
    <xf numFmtId="0" fontId="5" fillId="116" borderId="0" xfId="0" applyFont="1" applyFill="1" applyAlignment="1" applyProtection="1">
      <alignment horizontal="center"/>
    </xf>
    <xf numFmtId="0" fontId="5" fillId="116" borderId="0" xfId="0" applyFont="1" applyFill="1" applyProtection="1"/>
    <xf numFmtId="15" fontId="5" fillId="116" borderId="0" xfId="0" applyNumberFormat="1" applyFont="1" applyFill="1" applyProtection="1"/>
    <xf numFmtId="345" fontId="5" fillId="116" borderId="0" xfId="0" applyNumberFormat="1" applyFont="1" applyFill="1" applyBorder="1" applyProtection="1"/>
    <xf numFmtId="0" fontId="294" fillId="116" borderId="0" xfId="0" quotePrefix="1" applyFont="1" applyFill="1" applyAlignment="1" applyProtection="1">
      <alignment horizontal="right"/>
    </xf>
    <xf numFmtId="10" fontId="3" fillId="116" borderId="13" xfId="3954" applyNumberFormat="1" applyFont="1" applyFill="1" applyBorder="1" applyAlignment="1" applyProtection="1">
      <alignment horizontal="center"/>
    </xf>
    <xf numFmtId="10" fontId="3" fillId="116" borderId="220" xfId="3954" applyNumberFormat="1" applyFont="1" applyFill="1" applyBorder="1" applyAlignment="1" applyProtection="1">
      <alignment horizontal="center"/>
    </xf>
    <xf numFmtId="40" fontId="283" fillId="42" borderId="1" xfId="0" applyNumberFormat="1" applyFont="1" applyFill="1" applyBorder="1" applyAlignment="1" applyProtection="1">
      <alignment vertical="center"/>
    </xf>
    <xf numFmtId="0" fontId="3" fillId="112" borderId="0" xfId="0" applyFont="1" applyFill="1" applyProtection="1"/>
    <xf numFmtId="0" fontId="5" fillId="117" borderId="200" xfId="0" quotePrefix="1" applyFont="1" applyFill="1" applyBorder="1" applyAlignment="1" applyProtection="1">
      <alignment horizontal="left"/>
    </xf>
    <xf numFmtId="0" fontId="5" fillId="117" borderId="147" xfId="0" quotePrefix="1" applyFont="1" applyFill="1" applyBorder="1" applyAlignment="1" applyProtection="1">
      <alignment horizontal="left"/>
    </xf>
    <xf numFmtId="0" fontId="291" fillId="116" borderId="0" xfId="0" applyFont="1" applyFill="1" applyProtection="1"/>
    <xf numFmtId="345" fontId="5" fillId="116" borderId="0" xfId="0" applyNumberFormat="1" applyFont="1" applyFill="1" applyAlignment="1" applyProtection="1">
      <alignment horizontal="right"/>
    </xf>
    <xf numFmtId="345" fontId="3" fillId="113" borderId="9" xfId="0" applyNumberFormat="1" applyFont="1" applyFill="1" applyBorder="1" applyProtection="1"/>
    <xf numFmtId="345" fontId="3" fillId="113" borderId="220" xfId="0" applyNumberFormat="1" applyFont="1" applyFill="1" applyBorder="1" applyProtection="1"/>
    <xf numFmtId="0" fontId="5" fillId="117" borderId="199" xfId="0" quotePrefix="1" applyFont="1" applyFill="1" applyBorder="1" applyAlignment="1" applyProtection="1">
      <alignment horizontal="left"/>
    </xf>
    <xf numFmtId="0" fontId="5" fillId="117" borderId="199" xfId="0" applyFont="1" applyFill="1" applyBorder="1" applyAlignment="1" applyProtection="1">
      <alignment horizontal="center"/>
    </xf>
    <xf numFmtId="15" fontId="5" fillId="117" borderId="199" xfId="0" applyNumberFormat="1" applyFont="1" applyFill="1" applyBorder="1" applyProtection="1"/>
    <xf numFmtId="345" fontId="5" fillId="117" borderId="120" xfId="0" applyNumberFormat="1" applyFont="1" applyFill="1" applyBorder="1" applyProtection="1"/>
    <xf numFmtId="345" fontId="5" fillId="117" borderId="149" xfId="0" applyNumberFormat="1" applyFont="1" applyFill="1" applyBorder="1" applyProtection="1"/>
    <xf numFmtId="0" fontId="291" fillId="0" borderId="0" xfId="0" quotePrefix="1" applyFont="1" applyFill="1" applyBorder="1" applyAlignment="1" applyProtection="1">
      <alignment horizontal="left"/>
    </xf>
    <xf numFmtId="0" fontId="297" fillId="2" borderId="0" xfId="0" applyFont="1" applyFill="1" applyProtection="1"/>
    <xf numFmtId="0" fontId="300" fillId="0" borderId="0" xfId="0" applyFont="1" applyProtection="1"/>
    <xf numFmtId="0" fontId="300" fillId="0" borderId="0" xfId="0" quotePrefix="1" applyFont="1" applyAlignment="1" applyProtection="1">
      <alignment horizontal="left"/>
    </xf>
    <xf numFmtId="0" fontId="301" fillId="0" borderId="0" xfId="0" quotePrefix="1" applyFont="1" applyAlignment="1" applyProtection="1">
      <alignment horizontal="left"/>
    </xf>
    <xf numFmtId="0" fontId="31" fillId="0" borderId="0" xfId="0" applyFont="1" applyFill="1" applyProtection="1">
      <protection hidden="1"/>
    </xf>
    <xf numFmtId="0" fontId="2" fillId="119" borderId="0" xfId="0" applyFont="1" applyFill="1" applyAlignment="1" applyProtection="1">
      <alignment horizontal="left"/>
    </xf>
    <xf numFmtId="0" fontId="303" fillId="0" borderId="0" xfId="0" applyFont="1" applyBorder="1" applyProtection="1">
      <protection hidden="1"/>
    </xf>
    <xf numFmtId="0" fontId="5" fillId="119" borderId="0" xfId="0" applyFont="1" applyFill="1" applyAlignment="1" applyProtection="1">
      <alignment horizontal="left"/>
    </xf>
    <xf numFmtId="0" fontId="303" fillId="2" borderId="0" xfId="0" applyFont="1" applyFill="1" applyBorder="1" applyProtection="1">
      <protection hidden="1"/>
    </xf>
    <xf numFmtId="0" fontId="5" fillId="113" borderId="220" xfId="0" quotePrefix="1" applyFont="1" applyFill="1" applyBorder="1" applyAlignment="1" applyProtection="1">
      <alignment horizontal="left" vertical="center"/>
    </xf>
    <xf numFmtId="0" fontId="3" fillId="113" borderId="227" xfId="0" applyFont="1" applyFill="1" applyBorder="1" applyAlignment="1" applyProtection="1">
      <alignment horizontal="center" vertical="center" wrapText="1"/>
    </xf>
    <xf numFmtId="2" fontId="5" fillId="113" borderId="220" xfId="0" quotePrefix="1" applyNumberFormat="1" applyFont="1" applyFill="1" applyBorder="1" applyAlignment="1" applyProtection="1">
      <alignment horizontal="left" vertical="center" wrapText="1"/>
    </xf>
    <xf numFmtId="0" fontId="3" fillId="113" borderId="234" xfId="0" applyFont="1" applyFill="1" applyBorder="1" applyAlignment="1" applyProtection="1">
      <alignment horizontal="center" vertical="center" wrapText="1"/>
    </xf>
    <xf numFmtId="0" fontId="34" fillId="2" borderId="0" xfId="0" applyFont="1" applyFill="1" applyProtection="1"/>
    <xf numFmtId="0" fontId="5" fillId="38" borderId="220" xfId="0" quotePrefix="1" applyFont="1" applyFill="1" applyBorder="1" applyAlignment="1" applyProtection="1">
      <alignment vertical="center" wrapText="1"/>
    </xf>
    <xf numFmtId="0" fontId="286" fillId="120" borderId="249" xfId="0" applyFont="1" applyFill="1" applyBorder="1" applyAlignment="1" applyProtection="1">
      <alignment horizontal="center" vertical="center" wrapText="1"/>
    </xf>
    <xf numFmtId="0" fontId="12" fillId="38" borderId="177" xfId="0" applyFont="1" applyFill="1" applyBorder="1" applyAlignment="1" applyProtection="1">
      <alignment horizontal="center" vertical="center" wrapText="1"/>
      <protection hidden="1"/>
    </xf>
    <xf numFmtId="0" fontId="12" fillId="38" borderId="147" xfId="0" applyFont="1" applyFill="1" applyBorder="1" applyAlignment="1" applyProtection="1">
      <alignment horizontal="center" vertical="center" wrapText="1"/>
      <protection hidden="1"/>
    </xf>
    <xf numFmtId="0" fontId="30" fillId="0" borderId="0" xfId="0" applyFont="1" applyFill="1" applyProtection="1"/>
    <xf numFmtId="0" fontId="34" fillId="0" borderId="0" xfId="0" applyFont="1" applyFill="1" applyProtection="1"/>
    <xf numFmtId="0" fontId="0" fillId="0" borderId="0" xfId="0" applyBorder="1" applyProtection="1"/>
    <xf numFmtId="0" fontId="293" fillId="0" borderId="0" xfId="0" applyFont="1" applyProtection="1"/>
    <xf numFmtId="0" fontId="5" fillId="112" borderId="0" xfId="0" applyFont="1" applyFill="1" applyAlignment="1" applyProtection="1">
      <alignment horizontal="center"/>
    </xf>
    <xf numFmtId="0" fontId="5" fillId="0" borderId="0" xfId="0" quotePrefix="1" applyFont="1" applyAlignment="1" applyProtection="1">
      <alignment horizontal="left"/>
    </xf>
    <xf numFmtId="0" fontId="3" fillId="3" borderId="178" xfId="0" quotePrefix="1" applyFont="1" applyFill="1" applyBorder="1" applyAlignment="1" applyProtection="1"/>
    <xf numFmtId="0" fontId="3" fillId="3" borderId="9" xfId="0" quotePrefix="1" applyFont="1" applyFill="1" applyBorder="1" applyAlignment="1" applyProtection="1"/>
    <xf numFmtId="0" fontId="3" fillId="113" borderId="178" xfId="0" quotePrefix="1" applyFont="1" applyFill="1" applyBorder="1" applyAlignment="1" applyProtection="1"/>
    <xf numFmtId="0" fontId="3" fillId="113" borderId="9" xfId="0" quotePrefix="1" applyFont="1" applyFill="1" applyBorder="1" applyAlignment="1" applyProtection="1"/>
    <xf numFmtId="0" fontId="34" fillId="0" borderId="0" xfId="0" applyFont="1" applyProtection="1"/>
    <xf numFmtId="0" fontId="302" fillId="0" borderId="0" xfId="0" applyFont="1" applyProtection="1"/>
    <xf numFmtId="0" fontId="12" fillId="38" borderId="13" xfId="0" applyFont="1" applyFill="1" applyBorder="1" applyAlignment="1" applyProtection="1">
      <alignment horizontal="center" vertical="center" wrapText="1"/>
      <protection hidden="1"/>
    </xf>
    <xf numFmtId="345" fontId="3" fillId="0" borderId="9" xfId="0" applyNumberFormat="1" applyFont="1" applyFill="1" applyBorder="1" applyProtection="1"/>
    <xf numFmtId="0" fontId="5" fillId="0" borderId="0" xfId="0" applyFont="1" applyBorder="1" applyProtection="1"/>
    <xf numFmtId="345" fontId="3" fillId="0" borderId="220" xfId="0" applyNumberFormat="1" applyFont="1" applyBorder="1" applyAlignment="1" applyProtection="1">
      <alignment horizontal="right"/>
    </xf>
    <xf numFmtId="345" fontId="3" fillId="0" borderId="220" xfId="0" quotePrefix="1" applyNumberFormat="1" applyFont="1" applyBorder="1" applyAlignment="1" applyProtection="1">
      <alignment horizontal="right"/>
    </xf>
    <xf numFmtId="0" fontId="3" fillId="0" borderId="0" xfId="0" applyFont="1" applyProtection="1"/>
    <xf numFmtId="40" fontId="0" fillId="0" borderId="0" xfId="0" applyNumberFormat="1" applyProtection="1"/>
    <xf numFmtId="0" fontId="31" fillId="0" borderId="0" xfId="0" applyFont="1" applyProtection="1"/>
    <xf numFmtId="0" fontId="306" fillId="0" borderId="0" xfId="0" applyFont="1" applyBorder="1" applyProtection="1">
      <protection hidden="1"/>
    </xf>
    <xf numFmtId="0" fontId="31" fillId="0" borderId="0" xfId="0" applyFont="1" applyFill="1" applyProtection="1"/>
    <xf numFmtId="0" fontId="3" fillId="0" borderId="0" xfId="0" quotePrefix="1" applyFont="1" applyAlignment="1" applyProtection="1">
      <alignment horizontal="left"/>
    </xf>
    <xf numFmtId="0" fontId="31" fillId="0" borderId="0" xfId="0" quotePrefix="1" applyFont="1" applyFill="1" applyProtection="1"/>
    <xf numFmtId="0" fontId="294" fillId="0" borderId="0" xfId="0" quotePrefix="1" applyFont="1" applyAlignment="1" applyProtection="1">
      <alignment horizontal="left" vertical="center"/>
    </xf>
    <xf numFmtId="0" fontId="0" fillId="0" borderId="240" xfId="0" applyBorder="1" applyProtection="1"/>
    <xf numFmtId="0" fontId="3" fillId="0" borderId="240" xfId="0" applyFont="1" applyBorder="1" applyProtection="1"/>
    <xf numFmtId="0" fontId="295" fillId="0" borderId="0" xfId="0" applyFont="1" applyFill="1" applyProtection="1"/>
    <xf numFmtId="0" fontId="31" fillId="0" borderId="0" xfId="0" applyFont="1" applyBorder="1" applyProtection="1"/>
    <xf numFmtId="0" fontId="285" fillId="111" borderId="0" xfId="0" applyNumberFormat="1" applyFont="1" applyFill="1" applyAlignment="1" applyProtection="1">
      <alignment horizontal="center"/>
    </xf>
    <xf numFmtId="0" fontId="308" fillId="38" borderId="220" xfId="0" applyNumberFormat="1" applyFont="1" applyFill="1" applyBorder="1" applyAlignment="1" applyProtection="1">
      <alignment horizontal="left" vertical="center" wrapText="1"/>
    </xf>
    <xf numFmtId="0" fontId="283" fillId="113" borderId="227" xfId="0" quotePrefix="1" applyFont="1" applyFill="1" applyBorder="1" applyAlignment="1" applyProtection="1">
      <alignment horizontal="left" vertical="center"/>
    </xf>
    <xf numFmtId="0" fontId="285" fillId="0" borderId="0" xfId="0" applyFont="1" applyFill="1" applyAlignment="1" applyProtection="1">
      <alignment horizontal="center"/>
    </xf>
    <xf numFmtId="0" fontId="39" fillId="0" borderId="0" xfId="0" applyFont="1" applyProtection="1"/>
    <xf numFmtId="0" fontId="12" fillId="38" borderId="13" xfId="0" applyNumberFormat="1" applyFont="1" applyFill="1" applyBorder="1" applyAlignment="1" applyProtection="1">
      <alignment horizontal="left" vertical="center" wrapText="1"/>
      <protection hidden="1"/>
    </xf>
    <xf numFmtId="0" fontId="2" fillId="0" borderId="0" xfId="0" applyFont="1" applyProtection="1"/>
    <xf numFmtId="0" fontId="309" fillId="0" borderId="0" xfId="0" applyFont="1" applyProtection="1"/>
    <xf numFmtId="0" fontId="7" fillId="113" borderId="263" xfId="16" applyFont="1" applyFill="1" applyBorder="1" applyAlignment="1" applyProtection="1">
      <alignment horizontal="left" vertical="center" wrapText="1"/>
    </xf>
    <xf numFmtId="0" fontId="7" fillId="113" borderId="264" xfId="16" applyFont="1" applyFill="1" applyBorder="1" applyAlignment="1" applyProtection="1">
      <alignment horizontal="center" vertical="center" wrapText="1"/>
    </xf>
    <xf numFmtId="0" fontId="7" fillId="108" borderId="9" xfId="0" quotePrefix="1" applyFont="1" applyFill="1" applyBorder="1" applyAlignment="1" applyProtection="1">
      <alignment horizontal="left" vertical="center" wrapText="1"/>
    </xf>
    <xf numFmtId="0" fontId="7" fillId="113" borderId="266" xfId="16" applyFont="1" applyFill="1" applyBorder="1" applyAlignment="1" applyProtection="1">
      <alignment horizontal="left" vertical="center" wrapText="1"/>
    </xf>
    <xf numFmtId="0" fontId="7" fillId="113" borderId="220" xfId="16" applyFont="1" applyFill="1" applyBorder="1" applyAlignment="1" applyProtection="1">
      <alignment horizontal="center" vertical="center" wrapText="1"/>
    </xf>
    <xf numFmtId="0" fontId="10" fillId="113" borderId="267" xfId="16" applyFont="1" applyFill="1" applyBorder="1" applyAlignment="1" applyProtection="1">
      <alignment horizontal="left" vertical="center" wrapText="1"/>
    </xf>
    <xf numFmtId="0" fontId="7" fillId="113" borderId="222" xfId="16" applyFont="1" applyFill="1" applyBorder="1" applyAlignment="1" applyProtection="1">
      <alignment horizontal="center" vertical="center" wrapText="1"/>
    </xf>
    <xf numFmtId="0" fontId="7" fillId="113" borderId="269" xfId="16" applyFont="1" applyFill="1" applyBorder="1" applyAlignment="1" applyProtection="1">
      <alignment horizontal="left" vertical="center" wrapText="1"/>
    </xf>
    <xf numFmtId="40" fontId="10" fillId="38" borderId="270" xfId="0" applyNumberFormat="1" applyFont="1" applyFill="1" applyBorder="1" applyAlignment="1" applyProtection="1">
      <alignment vertical="center"/>
    </xf>
    <xf numFmtId="0" fontId="7" fillId="108" borderId="9" xfId="0" applyFont="1" applyFill="1" applyBorder="1" applyAlignment="1" applyProtection="1">
      <alignment wrapText="1"/>
    </xf>
    <xf numFmtId="0" fontId="7" fillId="113" borderId="13" xfId="16" applyFont="1" applyFill="1" applyBorder="1" applyAlignment="1" applyProtection="1">
      <alignment horizontal="center" vertical="center" wrapText="1"/>
    </xf>
    <xf numFmtId="0" fontId="7" fillId="38" borderId="220" xfId="16" applyFont="1" applyFill="1" applyBorder="1" applyAlignment="1" applyProtection="1">
      <alignment horizontal="left" vertical="center" wrapText="1"/>
    </xf>
    <xf numFmtId="0" fontId="298" fillId="0" borderId="0" xfId="0" applyFont="1" applyAlignment="1" applyProtection="1">
      <alignment horizontal="center"/>
    </xf>
    <xf numFmtId="0" fontId="298" fillId="0" borderId="0" xfId="0" applyFont="1" applyProtection="1"/>
    <xf numFmtId="345" fontId="39" fillId="112" borderId="0" xfId="0" applyNumberFormat="1" applyFont="1" applyFill="1" applyProtection="1"/>
    <xf numFmtId="345" fontId="7" fillId="113" borderId="220" xfId="0" quotePrefix="1" applyNumberFormat="1" applyFont="1" applyFill="1" applyBorder="1" applyAlignment="1" applyProtection="1">
      <alignment horizontal="left" vertical="center" wrapText="1"/>
    </xf>
    <xf numFmtId="0" fontId="108" fillId="2" borderId="0" xfId="0" applyFont="1" applyFill="1" applyBorder="1" applyAlignment="1">
      <alignment horizontal="left" vertical="center"/>
    </xf>
    <xf numFmtId="0" fontId="31" fillId="0" borderId="0" xfId="0" applyFont="1"/>
    <xf numFmtId="0" fontId="31" fillId="0" borderId="0" xfId="0" applyFont="1" applyProtection="1">
      <protection hidden="1"/>
    </xf>
    <xf numFmtId="0" fontId="31" fillId="0" borderId="0" xfId="0" applyFont="1" applyAlignment="1" applyProtection="1">
      <alignment vertical="top"/>
      <protection hidden="1"/>
    </xf>
    <xf numFmtId="0" fontId="30" fillId="0" borderId="0" xfId="0" applyFont="1"/>
    <xf numFmtId="0" fontId="34" fillId="0" borderId="0" xfId="0" quotePrefix="1" applyFont="1"/>
    <xf numFmtId="0" fontId="9" fillId="2" borderId="1" xfId="1" applyFont="1" applyFill="1" applyBorder="1" applyAlignment="1" applyProtection="1">
      <alignment horizontal="center" vertical="center"/>
    </xf>
    <xf numFmtId="0" fontId="9" fillId="39" borderId="220" xfId="1" applyFont="1" applyFill="1" applyBorder="1" applyAlignment="1" applyProtection="1">
      <alignment horizontal="center" vertical="center"/>
    </xf>
    <xf numFmtId="0" fontId="315" fillId="0" borderId="0" xfId="0" applyFont="1" applyFill="1" applyProtection="1"/>
    <xf numFmtId="0" fontId="278" fillId="0" borderId="0" xfId="0" applyFont="1" applyProtection="1"/>
    <xf numFmtId="0" fontId="286" fillId="120" borderId="235" xfId="0" applyFont="1" applyFill="1" applyBorder="1" applyAlignment="1" applyProtection="1">
      <alignment horizontal="center" vertical="center" wrapText="1"/>
    </xf>
    <xf numFmtId="0" fontId="286" fillId="120" borderId="251" xfId="0" applyFont="1" applyFill="1" applyBorder="1" applyAlignment="1" applyProtection="1">
      <alignment horizontal="center" vertical="center" wrapText="1"/>
    </xf>
    <xf numFmtId="0" fontId="5" fillId="116" borderId="0" xfId="0" quotePrefix="1" applyFont="1" applyFill="1" applyAlignment="1" applyProtection="1">
      <alignment horizontal="left"/>
    </xf>
    <xf numFmtId="0" fontId="33" fillId="0" borderId="0" xfId="0" applyFont="1"/>
    <xf numFmtId="0" fontId="5" fillId="0" borderId="0" xfId="0" applyFont="1" applyBorder="1" applyProtection="1">
      <protection hidden="1"/>
    </xf>
    <xf numFmtId="0" fontId="2" fillId="2" borderId="0" xfId="0" applyFont="1" applyFill="1" applyProtection="1"/>
    <xf numFmtId="0" fontId="2" fillId="0" borderId="0" xfId="0" applyFont="1" applyAlignment="1" applyProtection="1"/>
    <xf numFmtId="0" fontId="278" fillId="0" borderId="0" xfId="0" applyFont="1" applyFill="1" applyProtection="1"/>
    <xf numFmtId="0" fontId="2" fillId="0" borderId="0" xfId="0" applyFont="1" applyProtection="1">
      <protection hidden="1"/>
    </xf>
    <xf numFmtId="0" fontId="2" fillId="0" borderId="0" xfId="0" applyFont="1" applyBorder="1" applyProtection="1"/>
    <xf numFmtId="0" fontId="278" fillId="0" borderId="0" xfId="0" applyFont="1" applyFill="1" applyProtection="1">
      <protection hidden="1"/>
    </xf>
    <xf numFmtId="0" fontId="2" fillId="0" borderId="244" xfId="0" applyFont="1" applyBorder="1" applyProtection="1"/>
    <xf numFmtId="0" fontId="318" fillId="0" borderId="0" xfId="0" applyFont="1" applyProtection="1"/>
    <xf numFmtId="0" fontId="108" fillId="0" borderId="0" xfId="0" applyFont="1" applyFill="1" applyProtection="1">
      <protection hidden="1"/>
    </xf>
    <xf numFmtId="0" fontId="319" fillId="0" borderId="0" xfId="0" applyFont="1" applyProtection="1"/>
    <xf numFmtId="0" fontId="320" fillId="0" borderId="0" xfId="0" applyFont="1" applyProtection="1"/>
    <xf numFmtId="0" fontId="319" fillId="2" borderId="0" xfId="0" applyFont="1" applyFill="1" applyProtection="1"/>
    <xf numFmtId="0" fontId="2" fillId="0" borderId="258" xfId="0" applyFont="1" applyBorder="1" applyProtection="1"/>
    <xf numFmtId="0" fontId="108" fillId="0" borderId="0" xfId="0" applyFont="1" applyFill="1" applyProtection="1"/>
    <xf numFmtId="0" fontId="150" fillId="0" borderId="0" xfId="0" applyFont="1" applyFill="1" applyProtection="1"/>
    <xf numFmtId="0" fontId="278" fillId="2" borderId="0" xfId="0" applyFont="1" applyFill="1" applyProtection="1"/>
    <xf numFmtId="349" fontId="39" fillId="0" borderId="13" xfId="37696" applyNumberFormat="1" applyFont="1" applyBorder="1" applyProtection="1">
      <protection locked="0"/>
    </xf>
    <xf numFmtId="0" fontId="12" fillId="2" borderId="13" xfId="0" applyFont="1" applyFill="1" applyBorder="1" applyAlignment="1" applyProtection="1">
      <alignment horizontal="center" vertical="center" wrapText="1"/>
      <protection locked="0" hidden="1"/>
    </xf>
    <xf numFmtId="0" fontId="12" fillId="2" borderId="1" xfId="0" applyFont="1" applyFill="1" applyBorder="1" applyAlignment="1" applyProtection="1">
      <alignment horizontal="center" vertical="center" wrapText="1"/>
      <protection locked="0" hidden="1"/>
    </xf>
    <xf numFmtId="344" fontId="12" fillId="2" borderId="7" xfId="0" applyNumberFormat="1" applyFont="1" applyFill="1" applyBorder="1" applyAlignment="1" applyProtection="1">
      <alignment horizontal="left" vertical="center" wrapText="1" indent="3"/>
      <protection locked="0" hidden="1"/>
    </xf>
    <xf numFmtId="0" fontId="312" fillId="0" borderId="0" xfId="0" applyFont="1" applyBorder="1" applyProtection="1">
      <protection hidden="1"/>
    </xf>
    <xf numFmtId="0" fontId="5" fillId="2" borderId="0" xfId="0" applyFont="1" applyFill="1" applyBorder="1" applyProtection="1">
      <protection hidden="1"/>
    </xf>
    <xf numFmtId="0" fontId="305" fillId="2" borderId="0" xfId="0" applyFont="1" applyFill="1" applyBorder="1" applyProtection="1"/>
    <xf numFmtId="0" fontId="322" fillId="2" borderId="0" xfId="0" applyFont="1" applyFill="1" applyBorder="1" applyAlignment="1" applyProtection="1">
      <protection hidden="1"/>
    </xf>
    <xf numFmtId="0" fontId="17" fillId="2" borderId="0" xfId="0" applyFont="1" applyFill="1" applyBorder="1" applyAlignment="1" applyProtection="1">
      <protection hidden="1"/>
    </xf>
    <xf numFmtId="0" fontId="278" fillId="2" borderId="0" xfId="0" applyFont="1" applyFill="1" applyBorder="1" applyProtection="1"/>
    <xf numFmtId="0" fontId="2" fillId="2" borderId="0" xfId="0" applyFont="1" applyFill="1" applyBorder="1" applyProtection="1"/>
    <xf numFmtId="0" fontId="2" fillId="2" borderId="0" xfId="0" applyFont="1" applyFill="1" applyBorder="1" applyAlignment="1" applyProtection="1"/>
    <xf numFmtId="345" fontId="5" fillId="117" borderId="261" xfId="0" applyNumberFormat="1" applyFont="1" applyFill="1" applyBorder="1" applyProtection="1"/>
    <xf numFmtId="0" fontId="5" fillId="117" borderId="29" xfId="0" quotePrefix="1" applyFont="1" applyFill="1" applyBorder="1" applyAlignment="1" applyProtection="1">
      <alignment horizontal="left"/>
    </xf>
    <xf numFmtId="0" fontId="5" fillId="117" borderId="29" xfId="0" applyFont="1" applyFill="1" applyBorder="1" applyAlignment="1" applyProtection="1">
      <alignment horizontal="center"/>
    </xf>
    <xf numFmtId="15" fontId="5" fillId="117" borderId="29" xfId="0" applyNumberFormat="1" applyFont="1" applyFill="1" applyBorder="1" applyProtection="1"/>
    <xf numFmtId="0" fontId="108" fillId="0" borderId="0" xfId="0" applyFont="1" applyProtection="1"/>
    <xf numFmtId="0" fontId="318" fillId="0" borderId="0" xfId="0" applyFont="1" applyFill="1" applyProtection="1">
      <protection hidden="1"/>
    </xf>
    <xf numFmtId="0" fontId="323" fillId="0" borderId="0" xfId="0" applyFont="1" applyProtection="1"/>
    <xf numFmtId="0" fontId="283" fillId="114" borderId="220" xfId="0" applyFont="1" applyFill="1" applyBorder="1" applyAlignment="1" applyProtection="1">
      <alignment horizontal="center" vertical="center"/>
    </xf>
    <xf numFmtId="0" fontId="283" fillId="114" borderId="220" xfId="0" applyFont="1" applyFill="1" applyBorder="1" applyAlignment="1" applyProtection="1">
      <alignment horizontal="left" vertical="center" wrapText="1"/>
    </xf>
    <xf numFmtId="0" fontId="30" fillId="2" borderId="0" xfId="0" applyFont="1" applyFill="1" applyBorder="1"/>
    <xf numFmtId="0" fontId="0" fillId="2" borderId="0" xfId="0" applyFill="1" applyBorder="1" applyAlignment="1" applyProtection="1">
      <protection locked="0"/>
    </xf>
    <xf numFmtId="0" fontId="5" fillId="2" borderId="231" xfId="0" quotePrefix="1" applyFont="1" applyFill="1" applyBorder="1" applyAlignment="1" applyProtection="1">
      <alignment vertical="center" wrapText="1"/>
      <protection locked="0"/>
    </xf>
    <xf numFmtId="0" fontId="322" fillId="2" borderId="0" xfId="0" applyNumberFormat="1" applyFont="1" applyFill="1" applyBorder="1" applyAlignment="1" applyProtection="1">
      <protection hidden="1"/>
    </xf>
    <xf numFmtId="0" fontId="0" fillId="2" borderId="0" xfId="0" applyFill="1" applyBorder="1" applyAlignment="1" applyProtection="1"/>
    <xf numFmtId="0" fontId="30" fillId="2" borderId="0" xfId="0" applyFont="1" applyFill="1" applyBorder="1" applyProtection="1"/>
    <xf numFmtId="0" fontId="37" fillId="2" borderId="0" xfId="0" applyFont="1" applyFill="1" applyBorder="1" applyAlignment="1" applyProtection="1">
      <protection hidden="1"/>
    </xf>
    <xf numFmtId="0" fontId="309" fillId="0" borderId="0" xfId="0" applyFont="1" applyProtection="1">
      <protection locked="0"/>
    </xf>
    <xf numFmtId="0" fontId="7" fillId="0" borderId="0" xfId="0" applyFont="1" applyProtection="1">
      <protection locked="0"/>
    </xf>
    <xf numFmtId="0" fontId="323" fillId="0" borderId="0" xfId="0" applyFont="1" applyProtection="1">
      <protection locked="0"/>
    </xf>
    <xf numFmtId="0" fontId="295" fillId="0" borderId="0" xfId="0" applyFont="1" applyFill="1" applyProtection="1">
      <protection locked="0"/>
    </xf>
    <xf numFmtId="0" fontId="17" fillId="2" borderId="0" xfId="0" applyFont="1" applyFill="1" applyBorder="1" applyAlignment="1" applyProtection="1">
      <protection locked="0" hidden="1"/>
    </xf>
    <xf numFmtId="0" fontId="18" fillId="0" borderId="0" xfId="0" applyFont="1" applyBorder="1" applyProtection="1">
      <protection locked="0" hidden="1"/>
    </xf>
    <xf numFmtId="0" fontId="7" fillId="108" borderId="221" xfId="0" quotePrefix="1" applyFont="1" applyFill="1" applyBorder="1" applyAlignment="1" applyProtection="1">
      <alignment horizontal="left" vertical="center" wrapText="1"/>
    </xf>
    <xf numFmtId="0" fontId="7" fillId="108" borderId="282" xfId="0" quotePrefix="1" applyFont="1" applyFill="1" applyBorder="1" applyAlignment="1" applyProtection="1">
      <alignment horizontal="left" vertical="center" wrapText="1"/>
    </xf>
    <xf numFmtId="0" fontId="7" fillId="108" borderId="276" xfId="0" quotePrefix="1" applyFont="1" applyFill="1" applyBorder="1" applyAlignment="1" applyProtection="1">
      <alignment horizontal="left" vertical="center" wrapText="1"/>
    </xf>
    <xf numFmtId="0" fontId="7" fillId="108" borderId="19" xfId="0" quotePrefix="1" applyFont="1" applyFill="1" applyBorder="1" applyAlignment="1" applyProtection="1">
      <alignment horizontal="left" vertical="center" wrapText="1"/>
    </xf>
    <xf numFmtId="0" fontId="7" fillId="108" borderId="19" xfId="0" applyFont="1" applyFill="1" applyBorder="1" applyAlignment="1" applyProtection="1">
      <alignment wrapText="1"/>
    </xf>
    <xf numFmtId="349" fontId="12" fillId="0" borderId="1" xfId="0" applyNumberFormat="1" applyFont="1" applyBorder="1" applyAlignment="1" applyProtection="1">
      <alignment vertical="center"/>
      <protection locked="0"/>
    </xf>
    <xf numFmtId="0" fontId="12" fillId="2" borderId="1" xfId="0" applyFont="1" applyFill="1" applyBorder="1" applyAlignment="1" applyProtection="1">
      <alignment horizontal="left" vertical="center" wrapText="1"/>
      <protection locked="0"/>
    </xf>
    <xf numFmtId="344" fontId="12" fillId="2" borderId="1" xfId="0" applyNumberFormat="1" applyFont="1" applyFill="1" applyBorder="1" applyAlignment="1" applyProtection="1">
      <alignment horizontal="left" vertical="center" wrapText="1" indent="3"/>
      <protection locked="0"/>
    </xf>
    <xf numFmtId="0" fontId="12" fillId="2" borderId="1" xfId="0" applyFont="1" applyFill="1" applyBorder="1" applyAlignment="1" applyProtection="1">
      <alignment horizontal="center" vertical="center" wrapText="1"/>
      <protection locked="0"/>
    </xf>
    <xf numFmtId="0" fontId="0" fillId="0" borderId="0" xfId="0" applyNumberFormat="1"/>
    <xf numFmtId="0" fontId="15" fillId="2" borderId="220" xfId="0" applyFont="1" applyFill="1" applyBorder="1" applyAlignment="1" applyProtection="1">
      <alignment horizontal="left"/>
      <protection hidden="1"/>
    </xf>
    <xf numFmtId="0" fontId="7" fillId="0" borderId="17" xfId="0" applyFont="1" applyBorder="1" applyProtection="1">
      <protection hidden="1"/>
    </xf>
    <xf numFmtId="0" fontId="15" fillId="2" borderId="18" xfId="0" applyFont="1" applyFill="1" applyBorder="1" applyProtection="1">
      <protection hidden="1"/>
    </xf>
    <xf numFmtId="0" fontId="7" fillId="0" borderId="17" xfId="0" applyFont="1" applyBorder="1" applyProtection="1">
      <protection locked="0" hidden="1"/>
    </xf>
    <xf numFmtId="0" fontId="294" fillId="0" borderId="0" xfId="0" quotePrefix="1" applyFont="1" applyAlignment="1" applyProtection="1">
      <alignment horizontal="left" vertical="center"/>
      <protection locked="0"/>
    </xf>
    <xf numFmtId="0" fontId="34" fillId="0" borderId="0" xfId="0" applyFont="1" applyFill="1" applyProtection="1">
      <protection locked="0"/>
    </xf>
    <xf numFmtId="0" fontId="0" fillId="0" borderId="0" xfId="0" quotePrefix="1" applyProtection="1">
      <protection locked="0"/>
    </xf>
    <xf numFmtId="0" fontId="31" fillId="0" borderId="0" xfId="0" applyFont="1" applyFill="1" applyProtection="1">
      <protection locked="0"/>
    </xf>
    <xf numFmtId="0" fontId="12" fillId="0" borderId="1" xfId="0" applyFont="1" applyFill="1" applyBorder="1" applyAlignment="1" applyProtection="1">
      <alignment horizontal="left" vertical="center" wrapText="1"/>
      <protection locked="0"/>
    </xf>
    <xf numFmtId="0" fontId="7" fillId="38" borderId="177" xfId="16" applyFont="1" applyFill="1" applyBorder="1" applyAlignment="1" applyProtection="1">
      <alignment horizontal="left" vertical="center" wrapText="1"/>
    </xf>
    <xf numFmtId="0" fontId="7" fillId="113" borderId="4" xfId="16" applyFont="1" applyFill="1" applyBorder="1" applyAlignment="1" applyProtection="1">
      <alignment horizontal="center" vertical="center" wrapText="1"/>
    </xf>
    <xf numFmtId="0" fontId="300" fillId="0" borderId="0" xfId="0" applyFont="1" applyFill="1" applyBorder="1" applyProtection="1"/>
    <xf numFmtId="0" fontId="17" fillId="0" borderId="0" xfId="0" applyFont="1" applyFill="1" applyBorder="1" applyAlignment="1" applyProtection="1">
      <protection hidden="1"/>
    </xf>
    <xf numFmtId="0" fontId="307" fillId="0" borderId="0" xfId="0" applyFont="1" applyFill="1" applyBorder="1" applyAlignment="1" applyProtection="1">
      <protection hidden="1"/>
    </xf>
    <xf numFmtId="0" fontId="34" fillId="0" borderId="0" xfId="0" applyFont="1" applyFill="1" applyBorder="1" applyAlignment="1" applyProtection="1"/>
    <xf numFmtId="0" fontId="31" fillId="0" borderId="0" xfId="0" applyFont="1" applyFill="1" applyBorder="1" applyAlignment="1" applyProtection="1"/>
    <xf numFmtId="0" fontId="0" fillId="0" borderId="0" xfId="0" applyFill="1" applyBorder="1" applyAlignment="1" applyProtection="1"/>
    <xf numFmtId="0" fontId="322" fillId="0" borderId="0" xfId="0" applyFont="1" applyFill="1" applyBorder="1" applyAlignment="1" applyProtection="1">
      <protection hidden="1"/>
    </xf>
    <xf numFmtId="0" fontId="302" fillId="2" borderId="0" xfId="0" applyFont="1" applyFill="1" applyProtection="1"/>
    <xf numFmtId="0" fontId="278" fillId="0" borderId="0" xfId="0" applyFont="1" applyProtection="1">
      <protection locked="0"/>
    </xf>
    <xf numFmtId="0" fontId="0" fillId="0" borderId="240" xfId="0" applyBorder="1" applyProtection="1">
      <protection locked="0"/>
    </xf>
    <xf numFmtId="0" fontId="0" fillId="0" borderId="242" xfId="0" applyBorder="1" applyProtection="1">
      <protection locked="0"/>
    </xf>
    <xf numFmtId="0" fontId="34" fillId="0" borderId="200" xfId="0" applyFont="1" applyFill="1" applyBorder="1" applyProtection="1">
      <protection hidden="1"/>
    </xf>
    <xf numFmtId="0" fontId="5" fillId="119" borderId="199" xfId="0" quotePrefix="1" applyFont="1" applyFill="1" applyBorder="1" applyAlignment="1" applyProtection="1">
      <alignment horizontal="left"/>
    </xf>
    <xf numFmtId="0" fontId="5" fillId="119" borderId="261" xfId="0" quotePrefix="1" applyFont="1" applyFill="1" applyBorder="1" applyAlignment="1" applyProtection="1">
      <alignment horizontal="left"/>
    </xf>
    <xf numFmtId="0" fontId="34" fillId="0" borderId="31" xfId="0" applyFont="1" applyFill="1" applyBorder="1" applyProtection="1">
      <protection hidden="1"/>
    </xf>
    <xf numFmtId="0" fontId="5" fillId="119" borderId="80" xfId="0" quotePrefix="1" applyFont="1" applyFill="1" applyBorder="1" applyAlignment="1" applyProtection="1">
      <alignment horizontal="left"/>
    </xf>
    <xf numFmtId="0" fontId="34" fillId="0" borderId="31" xfId="0" applyFont="1" applyFill="1" applyBorder="1" applyProtection="1"/>
    <xf numFmtId="0" fontId="34" fillId="0" borderId="147" xfId="0" applyFont="1" applyFill="1" applyBorder="1" applyProtection="1"/>
    <xf numFmtId="0" fontId="5" fillId="119" borderId="29" xfId="0" quotePrefix="1" applyFont="1" applyFill="1" applyBorder="1" applyAlignment="1" applyProtection="1">
      <alignment horizontal="left"/>
    </xf>
    <xf numFmtId="0" fontId="5" fillId="119" borderId="149" xfId="0" quotePrefix="1" applyFont="1" applyFill="1" applyBorder="1" applyAlignment="1" applyProtection="1">
      <alignment horizontal="left"/>
    </xf>
    <xf numFmtId="0" fontId="31" fillId="118" borderId="29" xfId="0" applyFont="1" applyFill="1" applyBorder="1" applyProtection="1"/>
    <xf numFmtId="0" fontId="31" fillId="118" borderId="149" xfId="0" applyFont="1" applyFill="1" applyBorder="1" applyProtection="1"/>
    <xf numFmtId="0" fontId="311" fillId="119" borderId="147" xfId="0" applyFont="1" applyFill="1" applyBorder="1" applyProtection="1"/>
    <xf numFmtId="0" fontId="311" fillId="119" borderId="29" xfId="0" applyFont="1" applyFill="1" applyBorder="1" applyProtection="1"/>
    <xf numFmtId="0" fontId="327" fillId="0" borderId="0" xfId="0" applyFont="1" applyFill="1" applyProtection="1"/>
    <xf numFmtId="349" fontId="12" fillId="110" borderId="220" xfId="37696" applyNumberFormat="1" applyFont="1" applyFill="1" applyBorder="1" applyProtection="1"/>
    <xf numFmtId="0" fontId="15" fillId="2" borderId="145" xfId="0" applyFont="1" applyFill="1" applyBorder="1" applyAlignment="1" applyProtection="1">
      <alignment horizontal="left"/>
      <protection hidden="1"/>
    </xf>
    <xf numFmtId="0" fontId="0" fillId="0" borderId="0" xfId="0" applyBorder="1"/>
    <xf numFmtId="0" fontId="286" fillId="120" borderId="246" xfId="0" applyFont="1" applyFill="1" applyBorder="1" applyAlignment="1" applyProtection="1">
      <alignment horizontal="center" vertical="center" wrapText="1"/>
    </xf>
    <xf numFmtId="0" fontId="286" fillId="120" borderId="244" xfId="0" quotePrefix="1" applyFont="1" applyFill="1" applyBorder="1" applyAlignment="1" applyProtection="1">
      <alignment horizontal="center" vertical="center" wrapText="1"/>
    </xf>
    <xf numFmtId="0" fontId="31" fillId="0" borderId="0" xfId="0" quotePrefix="1" applyFont="1" applyProtection="1"/>
    <xf numFmtId="0" fontId="328" fillId="120" borderId="0" xfId="0" applyFont="1" applyFill="1" applyBorder="1" applyAlignment="1" applyProtection="1">
      <alignment horizontal="center" vertical="center" wrapText="1"/>
    </xf>
    <xf numFmtId="0" fontId="5" fillId="119" borderId="0" xfId="0" quotePrefix="1" applyFont="1" applyFill="1" applyBorder="1" applyAlignment="1" applyProtection="1">
      <alignment horizontal="left"/>
    </xf>
    <xf numFmtId="351" fontId="12" fillId="40" borderId="1" xfId="0" quotePrefix="1" applyNumberFormat="1" applyFont="1" applyFill="1" applyBorder="1" applyAlignment="1" applyProtection="1">
      <alignment vertical="center"/>
    </xf>
    <xf numFmtId="351" fontId="12" fillId="0" borderId="1" xfId="0" applyNumberFormat="1" applyFont="1" applyBorder="1" applyAlignment="1" applyProtection="1">
      <alignment vertical="center"/>
      <protection locked="0"/>
    </xf>
    <xf numFmtId="351" fontId="12" fillId="0" borderId="1" xfId="0" applyNumberFormat="1" applyFont="1" applyBorder="1" applyAlignment="1" applyProtection="1">
      <alignment vertical="center" wrapText="1"/>
      <protection locked="0"/>
    </xf>
    <xf numFmtId="352" fontId="39" fillId="42" borderId="1" xfId="0" applyNumberFormat="1" applyFont="1" applyFill="1" applyBorder="1" applyAlignment="1" applyProtection="1">
      <alignment vertical="center"/>
    </xf>
    <xf numFmtId="352" fontId="283" fillId="42" borderId="220" xfId="0" applyNumberFormat="1" applyFont="1" applyFill="1" applyBorder="1" applyAlignment="1" applyProtection="1">
      <alignment vertical="center"/>
    </xf>
    <xf numFmtId="352" fontId="283" fillId="42" borderId="1" xfId="0" applyNumberFormat="1" applyFont="1" applyFill="1" applyBorder="1" applyAlignment="1" applyProtection="1">
      <alignment vertical="center"/>
    </xf>
    <xf numFmtId="351" fontId="39" fillId="0" borderId="13" xfId="37696" applyNumberFormat="1" applyFont="1" applyBorder="1" applyProtection="1">
      <protection locked="0"/>
    </xf>
    <xf numFmtId="351" fontId="0" fillId="38" borderId="220" xfId="37696" applyNumberFormat="1" applyFont="1" applyFill="1" applyBorder="1" applyProtection="1"/>
    <xf numFmtId="352" fontId="283" fillId="113" borderId="220" xfId="37696" applyNumberFormat="1" applyFont="1" applyFill="1" applyBorder="1" applyAlignment="1" applyProtection="1">
      <alignment vertical="center"/>
    </xf>
    <xf numFmtId="351" fontId="39" fillId="38" borderId="262" xfId="0" applyNumberFormat="1" applyFont="1" applyFill="1" applyBorder="1" applyAlignment="1" applyProtection="1">
      <alignment vertical="center"/>
    </xf>
    <xf numFmtId="0" fontId="0" fillId="0" borderId="31" xfId="0" applyBorder="1" applyProtection="1"/>
    <xf numFmtId="351" fontId="39" fillId="0" borderId="271" xfId="37696" applyNumberFormat="1" applyFont="1" applyBorder="1" applyProtection="1">
      <protection locked="0"/>
    </xf>
    <xf numFmtId="351" fontId="15" fillId="38" borderId="271" xfId="37696" applyNumberFormat="1" applyFont="1" applyFill="1" applyBorder="1" applyAlignment="1" applyProtection="1">
      <alignment horizontal="center" vertical="center" wrapText="1"/>
    </xf>
    <xf numFmtId="351" fontId="7" fillId="38" borderId="220" xfId="37696" applyNumberFormat="1" applyFont="1" applyFill="1" applyBorder="1" applyAlignment="1" applyProtection="1">
      <alignment horizontal="left" vertical="center" wrapText="1"/>
    </xf>
    <xf numFmtId="351" fontId="10" fillId="38" borderId="220" xfId="22" quotePrefix="1" applyNumberFormat="1" applyFont="1" applyFill="1" applyBorder="1" applyAlignment="1" applyProtection="1">
      <alignment horizontal="right" vertical="center"/>
    </xf>
    <xf numFmtId="351" fontId="10" fillId="38" borderId="222" xfId="22" quotePrefix="1" applyNumberFormat="1" applyFont="1" applyFill="1" applyBorder="1" applyAlignment="1" applyProtection="1">
      <alignment horizontal="right" vertical="center"/>
    </xf>
    <xf numFmtId="351" fontId="10" fillId="38" borderId="10" xfId="22" quotePrefix="1" applyNumberFormat="1" applyFont="1" applyFill="1" applyBorder="1" applyAlignment="1" applyProtection="1">
      <alignment horizontal="right" vertical="center"/>
    </xf>
    <xf numFmtId="351" fontId="10" fillId="38" borderId="265" xfId="22" quotePrefix="1" applyNumberFormat="1" applyFont="1" applyFill="1" applyBorder="1" applyAlignment="1" applyProtection="1">
      <alignment horizontal="right" vertical="center"/>
    </xf>
    <xf numFmtId="352" fontId="10" fillId="113" borderId="268" xfId="37696" applyNumberFormat="1" applyFont="1" applyFill="1" applyBorder="1" applyAlignment="1" applyProtection="1">
      <alignment horizontal="right" vertical="center" wrapText="1"/>
    </xf>
    <xf numFmtId="0" fontId="0" fillId="118" borderId="0" xfId="0" applyFill="1"/>
    <xf numFmtId="0" fontId="2" fillId="0" borderId="258" xfId="0" applyFont="1" applyBorder="1" applyAlignment="1" applyProtection="1"/>
    <xf numFmtId="0" fontId="39" fillId="0" borderId="0" xfId="0" applyFont="1" applyAlignment="1" applyProtection="1"/>
    <xf numFmtId="351" fontId="39" fillId="0" borderId="13" xfId="37696" applyNumberFormat="1" applyFont="1" applyBorder="1" applyProtection="1"/>
    <xf numFmtId="0" fontId="33" fillId="0" borderId="0" xfId="0" applyFont="1" applyProtection="1"/>
    <xf numFmtId="41" fontId="283" fillId="112" borderId="220" xfId="37696" applyFont="1" applyFill="1" applyBorder="1" applyAlignment="1" applyProtection="1">
      <alignment horizontal="center" vertical="center"/>
    </xf>
    <xf numFmtId="0" fontId="326" fillId="0" borderId="0" xfId="0" applyFont="1" applyProtection="1"/>
    <xf numFmtId="0" fontId="0" fillId="0" borderId="199" xfId="0" applyBorder="1" applyProtection="1"/>
    <xf numFmtId="347" fontId="31" fillId="0" borderId="0" xfId="0" applyNumberFormat="1" applyFont="1" applyProtection="1"/>
    <xf numFmtId="2" fontId="39" fillId="0" borderId="227" xfId="0" quotePrefix="1" applyNumberFormat="1" applyFont="1" applyBorder="1" applyAlignment="1" applyProtection="1">
      <alignment horizontal="left" vertical="center" wrapText="1"/>
    </xf>
    <xf numFmtId="0" fontId="34" fillId="0" borderId="0" xfId="0" applyFont="1" applyAlignment="1" applyProtection="1">
      <alignment horizontal="center"/>
    </xf>
    <xf numFmtId="0" fontId="15" fillId="2" borderId="145" xfId="0" applyFont="1" applyFill="1" applyBorder="1" applyAlignment="1" applyProtection="1">
      <alignment horizontal="left"/>
      <protection hidden="1"/>
    </xf>
    <xf numFmtId="0" fontId="330" fillId="119" borderId="149" xfId="0" applyFont="1" applyFill="1" applyBorder="1" applyProtection="1"/>
    <xf numFmtId="0" fontId="0" fillId="118" borderId="147" xfId="0" applyFill="1" applyBorder="1" applyProtection="1"/>
    <xf numFmtId="0" fontId="286" fillId="120" borderId="294" xfId="0" applyFont="1" applyFill="1" applyBorder="1" applyAlignment="1" applyProtection="1">
      <alignment horizontal="center" vertical="center" wrapText="1"/>
    </xf>
    <xf numFmtId="0" fontId="5" fillId="119" borderId="0" xfId="0" quotePrefix="1" applyFont="1" applyFill="1" applyBorder="1" applyAlignment="1" applyProtection="1">
      <alignment horizontal="left"/>
    </xf>
    <xf numFmtId="0" fontId="286" fillId="120" borderId="295" xfId="0" applyFont="1" applyFill="1" applyBorder="1" applyAlignment="1" applyProtection="1">
      <alignment horizontal="center" vertical="center" wrapText="1"/>
    </xf>
    <xf numFmtId="0" fontId="286" fillId="120" borderId="296" xfId="0" applyFont="1" applyFill="1" applyBorder="1" applyAlignment="1" applyProtection="1">
      <alignment horizontal="center" vertical="center" wrapText="1"/>
    </xf>
    <xf numFmtId="0" fontId="12" fillId="2" borderId="220" xfId="0" applyFont="1" applyFill="1" applyBorder="1" applyAlignment="1" applyProtection="1">
      <alignment horizontal="center" vertical="center" wrapText="1"/>
      <protection locked="0" hidden="1"/>
    </xf>
    <xf numFmtId="0" fontId="286" fillId="120" borderId="299" xfId="0" applyFont="1" applyFill="1" applyBorder="1" applyAlignment="1" applyProtection="1">
      <alignment horizontal="center" vertical="center" wrapText="1"/>
    </xf>
    <xf numFmtId="0" fontId="286" fillId="120" borderId="300" xfId="0" applyFont="1" applyFill="1" applyBorder="1" applyAlignment="1" applyProtection="1">
      <alignment horizontal="center" vertical="center" wrapText="1"/>
    </xf>
    <xf numFmtId="0" fontId="3" fillId="113" borderId="231" xfId="0" applyFont="1" applyFill="1" applyBorder="1" applyAlignment="1" applyProtection="1">
      <alignment horizontal="center" vertical="center" wrapText="1"/>
    </xf>
    <xf numFmtId="0" fontId="3" fillId="113" borderId="233" xfId="0" applyFont="1" applyFill="1" applyBorder="1" applyAlignment="1" applyProtection="1">
      <alignment horizontal="center" vertical="center" wrapText="1"/>
    </xf>
    <xf numFmtId="0" fontId="287" fillId="0" borderId="145" xfId="0" applyFont="1" applyBorder="1"/>
    <xf numFmtId="0" fontId="0" fillId="0" borderId="277" xfId="0" applyBorder="1"/>
    <xf numFmtId="0" fontId="287" fillId="0" borderId="220" xfId="0" applyFont="1" applyBorder="1"/>
    <xf numFmtId="0" fontId="0" fillId="0" borderId="145" xfId="0" applyBorder="1" applyProtection="1">
      <protection hidden="1"/>
    </xf>
    <xf numFmtId="0" fontId="0" fillId="0" borderId="178" xfId="0" applyBorder="1"/>
    <xf numFmtId="0" fontId="286" fillId="120" borderId="246" xfId="0" applyFont="1" applyFill="1" applyBorder="1" applyAlignment="1" applyProtection="1">
      <alignment horizontal="center" vertical="center" wrapText="1"/>
    </xf>
    <xf numFmtId="0" fontId="2" fillId="0" borderId="0" xfId="0" applyFont="1" applyProtection="1">
      <protection locked="0"/>
    </xf>
    <xf numFmtId="0" fontId="278" fillId="2" borderId="0" xfId="0" applyFont="1" applyFill="1" applyProtection="1">
      <protection locked="0"/>
    </xf>
    <xf numFmtId="0" fontId="5" fillId="0" borderId="0" xfId="0" applyFont="1" applyAlignment="1" applyProtection="1">
      <alignment horizontal="center"/>
      <protection locked="0"/>
    </xf>
    <xf numFmtId="345" fontId="5" fillId="0" borderId="0" xfId="0" applyNumberFormat="1" applyFont="1" applyAlignment="1" applyProtection="1">
      <alignment horizontal="right"/>
      <protection locked="0"/>
    </xf>
    <xf numFmtId="0" fontId="5" fillId="0" borderId="0" xfId="0" quotePrefix="1" applyFont="1" applyAlignment="1" applyProtection="1">
      <alignment horizontal="left"/>
      <protection locked="0"/>
    </xf>
    <xf numFmtId="345" fontId="2" fillId="0" borderId="0" xfId="0" applyNumberFormat="1" applyFont="1" applyProtection="1">
      <protection locked="0"/>
    </xf>
    <xf numFmtId="345" fontId="3" fillId="0" borderId="0" xfId="0" applyNumberFormat="1" applyFont="1" applyFill="1" applyBorder="1" applyProtection="1">
      <protection locked="0"/>
    </xf>
    <xf numFmtId="0" fontId="3" fillId="0" borderId="0" xfId="0" applyFont="1" applyProtection="1">
      <protection locked="0"/>
    </xf>
    <xf numFmtId="15" fontId="5" fillId="0" borderId="0" xfId="0" applyNumberFormat="1" applyFont="1" applyProtection="1">
      <protection locked="0"/>
    </xf>
    <xf numFmtId="345" fontId="3" fillId="0" borderId="0" xfId="0" applyNumberFormat="1" applyFont="1" applyBorder="1" applyProtection="1">
      <protection locked="0"/>
    </xf>
    <xf numFmtId="0" fontId="5" fillId="0" borderId="0" xfId="0" applyFont="1" applyFill="1" applyProtection="1">
      <protection locked="0"/>
    </xf>
    <xf numFmtId="0" fontId="5" fillId="0" borderId="0" xfId="0" applyFont="1" applyFill="1" applyAlignment="1" applyProtection="1">
      <alignment horizontal="center"/>
      <protection locked="0"/>
    </xf>
    <xf numFmtId="345" fontId="5" fillId="0" borderId="0" xfId="0" applyNumberFormat="1" applyFont="1" applyFill="1" applyAlignment="1" applyProtection="1">
      <alignment horizontal="right"/>
      <protection locked="0"/>
    </xf>
    <xf numFmtId="0" fontId="5" fillId="0" borderId="0" xfId="0" quotePrefix="1" applyFont="1" applyFill="1" applyAlignment="1" applyProtection="1">
      <alignment horizontal="left"/>
      <protection locked="0"/>
    </xf>
    <xf numFmtId="15" fontId="5" fillId="0" borderId="0" xfId="0" applyNumberFormat="1" applyFont="1" applyFill="1" applyProtection="1">
      <protection locked="0"/>
    </xf>
    <xf numFmtId="0" fontId="108" fillId="0" borderId="0" xfId="0" applyFont="1" applyProtection="1">
      <protection locked="0"/>
    </xf>
    <xf numFmtId="0" fontId="2" fillId="0" borderId="0" xfId="0" applyFont="1" applyAlignment="1" applyProtection="1">
      <alignment vertical="center"/>
      <protection locked="0"/>
    </xf>
    <xf numFmtId="0" fontId="285" fillId="2" borderId="0" xfId="0" applyNumberFormat="1" applyFont="1" applyFill="1" applyBorder="1" applyAlignment="1" applyProtection="1">
      <protection hidden="1"/>
    </xf>
    <xf numFmtId="0" fontId="5" fillId="2" borderId="0" xfId="0" applyNumberFormat="1" applyFont="1" applyFill="1" applyBorder="1" applyAlignment="1" applyProtection="1"/>
    <xf numFmtId="0" fontId="6" fillId="2" borderId="220" xfId="0" applyFont="1" applyFill="1" applyBorder="1" applyAlignment="1" applyProtection="1">
      <alignment horizontal="left"/>
      <protection hidden="1"/>
    </xf>
    <xf numFmtId="0" fontId="5" fillId="0" borderId="0" xfId="0" applyNumberFormat="1" applyFont="1" applyAlignment="1" applyProtection="1"/>
    <xf numFmtId="0" fontId="39" fillId="2" borderId="262" xfId="0" quotePrefix="1" applyFont="1" applyFill="1" applyBorder="1" applyAlignment="1" applyProtection="1">
      <alignment horizontal="left" vertical="center" wrapText="1"/>
    </xf>
    <xf numFmtId="351" fontId="283" fillId="112" borderId="220" xfId="37696" applyNumberFormat="1" applyFont="1" applyFill="1" applyBorder="1" applyAlignment="1" applyProtection="1">
      <alignment horizontal="center" vertical="center"/>
    </xf>
    <xf numFmtId="351" fontId="299" fillId="109" borderId="220" xfId="37696" applyNumberFormat="1" applyFont="1" applyFill="1" applyBorder="1" applyProtection="1"/>
    <xf numFmtId="0" fontId="286" fillId="120" borderId="304" xfId="0" applyFont="1" applyFill="1" applyBorder="1" applyAlignment="1" applyProtection="1">
      <alignment vertical="center" wrapText="1"/>
    </xf>
    <xf numFmtId="0" fontId="331" fillId="120" borderId="305" xfId="0" applyFont="1" applyFill="1" applyBorder="1" applyAlignment="1" applyProtection="1">
      <alignment horizontal="center" vertical="center" wrapText="1"/>
    </xf>
    <xf numFmtId="351" fontId="39" fillId="0" borderId="265" xfId="37696" applyNumberFormat="1" applyFont="1" applyBorder="1" applyAlignment="1" applyProtection="1">
      <alignment horizontal="right" vertical="center"/>
      <protection locked="0"/>
    </xf>
    <xf numFmtId="0" fontId="9" fillId="39" borderId="306" xfId="1" applyFont="1" applyFill="1" applyBorder="1" applyAlignment="1" applyProtection="1">
      <alignment horizontal="center" vertical="center"/>
    </xf>
    <xf numFmtId="352" fontId="5" fillId="109" borderId="306" xfId="37696" applyNumberFormat="1" applyFont="1" applyFill="1" applyBorder="1" applyProtection="1"/>
    <xf numFmtId="0" fontId="278" fillId="4" borderId="0" xfId="0" applyFont="1" applyFill="1" applyProtection="1"/>
    <xf numFmtId="356" fontId="2" fillId="0" borderId="0" xfId="0" applyNumberFormat="1" applyFont="1" applyProtection="1"/>
    <xf numFmtId="0" fontId="278" fillId="4" borderId="0" xfId="0" applyFont="1" applyFill="1" applyBorder="1" applyProtection="1"/>
    <xf numFmtId="0" fontId="320" fillId="4" borderId="0" xfId="0" applyFont="1" applyFill="1" applyProtection="1"/>
    <xf numFmtId="0" fontId="278" fillId="4" borderId="0" xfId="0" applyFont="1" applyFill="1" applyProtection="1">
      <protection locked="0"/>
    </xf>
    <xf numFmtId="0" fontId="6" fillId="112" borderId="80" xfId="0" quotePrefix="1" applyFont="1" applyFill="1" applyBorder="1" applyAlignment="1" applyProtection="1">
      <alignment horizontal="right"/>
    </xf>
    <xf numFmtId="0" fontId="294" fillId="112" borderId="80" xfId="0" quotePrefix="1" applyFont="1" applyFill="1" applyBorder="1" applyAlignment="1" applyProtection="1">
      <alignment horizontal="right"/>
    </xf>
    <xf numFmtId="0" fontId="6" fillId="112" borderId="0" xfId="0" quotePrefix="1" applyFont="1" applyFill="1" applyAlignment="1" applyProtection="1"/>
    <xf numFmtId="0" fontId="294" fillId="112" borderId="0" xfId="0" quotePrefix="1" applyFont="1" applyFill="1" applyAlignment="1" applyProtection="1"/>
    <xf numFmtId="357" fontId="3" fillId="113" borderId="220" xfId="3954" applyNumberFormat="1" applyFont="1" applyFill="1" applyBorder="1" applyAlignment="1" applyProtection="1">
      <alignment horizontal="right"/>
    </xf>
    <xf numFmtId="0" fontId="17" fillId="121" borderId="0" xfId="0" applyFont="1" applyFill="1" applyBorder="1" applyAlignment="1" applyProtection="1">
      <protection hidden="1"/>
    </xf>
    <xf numFmtId="0" fontId="18" fillId="121" borderId="0" xfId="0" applyFont="1" applyFill="1" applyBorder="1" applyProtection="1">
      <protection hidden="1"/>
    </xf>
    <xf numFmtId="0" fontId="0" fillId="121" borderId="0" xfId="0" applyFill="1" applyProtection="1"/>
    <xf numFmtId="0" fontId="31" fillId="121" borderId="0" xfId="0" applyFont="1" applyFill="1" applyProtection="1"/>
    <xf numFmtId="0" fontId="323" fillId="121" borderId="0" xfId="0" applyFont="1" applyFill="1" applyProtection="1"/>
    <xf numFmtId="0" fontId="309" fillId="121" borderId="0" xfId="0" applyFont="1" applyFill="1" applyProtection="1"/>
    <xf numFmtId="0" fontId="17" fillId="122" borderId="0" xfId="0" applyFont="1" applyFill="1" applyBorder="1" applyAlignment="1" applyProtection="1">
      <protection hidden="1"/>
    </xf>
    <xf numFmtId="0" fontId="306" fillId="122" borderId="0" xfId="0" applyFont="1" applyFill="1" applyBorder="1" applyProtection="1">
      <protection hidden="1"/>
    </xf>
    <xf numFmtId="0" fontId="34" fillId="122" borderId="0" xfId="0" applyFont="1" applyFill="1" applyProtection="1"/>
    <xf numFmtId="0" fontId="34" fillId="122" borderId="0" xfId="0" applyFont="1" applyFill="1" applyProtection="1">
      <protection locked="0"/>
    </xf>
    <xf numFmtId="0" fontId="0" fillId="0" borderId="0" xfId="0" quotePrefix="1" applyProtection="1"/>
    <xf numFmtId="0" fontId="307" fillId="121" borderId="0" xfId="0" applyFont="1" applyFill="1" applyBorder="1" applyAlignment="1" applyProtection="1">
      <protection hidden="1"/>
    </xf>
    <xf numFmtId="0" fontId="34" fillId="121" borderId="0" xfId="0" applyFont="1" applyFill="1" applyBorder="1" applyAlignment="1" applyProtection="1"/>
    <xf numFmtId="0" fontId="31" fillId="121" borderId="0" xfId="0" applyFont="1" applyFill="1" applyBorder="1" applyProtection="1"/>
    <xf numFmtId="0" fontId="34" fillId="121" borderId="0" xfId="0" applyFont="1" applyFill="1" applyProtection="1"/>
    <xf numFmtId="0" fontId="9" fillId="2" borderId="13" xfId="0" applyNumberFormat="1" applyFont="1" applyFill="1" applyBorder="1" applyAlignment="1" applyProtection="1">
      <alignment horizontal="left" vertical="center" wrapText="1"/>
      <protection locked="0"/>
    </xf>
    <xf numFmtId="0" fontId="12" fillId="2" borderId="13" xfId="0" applyNumberFormat="1" applyFont="1" applyFill="1" applyBorder="1" applyAlignment="1" applyProtection="1">
      <alignment horizontal="left" vertical="center" wrapText="1"/>
      <protection locked="0"/>
    </xf>
    <xf numFmtId="0" fontId="83" fillId="2" borderId="177" xfId="0" applyNumberFormat="1" applyFont="1" applyFill="1" applyBorder="1" applyAlignment="1" applyProtection="1">
      <alignment horizontal="center" vertical="center" wrapText="1"/>
      <protection locked="0"/>
    </xf>
    <xf numFmtId="0" fontId="83" fillId="2" borderId="200" xfId="0" applyNumberFormat="1" applyFont="1" applyFill="1" applyBorder="1" applyAlignment="1" applyProtection="1">
      <alignment horizontal="center" vertical="center" wrapText="1"/>
      <protection locked="0"/>
    </xf>
    <xf numFmtId="0" fontId="6" fillId="112" borderId="0" xfId="0" quotePrefix="1" applyFont="1" applyFill="1" applyBorder="1" applyAlignment="1" applyProtection="1"/>
    <xf numFmtId="0" fontId="3" fillId="3" borderId="145" xfId="0" quotePrefix="1" applyFont="1" applyFill="1" applyBorder="1" applyAlignment="1" applyProtection="1"/>
    <xf numFmtId="0" fontId="3" fillId="3" borderId="145" xfId="0" quotePrefix="1" applyFont="1" applyFill="1" applyBorder="1" applyAlignment="1" applyProtection="1">
      <alignment horizontal="left"/>
    </xf>
    <xf numFmtId="0" fontId="3" fillId="113" borderId="145" xfId="0" quotePrefix="1" applyFont="1" applyFill="1" applyBorder="1" applyAlignment="1" applyProtection="1"/>
    <xf numFmtId="0" fontId="5" fillId="116" borderId="220" xfId="0" applyFont="1" applyFill="1" applyBorder="1" applyProtection="1"/>
    <xf numFmtId="0" fontId="3" fillId="116" borderId="145" xfId="0" applyFont="1" applyFill="1" applyBorder="1" applyProtection="1"/>
    <xf numFmtId="0" fontId="5" fillId="116" borderId="31" xfId="0" quotePrefix="1" applyFont="1" applyFill="1" applyBorder="1" applyAlignment="1" applyProtection="1">
      <alignment horizontal="left"/>
    </xf>
    <xf numFmtId="0" fontId="5" fillId="109" borderId="308" xfId="0" applyFont="1" applyFill="1" applyBorder="1" applyProtection="1"/>
    <xf numFmtId="0" fontId="12" fillId="2" borderId="149" xfId="0" applyFont="1" applyFill="1" applyBorder="1" applyAlignment="1" applyProtection="1">
      <alignment horizontal="left" vertical="center" wrapText="1"/>
      <protection locked="0"/>
    </xf>
    <xf numFmtId="40" fontId="315" fillId="2" borderId="80" xfId="0" applyNumberFormat="1" applyFont="1" applyFill="1" applyBorder="1" applyAlignment="1" applyProtection="1">
      <alignment horizontal="center" vertical="center"/>
    </xf>
    <xf numFmtId="40" fontId="315" fillId="2" borderId="80" xfId="0" applyNumberFormat="1" applyFont="1" applyFill="1" applyBorder="1" applyAlignment="1" applyProtection="1">
      <alignment horizontal="center" vertical="center"/>
      <protection hidden="1"/>
    </xf>
    <xf numFmtId="0" fontId="5" fillId="113" borderId="277" xfId="0" quotePrefix="1" applyNumberFormat="1" applyFont="1" applyFill="1" applyBorder="1" applyAlignment="1" applyProtection="1">
      <alignment horizontal="left" vertical="center" wrapText="1"/>
    </xf>
    <xf numFmtId="0" fontId="39" fillId="113" borderId="309" xfId="0" quotePrefix="1" applyFont="1" applyFill="1" applyBorder="1" applyAlignment="1" applyProtection="1">
      <alignment horizontal="left" vertical="center"/>
    </xf>
    <xf numFmtId="0" fontId="39" fillId="113" borderId="231" xfId="0" applyFont="1" applyFill="1" applyBorder="1" applyAlignment="1" applyProtection="1">
      <alignment vertical="center"/>
    </xf>
    <xf numFmtId="0" fontId="39" fillId="113" borderId="231" xfId="0" quotePrefix="1" applyFont="1" applyFill="1" applyBorder="1" applyAlignment="1" applyProtection="1">
      <alignment horizontal="left" vertical="center"/>
    </xf>
    <xf numFmtId="0" fontId="283" fillId="113" borderId="231" xfId="0" quotePrefix="1" applyFont="1" applyFill="1" applyBorder="1" applyAlignment="1" applyProtection="1">
      <alignment horizontal="left" vertical="center"/>
    </xf>
    <xf numFmtId="0" fontId="34" fillId="2" borderId="0" xfId="0" applyFont="1" applyFill="1" applyBorder="1" applyProtection="1"/>
    <xf numFmtId="0" fontId="34" fillId="2" borderId="80" xfId="0" applyFont="1" applyFill="1" applyBorder="1" applyProtection="1"/>
    <xf numFmtId="0" fontId="9" fillId="39" borderId="145" xfId="1" applyFont="1" applyFill="1" applyBorder="1" applyAlignment="1" applyProtection="1">
      <alignment horizontal="center" vertical="center"/>
    </xf>
    <xf numFmtId="0" fontId="7" fillId="113" borderId="310" xfId="16" applyFont="1" applyFill="1" applyBorder="1" applyAlignment="1" applyProtection="1">
      <alignment horizontal="left" vertical="center" wrapText="1"/>
    </xf>
    <xf numFmtId="0" fontId="7" fillId="113" borderId="277" xfId="16" applyFont="1" applyFill="1" applyBorder="1" applyAlignment="1" applyProtection="1">
      <alignment horizontal="left" vertical="center" wrapText="1"/>
    </xf>
    <xf numFmtId="0" fontId="10" fillId="113" borderId="311" xfId="16" applyFont="1" applyFill="1" applyBorder="1" applyAlignment="1" applyProtection="1">
      <alignment horizontal="left" vertical="center" wrapText="1"/>
    </xf>
    <xf numFmtId="0" fontId="7" fillId="113" borderId="312" xfId="16" applyFont="1" applyFill="1" applyBorder="1" applyAlignment="1" applyProtection="1">
      <alignment horizontal="left" vertical="center" wrapText="1"/>
    </xf>
    <xf numFmtId="0" fontId="323" fillId="0" borderId="0" xfId="0" applyFont="1" applyBorder="1" applyProtection="1"/>
    <xf numFmtId="0" fontId="286" fillId="2" borderId="80" xfId="0" applyFont="1" applyFill="1" applyBorder="1" applyAlignment="1" applyProtection="1">
      <alignment horizontal="center" vertical="center" wrapText="1"/>
    </xf>
    <xf numFmtId="0" fontId="323" fillId="0" borderId="80" xfId="0" applyNumberFormat="1" applyFont="1" applyBorder="1" applyAlignment="1" applyProtection="1">
      <alignment horizontal="center"/>
    </xf>
    <xf numFmtId="40" fontId="315" fillId="2" borderId="80" xfId="0" applyNumberFormat="1" applyFont="1" applyFill="1" applyBorder="1" applyAlignment="1" applyProtection="1">
      <alignment horizontal="center" vertical="center" wrapText="1"/>
      <protection hidden="1"/>
    </xf>
    <xf numFmtId="0" fontId="5" fillId="113" borderId="149" xfId="0" quotePrefix="1" applyFont="1" applyFill="1" applyBorder="1" applyAlignment="1" applyProtection="1">
      <alignment horizontal="left" vertical="center"/>
    </xf>
    <xf numFmtId="2" fontId="5" fillId="113" borderId="277" xfId="0" quotePrefix="1" applyNumberFormat="1" applyFont="1" applyFill="1" applyBorder="1" applyAlignment="1" applyProtection="1">
      <alignment horizontal="left" vertical="center" wrapText="1"/>
    </xf>
    <xf numFmtId="0" fontId="5" fillId="113" borderId="277" xfId="0" applyFont="1" applyFill="1" applyBorder="1" applyAlignment="1" applyProtection="1">
      <alignment vertical="center" wrapText="1"/>
    </xf>
    <xf numFmtId="0" fontId="5" fillId="113" borderId="277" xfId="0" applyFont="1" applyFill="1" applyBorder="1" applyAlignment="1" applyProtection="1">
      <alignment vertical="center"/>
    </xf>
    <xf numFmtId="0" fontId="332" fillId="0" borderId="6" xfId="0" applyFont="1" applyBorder="1" applyAlignment="1">
      <alignment vertical="center"/>
    </xf>
    <xf numFmtId="0" fontId="332" fillId="0" borderId="14" xfId="0" applyFont="1" applyBorder="1" applyAlignment="1">
      <alignment vertical="center"/>
    </xf>
    <xf numFmtId="0" fontId="300" fillId="0" borderId="0" xfId="0" applyFont="1"/>
    <xf numFmtId="0" fontId="305" fillId="0" borderId="0" xfId="0" applyFont="1" applyProtection="1">
      <protection locked="0"/>
    </xf>
    <xf numFmtId="351" fontId="39" fillId="38" borderId="13" xfId="37696" applyNumberFormat="1" applyFont="1" applyFill="1" applyBorder="1" applyProtection="1">
      <protection hidden="1"/>
    </xf>
    <xf numFmtId="0" fontId="5" fillId="121" borderId="0" xfId="0" applyFont="1" applyFill="1" applyBorder="1" applyProtection="1">
      <protection hidden="1"/>
    </xf>
    <xf numFmtId="0" fontId="278" fillId="121" borderId="0" xfId="0" applyFont="1" applyFill="1" applyBorder="1" applyProtection="1"/>
    <xf numFmtId="0" fontId="278" fillId="121" borderId="0" xfId="0" applyFont="1" applyFill="1" applyProtection="1"/>
    <xf numFmtId="0" fontId="320" fillId="121" borderId="0" xfId="0" applyFont="1" applyFill="1" applyProtection="1"/>
    <xf numFmtId="0" fontId="278" fillId="121" borderId="0" xfId="0" applyFont="1" applyFill="1" applyProtection="1">
      <protection locked="0"/>
    </xf>
    <xf numFmtId="351" fontId="39" fillId="0" borderId="13" xfId="37696" applyNumberFormat="1" applyFont="1" applyBorder="1" applyAlignment="1" applyProtection="1">
      <alignment vertical="center"/>
      <protection locked="0"/>
    </xf>
    <xf numFmtId="0" fontId="0" fillId="0" borderId="0" xfId="0" applyAlignment="1" applyProtection="1">
      <alignment vertical="center"/>
    </xf>
    <xf numFmtId="0" fontId="297" fillId="2" borderId="0" xfId="0" quotePrefix="1" applyFont="1" applyFill="1" applyAlignment="1" applyProtection="1">
      <alignment vertical="center"/>
    </xf>
    <xf numFmtId="0" fontId="0" fillId="0" borderId="0" xfId="0" applyAlignment="1" applyProtection="1">
      <alignment vertical="center"/>
      <protection locked="0"/>
    </xf>
    <xf numFmtId="0" fontId="297" fillId="2" borderId="0" xfId="0" applyFont="1" applyFill="1" applyAlignment="1" applyProtection="1">
      <alignment vertical="center"/>
    </xf>
    <xf numFmtId="0" fontId="39" fillId="0" borderId="0" xfId="0" applyFont="1" applyAlignment="1" applyProtection="1">
      <alignment vertical="center"/>
    </xf>
    <xf numFmtId="0" fontId="15" fillId="42" borderId="1" xfId="22" applyNumberFormat="1" applyFont="1" applyFill="1" applyBorder="1" applyAlignment="1" applyProtection="1">
      <alignment horizontal="left" vertical="center" wrapText="1"/>
      <protection hidden="1"/>
    </xf>
    <xf numFmtId="0" fontId="83" fillId="42" borderId="1" xfId="22" applyNumberFormat="1" applyFont="1" applyFill="1" applyBorder="1" applyAlignment="1" applyProtection="1">
      <alignment horizontal="left" vertical="center" wrapText="1"/>
      <protection hidden="1"/>
    </xf>
    <xf numFmtId="352" fontId="283" fillId="113" borderId="13" xfId="0" applyNumberFormat="1" applyFont="1" applyFill="1" applyBorder="1" applyAlignment="1" applyProtection="1">
      <alignment vertical="center"/>
    </xf>
    <xf numFmtId="352" fontId="283" fillId="42" borderId="13" xfId="0" applyNumberFormat="1" applyFont="1" applyFill="1" applyBorder="1" applyAlignment="1" applyProtection="1">
      <alignment vertical="center"/>
    </xf>
    <xf numFmtId="351" fontId="12" fillId="38" borderId="1" xfId="0" applyNumberFormat="1" applyFont="1" applyFill="1" applyBorder="1" applyAlignment="1" applyProtection="1">
      <alignment vertical="center"/>
    </xf>
    <xf numFmtId="353" fontId="283" fillId="113" borderId="13" xfId="0" applyNumberFormat="1" applyFont="1" applyFill="1" applyBorder="1" applyAlignment="1" applyProtection="1">
      <alignment vertical="center"/>
    </xf>
    <xf numFmtId="349" fontId="12" fillId="40" borderId="1" xfId="0" quotePrefix="1" applyNumberFormat="1" applyFont="1" applyFill="1" applyBorder="1" applyAlignment="1" applyProtection="1">
      <alignment vertical="center"/>
    </xf>
    <xf numFmtId="0" fontId="13" fillId="119" borderId="178" xfId="0" quotePrefix="1" applyNumberFormat="1" applyFont="1" applyFill="1" applyBorder="1" applyAlignment="1" applyProtection="1">
      <alignment horizontal="left" vertical="center"/>
    </xf>
    <xf numFmtId="0" fontId="31" fillId="121" borderId="0" xfId="0" applyFont="1" applyFill="1" applyAlignment="1" applyProtection="1">
      <alignment horizontal="center" wrapText="1"/>
    </xf>
    <xf numFmtId="351" fontId="87" fillId="0" borderId="0" xfId="37696" applyNumberFormat="1" applyFont="1" applyProtection="1">
      <protection locked="0"/>
    </xf>
    <xf numFmtId="351" fontId="87" fillId="0" borderId="0" xfId="0" applyNumberFormat="1" applyFont="1" applyProtection="1">
      <protection locked="0"/>
    </xf>
    <xf numFmtId="351" fontId="9" fillId="0" borderId="0" xfId="0" applyNumberFormat="1" applyFont="1" applyFill="1" applyBorder="1" applyAlignment="1" applyProtection="1">
      <alignment horizontal="right" vertical="center"/>
      <protection locked="0"/>
    </xf>
    <xf numFmtId="351" fontId="9" fillId="0" borderId="0" xfId="0" applyNumberFormat="1" applyFont="1" applyAlignment="1" applyProtection="1">
      <alignment horizontal="center"/>
      <protection locked="0"/>
    </xf>
    <xf numFmtId="351" fontId="9" fillId="0" borderId="0" xfId="0" applyNumberFormat="1" applyFont="1" applyAlignment="1" applyProtection="1">
      <alignment horizontal="right"/>
      <protection locked="0"/>
    </xf>
    <xf numFmtId="351" fontId="9" fillId="0" borderId="0" xfId="0" quotePrefix="1" applyNumberFormat="1" applyFont="1" applyAlignment="1" applyProtection="1">
      <alignment horizontal="left"/>
      <protection locked="0"/>
    </xf>
    <xf numFmtId="351" fontId="9" fillId="0" borderId="0" xfId="0" applyNumberFormat="1" applyFont="1" applyProtection="1">
      <protection locked="0"/>
    </xf>
    <xf numFmtId="351" fontId="6" fillId="0" borderId="0" xfId="0" quotePrefix="1" applyNumberFormat="1" applyFont="1" applyFill="1" applyBorder="1" applyAlignment="1" applyProtection="1">
      <protection locked="0"/>
    </xf>
    <xf numFmtId="351" fontId="6" fillId="0" borderId="0" xfId="0" applyNumberFormat="1" applyFont="1" applyFill="1" applyBorder="1" applyProtection="1">
      <protection locked="0"/>
    </xf>
    <xf numFmtId="351" fontId="9" fillId="0" borderId="0" xfId="0" applyNumberFormat="1" applyFont="1" applyFill="1" applyBorder="1" applyProtection="1">
      <protection locked="0"/>
    </xf>
    <xf numFmtId="351" fontId="87" fillId="121" borderId="0" xfId="0" applyNumberFormat="1" applyFont="1" applyFill="1" applyProtection="1">
      <protection locked="0"/>
    </xf>
    <xf numFmtId="351" fontId="87" fillId="2" borderId="0" xfId="0" applyNumberFormat="1" applyFont="1" applyFill="1" applyProtection="1">
      <protection locked="0"/>
    </xf>
    <xf numFmtId="351" fontId="87" fillId="0" borderId="298" xfId="0" applyNumberFormat="1" applyFont="1" applyBorder="1" applyProtection="1">
      <protection locked="0"/>
    </xf>
    <xf numFmtId="351" fontId="12" fillId="0" borderId="0" xfId="0" applyNumberFormat="1" applyFont="1" applyProtection="1">
      <protection locked="0"/>
    </xf>
    <xf numFmtId="351" fontId="295" fillId="0" borderId="0" xfId="0" applyNumberFormat="1" applyFont="1" applyProtection="1">
      <protection locked="0"/>
    </xf>
    <xf numFmtId="351" fontId="6" fillId="0" borderId="0" xfId="0" applyNumberFormat="1" applyFont="1" applyProtection="1">
      <protection locked="0"/>
    </xf>
    <xf numFmtId="351" fontId="295" fillId="0" borderId="243" xfId="0" applyNumberFormat="1" applyFont="1" applyBorder="1" applyProtection="1">
      <protection locked="0"/>
    </xf>
    <xf numFmtId="351" fontId="295" fillId="0" borderId="0" xfId="0" applyNumberFormat="1" applyFont="1" applyBorder="1" applyProtection="1">
      <protection locked="0"/>
    </xf>
    <xf numFmtId="351" fontId="9" fillId="0" borderId="0" xfId="0" applyNumberFormat="1" applyFont="1" applyBorder="1" applyProtection="1">
      <protection locked="0"/>
    </xf>
    <xf numFmtId="351" fontId="9" fillId="0" borderId="241" xfId="0" applyNumberFormat="1" applyFont="1" applyBorder="1" applyProtection="1">
      <protection locked="0"/>
    </xf>
    <xf numFmtId="351" fontId="295" fillId="0" borderId="259" xfId="0" applyNumberFormat="1" applyFont="1" applyBorder="1" applyProtection="1">
      <protection locked="0"/>
    </xf>
    <xf numFmtId="351" fontId="295" fillId="0" borderId="241" xfId="0" applyNumberFormat="1" applyFont="1" applyBorder="1" applyProtection="1">
      <protection locked="0"/>
    </xf>
    <xf numFmtId="351" fontId="295" fillId="0" borderId="240" xfId="0" applyNumberFormat="1" applyFont="1" applyBorder="1" applyProtection="1">
      <protection locked="0"/>
    </xf>
    <xf numFmtId="351" fontId="295" fillId="0" borderId="242" xfId="0" applyNumberFormat="1" applyFont="1" applyBorder="1" applyProtection="1">
      <protection locked="0"/>
    </xf>
    <xf numFmtId="351" fontId="295" fillId="2" borderId="0" xfId="0" applyNumberFormat="1" applyFont="1" applyFill="1" applyProtection="1">
      <protection locked="0"/>
    </xf>
    <xf numFmtId="351" fontId="37" fillId="2" borderId="0" xfId="0" applyNumberFormat="1" applyFont="1" applyFill="1" applyBorder="1" applyAlignment="1" applyProtection="1">
      <protection locked="0"/>
    </xf>
    <xf numFmtId="351" fontId="334" fillId="0" borderId="0" xfId="0" applyNumberFormat="1" applyFont="1" applyBorder="1" applyProtection="1">
      <protection locked="0"/>
    </xf>
    <xf numFmtId="351" fontId="13" fillId="113" borderId="220" xfId="37696" applyNumberFormat="1" applyFont="1" applyFill="1" applyBorder="1" applyAlignment="1" applyProtection="1">
      <alignment vertical="center"/>
      <protection locked="0"/>
    </xf>
    <xf numFmtId="351" fontId="315" fillId="2" borderId="80" xfId="0" applyNumberFormat="1" applyFont="1" applyFill="1" applyBorder="1" applyAlignment="1" applyProtection="1">
      <alignment horizontal="center" vertical="center"/>
    </xf>
    <xf numFmtId="351" fontId="295" fillId="0" borderId="0" xfId="0" applyNumberFormat="1" applyFont="1" applyAlignment="1" applyProtection="1">
      <alignment vertical="center"/>
      <protection locked="0"/>
    </xf>
    <xf numFmtId="351" fontId="295" fillId="2" borderId="0" xfId="0" applyNumberFormat="1" applyFont="1" applyFill="1" applyBorder="1" applyProtection="1">
      <protection locked="0"/>
    </xf>
    <xf numFmtId="351" fontId="295" fillId="0" borderId="0" xfId="0" applyNumberFormat="1" applyFont="1" applyFill="1" applyProtection="1">
      <protection locked="0"/>
    </xf>
    <xf numFmtId="351" fontId="86" fillId="0" borderId="0" xfId="0" applyNumberFormat="1" applyFont="1" applyFill="1" applyBorder="1" applyProtection="1">
      <protection locked="0"/>
    </xf>
    <xf numFmtId="351" fontId="83" fillId="0" borderId="0" xfId="0" applyNumberFormat="1" applyFont="1" applyProtection="1">
      <protection locked="0"/>
    </xf>
    <xf numFmtId="351" fontId="83" fillId="0" borderId="0" xfId="0" applyNumberFormat="1" applyFont="1" applyBorder="1" applyProtection="1">
      <protection locked="0"/>
    </xf>
    <xf numFmtId="351" fontId="83" fillId="121" borderId="0" xfId="0" applyNumberFormat="1" applyFont="1" applyFill="1" applyProtection="1">
      <protection locked="0"/>
    </xf>
    <xf numFmtId="351" fontId="295" fillId="121" borderId="0" xfId="0" applyNumberFormat="1" applyFont="1" applyFill="1" applyProtection="1">
      <protection locked="0"/>
    </xf>
    <xf numFmtId="351" fontId="83" fillId="0" borderId="0" xfId="0" applyNumberFormat="1" applyFont="1" applyAlignment="1" applyProtection="1">
      <alignment horizontal="center"/>
      <protection locked="0"/>
    </xf>
    <xf numFmtId="351" fontId="295" fillId="0" borderId="199" xfId="0" applyNumberFormat="1" applyFont="1" applyBorder="1" applyProtection="1">
      <protection locked="0"/>
    </xf>
    <xf numFmtId="351" fontId="335" fillId="0" borderId="0" xfId="0" applyNumberFormat="1" applyFont="1" applyProtection="1">
      <protection locked="0"/>
    </xf>
    <xf numFmtId="351" fontId="86" fillId="0" borderId="0" xfId="0" quotePrefix="1" applyNumberFormat="1" applyFont="1" applyFill="1" applyBorder="1" applyAlignment="1" applyProtection="1">
      <alignment horizontal="left"/>
      <protection locked="0"/>
    </xf>
    <xf numFmtId="351" fontId="295" fillId="0" borderId="0" xfId="0" quotePrefix="1" applyNumberFormat="1" applyFont="1" applyProtection="1">
      <protection locked="0"/>
    </xf>
    <xf numFmtId="351" fontId="300" fillId="0" borderId="0" xfId="0" applyNumberFormat="1" applyFont="1" applyProtection="1"/>
    <xf numFmtId="351" fontId="300" fillId="0" borderId="0" xfId="0" quotePrefix="1" applyNumberFormat="1" applyFont="1" applyAlignment="1" applyProtection="1">
      <alignment horizontal="left"/>
    </xf>
    <xf numFmtId="351" fontId="295" fillId="0" borderId="0" xfId="0" applyNumberFormat="1" applyFont="1" applyProtection="1"/>
    <xf numFmtId="351" fontId="295" fillId="2" borderId="0" xfId="0" applyNumberFormat="1" applyFont="1" applyFill="1" applyProtection="1"/>
    <xf numFmtId="351" fontId="295" fillId="2" borderId="0" xfId="0" quotePrefix="1" applyNumberFormat="1" applyFont="1" applyFill="1" applyProtection="1"/>
    <xf numFmtId="0" fontId="12" fillId="2" borderId="13" xfId="0" applyFont="1" applyFill="1" applyBorder="1" applyAlignment="1" applyProtection="1">
      <alignment horizontal="left" vertical="center" wrapText="1" indent="1"/>
      <protection locked="0"/>
    </xf>
    <xf numFmtId="349" fontId="12" fillId="0" borderId="13" xfId="0" applyNumberFormat="1" applyFont="1" applyBorder="1" applyAlignment="1" applyProtection="1">
      <alignment vertical="center"/>
      <protection locked="0"/>
    </xf>
    <xf numFmtId="0" fontId="286" fillId="120" borderId="145" xfId="0" applyFont="1" applyFill="1" applyBorder="1" applyAlignment="1" applyProtection="1">
      <alignment horizontal="center" vertical="center" wrapText="1"/>
    </xf>
    <xf numFmtId="351" fontId="9" fillId="0" borderId="243" xfId="0" applyNumberFormat="1" applyFont="1" applyBorder="1" applyProtection="1">
      <protection locked="0"/>
    </xf>
    <xf numFmtId="351" fontId="9" fillId="39" borderId="1" xfId="1" applyNumberFormat="1" applyFont="1" applyFill="1" applyBorder="1" applyAlignment="1" applyProtection="1">
      <alignment horizontal="center" vertical="center"/>
    </xf>
    <xf numFmtId="351" fontId="295" fillId="122" borderId="0" xfId="0" applyNumberFormat="1" applyFont="1" applyFill="1" applyProtection="1">
      <protection locked="0"/>
    </xf>
    <xf numFmtId="351" fontId="326" fillId="0" borderId="0" xfId="0" applyNumberFormat="1" applyFont="1" applyFill="1" applyProtection="1">
      <protection locked="0"/>
    </xf>
    <xf numFmtId="351" fontId="87" fillId="0" borderId="0" xfId="0" applyNumberFormat="1" applyFont="1" applyFill="1" applyProtection="1">
      <protection locked="0"/>
    </xf>
    <xf numFmtId="351" fontId="87" fillId="4" borderId="0" xfId="0" applyNumberFormat="1" applyFont="1" applyFill="1" applyProtection="1">
      <protection locked="0"/>
    </xf>
    <xf numFmtId="0" fontId="2" fillId="121" borderId="0" xfId="0" applyFont="1" applyFill="1" applyProtection="1">
      <protection locked="0"/>
    </xf>
    <xf numFmtId="0" fontId="321" fillId="121" borderId="0" xfId="0" applyFont="1" applyFill="1" applyProtection="1">
      <protection locked="0"/>
    </xf>
    <xf numFmtId="351" fontId="12" fillId="121" borderId="0" xfId="0" applyNumberFormat="1" applyFont="1" applyFill="1" applyProtection="1">
      <protection locked="0"/>
    </xf>
    <xf numFmtId="0" fontId="2" fillId="121" borderId="0" xfId="0" applyFont="1" applyFill="1" applyProtection="1"/>
    <xf numFmtId="0" fontId="321" fillId="121" borderId="0" xfId="0" applyFont="1" applyFill="1" applyProtection="1"/>
    <xf numFmtId="0" fontId="308" fillId="0" borderId="31" xfId="0" applyNumberFormat="1" applyFont="1" applyBorder="1" applyAlignment="1" applyProtection="1">
      <alignment vertical="center" wrapText="1"/>
    </xf>
    <xf numFmtId="0" fontId="308" fillId="0" borderId="0" xfId="0" applyNumberFormat="1" applyFont="1" applyBorder="1" applyAlignment="1" applyProtection="1">
      <alignment vertical="center" wrapText="1"/>
    </xf>
    <xf numFmtId="0" fontId="5" fillId="121" borderId="0" xfId="0" applyNumberFormat="1" applyFont="1" applyFill="1" applyBorder="1" applyAlignment="1" applyProtection="1"/>
    <xf numFmtId="352" fontId="283" fillId="42" borderId="1" xfId="0" applyNumberFormat="1" applyFont="1" applyFill="1" applyBorder="1" applyAlignment="1" applyProtection="1">
      <alignment vertical="center" wrapText="1"/>
      <protection locked="0"/>
    </xf>
    <xf numFmtId="0" fontId="286" fillId="120" borderId="294" xfId="0" applyFont="1" applyFill="1" applyBorder="1" applyAlignment="1" applyProtection="1">
      <alignment horizontal="center" vertical="center" wrapText="1"/>
    </xf>
    <xf numFmtId="0" fontId="286" fillId="120" borderId="235" xfId="0" applyFont="1" applyFill="1" applyBorder="1" applyAlignment="1" applyProtection="1">
      <alignment horizontal="center" vertical="center" wrapText="1"/>
    </xf>
    <xf numFmtId="40" fontId="315" fillId="2" borderId="80" xfId="0" applyNumberFormat="1" applyFont="1" applyFill="1" applyBorder="1" applyAlignment="1" applyProtection="1">
      <alignment horizontal="center" vertical="center"/>
      <protection hidden="1"/>
    </xf>
    <xf numFmtId="0" fontId="1" fillId="0" borderId="0" xfId="37776"/>
    <xf numFmtId="351" fontId="278" fillId="0" borderId="0" xfId="0" applyNumberFormat="1" applyFont="1" applyFill="1" applyProtection="1">
      <protection locked="0"/>
    </xf>
    <xf numFmtId="0" fontId="278" fillId="0" borderId="0" xfId="0" applyFont="1" applyFill="1" applyProtection="1">
      <protection locked="0"/>
    </xf>
    <xf numFmtId="0" fontId="307" fillId="2" borderId="0" xfId="0" applyFont="1" applyFill="1" applyBorder="1" applyAlignment="1" applyProtection="1">
      <protection hidden="1"/>
    </xf>
    <xf numFmtId="0" fontId="278" fillId="2" borderId="0" xfId="0" applyFont="1" applyFill="1" applyBorder="1" applyProtection="1">
      <protection hidden="1"/>
    </xf>
    <xf numFmtId="40" fontId="337" fillId="2" borderId="0" xfId="0" applyNumberFormat="1" applyFont="1" applyFill="1" applyBorder="1" applyAlignment="1" applyProtection="1">
      <alignment horizontal="center" vertical="center"/>
    </xf>
    <xf numFmtId="351" fontId="278" fillId="2" borderId="0" xfId="0" applyNumberFormat="1" applyFont="1" applyFill="1" applyBorder="1" applyProtection="1">
      <protection locked="0"/>
    </xf>
    <xf numFmtId="0" fontId="278" fillId="2" borderId="0" xfId="0" applyFont="1" applyFill="1" applyBorder="1" applyProtection="1">
      <protection locked="0"/>
    </xf>
    <xf numFmtId="351" fontId="278" fillId="0" borderId="0" xfId="0" applyNumberFormat="1" applyFont="1" applyProtection="1">
      <protection locked="0"/>
    </xf>
    <xf numFmtId="0" fontId="286" fillId="120" borderId="294" xfId="0" applyFont="1" applyFill="1" applyBorder="1" applyAlignment="1" applyProtection="1">
      <alignment horizontal="center" vertical="center" wrapText="1"/>
    </xf>
    <xf numFmtId="0" fontId="286" fillId="120" borderId="235" xfId="0" applyFont="1" applyFill="1" applyBorder="1" applyAlignment="1" applyProtection="1">
      <alignment horizontal="center" vertical="center" wrapText="1"/>
    </xf>
    <xf numFmtId="0" fontId="0" fillId="0" borderId="0" xfId="0" quotePrefix="1"/>
    <xf numFmtId="0" fontId="0" fillId="0" borderId="0" xfId="0" quotePrefix="1" applyNumberFormat="1" applyAlignment="1"/>
    <xf numFmtId="0" fontId="0" fillId="0" borderId="0" xfId="0" applyNumberFormat="1" applyAlignment="1"/>
    <xf numFmtId="9" fontId="12" fillId="0" borderId="1" xfId="3954" applyFont="1" applyBorder="1" applyAlignment="1" applyProtection="1">
      <alignment vertical="center"/>
      <protection locked="0"/>
    </xf>
    <xf numFmtId="346" fontId="12" fillId="0" borderId="1" xfId="3954" applyNumberFormat="1" applyFont="1" applyBorder="1" applyAlignment="1" applyProtection="1">
      <alignment vertical="center"/>
      <protection locked="0"/>
    </xf>
    <xf numFmtId="40" fontId="337" fillId="2" borderId="80" xfId="0" applyNumberFormat="1" applyFont="1" applyFill="1" applyBorder="1" applyAlignment="1" applyProtection="1">
      <alignment horizontal="center" vertical="center"/>
    </xf>
    <xf numFmtId="1" fontId="31" fillId="0" borderId="0" xfId="0" applyNumberFormat="1" applyFont="1" applyProtection="1">
      <protection locked="0"/>
    </xf>
    <xf numFmtId="1" fontId="31" fillId="0" borderId="0" xfId="0" applyNumberFormat="1" applyFont="1" applyProtection="1"/>
    <xf numFmtId="1" fontId="31" fillId="0" borderId="0" xfId="0" applyNumberFormat="1" applyFont="1" applyBorder="1" applyProtection="1">
      <protection locked="0"/>
    </xf>
    <xf numFmtId="349" fontId="13" fillId="119" borderId="318" xfId="0" quotePrefix="1" applyNumberFormat="1" applyFont="1" applyFill="1" applyBorder="1" applyAlignment="1" applyProtection="1">
      <alignment vertical="center"/>
    </xf>
    <xf numFmtId="0" fontId="310" fillId="0" borderId="0" xfId="0" applyFont="1" applyProtection="1"/>
    <xf numFmtId="0" fontId="7" fillId="113" borderId="321" xfId="16" applyFont="1" applyFill="1" applyBorder="1" applyAlignment="1" applyProtection="1">
      <alignment horizontal="center" vertical="center" wrapText="1"/>
    </xf>
    <xf numFmtId="351" fontId="39" fillId="0" borderId="318" xfId="37696" applyNumberFormat="1" applyFont="1" applyBorder="1" applyAlignment="1" applyProtection="1">
      <alignment horizontal="right" vertical="center"/>
      <protection locked="0"/>
    </xf>
    <xf numFmtId="0" fontId="336" fillId="2" borderId="246" xfId="0" applyFont="1" applyFill="1" applyBorder="1" applyAlignment="1" applyProtection="1">
      <alignment horizontal="center" vertical="center" wrapText="1"/>
    </xf>
    <xf numFmtId="0" fontId="325" fillId="42" borderId="318" xfId="22" applyNumberFormat="1" applyFont="1" applyFill="1" applyBorder="1" applyAlignment="1" applyProtection="1">
      <alignment horizontal="left" vertical="center" wrapText="1"/>
      <protection hidden="1"/>
    </xf>
    <xf numFmtId="351" fontId="12" fillId="0" borderId="318" xfId="0" applyNumberFormat="1" applyFont="1" applyBorder="1" applyAlignment="1" applyProtection="1">
      <alignment vertical="center"/>
      <protection locked="0"/>
    </xf>
    <xf numFmtId="351" fontId="12" fillId="40" borderId="318" xfId="0" quotePrefix="1" applyNumberFormat="1" applyFont="1" applyFill="1" applyBorder="1" applyAlignment="1" applyProtection="1">
      <alignment vertical="center"/>
    </xf>
    <xf numFmtId="344" fontId="12" fillId="2" borderId="318" xfId="0" applyNumberFormat="1" applyFont="1" applyFill="1" applyBorder="1" applyAlignment="1" applyProtection="1">
      <alignment horizontal="left" vertical="center" wrapText="1" indent="3"/>
      <protection locked="0"/>
    </xf>
    <xf numFmtId="351" fontId="5" fillId="0" borderId="318" xfId="0" applyNumberFormat="1" applyFont="1" applyBorder="1" applyProtection="1">
      <protection locked="0"/>
    </xf>
    <xf numFmtId="349" fontId="5" fillId="0" borderId="318" xfId="0" applyNumberFormat="1" applyFont="1" applyBorder="1" applyProtection="1">
      <protection locked="0"/>
    </xf>
    <xf numFmtId="43" fontId="284" fillId="43" borderId="318" xfId="22" applyFont="1" applyFill="1" applyBorder="1" applyAlignment="1" applyProtection="1">
      <alignment vertical="center" wrapText="1"/>
      <protection hidden="1"/>
    </xf>
    <xf numFmtId="0" fontId="286" fillId="120" borderId="319" xfId="0" applyFont="1" applyFill="1" applyBorder="1" applyAlignment="1" applyProtection="1">
      <alignment horizontal="center" vertical="center" wrapText="1"/>
    </xf>
    <xf numFmtId="0" fontId="15" fillId="43" borderId="318" xfId="22" applyNumberFormat="1" applyFont="1" applyFill="1" applyBorder="1" applyAlignment="1" applyProtection="1">
      <alignment horizontal="left" vertical="center" wrapText="1"/>
      <protection hidden="1"/>
    </xf>
    <xf numFmtId="0" fontId="83" fillId="0" borderId="322" xfId="0" applyFont="1" applyBorder="1" applyAlignment="1" applyProtection="1">
      <alignment horizontal="left" vertical="center" wrapText="1"/>
      <protection locked="0" hidden="1"/>
    </xf>
    <xf numFmtId="352" fontId="39" fillId="42" borderId="318" xfId="0" applyNumberFormat="1" applyFont="1" applyFill="1" applyBorder="1" applyAlignment="1" applyProtection="1">
      <alignment vertical="center"/>
    </xf>
    <xf numFmtId="40" fontId="283" fillId="38" borderId="318" xfId="0" applyNumberFormat="1" applyFont="1" applyFill="1" applyBorder="1" applyAlignment="1" applyProtection="1">
      <alignment vertical="center"/>
    </xf>
    <xf numFmtId="352" fontId="283" fillId="38" borderId="323" xfId="0" applyNumberFormat="1" applyFont="1" applyFill="1" applyBorder="1" applyAlignment="1" applyProtection="1">
      <alignment vertical="center"/>
    </xf>
    <xf numFmtId="0" fontId="13" fillId="42" borderId="318" xfId="0" applyFont="1" applyFill="1" applyBorder="1" applyAlignment="1" applyProtection="1">
      <alignment horizontal="left" vertical="center" wrapText="1" indent="3"/>
      <protection hidden="1"/>
    </xf>
    <xf numFmtId="354" fontId="283" fillId="38" borderId="324" xfId="0" applyNumberFormat="1" applyFont="1" applyFill="1" applyBorder="1" applyAlignment="1" applyProtection="1">
      <alignment vertical="center"/>
    </xf>
    <xf numFmtId="352" fontId="283" fillId="38" borderId="324" xfId="0" applyNumberFormat="1" applyFont="1" applyFill="1" applyBorder="1" applyAlignment="1" applyProtection="1">
      <alignment vertical="center"/>
    </xf>
    <xf numFmtId="0" fontId="13" fillId="0" borderId="319" xfId="0" applyFont="1" applyBorder="1" applyAlignment="1" applyProtection="1">
      <alignment horizontal="left" vertical="center" wrapText="1" indent="3"/>
      <protection hidden="1"/>
    </xf>
    <xf numFmtId="352" fontId="283" fillId="38" borderId="318" xfId="0" applyNumberFormat="1" applyFont="1" applyFill="1" applyBorder="1" applyAlignment="1" applyProtection="1">
      <alignment vertical="center"/>
    </xf>
    <xf numFmtId="0" fontId="12" fillId="2" borderId="318" xfId="0" applyFont="1" applyFill="1" applyBorder="1" applyAlignment="1" applyProtection="1">
      <alignment horizontal="center" vertical="center" wrapText="1"/>
      <protection locked="0"/>
    </xf>
    <xf numFmtId="0" fontId="0" fillId="0" borderId="0" xfId="0" quotePrefix="1" applyNumberFormat="1"/>
    <xf numFmtId="0" fontId="31" fillId="122" borderId="0" xfId="0" applyFont="1" applyFill="1" applyProtection="1"/>
    <xf numFmtId="0" fontId="31" fillId="122" borderId="0" xfId="0" applyFont="1" applyFill="1" applyProtection="1">
      <protection locked="0"/>
    </xf>
    <xf numFmtId="40" fontId="308" fillId="121" borderId="0" xfId="0" applyNumberFormat="1" applyFont="1" applyFill="1" applyBorder="1" applyAlignment="1" applyProtection="1">
      <alignment horizontal="right" vertical="center"/>
    </xf>
    <xf numFmtId="0" fontId="286" fillId="120" borderId="294" xfId="0" applyFont="1" applyFill="1" applyBorder="1" applyAlignment="1" applyProtection="1">
      <alignment horizontal="center" vertical="center" wrapText="1"/>
    </xf>
    <xf numFmtId="0" fontId="83" fillId="42" borderId="318" xfId="22" applyNumberFormat="1" applyFont="1" applyFill="1" applyBorder="1" applyAlignment="1" applyProtection="1">
      <alignment horizontal="left" vertical="center" wrapText="1"/>
      <protection hidden="1"/>
    </xf>
    <xf numFmtId="351" fontId="12" fillId="38" borderId="318" xfId="0" applyNumberFormat="1" applyFont="1" applyFill="1" applyBorder="1" applyAlignment="1" applyProtection="1">
      <alignment vertical="center"/>
    </xf>
    <xf numFmtId="49" fontId="315" fillId="2" borderId="80" xfId="0" applyNumberFormat="1" applyFont="1" applyFill="1" applyBorder="1" applyAlignment="1" applyProtection="1">
      <alignment horizontal="center" vertical="center"/>
      <protection hidden="1"/>
    </xf>
    <xf numFmtId="351" fontId="12" fillId="38" borderId="318" xfId="0" applyNumberFormat="1" applyFont="1" applyFill="1" applyBorder="1" applyAlignment="1" applyProtection="1">
      <alignment horizontal="left" vertical="center" wrapText="1"/>
    </xf>
    <xf numFmtId="344" fontId="12" fillId="38" borderId="318" xfId="0" applyNumberFormat="1" applyFont="1" applyFill="1" applyBorder="1" applyAlignment="1" applyProtection="1">
      <alignment horizontal="left" vertical="center" wrapText="1" indent="3"/>
    </xf>
    <xf numFmtId="0" fontId="0" fillId="0" borderId="0" xfId="0" applyFill="1"/>
    <xf numFmtId="40" fontId="337" fillId="0" borderId="0" xfId="0" applyNumberFormat="1" applyFont="1" applyFill="1" applyBorder="1" applyAlignment="1" applyProtection="1">
      <alignment horizontal="center" vertical="center"/>
    </xf>
    <xf numFmtId="0" fontId="286" fillId="120" borderId="326" xfId="0" applyFont="1" applyFill="1" applyBorder="1" applyAlignment="1" applyProtection="1">
      <alignment horizontal="center" vertical="center" wrapText="1"/>
    </xf>
    <xf numFmtId="0" fontId="15" fillId="43" borderId="325" xfId="22" applyNumberFormat="1" applyFont="1" applyFill="1" applyBorder="1" applyAlignment="1" applyProtection="1">
      <alignment horizontal="left" vertical="center" wrapText="1"/>
      <protection hidden="1"/>
    </xf>
    <xf numFmtId="43" fontId="284" fillId="43" borderId="325" xfId="22" applyFont="1" applyFill="1" applyBorder="1" applyAlignment="1" applyProtection="1">
      <alignment vertical="center" wrapText="1"/>
      <protection hidden="1"/>
    </xf>
    <xf numFmtId="0" fontId="83" fillId="0" borderId="327" xfId="0" applyFont="1" applyBorder="1" applyAlignment="1" applyProtection="1">
      <alignment horizontal="left" vertical="center" wrapText="1"/>
      <protection locked="0" hidden="1"/>
    </xf>
    <xf numFmtId="352" fontId="39" fillId="42" borderId="325" xfId="0" applyNumberFormat="1" applyFont="1" applyFill="1" applyBorder="1" applyAlignment="1" applyProtection="1">
      <alignment vertical="center"/>
    </xf>
    <xf numFmtId="40" fontId="283" fillId="38" borderId="325" xfId="0" applyNumberFormat="1" applyFont="1" applyFill="1" applyBorder="1" applyAlignment="1" applyProtection="1">
      <alignment vertical="center"/>
    </xf>
    <xf numFmtId="40" fontId="283" fillId="38" borderId="328" xfId="0" applyNumberFormat="1" applyFont="1" applyFill="1" applyBorder="1" applyAlignment="1" applyProtection="1">
      <alignment vertical="center"/>
    </xf>
    <xf numFmtId="0" fontId="13" fillId="0" borderId="327" xfId="0" applyFont="1" applyBorder="1" applyAlignment="1" applyProtection="1">
      <alignment horizontal="left" vertical="center" wrapText="1" indent="3"/>
      <protection hidden="1"/>
    </xf>
    <xf numFmtId="355" fontId="283" fillId="38" borderId="328" xfId="0" applyNumberFormat="1" applyFont="1" applyFill="1" applyBorder="1" applyAlignment="1" applyProtection="1">
      <alignment vertical="center"/>
    </xf>
    <xf numFmtId="0" fontId="13" fillId="0" borderId="326" xfId="0" applyFont="1" applyBorder="1" applyAlignment="1" applyProtection="1">
      <alignment vertical="center" wrapText="1"/>
      <protection hidden="1"/>
    </xf>
    <xf numFmtId="186" fontId="0" fillId="0" borderId="0" xfId="3954" applyNumberFormat="1" applyFont="1"/>
    <xf numFmtId="0" fontId="15" fillId="2" borderId="145" xfId="0" applyFont="1" applyFill="1" applyBorder="1" applyAlignment="1" applyProtection="1">
      <alignment horizontal="left"/>
      <protection hidden="1"/>
    </xf>
    <xf numFmtId="40" fontId="0" fillId="0" borderId="0" xfId="0" applyNumberFormat="1"/>
    <xf numFmtId="49" fontId="0" fillId="0" borderId="0" xfId="0" applyNumberFormat="1"/>
    <xf numFmtId="351" fontId="12" fillId="0" borderId="0" xfId="0" applyNumberFormat="1" applyFont="1" applyBorder="1" applyAlignment="1" applyProtection="1">
      <alignment vertical="center"/>
      <protection locked="0"/>
    </xf>
    <xf numFmtId="351" fontId="39" fillId="0" borderId="0" xfId="37696" applyNumberFormat="1" applyFont="1" applyBorder="1" applyProtection="1">
      <protection locked="0"/>
    </xf>
    <xf numFmtId="351" fontId="5" fillId="0" borderId="0" xfId="37696" applyNumberFormat="1" applyFont="1" applyBorder="1" applyProtection="1">
      <protection locked="0"/>
    </xf>
    <xf numFmtId="349" fontId="12" fillId="0" borderId="0" xfId="0" applyNumberFormat="1" applyFont="1" applyBorder="1" applyAlignment="1" applyProtection="1">
      <alignment vertical="center"/>
      <protection locked="0"/>
    </xf>
    <xf numFmtId="356" fontId="0" fillId="0" borderId="0" xfId="0" applyNumberFormat="1" applyProtection="1">
      <protection locked="0"/>
    </xf>
    <xf numFmtId="0" fontId="286" fillId="2" borderId="80" xfId="0" applyFont="1" applyFill="1" applyBorder="1" applyAlignment="1" applyProtection="1">
      <alignment horizontal="center" vertical="center" wrapText="1"/>
    </xf>
    <xf numFmtId="0" fontId="338" fillId="0" borderId="0" xfId="0" applyFont="1" applyFill="1" applyProtection="1">
      <protection hidden="1"/>
    </xf>
    <xf numFmtId="352" fontId="108" fillId="0" borderId="0" xfId="0" applyNumberFormat="1" applyFont="1" applyFill="1" applyProtection="1"/>
    <xf numFmtId="0" fontId="108" fillId="2" borderId="0" xfId="0" applyFont="1" applyFill="1" applyBorder="1" applyAlignment="1" applyProtection="1">
      <alignment vertical="center" textRotation="255"/>
      <protection hidden="1"/>
    </xf>
    <xf numFmtId="0" fontId="108" fillId="2" borderId="0" xfId="0" applyFont="1" applyFill="1" applyBorder="1" applyAlignment="1" applyProtection="1">
      <protection hidden="1"/>
    </xf>
    <xf numFmtId="40" fontId="315" fillId="2" borderId="0" xfId="0" applyNumberFormat="1" applyFont="1" applyFill="1" applyBorder="1" applyAlignment="1" applyProtection="1">
      <alignment horizontal="center" vertical="center"/>
    </xf>
    <xf numFmtId="352" fontId="339" fillId="2" borderId="0" xfId="0" applyNumberFormat="1" applyFont="1" applyFill="1" applyBorder="1" applyAlignment="1" applyProtection="1">
      <alignment vertical="center"/>
    </xf>
    <xf numFmtId="0" fontId="108" fillId="0" borderId="0" xfId="0" applyFont="1" applyBorder="1" applyProtection="1"/>
    <xf numFmtId="0" fontId="315" fillId="2" borderId="80" xfId="0" applyNumberFormat="1" applyFont="1" applyFill="1" applyBorder="1" applyAlignment="1" applyProtection="1">
      <alignment horizontal="center" vertical="center"/>
    </xf>
    <xf numFmtId="49" fontId="315" fillId="2" borderId="80" xfId="0" applyNumberFormat="1" applyFont="1" applyFill="1" applyBorder="1" applyAlignment="1" applyProtection="1">
      <alignment horizontal="center" vertical="center"/>
    </xf>
    <xf numFmtId="1" fontId="34" fillId="0" borderId="0" xfId="0" applyNumberFormat="1" applyFont="1" applyProtection="1">
      <protection locked="0"/>
    </xf>
    <xf numFmtId="1" fontId="312" fillId="0" borderId="0" xfId="0" applyNumberFormat="1" applyFont="1" applyProtection="1">
      <protection locked="0"/>
    </xf>
    <xf numFmtId="1" fontId="312" fillId="0" borderId="0" xfId="0" applyNumberFormat="1" applyFont="1" applyProtection="1"/>
    <xf numFmtId="1" fontId="34" fillId="0" borderId="240" xfId="0" applyNumberFormat="1" applyFont="1" applyBorder="1" applyProtection="1"/>
    <xf numFmtId="0" fontId="34" fillId="0" borderId="240" xfId="0" applyFont="1" applyBorder="1" applyProtection="1">
      <protection locked="0"/>
    </xf>
    <xf numFmtId="0" fontId="312" fillId="2" borderId="80" xfId="0" applyNumberFormat="1" applyFont="1" applyFill="1" applyBorder="1" applyAlignment="1" applyProtection="1">
      <alignment horizontal="center" vertical="center" wrapText="1"/>
      <protection hidden="1"/>
    </xf>
    <xf numFmtId="49" fontId="285" fillId="2" borderId="80" xfId="0" applyNumberFormat="1" applyFont="1" applyFill="1" applyBorder="1" applyAlignment="1" applyProtection="1">
      <alignment horizontal="center" vertical="center" wrapText="1"/>
      <protection hidden="1"/>
    </xf>
    <xf numFmtId="351" fontId="34" fillId="0" borderId="0" xfId="0" applyNumberFormat="1" applyFont="1" applyFill="1" applyProtection="1">
      <protection locked="0"/>
    </xf>
    <xf numFmtId="0" fontId="34" fillId="4" borderId="0" xfId="0" applyFont="1" applyFill="1" applyProtection="1"/>
    <xf numFmtId="0" fontId="34" fillId="0" borderId="0" xfId="0" applyFont="1" applyFill="1" applyAlignment="1" applyProtection="1">
      <alignment vertical="center"/>
    </xf>
    <xf numFmtId="0" fontId="34" fillId="0" borderId="0" xfId="0" applyFont="1" applyAlignment="1" applyProtection="1">
      <alignment vertical="center"/>
    </xf>
    <xf numFmtId="49" fontId="323" fillId="0" borderId="80" xfId="0" applyNumberFormat="1" applyFont="1" applyBorder="1" applyAlignment="1" applyProtection="1">
      <alignment horizontal="center"/>
    </xf>
    <xf numFmtId="351" fontId="34" fillId="0" borderId="0" xfId="0" applyNumberFormat="1" applyFont="1" applyProtection="1">
      <protection locked="0"/>
    </xf>
    <xf numFmtId="351" fontId="34" fillId="0" borderId="0" xfId="0" applyNumberFormat="1" applyFont="1" applyAlignment="1" applyProtection="1">
      <alignment horizontal="center"/>
      <protection locked="0"/>
    </xf>
    <xf numFmtId="0" fontId="7" fillId="0" borderId="330" xfId="0" applyFont="1" applyBorder="1" applyProtection="1">
      <protection locked="0" hidden="1"/>
    </xf>
    <xf numFmtId="0" fontId="7" fillId="0" borderId="326" xfId="0" applyFont="1" applyBorder="1" applyAlignment="1" applyProtection="1">
      <protection hidden="1"/>
    </xf>
    <xf numFmtId="0" fontId="7" fillId="0" borderId="277" xfId="0" applyFont="1" applyBorder="1" applyAlignment="1" applyProtection="1">
      <protection hidden="1"/>
    </xf>
    <xf numFmtId="0" fontId="15" fillId="2" borderId="326" xfId="0" applyFont="1" applyFill="1" applyBorder="1" applyAlignment="1" applyProtection="1">
      <protection hidden="1"/>
    </xf>
    <xf numFmtId="0" fontId="15" fillId="2" borderId="331" xfId="0" applyFont="1" applyFill="1" applyBorder="1" applyAlignment="1" applyProtection="1">
      <protection hidden="1"/>
    </xf>
    <xf numFmtId="0" fontId="15" fillId="2" borderId="277" xfId="0" applyFont="1" applyFill="1" applyBorder="1" applyAlignment="1" applyProtection="1">
      <protection hidden="1"/>
    </xf>
    <xf numFmtId="358" fontId="0" fillId="0" borderId="0" xfId="3954" applyNumberFormat="1" applyFont="1"/>
    <xf numFmtId="0" fontId="310" fillId="0" borderId="0" xfId="0" applyFont="1" applyProtection="1">
      <protection locked="0"/>
    </xf>
    <xf numFmtId="0" fontId="0" fillId="0" borderId="0" xfId="0" applyNumberFormat="1" applyAlignment="1" applyProtection="1">
      <protection locked="0"/>
    </xf>
    <xf numFmtId="0" fontId="15" fillId="119" borderId="178" xfId="0" quotePrefix="1" applyNumberFormat="1" applyFont="1" applyFill="1" applyBorder="1" applyAlignment="1" applyProtection="1">
      <alignment horizontal="left" vertical="center"/>
      <protection locked="0" hidden="1"/>
    </xf>
    <xf numFmtId="49" fontId="315" fillId="2" borderId="0" xfId="0" applyNumberFormat="1" applyFont="1" applyFill="1" applyBorder="1" applyAlignment="1" applyProtection="1">
      <alignment horizontal="center" vertical="center"/>
    </xf>
    <xf numFmtId="0" fontId="108" fillId="2" borderId="0" xfId="0" applyFont="1" applyFill="1" applyBorder="1" applyProtection="1"/>
    <xf numFmtId="49" fontId="339" fillId="2" borderId="0" xfId="0" applyNumberFormat="1" applyFont="1" applyFill="1" applyBorder="1" applyAlignment="1" applyProtection="1">
      <alignment horizontal="center" vertical="center"/>
    </xf>
    <xf numFmtId="49" fontId="315" fillId="2" borderId="80" xfId="0" applyNumberFormat="1" applyFont="1" applyFill="1" applyBorder="1" applyAlignment="1" applyProtection="1">
      <alignment horizontal="center" vertical="center"/>
      <protection hidden="1"/>
    </xf>
    <xf numFmtId="0" fontId="83" fillId="42" borderId="325" xfId="22" applyNumberFormat="1" applyFont="1" applyFill="1" applyBorder="1" applyAlignment="1" applyProtection="1">
      <alignment horizontal="left" vertical="center" wrapText="1"/>
      <protection hidden="1"/>
    </xf>
    <xf numFmtId="349" fontId="12" fillId="0" borderId="325" xfId="0" applyNumberFormat="1" applyFont="1" applyBorder="1" applyAlignment="1" applyProtection="1">
      <alignment vertical="center"/>
      <protection locked="0"/>
    </xf>
    <xf numFmtId="352" fontId="283" fillId="113" borderId="13" xfId="37696" applyNumberFormat="1" applyFont="1" applyFill="1" applyBorder="1" applyAlignment="1" applyProtection="1">
      <alignment vertical="center"/>
    </xf>
    <xf numFmtId="351" fontId="12" fillId="38" borderId="325" xfId="0" applyNumberFormat="1" applyFont="1" applyFill="1" applyBorder="1" applyAlignment="1" applyProtection="1">
      <alignment vertical="center"/>
    </xf>
    <xf numFmtId="0" fontId="12" fillId="2" borderId="325" xfId="0" applyFont="1" applyFill="1" applyBorder="1" applyAlignment="1" applyProtection="1">
      <alignment horizontal="left" vertical="center" wrapText="1"/>
      <protection locked="0"/>
    </xf>
    <xf numFmtId="0" fontId="9" fillId="39" borderId="0" xfId="1" applyFont="1" applyFill="1" applyBorder="1" applyAlignment="1" applyProtection="1">
      <alignment horizontal="center" vertical="center"/>
    </xf>
    <xf numFmtId="0" fontId="0" fillId="123" borderId="332" xfId="0" quotePrefix="1" applyNumberFormat="1" applyFont="1" applyFill="1" applyBorder="1" applyAlignment="1"/>
    <xf numFmtId="0" fontId="0" fillId="0" borderId="332" xfId="0" quotePrefix="1" applyNumberFormat="1" applyFont="1" applyBorder="1" applyAlignment="1"/>
    <xf numFmtId="356" fontId="34" fillId="0" borderId="0" xfId="0" applyNumberFormat="1" applyFont="1" applyFill="1" applyProtection="1"/>
    <xf numFmtId="0" fontId="83" fillId="42" borderId="1" xfId="22" applyNumberFormat="1" applyFont="1" applyFill="1" applyBorder="1" applyAlignment="1" applyProtection="1">
      <alignment horizontal="left" vertical="center" wrapText="1"/>
      <protection locked="0" hidden="1"/>
    </xf>
    <xf numFmtId="0" fontId="83" fillId="42" borderId="325" xfId="22" applyNumberFormat="1" applyFont="1" applyFill="1" applyBorder="1" applyAlignment="1" applyProtection="1">
      <alignment horizontal="left" vertical="center" wrapText="1"/>
      <protection locked="0" hidden="1"/>
    </xf>
    <xf numFmtId="0" fontId="3" fillId="113" borderId="277" xfId="0" quotePrefix="1" applyNumberFormat="1" applyFont="1" applyFill="1" applyBorder="1" applyAlignment="1" applyProtection="1">
      <alignment horizontal="left" vertical="center" wrapText="1"/>
    </xf>
    <xf numFmtId="0" fontId="312" fillId="0" borderId="0" xfId="0" applyNumberFormat="1" applyFont="1" applyFill="1" applyAlignment="1" applyProtection="1">
      <alignment wrapText="1"/>
    </xf>
    <xf numFmtId="0" fontId="5" fillId="0" borderId="0" xfId="0" applyNumberFormat="1" applyFont="1" applyAlignment="1" applyProtection="1">
      <alignment wrapText="1"/>
    </xf>
    <xf numFmtId="0" fontId="5" fillId="121" borderId="0" xfId="0" applyNumberFormat="1" applyFont="1" applyFill="1" applyAlignment="1" applyProtection="1">
      <alignment wrapText="1"/>
    </xf>
    <xf numFmtId="0" fontId="312" fillId="0" borderId="0" xfId="0" applyNumberFormat="1" applyFont="1" applyFill="1" applyAlignment="1" applyProtection="1">
      <alignment wrapText="1"/>
      <protection hidden="1"/>
    </xf>
    <xf numFmtId="0" fontId="312" fillId="0" borderId="0" xfId="0" applyNumberFormat="1" applyFont="1" applyAlignment="1" applyProtection="1">
      <alignment wrapText="1"/>
    </xf>
    <xf numFmtId="0" fontId="285" fillId="111" borderId="0" xfId="0" applyNumberFormat="1" applyFont="1" applyFill="1" applyAlignment="1" applyProtection="1">
      <alignment horizontal="center" wrapText="1"/>
    </xf>
    <xf numFmtId="0" fontId="324" fillId="0" borderId="0" xfId="0" applyNumberFormat="1" applyFont="1" applyFill="1" applyBorder="1" applyAlignment="1" applyProtection="1">
      <alignment wrapText="1"/>
    </xf>
    <xf numFmtId="351" fontId="5" fillId="0" borderId="13" xfId="37696" applyNumberFormat="1" applyFont="1" applyBorder="1" applyAlignment="1" applyProtection="1">
      <alignment wrapText="1"/>
      <protection locked="0"/>
    </xf>
    <xf numFmtId="352" fontId="3" fillId="113" borderId="220" xfId="37696" applyNumberFormat="1" applyFont="1" applyFill="1" applyBorder="1" applyAlignment="1" applyProtection="1">
      <alignment vertical="center" wrapText="1"/>
    </xf>
    <xf numFmtId="351" fontId="5" fillId="38" borderId="220" xfId="37696" applyNumberFormat="1" applyFont="1" applyFill="1" applyBorder="1" applyAlignment="1" applyProtection="1">
      <alignment vertical="center" wrapText="1"/>
    </xf>
    <xf numFmtId="0" fontId="9" fillId="39" borderId="1" xfId="1" applyFont="1" applyFill="1" applyBorder="1" applyAlignment="1" applyProtection="1">
      <alignment horizontal="center" vertical="center" wrapText="1"/>
    </xf>
    <xf numFmtId="351" fontId="9" fillId="0" borderId="0" xfId="0" applyNumberFormat="1" applyFont="1" applyAlignment="1" applyProtection="1">
      <alignment wrapText="1"/>
      <protection locked="0"/>
    </xf>
    <xf numFmtId="0" fontId="312" fillId="2" borderId="0" xfId="0" applyNumberFormat="1" applyFont="1" applyFill="1" applyBorder="1" applyAlignment="1" applyProtection="1">
      <alignment wrapText="1"/>
      <protection locked="0"/>
    </xf>
    <xf numFmtId="0" fontId="5" fillId="0" borderId="0" xfId="0" applyNumberFormat="1" applyFont="1" applyAlignment="1" applyProtection="1">
      <alignment wrapText="1"/>
      <protection locked="0"/>
    </xf>
    <xf numFmtId="0" fontId="312" fillId="0" borderId="0" xfId="0" applyNumberFormat="1" applyFont="1" applyAlignment="1" applyProtection="1">
      <alignment wrapText="1"/>
      <protection locked="0"/>
    </xf>
    <xf numFmtId="0" fontId="312" fillId="2" borderId="0" xfId="0" applyNumberFormat="1" applyFont="1" applyFill="1" applyBorder="1" applyAlignment="1" applyProtection="1">
      <alignment wrapText="1"/>
    </xf>
    <xf numFmtId="0" fontId="5" fillId="0" borderId="0" xfId="0" applyNumberFormat="1" applyFont="1" applyFill="1" applyBorder="1" applyAlignment="1" applyProtection="1">
      <alignment horizontal="right" vertical="center" wrapText="1"/>
      <protection locked="0"/>
    </xf>
    <xf numFmtId="0" fontId="312" fillId="2" borderId="80" xfId="0" applyNumberFormat="1" applyFont="1" applyFill="1" applyBorder="1" applyAlignment="1" applyProtection="1">
      <alignment wrapText="1"/>
    </xf>
    <xf numFmtId="0" fontId="5" fillId="0" borderId="0" xfId="0" applyNumberFormat="1" applyFont="1" applyFill="1" applyBorder="1" applyAlignment="1" applyProtection="1">
      <alignment horizontal="right" vertical="center" wrapText="1"/>
    </xf>
    <xf numFmtId="0" fontId="291" fillId="0" borderId="0" xfId="0" applyNumberFormat="1" applyFont="1" applyAlignment="1" applyProtection="1">
      <alignment wrapText="1"/>
    </xf>
    <xf numFmtId="0" fontId="5" fillId="0" borderId="31" xfId="0" applyNumberFormat="1" applyFont="1" applyBorder="1" applyAlignment="1" applyProtection="1">
      <alignment wrapText="1"/>
      <protection locked="0"/>
    </xf>
    <xf numFmtId="0" fontId="5" fillId="113" borderId="220" xfId="0" quotePrefix="1" applyNumberFormat="1" applyFont="1" applyFill="1" applyBorder="1" applyAlignment="1" applyProtection="1">
      <alignment horizontal="left" vertical="center" wrapText="1"/>
    </xf>
    <xf numFmtId="49" fontId="312" fillId="2" borderId="80" xfId="0" applyNumberFormat="1" applyFont="1" applyFill="1" applyBorder="1" applyAlignment="1" applyProtection="1">
      <alignment horizontal="center" vertical="center" wrapText="1"/>
      <protection hidden="1"/>
    </xf>
    <xf numFmtId="0" fontId="3" fillId="113" borderId="220" xfId="0" quotePrefix="1" applyNumberFormat="1" applyFont="1" applyFill="1" applyBorder="1" applyAlignment="1" applyProtection="1">
      <alignment horizontal="left" vertical="center" wrapText="1"/>
    </xf>
    <xf numFmtId="41" fontId="283" fillId="112" borderId="220" xfId="37696" applyFont="1" applyFill="1" applyBorder="1" applyAlignment="1" applyProtection="1">
      <alignment horizontal="center" vertical="center" wrapText="1"/>
    </xf>
    <xf numFmtId="4" fontId="283" fillId="112" borderId="220" xfId="37696" applyNumberFormat="1" applyFont="1" applyFill="1" applyBorder="1" applyAlignment="1" applyProtection="1">
      <alignment horizontal="center" vertical="center" wrapText="1"/>
    </xf>
    <xf numFmtId="351" fontId="312" fillId="0" borderId="0" xfId="0" applyNumberFormat="1" applyFont="1" applyAlignment="1" applyProtection="1">
      <alignment wrapText="1"/>
    </xf>
    <xf numFmtId="0" fontId="0" fillId="0" borderId="0" xfId="0" applyAlignment="1">
      <alignment wrapText="1"/>
    </xf>
    <xf numFmtId="352" fontId="39" fillId="42" borderId="1" xfId="0" applyNumberFormat="1" applyFont="1" applyFill="1" applyBorder="1" applyAlignment="1" applyProtection="1">
      <alignment vertical="center" wrapText="1"/>
    </xf>
    <xf numFmtId="0" fontId="5" fillId="119" borderId="220" xfId="0" applyNumberFormat="1" applyFont="1" applyFill="1" applyBorder="1" applyAlignment="1" applyProtection="1">
      <alignment vertical="center" wrapText="1"/>
    </xf>
    <xf numFmtId="352" fontId="5" fillId="119" borderId="220" xfId="37696" applyNumberFormat="1" applyFont="1" applyFill="1" applyBorder="1" applyAlignment="1" applyProtection="1">
      <alignment vertical="center" wrapText="1"/>
    </xf>
    <xf numFmtId="0" fontId="3" fillId="119" borderId="220" xfId="0" applyNumberFormat="1" applyFont="1" applyFill="1" applyBorder="1" applyAlignment="1" applyProtection="1">
      <alignment vertical="center" wrapText="1"/>
    </xf>
    <xf numFmtId="352" fontId="3" fillId="119" borderId="220" xfId="37696" applyNumberFormat="1" applyFont="1" applyFill="1" applyBorder="1" applyAlignment="1" applyProtection="1">
      <alignment vertical="center" wrapText="1"/>
    </xf>
    <xf numFmtId="352" fontId="283" fillId="38" borderId="1" xfId="0" applyNumberFormat="1" applyFont="1" applyFill="1" applyBorder="1" applyAlignment="1" applyProtection="1">
      <alignment vertical="center" wrapText="1"/>
    </xf>
    <xf numFmtId="351" fontId="312" fillId="0" borderId="0" xfId="0" applyNumberFormat="1" applyFont="1" applyFill="1" applyAlignment="1" applyProtection="1">
      <alignment wrapText="1"/>
      <protection locked="0"/>
    </xf>
    <xf numFmtId="351" fontId="9" fillId="121" borderId="0" xfId="0" applyNumberFormat="1" applyFont="1" applyFill="1" applyAlignment="1" applyProtection="1">
      <alignment wrapText="1"/>
    </xf>
    <xf numFmtId="351" fontId="9" fillId="121" borderId="0" xfId="0" applyNumberFormat="1" applyFont="1" applyFill="1" applyAlignment="1" applyProtection="1">
      <alignment wrapText="1"/>
      <protection locked="0"/>
    </xf>
    <xf numFmtId="351" fontId="308" fillId="0" borderId="0" xfId="0" applyNumberFormat="1" applyFont="1" applyFill="1" applyAlignment="1" applyProtection="1">
      <alignment wrapText="1"/>
      <protection locked="0"/>
    </xf>
    <xf numFmtId="351" fontId="294" fillId="0" borderId="0" xfId="0" applyNumberFormat="1" applyFont="1" applyFill="1" applyAlignment="1" applyProtection="1">
      <alignment wrapText="1"/>
      <protection locked="0"/>
    </xf>
    <xf numFmtId="0" fontId="285" fillId="2" borderId="0" xfId="0" applyNumberFormat="1" applyFont="1" applyFill="1" applyBorder="1" applyAlignment="1" applyProtection="1"/>
    <xf numFmtId="0" fontId="312" fillId="0" borderId="0" xfId="0" applyNumberFormat="1" applyFont="1" applyFill="1" applyAlignment="1" applyProtection="1"/>
    <xf numFmtId="0" fontId="5" fillId="0" borderId="0" xfId="0" applyNumberFormat="1" applyFont="1" applyAlignment="1" applyProtection="1">
      <protection hidden="1"/>
    </xf>
    <xf numFmtId="0" fontId="5" fillId="0" borderId="0" xfId="0" applyNumberFormat="1" applyFont="1" applyBorder="1" applyAlignment="1" applyProtection="1">
      <protection hidden="1"/>
    </xf>
    <xf numFmtId="0" fontId="308" fillId="0" borderId="0" xfId="0" applyNumberFormat="1" applyFont="1" applyBorder="1" applyAlignment="1" applyProtection="1">
      <protection hidden="1"/>
    </xf>
    <xf numFmtId="0" fontId="5" fillId="121" borderId="0" xfId="0" applyNumberFormat="1" applyFont="1" applyFill="1" applyAlignment="1" applyProtection="1"/>
    <xf numFmtId="0" fontId="312" fillId="0" borderId="0" xfId="0" applyNumberFormat="1" applyFont="1" applyFill="1" applyAlignment="1" applyProtection="1">
      <protection hidden="1"/>
    </xf>
    <xf numFmtId="0" fontId="7" fillId="0" borderId="17" xfId="0" applyFont="1" applyBorder="1" applyAlignment="1" applyProtection="1">
      <protection locked="0" hidden="1"/>
    </xf>
    <xf numFmtId="0" fontId="308" fillId="0" borderId="0" xfId="0" applyNumberFormat="1" applyFont="1" applyAlignment="1" applyProtection="1"/>
    <xf numFmtId="0" fontId="5" fillId="0" borderId="17" xfId="0" applyFont="1" applyBorder="1" applyAlignment="1" applyProtection="1">
      <protection hidden="1"/>
    </xf>
    <xf numFmtId="0" fontId="5" fillId="0" borderId="0" xfId="0" applyFont="1" applyAlignment="1" applyProtection="1"/>
    <xf numFmtId="0" fontId="312" fillId="0" borderId="0" xfId="0" applyFont="1" applyBorder="1" applyAlignment="1" applyProtection="1">
      <protection hidden="1"/>
    </xf>
    <xf numFmtId="0" fontId="312" fillId="0" borderId="0" xfId="0" applyNumberFormat="1" applyFont="1" applyAlignment="1" applyProtection="1"/>
    <xf numFmtId="0" fontId="291" fillId="0" borderId="0" xfId="0" applyNumberFormat="1" applyFont="1" applyFill="1" applyBorder="1" applyAlignment="1" applyProtection="1"/>
    <xf numFmtId="351" fontId="9" fillId="0" borderId="0" xfId="0" applyNumberFormat="1" applyFont="1" applyAlignment="1" applyProtection="1">
      <protection locked="0"/>
    </xf>
    <xf numFmtId="0" fontId="308" fillId="0" borderId="0" xfId="0" applyNumberFormat="1" applyFont="1" applyFill="1" applyAlignment="1" applyProtection="1"/>
    <xf numFmtId="0" fontId="286" fillId="120" borderId="250" xfId="0" applyFont="1" applyFill="1" applyBorder="1" applyAlignment="1" applyProtection="1">
      <alignment horizontal="center" vertical="center" wrapText="1"/>
    </xf>
    <xf numFmtId="0" fontId="286" fillId="120" borderId="0" xfId="0" applyFont="1" applyFill="1" applyBorder="1" applyAlignment="1" applyProtection="1">
      <alignment horizontal="center" vertical="center" wrapText="1"/>
    </xf>
    <xf numFmtId="0" fontId="286" fillId="120" borderId="251" xfId="0" applyFont="1" applyFill="1" applyBorder="1" applyAlignment="1" applyProtection="1">
      <alignment horizontal="center" vertical="center" wrapText="1"/>
    </xf>
    <xf numFmtId="344" fontId="12" fillId="2" borderId="13" xfId="0" applyNumberFormat="1" applyFont="1" applyFill="1" applyBorder="1" applyAlignment="1" applyProtection="1">
      <alignment horizontal="left" vertical="center" wrapText="1" indent="1"/>
      <protection locked="0"/>
    </xf>
    <xf numFmtId="14" fontId="0" fillId="0" borderId="0" xfId="0" applyNumberFormat="1"/>
    <xf numFmtId="351" fontId="31" fillId="0" borderId="199" xfId="0" applyNumberFormat="1" applyFont="1" applyBorder="1" applyProtection="1">
      <protection locked="0"/>
    </xf>
    <xf numFmtId="0" fontId="300" fillId="0" borderId="199" xfId="0" applyFont="1" applyBorder="1" applyAlignment="1" applyProtection="1">
      <alignment horizontal="center"/>
      <protection locked="0"/>
    </xf>
    <xf numFmtId="351" fontId="87" fillId="2" borderId="0" xfId="0" applyNumberFormat="1" applyFont="1" applyFill="1" applyProtection="1"/>
    <xf numFmtId="0" fontId="15" fillId="2" borderId="145" xfId="0" applyFont="1" applyFill="1" applyBorder="1" applyAlignment="1" applyProtection="1">
      <alignment horizontal="left" wrapText="1"/>
      <protection hidden="1"/>
    </xf>
    <xf numFmtId="0" fontId="0" fillId="0" borderId="29" xfId="0" applyBorder="1" applyAlignment="1" applyProtection="1">
      <alignment horizontal="center"/>
      <protection hidden="1"/>
    </xf>
    <xf numFmtId="0" fontId="34" fillId="0" borderId="0" xfId="0" applyFont="1" applyAlignment="1">
      <alignment horizontal="center"/>
    </xf>
    <xf numFmtId="0" fontId="316" fillId="0" borderId="326" xfId="0" applyFont="1" applyBorder="1" applyAlignment="1" applyProtection="1">
      <alignment horizontal="center"/>
    </xf>
    <xf numFmtId="0" fontId="316" fillId="0" borderId="331" xfId="0" applyFont="1" applyBorder="1" applyAlignment="1" applyProtection="1">
      <alignment horizontal="center"/>
    </xf>
    <xf numFmtId="0" fontId="316" fillId="0" borderId="277" xfId="0" applyFont="1" applyBorder="1" applyAlignment="1" applyProtection="1">
      <alignment horizontal="center"/>
    </xf>
    <xf numFmtId="49" fontId="288" fillId="0" borderId="326" xfId="4671" applyNumberFormat="1" applyBorder="1" applyAlignment="1">
      <alignment horizontal="left"/>
    </xf>
    <xf numFmtId="49" fontId="288" fillId="0" borderId="277" xfId="4671" applyNumberFormat="1" applyBorder="1" applyAlignment="1">
      <alignment horizontal="left"/>
    </xf>
    <xf numFmtId="49" fontId="288" fillId="0" borderId="288" xfId="4671" applyNumberFormat="1" applyBorder="1" applyAlignment="1">
      <alignment horizontal="left"/>
    </xf>
    <xf numFmtId="49" fontId="288" fillId="0" borderId="17" xfId="4671" applyNumberFormat="1" applyBorder="1" applyAlignment="1">
      <alignment horizontal="left"/>
    </xf>
    <xf numFmtId="0" fontId="18" fillId="0" borderId="288" xfId="0" applyFont="1" applyBorder="1" applyAlignment="1" applyProtection="1">
      <alignment horizontal="center"/>
      <protection locked="0"/>
    </xf>
    <xf numFmtId="0" fontId="18" fillId="0" borderId="122" xfId="0" applyFont="1" applyBorder="1" applyAlignment="1" applyProtection="1">
      <alignment horizontal="center"/>
      <protection locked="0"/>
    </xf>
    <xf numFmtId="0" fontId="18" fillId="0" borderId="17" xfId="0" applyFont="1" applyBorder="1" applyAlignment="1" applyProtection="1">
      <alignment horizontal="center"/>
      <protection locked="0"/>
    </xf>
    <xf numFmtId="0" fontId="18" fillId="0" borderId="326" xfId="0" applyFont="1" applyBorder="1" applyAlignment="1" applyProtection="1">
      <alignment horizontal="center"/>
      <protection locked="0"/>
    </xf>
    <xf numFmtId="0" fontId="18" fillId="0" borderId="331" xfId="0" applyFont="1" applyBorder="1" applyAlignment="1" applyProtection="1">
      <alignment horizontal="center"/>
      <protection locked="0"/>
    </xf>
    <xf numFmtId="0" fontId="18" fillId="0" borderId="277" xfId="0" applyFont="1" applyBorder="1" applyAlignment="1" applyProtection="1">
      <alignment horizontal="center"/>
      <protection locked="0"/>
    </xf>
    <xf numFmtId="359" fontId="18" fillId="0" borderId="326" xfId="0" applyNumberFormat="1" applyFont="1" applyBorder="1" applyAlignment="1" applyProtection="1">
      <alignment horizontal="center"/>
      <protection locked="0" hidden="1"/>
    </xf>
    <xf numFmtId="359" fontId="18" fillId="0" borderId="331" xfId="0" applyNumberFormat="1" applyFont="1" applyBorder="1" applyAlignment="1" applyProtection="1">
      <alignment horizontal="center"/>
      <protection locked="0" hidden="1"/>
    </xf>
    <xf numFmtId="359" fontId="18" fillId="0" borderId="277" xfId="0" applyNumberFormat="1" applyFont="1" applyBorder="1" applyAlignment="1" applyProtection="1">
      <alignment horizontal="center"/>
      <protection locked="0" hidden="1"/>
    </xf>
    <xf numFmtId="0" fontId="286" fillId="2" borderId="0" xfId="0" applyFont="1" applyFill="1" applyBorder="1" applyAlignment="1" applyProtection="1">
      <alignment horizontal="center" vertical="center" wrapText="1"/>
    </xf>
    <xf numFmtId="0" fontId="108" fillId="2" borderId="0" xfId="0" applyFont="1" applyFill="1" applyBorder="1" applyAlignment="1" applyProtection="1">
      <alignment horizontal="center" vertical="center" textRotation="255"/>
      <protection hidden="1"/>
    </xf>
    <xf numFmtId="0" fontId="3" fillId="116" borderId="326" xfId="0" quotePrefix="1" applyFont="1" applyFill="1" applyBorder="1" applyAlignment="1" applyProtection="1">
      <alignment horizontal="center" vertical="center" wrapText="1"/>
    </xf>
    <xf numFmtId="0" fontId="3" fillId="116" borderId="277" xfId="0" quotePrefix="1" applyFont="1" applyFill="1" applyBorder="1" applyAlignment="1" applyProtection="1">
      <alignment horizontal="center" vertical="center" wrapText="1"/>
    </xf>
    <xf numFmtId="0" fontId="286" fillId="120" borderId="260" xfId="0" applyFont="1" applyFill="1" applyBorder="1" applyAlignment="1" applyProtection="1">
      <alignment horizontal="center" vertical="center" wrapText="1"/>
    </xf>
    <xf numFmtId="0" fontId="286" fillId="120" borderId="316" xfId="0" applyFont="1" applyFill="1" applyBorder="1" applyAlignment="1" applyProtection="1">
      <alignment horizontal="center" vertical="center" wrapText="1"/>
    </xf>
    <xf numFmtId="0" fontId="286" fillId="120" borderId="250" xfId="0" applyFont="1" applyFill="1" applyBorder="1" applyAlignment="1" applyProtection="1">
      <alignment horizontal="center" vertical="center" wrapText="1"/>
    </xf>
    <xf numFmtId="0" fontId="286" fillId="120" borderId="317" xfId="0" applyFont="1" applyFill="1" applyBorder="1" applyAlignment="1" applyProtection="1">
      <alignment horizontal="center" vertical="center" wrapText="1"/>
    </xf>
    <xf numFmtId="0" fontId="3" fillId="116" borderId="181" xfId="0" quotePrefix="1" applyFont="1" applyFill="1" applyBorder="1" applyAlignment="1" applyProtection="1">
      <alignment horizontal="center" vertical="center" wrapText="1"/>
    </xf>
    <xf numFmtId="0" fontId="3" fillId="116" borderId="13" xfId="0" quotePrefix="1" applyFont="1" applyFill="1" applyBorder="1" applyAlignment="1" applyProtection="1">
      <alignment horizontal="center" vertical="center" wrapText="1"/>
    </xf>
    <xf numFmtId="0" fontId="3" fillId="116" borderId="181" xfId="0" applyFont="1" applyFill="1" applyBorder="1" applyAlignment="1" applyProtection="1">
      <alignment horizontal="center" vertical="center" wrapText="1"/>
    </xf>
    <xf numFmtId="0" fontId="3" fillId="116" borderId="13" xfId="0" applyFont="1" applyFill="1" applyBorder="1" applyAlignment="1" applyProtection="1">
      <alignment horizontal="center" vertical="center" wrapText="1"/>
    </xf>
    <xf numFmtId="0" fontId="3" fillId="116" borderId="331" xfId="0" quotePrefix="1" applyFont="1" applyFill="1" applyBorder="1" applyAlignment="1" applyProtection="1">
      <alignment horizontal="center" vertical="center" wrapText="1"/>
    </xf>
    <xf numFmtId="0" fontId="3" fillId="116" borderId="181" xfId="0" quotePrefix="1" applyFont="1" applyFill="1" applyBorder="1" applyAlignment="1" applyProtection="1">
      <alignment horizontal="center" vertical="center"/>
    </xf>
    <xf numFmtId="0" fontId="3" fillId="116" borderId="13" xfId="0" quotePrefix="1" applyFont="1" applyFill="1" applyBorder="1" applyAlignment="1" applyProtection="1">
      <alignment horizontal="center" vertical="center"/>
    </xf>
    <xf numFmtId="0" fontId="5" fillId="116" borderId="0" xfId="0" applyFont="1" applyFill="1" applyAlignment="1" applyProtection="1">
      <alignment horizontal="left"/>
    </xf>
    <xf numFmtId="0" fontId="5" fillId="116" borderId="0" xfId="0" quotePrefix="1" applyFont="1" applyFill="1" applyAlignment="1" applyProtection="1">
      <alignment horizontal="left"/>
    </xf>
    <xf numFmtId="0" fontId="286" fillId="120" borderId="0" xfId="0" applyFont="1" applyFill="1" applyBorder="1" applyAlignment="1" applyProtection="1">
      <alignment horizontal="center" vertical="center" wrapText="1"/>
    </xf>
    <xf numFmtId="0" fontId="286" fillId="120" borderId="252" xfId="0" applyFont="1" applyFill="1" applyBorder="1" applyAlignment="1" applyProtection="1">
      <alignment horizontal="center" vertical="center" wrapText="1"/>
    </xf>
    <xf numFmtId="0" fontId="286" fillId="120" borderId="253" xfId="0" applyFont="1" applyFill="1" applyBorder="1" applyAlignment="1" applyProtection="1">
      <alignment horizontal="center" vertical="center" wrapText="1"/>
    </xf>
    <xf numFmtId="0" fontId="286" fillId="120" borderId="245" xfId="0" applyFont="1" applyFill="1" applyBorder="1" applyAlignment="1" applyProtection="1">
      <alignment horizontal="center" vertical="center" wrapText="1"/>
    </xf>
    <xf numFmtId="0" fontId="286" fillId="120" borderId="246" xfId="0" applyFont="1" applyFill="1" applyBorder="1" applyAlignment="1" applyProtection="1">
      <alignment horizontal="center" vertical="center" wrapText="1"/>
    </xf>
    <xf numFmtId="0" fontId="286" fillId="120" borderId="247" xfId="0" applyFont="1" applyFill="1" applyBorder="1" applyAlignment="1" applyProtection="1">
      <alignment horizontal="center" vertical="center" wrapText="1"/>
    </xf>
    <xf numFmtId="0" fontId="286" fillId="120" borderId="248" xfId="0" applyFont="1" applyFill="1" applyBorder="1" applyAlignment="1" applyProtection="1">
      <alignment horizontal="center" vertical="center" wrapText="1"/>
    </xf>
    <xf numFmtId="0" fontId="286" fillId="120" borderId="280" xfId="0" applyFont="1" applyFill="1" applyBorder="1" applyAlignment="1" applyProtection="1">
      <alignment horizontal="center" vertical="center" wrapText="1"/>
    </xf>
    <xf numFmtId="0" fontId="286" fillId="120" borderId="307" xfId="0" applyFont="1" applyFill="1" applyBorder="1" applyAlignment="1" applyProtection="1">
      <alignment horizontal="center" vertical="center" wrapText="1"/>
    </xf>
    <xf numFmtId="0" fontId="5" fillId="116" borderId="0" xfId="0" quotePrefix="1" applyFont="1" applyFill="1" applyAlignment="1" applyProtection="1">
      <alignment horizontal="left" vertical="center" wrapText="1"/>
    </xf>
    <xf numFmtId="0" fontId="3" fillId="116" borderId="0" xfId="0" quotePrefix="1" applyFont="1" applyFill="1" applyAlignment="1" applyProtection="1">
      <alignment horizontal="left" vertical="center" wrapText="1"/>
    </xf>
    <xf numFmtId="352" fontId="283" fillId="42" borderId="145" xfId="0" applyNumberFormat="1" applyFont="1" applyFill="1" applyBorder="1" applyAlignment="1" applyProtection="1">
      <alignment horizontal="left" vertical="center"/>
    </xf>
    <xf numFmtId="352" fontId="283" fillId="42" borderId="178" xfId="0" applyNumberFormat="1" applyFont="1" applyFill="1" applyBorder="1" applyAlignment="1" applyProtection="1">
      <alignment horizontal="left" vertical="center"/>
    </xf>
    <xf numFmtId="352" fontId="283" fillId="42" borderId="277" xfId="0" applyNumberFormat="1" applyFont="1" applyFill="1" applyBorder="1" applyAlignment="1" applyProtection="1">
      <alignment horizontal="left" vertical="center"/>
    </xf>
    <xf numFmtId="0" fontId="294" fillId="4" borderId="220" xfId="0" quotePrefix="1" applyFont="1" applyFill="1" applyBorder="1" applyAlignment="1" applyProtection="1">
      <alignment horizontal="center"/>
    </xf>
    <xf numFmtId="0" fontId="294" fillId="4" borderId="220" xfId="0" applyFont="1" applyFill="1" applyBorder="1" applyAlignment="1" applyProtection="1">
      <alignment horizontal="center"/>
    </xf>
    <xf numFmtId="0" fontId="336" fillId="120" borderId="252" xfId="0" applyFont="1" applyFill="1" applyBorder="1" applyAlignment="1" applyProtection="1">
      <alignment horizontal="center" vertical="center" wrapText="1"/>
    </xf>
    <xf numFmtId="0" fontId="336" fillId="120" borderId="253" xfId="0" applyFont="1" applyFill="1" applyBorder="1" applyAlignment="1" applyProtection="1">
      <alignment horizontal="center" vertical="center" wrapText="1"/>
    </xf>
    <xf numFmtId="0" fontId="336" fillId="120" borderId="256" xfId="0" applyFont="1" applyFill="1" applyBorder="1" applyAlignment="1" applyProtection="1">
      <alignment horizontal="center" vertical="center" wrapText="1"/>
    </xf>
    <xf numFmtId="0" fontId="336" fillId="120" borderId="297" xfId="0" applyFont="1" applyFill="1" applyBorder="1" applyAlignment="1" applyProtection="1">
      <alignment horizontal="center" vertical="center" wrapText="1"/>
    </xf>
    <xf numFmtId="0" fontId="317" fillId="116" borderId="177" xfId="0" applyFont="1" applyFill="1" applyBorder="1" applyAlignment="1" applyProtection="1">
      <alignment horizontal="left" vertical="center" wrapText="1"/>
    </xf>
    <xf numFmtId="0" fontId="317" fillId="116" borderId="178" xfId="0" applyFont="1" applyFill="1" applyBorder="1" applyAlignment="1" applyProtection="1">
      <alignment horizontal="left" vertical="center" wrapText="1"/>
    </xf>
    <xf numFmtId="0" fontId="317" fillId="116" borderId="9" xfId="0" applyFont="1" applyFill="1" applyBorder="1" applyAlignment="1" applyProtection="1">
      <alignment horizontal="left" vertical="center" wrapText="1"/>
    </xf>
    <xf numFmtId="0" fontId="3" fillId="116" borderId="254" xfId="0" applyFont="1" applyFill="1" applyBorder="1" applyAlignment="1" applyProtection="1">
      <alignment horizontal="left" vertical="center" wrapText="1"/>
    </xf>
    <xf numFmtId="0" fontId="3" fillId="116" borderId="239" xfId="0" applyFont="1" applyFill="1" applyBorder="1" applyAlignment="1" applyProtection="1">
      <alignment horizontal="left" vertical="center" wrapText="1"/>
    </xf>
    <xf numFmtId="0" fontId="3" fillId="116" borderId="255" xfId="0" applyFont="1" applyFill="1" applyBorder="1" applyAlignment="1" applyProtection="1">
      <alignment horizontal="left" vertical="center" wrapText="1"/>
    </xf>
    <xf numFmtId="0" fontId="286" fillId="120" borderId="244" xfId="0" applyFont="1" applyFill="1" applyBorder="1" applyAlignment="1" applyProtection="1">
      <alignment horizontal="center" vertical="center" wrapText="1"/>
    </xf>
    <xf numFmtId="0" fontId="286" fillId="120" borderId="257" xfId="0" applyFont="1" applyFill="1" applyBorder="1" applyAlignment="1" applyProtection="1">
      <alignment horizontal="center" vertical="center" wrapText="1"/>
    </xf>
    <xf numFmtId="0" fontId="286" fillId="120" borderId="292" xfId="0" applyFont="1" applyFill="1" applyBorder="1" applyAlignment="1" applyProtection="1">
      <alignment horizontal="center" vertical="center" wrapText="1"/>
    </xf>
    <xf numFmtId="0" fontId="286" fillId="120" borderId="239" xfId="0" applyFont="1" applyFill="1" applyBorder="1" applyAlignment="1" applyProtection="1">
      <alignment horizontal="center" vertical="center" wrapText="1"/>
    </xf>
    <xf numFmtId="0" fontId="286" fillId="120" borderId="293" xfId="0" applyFont="1" applyFill="1" applyBorder="1" applyAlignment="1" applyProtection="1">
      <alignment horizontal="center" vertical="center" wrapText="1"/>
    </xf>
    <xf numFmtId="0" fontId="3" fillId="116" borderId="326" xfId="0" quotePrefix="1" applyFont="1" applyFill="1" applyBorder="1" applyAlignment="1" applyProtection="1">
      <alignment horizontal="center" vertical="center"/>
    </xf>
    <xf numFmtId="0" fontId="3" fillId="116" borderId="331" xfId="0" quotePrefix="1" applyFont="1" applyFill="1" applyBorder="1" applyAlignment="1" applyProtection="1">
      <alignment horizontal="center" vertical="center"/>
    </xf>
    <xf numFmtId="0" fontId="3" fillId="116" borderId="277" xfId="0" quotePrefix="1" applyFont="1" applyFill="1" applyBorder="1" applyAlignment="1" applyProtection="1">
      <alignment horizontal="center" vertical="center"/>
    </xf>
    <xf numFmtId="0" fontId="283" fillId="114" borderId="177" xfId="0" applyFont="1" applyFill="1" applyBorder="1" applyAlignment="1" applyProtection="1">
      <alignment horizontal="center" vertical="center"/>
    </xf>
    <xf numFmtId="0" fontId="283" fillId="114" borderId="9" xfId="0" applyFont="1" applyFill="1" applyBorder="1" applyAlignment="1" applyProtection="1">
      <alignment horizontal="center" vertical="center"/>
    </xf>
    <xf numFmtId="0" fontId="39" fillId="4" borderId="220" xfId="0" quotePrefix="1" applyFont="1" applyFill="1" applyBorder="1" applyAlignment="1" applyProtection="1">
      <alignment horizontal="left" wrapText="1"/>
    </xf>
    <xf numFmtId="0" fontId="39" fillId="114" borderId="220" xfId="0" applyFont="1" applyFill="1" applyBorder="1" applyAlignment="1" applyProtection="1">
      <alignment horizontal="left" vertical="center" wrapText="1"/>
    </xf>
    <xf numFmtId="0" fontId="39" fillId="114" borderId="220" xfId="0" quotePrefix="1" applyFont="1" applyFill="1" applyBorder="1" applyAlignment="1" applyProtection="1">
      <alignment horizontal="left" vertical="center" wrapText="1"/>
    </xf>
    <xf numFmtId="0" fontId="283" fillId="112" borderId="220" xfId="0" applyFont="1" applyFill="1" applyBorder="1" applyAlignment="1" applyProtection="1">
      <alignment horizontal="center" vertical="center"/>
    </xf>
    <xf numFmtId="0" fontId="283" fillId="114" borderId="198" xfId="0" applyFont="1" applyFill="1" applyBorder="1" applyAlignment="1" applyProtection="1">
      <alignment horizontal="center" vertical="center"/>
    </xf>
    <xf numFmtId="0" fontId="283" fillId="114" borderId="13" xfId="0" applyFont="1" applyFill="1" applyBorder="1" applyAlignment="1" applyProtection="1">
      <alignment horizontal="center" vertical="center"/>
    </xf>
    <xf numFmtId="0" fontId="286" fillId="2" borderId="80" xfId="0" applyFont="1" applyFill="1" applyBorder="1" applyAlignment="1" applyProtection="1">
      <alignment horizontal="center" vertical="center" wrapText="1"/>
    </xf>
    <xf numFmtId="0" fontId="286" fillId="120" borderId="237" xfId="0" applyFont="1" applyFill="1" applyBorder="1" applyAlignment="1" applyProtection="1">
      <alignment horizontal="center" vertical="center" wrapText="1"/>
    </xf>
    <xf numFmtId="0" fontId="286" fillId="120" borderId="251" xfId="0" applyFont="1" applyFill="1" applyBorder="1" applyAlignment="1" applyProtection="1">
      <alignment horizontal="center" vertical="center" wrapText="1"/>
    </xf>
    <xf numFmtId="0" fontId="4" fillId="114" borderId="244" xfId="0" applyFont="1" applyFill="1" applyBorder="1" applyAlignment="1" applyProtection="1">
      <alignment horizontal="center" vertical="center" wrapText="1"/>
    </xf>
    <xf numFmtId="0" fontId="286" fillId="120" borderId="236" xfId="0" applyFont="1" applyFill="1" applyBorder="1" applyAlignment="1" applyProtection="1">
      <alignment horizontal="center" vertical="center" wrapText="1"/>
    </xf>
    <xf numFmtId="0" fontId="285" fillId="115" borderId="0" xfId="0" quotePrefix="1" applyFont="1" applyFill="1" applyAlignment="1" applyProtection="1">
      <alignment horizontal="center" vertical="center"/>
    </xf>
    <xf numFmtId="0" fontId="285" fillId="115" borderId="0" xfId="0" applyFont="1" applyFill="1" applyAlignment="1" applyProtection="1">
      <alignment horizontal="center" vertical="center"/>
    </xf>
    <xf numFmtId="0" fontId="5" fillId="119" borderId="0" xfId="0" quotePrefix="1" applyFont="1" applyFill="1" applyAlignment="1" applyProtection="1">
      <alignment horizontal="left"/>
    </xf>
    <xf numFmtId="0" fontId="5" fillId="119" borderId="0" xfId="0" quotePrefix="1" applyFont="1" applyFill="1" applyBorder="1" applyAlignment="1" applyProtection="1">
      <alignment horizontal="left"/>
    </xf>
    <xf numFmtId="0" fontId="286" fillId="120" borderId="238" xfId="0" applyFont="1" applyFill="1" applyBorder="1" applyAlignment="1" applyProtection="1">
      <alignment horizontal="center" vertical="center" wrapText="1"/>
    </xf>
    <xf numFmtId="0" fontId="286" fillId="120" borderId="247" xfId="0" quotePrefix="1" applyFont="1" applyFill="1" applyBorder="1" applyAlignment="1" applyProtection="1">
      <alignment horizontal="center" vertical="center" wrapText="1"/>
    </xf>
    <xf numFmtId="0" fontId="286" fillId="120" borderId="244" xfId="0" quotePrefix="1" applyFont="1" applyFill="1" applyBorder="1" applyAlignment="1" applyProtection="1">
      <alignment horizontal="center" vertical="center" wrapText="1"/>
    </xf>
    <xf numFmtId="2" fontId="5" fillId="113" borderId="220" xfId="0" quotePrefix="1" applyNumberFormat="1" applyFont="1" applyFill="1" applyBorder="1" applyAlignment="1" applyProtection="1">
      <alignment horizontal="left" vertical="center" wrapText="1"/>
    </xf>
    <xf numFmtId="2" fontId="5" fillId="113" borderId="314" xfId="0" quotePrefix="1" applyNumberFormat="1" applyFont="1" applyFill="1" applyBorder="1" applyAlignment="1" applyProtection="1">
      <alignment horizontal="left" vertical="center" wrapText="1"/>
    </xf>
    <xf numFmtId="2" fontId="5" fillId="113" borderId="315" xfId="0" quotePrefix="1" applyNumberFormat="1" applyFont="1" applyFill="1" applyBorder="1" applyAlignment="1" applyProtection="1">
      <alignment horizontal="left" vertical="center" wrapText="1"/>
    </xf>
    <xf numFmtId="2" fontId="5" fillId="113" borderId="198" xfId="0" quotePrefix="1" applyNumberFormat="1" applyFont="1" applyFill="1" applyBorder="1" applyAlignment="1" applyProtection="1">
      <alignment horizontal="left" vertical="center" wrapText="1"/>
    </xf>
    <xf numFmtId="2" fontId="5" fillId="113" borderId="4" xfId="0" quotePrefix="1" applyNumberFormat="1" applyFont="1" applyFill="1" applyBorder="1" applyAlignment="1" applyProtection="1">
      <alignment horizontal="left" vertical="center" wrapText="1"/>
    </xf>
    <xf numFmtId="2" fontId="5" fillId="113" borderId="13" xfId="0" quotePrefix="1" applyNumberFormat="1" applyFont="1" applyFill="1" applyBorder="1" applyAlignment="1" applyProtection="1">
      <alignment horizontal="left" vertical="center" wrapText="1"/>
    </xf>
    <xf numFmtId="2" fontId="5" fillId="113" borderId="232" xfId="0" quotePrefix="1" applyNumberFormat="1" applyFont="1" applyFill="1" applyBorder="1" applyAlignment="1" applyProtection="1">
      <alignment horizontal="left" vertical="center" wrapText="1"/>
    </xf>
    <xf numFmtId="2" fontId="5" fillId="113" borderId="147" xfId="0" quotePrefix="1" applyNumberFormat="1" applyFont="1" applyFill="1" applyBorder="1" applyAlignment="1" applyProtection="1">
      <alignment horizontal="left" vertical="center" wrapText="1"/>
    </xf>
    <xf numFmtId="0" fontId="5" fillId="38" borderId="220" xfId="0" applyFont="1" applyFill="1" applyBorder="1" applyAlignment="1" applyProtection="1">
      <alignment horizontal="center" vertical="center" wrapText="1"/>
    </xf>
    <xf numFmtId="0" fontId="5" fillId="38" borderId="228" xfId="0" applyFont="1" applyFill="1" applyBorder="1" applyAlignment="1" applyProtection="1">
      <alignment horizontal="left" vertical="center" wrapText="1"/>
    </xf>
    <xf numFmtId="0" fontId="5" fillId="38" borderId="229" xfId="0" applyFont="1" applyFill="1" applyBorder="1" applyAlignment="1" applyProtection="1">
      <alignment horizontal="left" vertical="center" wrapText="1"/>
    </xf>
    <xf numFmtId="0" fontId="5" fillId="38" borderId="230" xfId="0" applyFont="1" applyFill="1" applyBorder="1" applyAlignment="1" applyProtection="1">
      <alignment horizontal="left" vertical="center" wrapText="1"/>
    </xf>
    <xf numFmtId="0" fontId="5" fillId="38" borderId="177" xfId="0" applyFont="1" applyFill="1" applyBorder="1" applyAlignment="1" applyProtection="1">
      <alignment horizontal="left" vertical="center" wrapText="1"/>
    </xf>
    <xf numFmtId="0" fontId="5" fillId="38" borderId="178" xfId="0" applyFont="1" applyFill="1" applyBorder="1" applyAlignment="1" applyProtection="1">
      <alignment horizontal="left" vertical="center" wrapText="1"/>
    </xf>
    <xf numFmtId="0" fontId="5" fillId="38" borderId="9" xfId="0" applyFont="1" applyFill="1" applyBorder="1" applyAlignment="1" applyProtection="1">
      <alignment horizontal="left" vertical="center" wrapText="1"/>
    </xf>
    <xf numFmtId="0" fontId="5" fillId="113" borderId="220" xfId="0" quotePrefix="1" applyFont="1" applyFill="1" applyBorder="1" applyAlignment="1" applyProtection="1">
      <alignment horizontal="left" vertical="center" wrapText="1"/>
    </xf>
    <xf numFmtId="0" fontId="5" fillId="2" borderId="289" xfId="0" applyFont="1" applyFill="1" applyBorder="1" applyAlignment="1" applyProtection="1">
      <alignment horizontal="left" vertical="center" wrapText="1"/>
      <protection locked="0"/>
    </xf>
    <xf numFmtId="0" fontId="5" fillId="2" borderId="290" xfId="0" applyFont="1" applyFill="1" applyBorder="1" applyAlignment="1" applyProtection="1">
      <alignment horizontal="left" vertical="center" wrapText="1"/>
      <protection locked="0"/>
    </xf>
    <xf numFmtId="0" fontId="5" fillId="2" borderId="291" xfId="0" applyFont="1" applyFill="1" applyBorder="1" applyAlignment="1" applyProtection="1">
      <alignment horizontal="left" vertical="center" wrapText="1"/>
      <protection locked="0"/>
    </xf>
    <xf numFmtId="49" fontId="315" fillId="2" borderId="80" xfId="0" applyNumberFormat="1" applyFont="1" applyFill="1" applyBorder="1" applyAlignment="1" applyProtection="1">
      <alignment horizontal="center" vertical="center"/>
      <protection hidden="1"/>
    </xf>
    <xf numFmtId="351" fontId="295" fillId="0" borderId="0" xfId="0" applyNumberFormat="1" applyFont="1" applyBorder="1" applyAlignment="1" applyProtection="1">
      <alignment horizontal="left"/>
      <protection locked="0"/>
    </xf>
    <xf numFmtId="344" fontId="5" fillId="2" borderId="220" xfId="0" applyNumberFormat="1" applyFont="1" applyFill="1" applyBorder="1" applyAlignment="1" applyProtection="1">
      <alignment horizontal="left" vertical="center" wrapText="1"/>
      <protection locked="0"/>
    </xf>
    <xf numFmtId="0" fontId="5" fillId="2" borderId="13" xfId="0" applyFont="1" applyFill="1" applyBorder="1" applyAlignment="1" applyProtection="1">
      <alignment horizontal="left" vertical="center" wrapText="1"/>
      <protection locked="0"/>
    </xf>
    <xf numFmtId="0" fontId="5" fillId="2" borderId="220" xfId="0" applyFont="1" applyFill="1" applyBorder="1" applyAlignment="1" applyProtection="1">
      <alignment horizontal="left" vertical="center" wrapText="1"/>
      <protection locked="0"/>
    </xf>
    <xf numFmtId="41" fontId="3" fillId="112" borderId="0" xfId="37696" applyFont="1" applyFill="1" applyBorder="1" applyAlignment="1" applyProtection="1">
      <alignment horizontal="center" vertical="center" wrapText="1"/>
    </xf>
    <xf numFmtId="41" fontId="3" fillId="112" borderId="80" xfId="37696" applyFont="1" applyFill="1" applyBorder="1" applyAlignment="1" applyProtection="1">
      <alignment horizontal="center" vertical="center" wrapText="1"/>
    </xf>
    <xf numFmtId="0" fontId="3" fillId="112" borderId="0" xfId="0" quotePrefix="1" applyNumberFormat="1" applyFont="1" applyFill="1" applyBorder="1" applyAlignment="1" applyProtection="1">
      <alignment horizontal="center" vertical="center" wrapText="1"/>
    </xf>
    <xf numFmtId="0" fontId="3" fillId="112" borderId="0" xfId="0" quotePrefix="1" applyNumberFormat="1" applyFont="1" applyFill="1" applyAlignment="1" applyProtection="1">
      <alignment horizontal="center" vertical="center" wrapText="1"/>
    </xf>
    <xf numFmtId="0" fontId="285" fillId="2" borderId="80" xfId="0" applyFont="1" applyFill="1" applyBorder="1" applyAlignment="1" applyProtection="1">
      <alignment horizontal="center" vertical="center" wrapText="1"/>
    </xf>
    <xf numFmtId="0" fontId="312" fillId="2" borderId="80" xfId="0" applyFont="1" applyFill="1" applyBorder="1" applyAlignment="1" applyProtection="1">
      <alignment horizontal="center" vertical="center" wrapText="1"/>
    </xf>
    <xf numFmtId="0" fontId="285" fillId="120" borderId="235" xfId="0" applyNumberFormat="1" applyFont="1" applyFill="1" applyBorder="1" applyAlignment="1" applyProtection="1">
      <alignment horizontal="center" vertical="center" wrapText="1"/>
    </xf>
    <xf numFmtId="0" fontId="285" fillId="120" borderId="260" xfId="0" applyNumberFormat="1" applyFont="1" applyFill="1" applyBorder="1" applyAlignment="1" applyProtection="1">
      <alignment horizontal="center" vertical="center" wrapText="1"/>
    </xf>
    <xf numFmtId="0" fontId="285" fillId="120" borderId="278" xfId="0" applyNumberFormat="1" applyFont="1" applyFill="1" applyBorder="1" applyAlignment="1" applyProtection="1">
      <alignment horizontal="center" vertical="center" wrapText="1"/>
    </xf>
    <xf numFmtId="0" fontId="285" fillId="120" borderId="279" xfId="0" applyNumberFormat="1" applyFont="1" applyFill="1" applyBorder="1" applyAlignment="1" applyProtection="1">
      <alignment horizontal="center" vertical="center" wrapText="1"/>
    </xf>
    <xf numFmtId="0" fontId="285" fillId="120" borderId="281" xfId="0" applyNumberFormat="1" applyFont="1" applyFill="1" applyBorder="1" applyAlignment="1" applyProtection="1">
      <alignment horizontal="center" vertical="center" wrapText="1"/>
    </xf>
    <xf numFmtId="0" fontId="3" fillId="112" borderId="31" xfId="0" quotePrefix="1" applyNumberFormat="1" applyFont="1" applyFill="1" applyBorder="1" applyAlignment="1" applyProtection="1">
      <alignment horizontal="center" vertical="center" wrapText="1"/>
    </xf>
    <xf numFmtId="41" fontId="3" fillId="112" borderId="31" xfId="37696" applyFont="1" applyFill="1" applyBorder="1" applyAlignment="1" applyProtection="1">
      <alignment horizontal="center" vertical="center" wrapText="1"/>
    </xf>
    <xf numFmtId="0" fontId="285" fillId="120" borderId="252" xfId="0" applyNumberFormat="1" applyFont="1" applyFill="1" applyBorder="1" applyAlignment="1" applyProtection="1">
      <alignment horizontal="center" vertical="center" wrapText="1"/>
    </xf>
    <xf numFmtId="0" fontId="285" fillId="120" borderId="250" xfId="0" applyNumberFormat="1" applyFont="1" applyFill="1" applyBorder="1" applyAlignment="1" applyProtection="1">
      <alignment horizontal="center" vertical="center" wrapText="1"/>
    </xf>
    <xf numFmtId="0" fontId="285" fillId="115" borderId="0" xfId="0" quotePrefix="1" applyNumberFormat="1" applyFont="1" applyFill="1" applyAlignment="1" applyProtection="1">
      <alignment horizontal="center" vertical="center"/>
    </xf>
    <xf numFmtId="0" fontId="285" fillId="120" borderId="245" xfId="0" applyNumberFormat="1" applyFont="1" applyFill="1" applyBorder="1" applyAlignment="1" applyProtection="1">
      <alignment horizontal="center" vertical="center" wrapText="1"/>
    </xf>
    <xf numFmtId="0" fontId="285" fillId="120" borderId="246" xfId="0" applyNumberFormat="1" applyFont="1" applyFill="1" applyBorder="1" applyAlignment="1" applyProtection="1">
      <alignment horizontal="center" vertical="center" wrapText="1"/>
    </xf>
    <xf numFmtId="0" fontId="0" fillId="0" borderId="179" xfId="0" applyBorder="1" applyAlignment="1" applyProtection="1">
      <alignment horizontal="center" vertical="center" wrapText="1"/>
      <protection locked="0"/>
    </xf>
    <xf numFmtId="0" fontId="0" fillId="0" borderId="329" xfId="0" applyBorder="1" applyAlignment="1" applyProtection="1">
      <alignment horizontal="center" vertical="center" wrapText="1"/>
      <protection locked="0"/>
    </xf>
    <xf numFmtId="0" fontId="0" fillId="0" borderId="330" xfId="0" applyBorder="1" applyAlignment="1" applyProtection="1">
      <alignment horizontal="center" vertical="center" wrapText="1"/>
      <protection locked="0"/>
    </xf>
    <xf numFmtId="0" fontId="0" fillId="0" borderId="31" xfId="0" applyBorder="1" applyAlignment="1" applyProtection="1">
      <alignment horizontal="center" vertical="center" wrapText="1"/>
      <protection locked="0"/>
    </xf>
    <xf numFmtId="0" fontId="0" fillId="0" borderId="0" xfId="0" applyBorder="1" applyAlignment="1" applyProtection="1">
      <alignment horizontal="center" vertical="center" wrapText="1"/>
      <protection locked="0"/>
    </xf>
    <xf numFmtId="0" fontId="0" fillId="0" borderId="80" xfId="0" applyBorder="1" applyAlignment="1" applyProtection="1">
      <alignment horizontal="center" vertical="center" wrapText="1"/>
      <protection locked="0"/>
    </xf>
    <xf numFmtId="0" fontId="0" fillId="0" borderId="147" xfId="0" applyBorder="1" applyAlignment="1" applyProtection="1">
      <alignment horizontal="center" vertical="center" wrapText="1"/>
      <protection locked="0"/>
    </xf>
    <xf numFmtId="0" fontId="0" fillId="0" borderId="29" xfId="0" applyBorder="1" applyAlignment="1" applyProtection="1">
      <alignment horizontal="center" vertical="center" wrapText="1"/>
      <protection locked="0"/>
    </xf>
    <xf numFmtId="0" fontId="0" fillId="0" borderId="149" xfId="0" applyBorder="1" applyAlignment="1" applyProtection="1">
      <alignment horizontal="center" vertical="center" wrapText="1"/>
      <protection locked="0"/>
    </xf>
    <xf numFmtId="0" fontId="308" fillId="0" borderId="31" xfId="0" applyNumberFormat="1" applyFont="1" applyBorder="1" applyAlignment="1" applyProtection="1">
      <alignment horizontal="left" vertical="center" wrapText="1"/>
    </xf>
    <xf numFmtId="0" fontId="308" fillId="0" borderId="0" xfId="0" applyNumberFormat="1" applyFont="1" applyBorder="1" applyAlignment="1" applyProtection="1">
      <alignment horizontal="left" vertical="center" wrapText="1"/>
    </xf>
    <xf numFmtId="0" fontId="9" fillId="2" borderId="179" xfId="0" applyNumberFormat="1" applyFont="1" applyFill="1" applyBorder="1" applyAlignment="1" applyProtection="1">
      <alignment horizontal="left" vertical="top" wrapText="1"/>
      <protection hidden="1"/>
    </xf>
    <xf numFmtId="0" fontId="9" fillId="2" borderId="180" xfId="0" applyNumberFormat="1" applyFont="1" applyFill="1" applyBorder="1" applyAlignment="1" applyProtection="1">
      <alignment horizontal="left" vertical="top" wrapText="1"/>
      <protection hidden="1"/>
    </xf>
    <xf numFmtId="0" fontId="9" fillId="2" borderId="261" xfId="0" applyNumberFormat="1" applyFont="1" applyFill="1" applyBorder="1" applyAlignment="1" applyProtection="1">
      <alignment horizontal="left" vertical="top" wrapText="1"/>
      <protection hidden="1"/>
    </xf>
    <xf numFmtId="0" fontId="9" fillId="2" borderId="31" xfId="0" applyNumberFormat="1" applyFont="1" applyFill="1" applyBorder="1" applyAlignment="1" applyProtection="1">
      <alignment horizontal="left" vertical="top" wrapText="1"/>
      <protection hidden="1"/>
    </xf>
    <xf numFmtId="0" fontId="9" fillId="2" borderId="0" xfId="0" applyNumberFormat="1" applyFont="1" applyFill="1" applyBorder="1" applyAlignment="1" applyProtection="1">
      <alignment horizontal="left" vertical="top" wrapText="1"/>
      <protection hidden="1"/>
    </xf>
    <xf numFmtId="0" fontId="9" fillId="2" borderId="80" xfId="0" applyNumberFormat="1" applyFont="1" applyFill="1" applyBorder="1" applyAlignment="1" applyProtection="1">
      <alignment horizontal="left" vertical="top" wrapText="1"/>
      <protection hidden="1"/>
    </xf>
    <xf numFmtId="0" fontId="9" fillId="2" borderId="147" xfId="0" applyNumberFormat="1" applyFont="1" applyFill="1" applyBorder="1" applyAlignment="1" applyProtection="1">
      <alignment horizontal="left" vertical="top" wrapText="1"/>
      <protection hidden="1"/>
    </xf>
    <xf numFmtId="0" fontId="9" fillId="2" borderId="148" xfId="0" applyNumberFormat="1" applyFont="1" applyFill="1" applyBorder="1" applyAlignment="1" applyProtection="1">
      <alignment horizontal="left" vertical="top" wrapText="1"/>
      <protection hidden="1"/>
    </xf>
    <xf numFmtId="0" fontId="9" fillId="2" borderId="149" xfId="0" applyNumberFormat="1" applyFont="1" applyFill="1" applyBorder="1" applyAlignment="1" applyProtection="1">
      <alignment horizontal="left" vertical="top" wrapText="1"/>
      <protection hidden="1"/>
    </xf>
    <xf numFmtId="0" fontId="34" fillId="122" borderId="0" xfId="0" applyFont="1" applyFill="1" applyAlignment="1" applyProtection="1">
      <alignment horizontal="center"/>
    </xf>
    <xf numFmtId="0" fontId="31" fillId="0" borderId="0" xfId="0" applyFont="1" applyBorder="1" applyAlignment="1" applyProtection="1">
      <alignment horizontal="left" vertical="center"/>
    </xf>
    <xf numFmtId="0" fontId="30" fillId="115" borderId="0" xfId="0" quotePrefix="1" applyFont="1" applyFill="1" applyAlignment="1" applyProtection="1">
      <alignment horizontal="center"/>
    </xf>
    <xf numFmtId="0" fontId="30" fillId="115" borderId="0" xfId="0" applyFont="1" applyFill="1" applyAlignment="1" applyProtection="1">
      <alignment horizontal="center"/>
    </xf>
    <xf numFmtId="0" fontId="39" fillId="113" borderId="199" xfId="0" quotePrefix="1" applyFont="1" applyFill="1" applyBorder="1" applyAlignment="1" applyProtection="1">
      <alignment horizontal="left"/>
    </xf>
    <xf numFmtId="0" fontId="39" fillId="113" borderId="180" xfId="0" quotePrefix="1" applyFont="1" applyFill="1" applyBorder="1" applyAlignment="1" applyProtection="1">
      <alignment horizontal="left"/>
    </xf>
    <xf numFmtId="0" fontId="39" fillId="113" borderId="261" xfId="0" quotePrefix="1" applyFont="1" applyFill="1" applyBorder="1" applyAlignment="1" applyProtection="1">
      <alignment horizontal="left"/>
    </xf>
    <xf numFmtId="0" fontId="12" fillId="2" borderId="145" xfId="0" applyNumberFormat="1" applyFont="1" applyFill="1" applyBorder="1" applyAlignment="1" applyProtection="1">
      <alignment horizontal="left" vertical="center" wrapText="1"/>
      <protection locked="0"/>
    </xf>
    <xf numFmtId="0" fontId="12" fillId="2" borderId="178" xfId="0" applyNumberFormat="1" applyFont="1" applyFill="1" applyBorder="1" applyAlignment="1" applyProtection="1">
      <alignment horizontal="left" vertical="center" wrapText="1"/>
      <protection locked="0"/>
    </xf>
    <xf numFmtId="0" fontId="12" fillId="2" borderId="277" xfId="0" applyNumberFormat="1" applyFont="1" applyFill="1" applyBorder="1" applyAlignment="1" applyProtection="1">
      <alignment horizontal="left" vertical="center" wrapText="1"/>
      <protection locked="0"/>
    </xf>
    <xf numFmtId="0" fontId="39" fillId="113" borderId="200" xfId="0" quotePrefix="1" applyFont="1" applyFill="1" applyBorder="1" applyAlignment="1" applyProtection="1">
      <alignment horizontal="left"/>
    </xf>
    <xf numFmtId="0" fontId="12" fillId="38" borderId="178" xfId="0" applyNumberFormat="1" applyFont="1" applyFill="1" applyBorder="1" applyAlignment="1" applyProtection="1">
      <alignment horizontal="center" vertical="center" wrapText="1"/>
      <protection hidden="1"/>
    </xf>
    <xf numFmtId="0" fontId="12" fillId="38" borderId="9" xfId="0" applyNumberFormat="1" applyFont="1" applyFill="1" applyBorder="1" applyAlignment="1" applyProtection="1">
      <alignment horizontal="center" vertical="center" wrapText="1"/>
      <protection hidden="1"/>
    </xf>
    <xf numFmtId="0" fontId="33" fillId="109" borderId="198" xfId="0" applyFont="1" applyFill="1" applyBorder="1" applyAlignment="1" applyProtection="1">
      <alignment horizontal="center" vertical="center"/>
    </xf>
    <xf numFmtId="0" fontId="33" fillId="109" borderId="4" xfId="0" applyFont="1" applyFill="1" applyBorder="1" applyAlignment="1" applyProtection="1">
      <alignment horizontal="center" vertical="center"/>
    </xf>
    <xf numFmtId="0" fontId="33" fillId="109" borderId="13" xfId="0" applyFont="1" applyFill="1" applyBorder="1" applyAlignment="1" applyProtection="1">
      <alignment horizontal="center" vertical="center"/>
    </xf>
    <xf numFmtId="0" fontId="33" fillId="119" borderId="199" xfId="0" quotePrefix="1" applyFont="1" applyFill="1" applyBorder="1" applyAlignment="1" applyProtection="1">
      <alignment horizontal="left"/>
    </xf>
    <xf numFmtId="0" fontId="33" fillId="119" borderId="261" xfId="0" quotePrefix="1" applyFont="1" applyFill="1" applyBorder="1" applyAlignment="1" applyProtection="1">
      <alignment horizontal="left"/>
    </xf>
    <xf numFmtId="0" fontId="0" fillId="119" borderId="0" xfId="0" quotePrefix="1" applyFill="1" applyBorder="1" applyAlignment="1" applyProtection="1">
      <alignment horizontal="left" wrapText="1"/>
    </xf>
    <xf numFmtId="0" fontId="0" fillId="119" borderId="80" xfId="0" quotePrefix="1" applyFill="1" applyBorder="1" applyAlignment="1" applyProtection="1">
      <alignment horizontal="left" wrapText="1"/>
    </xf>
    <xf numFmtId="0" fontId="0" fillId="119" borderId="29" xfId="0" quotePrefix="1" applyFill="1" applyBorder="1" applyAlignment="1" applyProtection="1">
      <alignment horizontal="left" wrapText="1"/>
    </xf>
    <xf numFmtId="0" fontId="0" fillId="119" borderId="149" xfId="0" quotePrefix="1" applyFill="1" applyBorder="1" applyAlignment="1" applyProtection="1">
      <alignment horizontal="left" wrapText="1"/>
    </xf>
    <xf numFmtId="0" fontId="7" fillId="0" borderId="0" xfId="0" quotePrefix="1" applyFont="1" applyFill="1" applyBorder="1" applyAlignment="1" applyProtection="1">
      <alignment horizontal="left" vertical="center" wrapText="1"/>
    </xf>
    <xf numFmtId="0" fontId="7" fillId="108" borderId="121" xfId="0" quotePrefix="1" applyFont="1" applyFill="1" applyBorder="1" applyAlignment="1" applyProtection="1">
      <alignment horizontal="left" vertical="center" wrapText="1"/>
    </xf>
    <xf numFmtId="0" fontId="7" fillId="108" borderId="5" xfId="0" quotePrefix="1" applyFont="1" applyFill="1" applyBorder="1" applyAlignment="1" applyProtection="1">
      <alignment horizontal="left" vertical="center" wrapText="1"/>
    </xf>
    <xf numFmtId="0" fontId="7" fillId="113" borderId="310" xfId="16" applyFont="1" applyFill="1" applyBorder="1" applyAlignment="1" applyProtection="1">
      <alignment horizontal="left" vertical="center" wrapText="1"/>
    </xf>
    <xf numFmtId="0" fontId="7" fillId="113" borderId="277" xfId="16" applyFont="1" applyFill="1" applyBorder="1" applyAlignment="1" applyProtection="1">
      <alignment horizontal="left" vertical="center" wrapText="1"/>
    </xf>
    <xf numFmtId="0" fontId="7" fillId="113" borderId="261" xfId="16" applyFont="1" applyFill="1" applyBorder="1" applyAlignment="1" applyProtection="1">
      <alignment horizontal="left" vertical="center" wrapText="1"/>
    </xf>
    <xf numFmtId="350" fontId="10" fillId="113" borderId="265" xfId="37696" applyNumberFormat="1" applyFont="1" applyFill="1" applyBorder="1" applyAlignment="1" applyProtection="1">
      <alignment horizontal="right" vertical="center" wrapText="1"/>
    </xf>
    <xf numFmtId="350" fontId="10" fillId="113" borderId="10" xfId="37696" applyNumberFormat="1" applyFont="1" applyFill="1" applyBorder="1" applyAlignment="1" applyProtection="1">
      <alignment horizontal="right" vertical="center" wrapText="1"/>
    </xf>
    <xf numFmtId="350" fontId="10" fillId="113" borderId="226" xfId="37696" applyNumberFormat="1" applyFont="1" applyFill="1" applyBorder="1" applyAlignment="1" applyProtection="1">
      <alignment horizontal="right" vertical="center" wrapText="1"/>
    </xf>
    <xf numFmtId="0" fontId="7" fillId="108" borderId="221" xfId="0" quotePrefix="1" applyFont="1" applyFill="1" applyBorder="1" applyAlignment="1" applyProtection="1">
      <alignment horizontal="left" vertical="center" wrapText="1"/>
    </xf>
    <xf numFmtId="0" fontId="7" fillId="108" borderId="282" xfId="0" quotePrefix="1" applyFont="1" applyFill="1" applyBorder="1" applyAlignment="1" applyProtection="1">
      <alignment horizontal="left" vertical="center" wrapText="1"/>
    </xf>
    <xf numFmtId="0" fontId="7" fillId="108" borderId="276" xfId="0" quotePrefix="1" applyFont="1" applyFill="1" applyBorder="1" applyAlignment="1" applyProtection="1">
      <alignment horizontal="left" vertical="center" wrapText="1"/>
    </xf>
    <xf numFmtId="0" fontId="7" fillId="113" borderId="263" xfId="16" applyFont="1" applyFill="1" applyBorder="1" applyAlignment="1" applyProtection="1">
      <alignment horizontal="left" vertical="center" wrapText="1"/>
    </xf>
    <xf numFmtId="0" fontId="7" fillId="113" borderId="266" xfId="16" applyFont="1" applyFill="1" applyBorder="1" applyAlignment="1" applyProtection="1">
      <alignment horizontal="left" vertical="center" wrapText="1"/>
    </xf>
    <xf numFmtId="0" fontId="7" fillId="113" borderId="267" xfId="16" applyFont="1" applyFill="1" applyBorder="1" applyAlignment="1" applyProtection="1">
      <alignment horizontal="left" vertical="center" wrapText="1"/>
    </xf>
    <xf numFmtId="41" fontId="7" fillId="113" borderId="265" xfId="37696" applyFont="1" applyFill="1" applyBorder="1" applyAlignment="1" applyProtection="1">
      <alignment horizontal="right" vertical="center" wrapText="1"/>
    </xf>
    <xf numFmtId="41" fontId="7" fillId="113" borderId="10" xfId="37696" applyFont="1" applyFill="1" applyBorder="1" applyAlignment="1" applyProtection="1">
      <alignment horizontal="right" vertical="center" wrapText="1"/>
    </xf>
    <xf numFmtId="41" fontId="7" fillId="113" borderId="268" xfId="37696" applyFont="1" applyFill="1" applyBorder="1" applyAlignment="1" applyProtection="1">
      <alignment horizontal="right" vertical="center" wrapText="1"/>
    </xf>
    <xf numFmtId="0" fontId="7" fillId="108" borderId="9" xfId="0" quotePrefix="1" applyFont="1" applyFill="1" applyBorder="1" applyAlignment="1" applyProtection="1">
      <alignment horizontal="left" vertical="center" wrapText="1"/>
    </xf>
    <xf numFmtId="0" fontId="83" fillId="2" borderId="224" xfId="0" applyNumberFormat="1" applyFont="1" applyFill="1" applyBorder="1" applyAlignment="1" applyProtection="1">
      <alignment horizontal="left" vertical="center" wrapText="1"/>
      <protection locked="0"/>
    </xf>
    <xf numFmtId="0" fontId="83" fillId="2" borderId="225" xfId="0" applyNumberFormat="1" applyFont="1" applyFill="1" applyBorder="1" applyAlignment="1" applyProtection="1">
      <alignment horizontal="left" vertical="center" wrapText="1"/>
      <protection locked="0"/>
    </xf>
    <xf numFmtId="0" fontId="83" fillId="2" borderId="273" xfId="0" applyNumberFormat="1" applyFont="1" applyFill="1" applyBorder="1" applyAlignment="1" applyProtection="1">
      <alignment horizontal="left" vertical="center" wrapText="1"/>
      <protection locked="0"/>
    </xf>
    <xf numFmtId="349" fontId="7" fillId="38" borderId="270" xfId="22" applyNumberFormat="1" applyFont="1" applyFill="1" applyBorder="1" applyAlignment="1" applyProtection="1">
      <alignment horizontal="left" vertical="center" wrapText="1"/>
    </xf>
    <xf numFmtId="349" fontId="7" fillId="38" borderId="271" xfId="22" applyNumberFormat="1" applyFont="1" applyFill="1" applyBorder="1" applyAlignment="1" applyProtection="1">
      <alignment horizontal="left" vertical="center" wrapText="1"/>
    </xf>
    <xf numFmtId="0" fontId="7" fillId="113" borderId="313" xfId="16" applyFont="1" applyFill="1" applyBorder="1" applyAlignment="1" applyProtection="1">
      <alignment horizontal="left" vertical="center" wrapText="1"/>
    </xf>
    <xf numFmtId="0" fontId="7" fillId="113" borderId="80" xfId="16" applyFont="1" applyFill="1" applyBorder="1" applyAlignment="1" applyProtection="1">
      <alignment horizontal="left" vertical="center" wrapText="1"/>
    </xf>
    <xf numFmtId="352" fontId="10" fillId="113" borderId="272" xfId="37696" applyNumberFormat="1" applyFont="1" applyFill="1" applyBorder="1" applyAlignment="1" applyProtection="1">
      <alignment horizontal="center" vertical="center" wrapText="1"/>
    </xf>
    <xf numFmtId="352" fontId="10" fillId="113" borderId="223" xfId="37696" applyNumberFormat="1" applyFont="1" applyFill="1" applyBorder="1" applyAlignment="1" applyProtection="1">
      <alignment horizontal="center" vertical="center" wrapText="1"/>
    </xf>
    <xf numFmtId="0" fontId="7" fillId="108" borderId="283" xfId="0" quotePrefix="1" applyFont="1" applyFill="1" applyBorder="1" applyAlignment="1" applyProtection="1">
      <alignment horizontal="left" vertical="center" wrapText="1"/>
    </xf>
    <xf numFmtId="0" fontId="7" fillId="108" borderId="284" xfId="0" quotePrefix="1" applyFont="1" applyFill="1" applyBorder="1" applyAlignment="1" applyProtection="1">
      <alignment horizontal="left" vertical="center" wrapText="1"/>
    </xf>
    <xf numFmtId="0" fontId="7" fillId="108" borderId="285" xfId="0" quotePrefix="1" applyFont="1" applyFill="1" applyBorder="1" applyAlignment="1" applyProtection="1">
      <alignment horizontal="left" vertical="center" wrapText="1"/>
    </xf>
    <xf numFmtId="0" fontId="7" fillId="113" borderId="274" xfId="16" applyFont="1" applyFill="1" applyBorder="1" applyAlignment="1" applyProtection="1">
      <alignment horizontal="left" vertical="center" wrapText="1"/>
    </xf>
    <xf numFmtId="0" fontId="7" fillId="113" borderId="5" xfId="16" applyFont="1" applyFill="1" applyBorder="1" applyAlignment="1" applyProtection="1">
      <alignment horizontal="left" vertical="center" wrapText="1"/>
    </xf>
    <xf numFmtId="41" fontId="7" fillId="113" borderId="272" xfId="37696" applyFont="1" applyFill="1" applyBorder="1" applyAlignment="1" applyProtection="1">
      <alignment horizontal="center" vertical="center" wrapText="1"/>
    </xf>
    <xf numFmtId="41" fontId="7" fillId="113" borderId="223" xfId="37696" applyFont="1" applyFill="1" applyBorder="1" applyAlignment="1" applyProtection="1">
      <alignment horizontal="center" vertical="center" wrapText="1"/>
    </xf>
    <xf numFmtId="0" fontId="310" fillId="121" borderId="31" xfId="0" applyFont="1" applyFill="1" applyBorder="1" applyAlignment="1" applyProtection="1">
      <alignment horizontal="center"/>
    </xf>
    <xf numFmtId="0" fontId="310" fillId="121" borderId="0" xfId="0" applyFont="1" applyFill="1" applyAlignment="1" applyProtection="1">
      <alignment horizontal="center"/>
    </xf>
    <xf numFmtId="0" fontId="286" fillId="120" borderId="301" xfId="0" applyFont="1" applyFill="1" applyBorder="1" applyAlignment="1" applyProtection="1">
      <alignment horizontal="center" vertical="center" wrapText="1"/>
    </xf>
    <xf numFmtId="0" fontId="286" fillId="120" borderId="302" xfId="0" applyFont="1" applyFill="1" applyBorder="1" applyAlignment="1" applyProtection="1">
      <alignment horizontal="center" vertical="center" wrapText="1"/>
    </xf>
    <xf numFmtId="0" fontId="7" fillId="113" borderId="311" xfId="16" applyFont="1" applyFill="1" applyBorder="1" applyAlignment="1" applyProtection="1">
      <alignment horizontal="left" vertical="center" wrapText="1"/>
    </xf>
    <xf numFmtId="350" fontId="10" fillId="113" borderId="320" xfId="37696" applyNumberFormat="1" applyFont="1" applyFill="1" applyBorder="1" applyAlignment="1" applyProtection="1">
      <alignment horizontal="right" vertical="center" wrapText="1"/>
    </xf>
    <xf numFmtId="350" fontId="10" fillId="113" borderId="268" xfId="37696" applyNumberFormat="1" applyFont="1" applyFill="1" applyBorder="1" applyAlignment="1" applyProtection="1">
      <alignment horizontal="right" vertical="center" wrapText="1"/>
    </xf>
    <xf numFmtId="0" fontId="7" fillId="113" borderId="15" xfId="16" applyFont="1" applyFill="1" applyBorder="1" applyAlignment="1" applyProtection="1">
      <alignment horizontal="left" vertical="center" wrapText="1"/>
    </xf>
    <xf numFmtId="41" fontId="7" fillId="113" borderId="275" xfId="37696" applyFont="1" applyFill="1" applyBorder="1" applyAlignment="1" applyProtection="1">
      <alignment horizontal="right" vertical="center" wrapText="1"/>
    </xf>
    <xf numFmtId="41" fontId="7" fillId="113" borderId="286" xfId="37696" applyFont="1" applyFill="1" applyBorder="1" applyAlignment="1" applyProtection="1">
      <alignment horizontal="right" vertical="center" wrapText="1"/>
    </xf>
    <xf numFmtId="41" fontId="7" fillId="113" borderId="287" xfId="37696" applyFont="1" applyFill="1" applyBorder="1" applyAlignment="1" applyProtection="1">
      <alignment horizontal="right" vertical="center" wrapText="1"/>
    </xf>
    <xf numFmtId="0" fontId="5" fillId="0" borderId="0" xfId="0" quotePrefix="1" applyFont="1" applyFill="1" applyBorder="1" applyAlignment="1" applyProtection="1">
      <alignment horizontal="left" vertical="center" wrapText="1"/>
    </xf>
    <xf numFmtId="0" fontId="0" fillId="119" borderId="0" xfId="0" applyFill="1" applyAlignment="1" applyProtection="1">
      <alignment horizontal="left" wrapText="1"/>
    </xf>
    <xf numFmtId="0" fontId="0" fillId="119" borderId="200" xfId="0" applyFill="1" applyBorder="1" applyAlignment="1" applyProtection="1">
      <alignment horizontal="left" wrapText="1"/>
    </xf>
    <xf numFmtId="0" fontId="0" fillId="119" borderId="199" xfId="0" applyFill="1" applyBorder="1" applyAlignment="1" applyProtection="1">
      <alignment horizontal="left" wrapText="1"/>
    </xf>
    <xf numFmtId="0" fontId="0" fillId="119" borderId="261" xfId="0" applyFill="1" applyBorder="1" applyAlignment="1" applyProtection="1">
      <alignment horizontal="left" wrapText="1"/>
    </xf>
    <xf numFmtId="0" fontId="0" fillId="119" borderId="147" xfId="0" applyFill="1" applyBorder="1" applyAlignment="1" applyProtection="1">
      <alignment horizontal="left" wrapText="1"/>
    </xf>
    <xf numFmtId="0" fontId="0" fillId="119" borderId="29" xfId="0" applyFill="1" applyBorder="1" applyAlignment="1" applyProtection="1">
      <alignment horizontal="left" wrapText="1"/>
    </xf>
    <xf numFmtId="0" fontId="0" fillId="119" borderId="149" xfId="0" applyFill="1" applyBorder="1" applyAlignment="1" applyProtection="1">
      <alignment horizontal="left" wrapText="1"/>
    </xf>
    <xf numFmtId="0" fontId="295" fillId="118" borderId="200" xfId="0" applyFont="1" applyFill="1" applyBorder="1" applyAlignment="1" applyProtection="1">
      <alignment horizontal="left" vertical="center" wrapText="1"/>
    </xf>
    <xf numFmtId="0" fontId="295" fillId="118" borderId="199" xfId="0" applyFont="1" applyFill="1" applyBorder="1" applyAlignment="1" applyProtection="1">
      <alignment horizontal="left" vertical="center" wrapText="1"/>
    </xf>
    <xf numFmtId="0" fontId="295" fillId="118" borderId="261" xfId="0" applyFont="1" applyFill="1" applyBorder="1" applyAlignment="1" applyProtection="1">
      <alignment horizontal="left" vertical="center" wrapText="1"/>
    </xf>
    <xf numFmtId="0" fontId="295" fillId="118" borderId="31" xfId="0" applyFont="1" applyFill="1" applyBorder="1" applyAlignment="1" applyProtection="1">
      <alignment horizontal="left" vertical="center" wrapText="1"/>
    </xf>
    <xf numFmtId="0" fontId="295" fillId="118" borderId="0" xfId="0" applyFont="1" applyFill="1" applyBorder="1" applyAlignment="1" applyProtection="1">
      <alignment horizontal="left" vertical="center" wrapText="1"/>
    </xf>
    <xf numFmtId="0" fontId="295" fillId="118" borderId="80" xfId="0" applyFont="1" applyFill="1" applyBorder="1" applyAlignment="1" applyProtection="1">
      <alignment horizontal="left" vertical="center" wrapText="1"/>
    </xf>
    <xf numFmtId="0" fontId="0" fillId="119" borderId="200" xfId="0" applyFont="1" applyFill="1" applyBorder="1" applyAlignment="1" applyProtection="1">
      <alignment horizontal="left" vertical="center" wrapText="1"/>
    </xf>
    <xf numFmtId="0" fontId="0" fillId="119" borderId="199" xfId="0" applyFont="1" applyFill="1" applyBorder="1" applyAlignment="1" applyProtection="1">
      <alignment horizontal="left" vertical="center" wrapText="1"/>
    </xf>
    <xf numFmtId="0" fontId="0" fillId="119" borderId="261" xfId="0" applyFont="1" applyFill="1" applyBorder="1" applyAlignment="1" applyProtection="1">
      <alignment horizontal="left" vertical="center" wrapText="1"/>
    </xf>
    <xf numFmtId="0" fontId="0" fillId="119" borderId="31" xfId="0" applyFont="1" applyFill="1" applyBorder="1" applyAlignment="1" applyProtection="1">
      <alignment horizontal="left" vertical="center" wrapText="1"/>
    </xf>
    <xf numFmtId="0" fontId="0" fillId="119" borderId="0" xfId="0" applyFont="1" applyFill="1" applyBorder="1" applyAlignment="1" applyProtection="1">
      <alignment horizontal="left" vertical="center" wrapText="1"/>
    </xf>
    <xf numFmtId="0" fontId="0" fillId="119" borderId="80" xfId="0" applyFont="1" applyFill="1" applyBorder="1" applyAlignment="1" applyProtection="1">
      <alignment horizontal="left" vertical="center" wrapText="1"/>
    </xf>
    <xf numFmtId="0" fontId="286" fillId="120" borderId="31" xfId="0" applyFont="1" applyFill="1" applyBorder="1" applyAlignment="1" applyProtection="1">
      <alignment horizontal="center" vertical="center" wrapText="1"/>
    </xf>
    <xf numFmtId="0" fontId="286" fillId="120" borderId="303" xfId="0" applyFont="1" applyFill="1" applyBorder="1" applyAlignment="1" applyProtection="1">
      <alignment horizontal="center" vertical="center" wrapText="1"/>
    </xf>
    <xf numFmtId="0" fontId="0" fillId="119" borderId="148" xfId="0" applyFill="1" applyBorder="1" applyAlignment="1" applyProtection="1">
      <alignment horizontal="left" wrapText="1"/>
    </xf>
    <xf numFmtId="0" fontId="7" fillId="0" borderId="326" xfId="0" applyFont="1" applyBorder="1" applyAlignment="1" applyProtection="1">
      <alignment horizontal="center"/>
      <protection locked="0" hidden="1"/>
    </xf>
    <xf numFmtId="0" fontId="7" fillId="0" borderId="277" xfId="0" applyFont="1" applyBorder="1" applyAlignment="1" applyProtection="1">
      <alignment horizontal="center"/>
      <protection locked="0" hidden="1"/>
    </xf>
    <xf numFmtId="0" fontId="7" fillId="0" borderId="326" xfId="0" applyFont="1" applyBorder="1" applyAlignment="1" applyProtection="1">
      <alignment horizontal="center"/>
      <protection hidden="1"/>
    </xf>
    <xf numFmtId="0" fontId="7" fillId="0" borderId="277" xfId="0" applyFont="1" applyBorder="1" applyAlignment="1" applyProtection="1">
      <alignment horizontal="center"/>
      <protection hidden="1"/>
    </xf>
  </cellXfs>
  <cellStyles count="37777">
    <cellStyle name="_x0001_" xfId="480"/>
    <cellStyle name="_x0004_" xfId="481"/>
    <cellStyle name="_x0008_" xfId="482"/>
    <cellStyle name="_x0008__x0001_" xfId="483"/>
    <cellStyle name="_x0010_" xfId="484"/>
    <cellStyle name=" 1" xfId="485"/>
    <cellStyle name=" 1033,0_פרוטים" xfId="486"/>
    <cellStyle name="#.##0 ;(#.##0)" xfId="487"/>
    <cellStyle name="$" xfId="488"/>
    <cellStyle name="$ w/o $" xfId="489"/>
    <cellStyle name="$0" xfId="490"/>
    <cellStyle name="$0.0" xfId="491"/>
    <cellStyle name="$0.00" xfId="492"/>
    <cellStyle name="%" xfId="493"/>
    <cellStyle name="% 2" xfId="494"/>
    <cellStyle name="% 3" xfId="495"/>
    <cellStyle name="%0" xfId="496"/>
    <cellStyle name="%0.0" xfId="497"/>
    <cellStyle name="&amp;A" xfId="498"/>
    <cellStyle name=")" xfId="499"/>
    <cellStyle name="??" xfId="500"/>
    <cellStyle name="?? [0.00]_Analysis of Loans" xfId="501"/>
    <cellStyle name="?? 2" xfId="502"/>
    <cellStyle name="?? 3" xfId="503"/>
    <cellStyle name="????" xfId="504"/>
    <cellStyle name="???? [0.00]_~0027223" xfId="505"/>
    <cellStyle name="????_~0027223" xfId="506"/>
    <cellStyle name="???[0]" xfId="507"/>
    <cellStyle name="???[0] 2" xfId="5693"/>
    <cellStyle name="???[0] 2 2" xfId="21491"/>
    <cellStyle name="???[0] 3" xfId="18196"/>
    <cellStyle name="??_~0027223" xfId="508"/>
    <cellStyle name="_%(SignOnly)" xfId="509"/>
    <cellStyle name="_%(SignSpaceOnly)" xfId="510"/>
    <cellStyle name="_~7126856" xfId="511"/>
    <cellStyle name="_~MF3326" xfId="512"/>
    <cellStyle name="_~MF3326_2" xfId="513"/>
    <cellStyle name="_~MF3326_4" xfId="514"/>
    <cellStyle name="_~MF3326_4 2" xfId="5694"/>
    <cellStyle name="_~MF3326_4 2 2" xfId="21492"/>
    <cellStyle name="_~MF3326_4 3" xfId="18203"/>
    <cellStyle name="_01 Análisis Comparables" xfId="515"/>
    <cellStyle name="_01.WACC Dexter" xfId="516"/>
    <cellStyle name="_02 WACC SAI 07-23-08" xfId="517"/>
    <cellStyle name="_03 BS, P&amp;L CG 04-07" xfId="518"/>
    <cellStyle name="_27 Proyecto Caracas" xfId="519"/>
    <cellStyle name="_3 WACC Southern Cone 19-08-08" xfId="520"/>
    <cellStyle name="_30 - Revisión PPA Molinos-QESA 07-02-2008" xfId="521"/>
    <cellStyle name="_30 Revisión PPA Apache 29-01-08 sensitivity" xfId="522"/>
    <cellStyle name="_4 Cálculo PPA II BMA-BDT Sept 26-Jun-07" xfId="523"/>
    <cellStyle name="_46 Modelo Marcas Disco - Vea 15-10-08" xfId="524"/>
    <cellStyle name="_Activaciones Bien de Uso OPM" xfId="525"/>
    <cellStyle name="_Activaciones Bien de Uso OPM_Libro9" xfId="526"/>
    <cellStyle name="_Activaciones Bien de Uso OPM_OPM Inmobiliaria 09-10 V1" xfId="527"/>
    <cellStyle name="_Actualiz Cont Pcipal OPM v1" xfId="528"/>
    <cellStyle name="_Allbank Relationships &amp; Covenants V11" xfId="529"/>
    <cellStyle name="_AR GAAP Anexo OPM S.A" xfId="530"/>
    <cellStyle name="_AR GAAP Anexo OPM S.A_Libro9" xfId="531"/>
    <cellStyle name="_AR GAAP Anexo OPM S.A_OPM Inmobiliaria 09-10 V1" xfId="532"/>
    <cellStyle name="_Armado de Balance OPM S.A. Rev. Ltda. 30-09-2008" xfId="533"/>
    <cellStyle name="_BGPG  OPM Inmobiliaria S.A. -  Rev. Ltda. 30.09.2008" xfId="534"/>
    <cellStyle name="_BGPG  OPM Inmobiliaria S.A. -  Rev. Ltda. 30.09.2008_Libro9" xfId="535"/>
    <cellStyle name="_BGPG  OPM Inmobiliaria S.A. -  Rev. Ltda. 30.09.2008_OPM Inmobiliaria 09-10 V1" xfId="536"/>
    <cellStyle name="_Book2" xfId="537"/>
    <cellStyle name="_Carulla - Valoración Obligaciones Fras Abril 2007" xfId="538"/>
    <cellStyle name="_Column1" xfId="539"/>
    <cellStyle name="_Column1_Berechnung EOP Margen ohne Tantal other" xfId="540"/>
    <cellStyle name="_Column1_Kons_IW_CF auf GF" xfId="541"/>
    <cellStyle name="_Column1_MBKL" xfId="542"/>
    <cellStyle name="_Column1_MDI Quartale (2)" xfId="543"/>
    <cellStyle name="_Column1_PPA HCST - Valuation IPRnD_Summary_220607_1100" xfId="544"/>
    <cellStyle name="_Column1_Vertriebsgesellschaften" xfId="545"/>
    <cellStyle name="_Column2" xfId="546"/>
    <cellStyle name="_Column2_Berechnung EOP Margen ohne Tantal other" xfId="547"/>
    <cellStyle name="_Column2_Kons_IW_CF auf GF" xfId="548"/>
    <cellStyle name="_Column2_MDI Quartale (2)" xfId="549"/>
    <cellStyle name="_Column2_PPA HCST - Valuation IPRnD_Summary_220607_1100" xfId="550"/>
    <cellStyle name="_Column2_Vertriebsgesellschaften" xfId="551"/>
    <cellStyle name="_Column3" xfId="552"/>
    <cellStyle name="_Column3_Berechnung EOP Margen ohne Tantal other" xfId="553"/>
    <cellStyle name="_Column3_Kons_IW_CF auf GF" xfId="554"/>
    <cellStyle name="_Column3_MDI Quartale (2)" xfId="555"/>
    <cellStyle name="_Column3_PPA HCST - Valuation IPRnD_Summary_220607_1100" xfId="556"/>
    <cellStyle name="_Column3_Vertriebsgesellschaften" xfId="557"/>
    <cellStyle name="_Column4" xfId="558"/>
    <cellStyle name="_Column4_Berechnung EOP Margen ohne Tantal other" xfId="559"/>
    <cellStyle name="_Column4_Kons_IW_CF auf GF" xfId="560"/>
    <cellStyle name="_Column4_MBKL" xfId="561"/>
    <cellStyle name="_Column4_MDI Quartale (2)" xfId="562"/>
    <cellStyle name="_Column4_PPA HCST - Valuation IPRnD_Summary_220607_1100" xfId="563"/>
    <cellStyle name="_Column4_Vertriebsgesellschaften" xfId="564"/>
    <cellStyle name="_Column5" xfId="565"/>
    <cellStyle name="_Column5_Berechnung EOP Margen ohne Tantal other" xfId="566"/>
    <cellStyle name="_Column5_Kons_IW_CF auf GF" xfId="567"/>
    <cellStyle name="_Column5_MDI Quartale (2)" xfId="568"/>
    <cellStyle name="_Column5_PPA HCST - Valuation IPRnD_Summary_220607_1100" xfId="569"/>
    <cellStyle name="_Column5_Vertriebsgesellschaften" xfId="570"/>
    <cellStyle name="_Column6" xfId="571"/>
    <cellStyle name="_Column6_Berechnung EOP Margen ohne Tantal other" xfId="572"/>
    <cellStyle name="_Column6_Kons_IW_CF auf GF" xfId="573"/>
    <cellStyle name="_Column6_MDI Quartale (2)" xfId="574"/>
    <cellStyle name="_Column6_PPA HCST - Valuation IPRnD_Summary_220607_1100" xfId="575"/>
    <cellStyle name="_Column6_Vertriebsgesellschaften" xfId="576"/>
    <cellStyle name="_Column7" xfId="577"/>
    <cellStyle name="_Column7_Berechnung EOP Margen ohne Tantal other" xfId="578"/>
    <cellStyle name="_Column7_PPA HCST - Valuation IPRnD_Summary_220607_1100" xfId="579"/>
    <cellStyle name="_Comma" xfId="580"/>
    <cellStyle name="_Currency" xfId="581"/>
    <cellStyle name="_Currency_Book2" xfId="582"/>
    <cellStyle name="_Currency_Databook library PPART" xfId="583"/>
    <cellStyle name="_Currency_ManduValuation_Support_v3" xfId="584"/>
    <cellStyle name="_Currency_Modelo_Mairinque_v2.2" xfId="585"/>
    <cellStyle name="_CurrencySpace" xfId="586"/>
    <cellStyle name="_Data" xfId="587"/>
    <cellStyle name="_Data 2" xfId="588"/>
    <cellStyle name="_Data 2 2" xfId="4672"/>
    <cellStyle name="_Data 3" xfId="589"/>
    <cellStyle name="_Data 3 2" xfId="4673"/>
    <cellStyle name="_Data_$#AF01B105" xfId="590"/>
    <cellStyle name="_Data_$#AF01B105 2" xfId="4674"/>
    <cellStyle name="_Data_060414 VB Berechnung Fleet_Raus_v7 inkl. Windfall" xfId="591"/>
    <cellStyle name="_Data_060414 VB Berechnung Fleet_Raus_v7 inkl. Windfall 2" xfId="4675"/>
    <cellStyle name="_Data_Basis_GroupSales" xfId="592"/>
    <cellStyle name="_Data_Basis_GroupSales 2" xfId="4676"/>
    <cellStyle name="_Data_Basis_GroupSales_Weltaggregation" xfId="593"/>
    <cellStyle name="_Data_Basis_GroupSales_Weltaggregation 2" xfId="4677"/>
    <cellStyle name="_Data_Basis_GroupSales_Weltguideline" xfId="594"/>
    <cellStyle name="_Data_Basis_GroupSales_Weltguideline 2" xfId="4678"/>
    <cellStyle name="_Data_Berechnung EOP Margen ohne Tantal other" xfId="595"/>
    <cellStyle name="_Data_Berechnung EOP Margen ohne Tantal other 2" xfId="4679"/>
    <cellStyle name="_Data_Berechnung EOP Margen ohne Tantal other_01 Análisis Comparables" xfId="596"/>
    <cellStyle name="_Data_Berechnung EOP Margen ohne Tantal other_01 Análisis Comparables 2" xfId="4680"/>
    <cellStyle name="_Data_DP02 - GF Aufteilung 0900 SP" xfId="597"/>
    <cellStyle name="_Data_DP02 - GF Aufteilung 0900 SP 2" xfId="4681"/>
    <cellStyle name="_Data_DP02 - GF Aufteilung 0900 SP_01 Análisis Comparables" xfId="598"/>
    <cellStyle name="_Data_DP02 - GF Aufteilung 0900 SP_01 Análisis Comparables 2" xfId="4682"/>
    <cellStyle name="_Data_Ergebnisse MF_Volumen" xfId="599"/>
    <cellStyle name="_Data_Ergebnisse MF_Volumen 2" xfId="4683"/>
    <cellStyle name="_Data_KA 2004" xfId="600"/>
    <cellStyle name="_Data_KA 2004 2" xfId="4684"/>
    <cellStyle name="_Data_KA 2004_Basis_GroupSales" xfId="601"/>
    <cellStyle name="_Data_KA 2004_Basis_GroupSales 2" xfId="4685"/>
    <cellStyle name="_Data_KA 2004_Basis_GroupSales_Weltaggregation" xfId="602"/>
    <cellStyle name="_Data_KA 2004_Basis_GroupSales_Weltaggregation 2" xfId="4686"/>
    <cellStyle name="_Data_KA 2004_Basis_GroupSales_Weltguideline" xfId="603"/>
    <cellStyle name="_Data_KA 2004_Basis_GroupSales_Weltguideline 2" xfId="4687"/>
    <cellStyle name="_Data_KA 2004_Weltaggregation" xfId="604"/>
    <cellStyle name="_Data_KA 2004_Weltaggregation 2" xfId="4688"/>
    <cellStyle name="_Data_KA 2004_Weltguideline" xfId="605"/>
    <cellStyle name="_Data_KA 2004_Weltguideline 2" xfId="4689"/>
    <cellStyle name="_Data_Konsolidierung auf GF 05_2000" xfId="606"/>
    <cellStyle name="_Data_Konsolidierung auf GF 05_2000 2" xfId="4690"/>
    <cellStyle name="_Data_Konsolidierung auf GF 12_2000_vorlaeufig" xfId="607"/>
    <cellStyle name="_Data_Konsolidierung auf GF 12_2000_vorlaeufig 2" xfId="4691"/>
    <cellStyle name="_Data_Konsolidierung fuer GF 09_2000 vorlaeufig" xfId="608"/>
    <cellStyle name="_Data_Konsolidierung fuer GF 09_2000 vorlaeufig 2" xfId="4692"/>
    <cellStyle name="_Data_Mappe4" xfId="609"/>
    <cellStyle name="_Data_Mappe4 2" xfId="4693"/>
    <cellStyle name="_Data_MDI Quartale (2)" xfId="610"/>
    <cellStyle name="_Data_MDI Quartale (2) 2" xfId="4694"/>
    <cellStyle name="_Data_MDI Quartale (2)_01 Análisis Comparables" xfId="611"/>
    <cellStyle name="_Data_MDI Quartale (2)_01 Análisis Comparables 2" xfId="4695"/>
    <cellStyle name="_Data_MIS25" xfId="612"/>
    <cellStyle name="_Data_MIS25 2" xfId="4696"/>
    <cellStyle name="_Data_PPA HCST - Valuation IPRnD_Summary_220607_1100" xfId="613"/>
    <cellStyle name="_Data_PPA HCST - Valuation IPRnD_Summary_220607_1100 2" xfId="4697"/>
    <cellStyle name="_Data_PPA HCST - Valuation IPRnD_Summary_220607_1100_01 Análisis Comparables" xfId="614"/>
    <cellStyle name="_Data_PPA HCST - Valuation IPRnD_Summary_220607_1100_01 Análisis Comparables 2" xfId="4698"/>
    <cellStyle name="_Data_SP_Konsmassnahmen in CF und IW 09_2000 UR" xfId="615"/>
    <cellStyle name="_Data_SP_Konsmassnahmen in CF und IW 09_2000 UR 2" xfId="4699"/>
    <cellStyle name="_Data_Vorschau_Kufri02" xfId="616"/>
    <cellStyle name="_Data_Vorschau_Kufri02 2" xfId="4700"/>
    <cellStyle name="_Data_Vorschau_Kufri02_Basis_GroupSales" xfId="617"/>
    <cellStyle name="_Data_Vorschau_Kufri02_Basis_GroupSales 2" xfId="4701"/>
    <cellStyle name="_Data_Vorschau_Kufri02_Basis_GroupSales_Weltaggregation" xfId="618"/>
    <cellStyle name="_Data_Vorschau_Kufri02_Basis_GroupSales_Weltaggregation 2" xfId="4702"/>
    <cellStyle name="_Data_Vorschau_Kufri02_Basis_GroupSales_Weltguideline" xfId="619"/>
    <cellStyle name="_Data_Vorschau_Kufri02_Basis_GroupSales_Weltguideline 2" xfId="4703"/>
    <cellStyle name="_Data_Vorschau_Kufri02_Weltaggregation" xfId="620"/>
    <cellStyle name="_Data_Vorschau_Kufri02_Weltaggregation 2" xfId="4704"/>
    <cellStyle name="_Data_Vorschau_Kufri02_Weltguideline" xfId="621"/>
    <cellStyle name="_Data_Vorschau_Kufri02_Weltguideline 2" xfId="4705"/>
    <cellStyle name="_Data_Weltaggregation" xfId="622"/>
    <cellStyle name="_Data_Weltaggregation 2" xfId="4706"/>
    <cellStyle name="_Data_Weltguideline" xfId="623"/>
    <cellStyle name="_Data_Weltguideline 2" xfId="4707"/>
    <cellStyle name="_Data_zentrale Guideline Version 2703" xfId="624"/>
    <cellStyle name="_Data_zentrale Guideline Version 2703 2" xfId="4708"/>
    <cellStyle name="_Data_zentrale Guideline Version 2703_Basis_GroupSales" xfId="625"/>
    <cellStyle name="_Data_zentrale Guideline Version 2703_Basis_GroupSales 2" xfId="4709"/>
    <cellStyle name="_Data_zentrale Guideline Version 2703_Basis_GroupSales_Weltaggregation" xfId="626"/>
    <cellStyle name="_Data_zentrale Guideline Version 2703_Basis_GroupSales_Weltaggregation 2" xfId="4710"/>
    <cellStyle name="_Data_zentrale Guideline Version 2703_Basis_GroupSales_Weltguideline" xfId="627"/>
    <cellStyle name="_Data_zentrale Guideline Version 2703_Basis_GroupSales_Weltguideline 2" xfId="4711"/>
    <cellStyle name="_Data_zentrale Guideline Version 2703_Weltaggregation" xfId="628"/>
    <cellStyle name="_Data_zentrale Guideline Version 2703_Weltaggregation 2" xfId="4712"/>
    <cellStyle name="_Data_zentrale Guideline Version 2703_Weltguideline" xfId="629"/>
    <cellStyle name="_Data_zentrale Guideline Version 2703_Weltguideline 2" xfId="4713"/>
    <cellStyle name="_Data_Zwischengewinne SP 09-2000" xfId="630"/>
    <cellStyle name="_Data_Zwischengewinne SP 09-2000 2" xfId="4714"/>
    <cellStyle name="_Databook library PPART" xfId="631"/>
    <cellStyle name="_DECASA - Inventario 03-09 v3" xfId="632"/>
    <cellStyle name="_Decasa - Inventario 06-09 v3" xfId="633"/>
    <cellStyle name="_DECASA - Inventario 09-09 v2" xfId="634"/>
    <cellStyle name="_Decasa - Inventario 12-08 v2" xfId="635"/>
    <cellStyle name="_Decasa - Inventario 12-08 v2_Libro9" xfId="636"/>
    <cellStyle name="_Decasa - Inventario 12-08 v2_OPM Inmobiliaria 09-10 V1" xfId="637"/>
    <cellStyle name="_DESCUENTOS NÓMINA ENE 2008" xfId="638"/>
    <cellStyle name="_DESCUENTOS NÓMINA ENE 2008 2" xfId="639"/>
    <cellStyle name="_DESCUENTOS NÓMINA ENE 2008 2 2" xfId="640"/>
    <cellStyle name="_DESCUENTOS NÓMINA ENE 2008 2 2 2" xfId="18329"/>
    <cellStyle name="_DESCUENTOS NÓMINA ENE 2008 2 3" xfId="18328"/>
    <cellStyle name="_DESCUENTOS NÓMINA ENE 2008 3" xfId="641"/>
    <cellStyle name="_DESCUENTOS NÓMINA ENE 2008 3 2" xfId="642"/>
    <cellStyle name="_DESCUENTOS NÓMINA ENE 2008 3 2 2" xfId="18331"/>
    <cellStyle name="_DESCUENTOS NÓMINA ENE 2008 3 3" xfId="18330"/>
    <cellStyle name="_DESCUENTOS NÓMINA ENE 2008 4" xfId="643"/>
    <cellStyle name="_DESCUENTOS NÓMINA ENE 2008 4 2" xfId="18332"/>
    <cellStyle name="_DESCUENTOS NÓMINA ENE 2008 5" xfId="18327"/>
    <cellStyle name="_Draft_Escelsa (Fabiano)" xfId="644"/>
    <cellStyle name="_EDEGEL_Final1_balances al 30 de junio 2007" xfId="645"/>
    <cellStyle name="_Euro" xfId="646"/>
    <cellStyle name="_Exito - Valoración Obligaciones Fras Abril 2007" xfId="647"/>
    <cellStyle name="_Fixed assets Summary_fair values110106" xfId="648"/>
    <cellStyle name="_GENERAL698" xfId="649"/>
    <cellStyle name="_GENERAL998" xfId="650"/>
    <cellStyle name="_GENERAL998_1" xfId="651"/>
    <cellStyle name="_GMP" xfId="652"/>
    <cellStyle name="_Header" xfId="653"/>
    <cellStyle name="_Header 2" xfId="654"/>
    <cellStyle name="_Header 3" xfId="655"/>
    <cellStyle name="_Header_CF" xfId="656"/>
    <cellStyle name="_Header_MDI Quartale" xfId="657"/>
    <cellStyle name="_Header_PPA HCST - Valuation IPRnD" xfId="658"/>
    <cellStyle name="_Header_Quartale" xfId="659"/>
    <cellStyle name="_Heading" xfId="660"/>
    <cellStyle name="_Heading_Book2" xfId="661"/>
    <cellStyle name="_Heading_Modelo_Mairinque_v2.2" xfId="662"/>
    <cellStyle name="_Heading_Multiplos_transação_atualizado" xfId="663"/>
    <cellStyle name="_Heading_Multiplos_v2" xfId="664"/>
    <cellStyle name="_Highlight" xfId="665"/>
    <cellStyle name="_Honorarios Brokers OPM - 31-12-2008" xfId="666"/>
    <cellStyle name="_Honorarios Pegasus" xfId="667"/>
    <cellStyle name="_Honorarios Rukan" xfId="668"/>
    <cellStyle name="_LimaReportTable_TT Workbook (V06032007) - Leo_TT Workbook Template - v2" xfId="669"/>
    <cellStyle name="_MKT2" xfId="670"/>
    <cellStyle name="_Model 9" xfId="671"/>
    <cellStyle name="_Modelos de papeles de trabajo_ultima ver" xfId="672"/>
    <cellStyle name="_Multiple" xfId="673"/>
    <cellStyle name="_MultipleSpace" xfId="674"/>
    <cellStyle name="_Netvision final 1" xfId="675"/>
    <cellStyle name="_O Hangzhou_TT Workbook (V06032007) - Leo" xfId="676"/>
    <cellStyle name="_O.0412.HZ-reviewed_TT Workbook (V06032007) - Leo_TT Workbook Template - v2_TT Workbook 25OCT07" xfId="677"/>
    <cellStyle name="_O_Hebei China Steel 2003 - 2004_TT Workbook (V06032007) - Leo" xfId="678"/>
    <cellStyle name="_O_TT Workbook (V06032007)" xfId="679"/>
    <cellStyle name="_OPM - Anticipos a Despachante y Aduana" xfId="680"/>
    <cellStyle name="_OPM - Anticipos a Despachante y Aduana_Libro9" xfId="681"/>
    <cellStyle name="_OPM - Anticipos a Despachante y Aduana_OPM Inmobiliaria 09-10 V1" xfId="682"/>
    <cellStyle name="_OPM - Cargos diferidos - contratos" xfId="683"/>
    <cellStyle name="_OPM - Cargos diferidos - contratos_Libro9" xfId="684"/>
    <cellStyle name="_OPM - Cargos diferidos - contratos_OPM Inmobiliaria 09-10 V1" xfId="685"/>
    <cellStyle name="_P_1_TT Workbook (V06032007) - Leo" xfId="686"/>
    <cellStyle name="_P_Hebei China Steel 2003 - 2004" xfId="687"/>
    <cellStyle name="_P_Instruction of table format_TT Workbook Template - v2_TT Workbook 25OCT07" xfId="688"/>
    <cellStyle name="_P_O.0412.HZ-reviewed" xfId="689"/>
    <cellStyle name="_P_Shenzhen Equipment_TT Workbook Template - v2_TT Workbook 25OCT07" xfId="690"/>
    <cellStyle name="_payroll_Hebei China Steel 2003 - 2004" xfId="691"/>
    <cellStyle name="_payroll_Instruction of table format_TT Workbook Template - v2_TT Workbook 25OCT07" xfId="692"/>
    <cellStyle name="_Percent" xfId="693"/>
    <cellStyle name="_Percent_Balances de escisión" xfId="694"/>
    <cellStyle name="_PERSONAL" xfId="695"/>
    <cellStyle name="_PPA Elster Group - SAP 25 G. Kromschröder AG" xfId="696"/>
    <cellStyle name="_PPA H.C. Starck databook 07_05_22_1400" xfId="697"/>
    <cellStyle name="_PPA H.C. Starck databook 07_06_05_1400" xfId="698"/>
    <cellStyle name="_PPA H.C. Starck databook 07_06_14_1400" xfId="699"/>
    <cellStyle name="_PPA H.C. Starck databook 07_06_20" xfId="700"/>
    <cellStyle name="_PPA HCST - Valuation IPRnD" xfId="701"/>
    <cellStyle name="_PPA HCST - Valuation of intangibles - CST_15.06.07_1400" xfId="702"/>
    <cellStyle name="_PPA HCST - Valuation of intangibles - HMC_26.06.07" xfId="703"/>
    <cellStyle name="_PPA HCST Gruppe_Bewertung Rohstoffe 04.07.07" xfId="704"/>
    <cellStyle name="_PPA Model_LL_v4" xfId="705"/>
    <cellStyle name="_PPA-Delta-Backlog" xfId="706"/>
    <cellStyle name="_Prestamos BA MALL" xfId="707"/>
    <cellStyle name="_Prestamos BA MALL_Libro9" xfId="708"/>
    <cellStyle name="_Prestamos BA MALL_OPM Inmobiliaria 09-10 V1" xfId="709"/>
    <cellStyle name="_Provisiones Decasa" xfId="710"/>
    <cellStyle name="_Provisiones Decasa_Libro9" xfId="711"/>
    <cellStyle name="_Provisiones Decasa_OPM Inmobiliaria 09-10 V1" xfId="712"/>
    <cellStyle name="_PRUEBA ACTIVACIONES OPM" xfId="713"/>
    <cellStyle name="_PRUEBA ACTIVACIONES OPM_Libro9" xfId="714"/>
    <cellStyle name="_PRUEBA ACTIVACIONES OPM_OPM Inmobiliaria 09-10 V1" xfId="715"/>
    <cellStyle name="_Pruebas -  Microcentro I S.R.L. Auditoría 31-12-08" xfId="716"/>
    <cellStyle name="_Pruebas -  Microcentro I S.R.L. Auditoría 31-12-08_Libro9" xfId="717"/>
    <cellStyle name="_Pruebas -  Microcentro I S.R.L. Auditoría 31-12-08_OPM Inmobiliaria 09-10 V1" xfId="718"/>
    <cellStyle name="_Pruebas BA MALL S.A Auditoria al 21.12.2008" xfId="719"/>
    <cellStyle name="_Pruebas BA Mall S.R.L. Auditoría 31-12-08" xfId="720"/>
    <cellStyle name="_Pruebas BA Mall S.R.L. Auditoría 31-12-08_Libro9" xfId="721"/>
    <cellStyle name="_Pruebas BA Mall S.R.L. Auditoría 31-12-08_OPM Inmobiliaria 09-10 V1" xfId="722"/>
    <cellStyle name="_Pruebas OPM Inmobiliaria S.A. Auditoria 31-12-08" xfId="723"/>
    <cellStyle name="_Pruebas OPM Inmobiliaria S.A. Rev. Ltda. 30-09-08" xfId="724"/>
    <cellStyle name="_Reporte Inversores Urbana 09-2008 V3" xfId="725"/>
    <cellStyle name="_Reporte Inversores Urbana 09-2008 V3_Libro9" xfId="726"/>
    <cellStyle name="_Reporte Inversores Urbana 09-2008 V3_OPM Inmobiliaria 09-10 V1" xfId="727"/>
    <cellStyle name="_Reporte Inversores Urbana 12-2008 v2" xfId="728"/>
    <cellStyle name="_Reporte Inversores Urbana 12-2008 v2_Libro9" xfId="729"/>
    <cellStyle name="_Reporte Inversores Urbana 12-2008 v2_OPM Inmobiliaria 09-10 V1" xfId="730"/>
    <cellStyle name="_Reporte Inversores Urbana 12-2008 v3" xfId="731"/>
    <cellStyle name="_Reporte Inversores Urbana 12-2008 v3_Libro9" xfId="732"/>
    <cellStyle name="_Reporte Inversores Urbana 12-2008 v3_OPM Inmobiliaria 09-10 V1" xfId="733"/>
    <cellStyle name="_Retenciones Suss y Ganancias" xfId="734"/>
    <cellStyle name="_Retenciones Suss y Ganancias_Libro9" xfId="735"/>
    <cellStyle name="_Retenciones Suss y Ganancias_OPM Inmobiliaria 09-10 V1" xfId="736"/>
    <cellStyle name="_Row1" xfId="737"/>
    <cellStyle name="_Row1 2" xfId="738"/>
    <cellStyle name="_Row1 3" xfId="739"/>
    <cellStyle name="_Row1_CF" xfId="740"/>
    <cellStyle name="_Row1_MBKL" xfId="741"/>
    <cellStyle name="_Row1_MDI Quartale" xfId="742"/>
    <cellStyle name="_Row1_PPA HCST - Valuation IPRnD" xfId="743"/>
    <cellStyle name="_Row1_PPA HCST - Valuation IPRnD_Summary_220607_1100" xfId="744"/>
    <cellStyle name="_Row1_Quartale" xfId="745"/>
    <cellStyle name="_Row1_SP_Konsmassnahmen in CF und IW 06_2000 UR" xfId="746"/>
    <cellStyle name="_Row2" xfId="747"/>
    <cellStyle name="_Row2 2" xfId="748"/>
    <cellStyle name="_Row2 3" xfId="749"/>
    <cellStyle name="_Row2_CF" xfId="750"/>
    <cellStyle name="_Row2_MDI Quartale" xfId="751"/>
    <cellStyle name="_Row2_PPA HCST - Valuation IPRnD" xfId="752"/>
    <cellStyle name="_Row2_Quartale" xfId="753"/>
    <cellStyle name="_Row3" xfId="754"/>
    <cellStyle name="_Row3 2" xfId="755"/>
    <cellStyle name="_Row3 3" xfId="756"/>
    <cellStyle name="_Row3_CF" xfId="757"/>
    <cellStyle name="_Row3_MDI Quartale" xfId="758"/>
    <cellStyle name="_Row3_PPA HCST - Valuation IPRnD" xfId="759"/>
    <cellStyle name="_Row3_Quartale" xfId="760"/>
    <cellStyle name="_Row4" xfId="761"/>
    <cellStyle name="_Row4 2" xfId="762"/>
    <cellStyle name="_Row4 3" xfId="763"/>
    <cellStyle name="_Row4_CF" xfId="764"/>
    <cellStyle name="_Row4_MDI Quartale" xfId="765"/>
    <cellStyle name="_Row4_PPA HCST - Valuation IPRnD" xfId="766"/>
    <cellStyle name="_Row4_PPA HCST - Valuation IPRnD_Summary_220607_1100" xfId="767"/>
    <cellStyle name="_Row4_Quartale" xfId="768"/>
    <cellStyle name="_Row5" xfId="769"/>
    <cellStyle name="_Row5 2" xfId="770"/>
    <cellStyle name="_Row5 3" xfId="771"/>
    <cellStyle name="_Row5_CF" xfId="772"/>
    <cellStyle name="_Row5_MDI Quartale" xfId="773"/>
    <cellStyle name="_Row5_PPA HCST - Valuation IPRnD" xfId="774"/>
    <cellStyle name="_Row5_Quartale" xfId="775"/>
    <cellStyle name="_Row6" xfId="776"/>
    <cellStyle name="_Row6 2" xfId="777"/>
    <cellStyle name="_Row6 3" xfId="778"/>
    <cellStyle name="_Row6_CF" xfId="779"/>
    <cellStyle name="_Row6_MDI Quartale" xfId="780"/>
    <cellStyle name="_Row6_PPA HCST - Valuation IPRnD" xfId="781"/>
    <cellStyle name="_Row6_Quartale" xfId="782"/>
    <cellStyle name="_Row7" xfId="783"/>
    <cellStyle name="_Row7 2" xfId="784"/>
    <cellStyle name="_Row7 3" xfId="785"/>
    <cellStyle name="_Row7_PPA HCST - Valuation IPRnD" xfId="786"/>
    <cellStyle name="_Sensibilidad" xfId="787"/>
    <cellStyle name="_Sheet1" xfId="788"/>
    <cellStyle name="_SubHeading" xfId="789"/>
    <cellStyle name="_SubHeading_Book2" xfId="790"/>
    <cellStyle name="_SubHeading_Modelo_Mairinque_v2.2" xfId="791"/>
    <cellStyle name="_SubHeading_Multiplos_transação_atualizado" xfId="792"/>
    <cellStyle name="_SubHeading_Multiplos_v2" xfId="793"/>
    <cellStyle name="_Table" xfId="794"/>
    <cellStyle name="_Table 10" xfId="30702"/>
    <cellStyle name="_Table 2" xfId="795"/>
    <cellStyle name="_Table 2 2" xfId="4715"/>
    <cellStyle name="_Table 2 2 2" xfId="4716"/>
    <cellStyle name="_Table 2 2 2 2" xfId="5695"/>
    <cellStyle name="_Table 2 2 2 2 2" xfId="5696"/>
    <cellStyle name="_Table 2 2 2 2 2 2" xfId="21494"/>
    <cellStyle name="_Table 2 2 2 2 2 3" xfId="19661"/>
    <cellStyle name="_Table 2 2 2 2 3" xfId="21493"/>
    <cellStyle name="_Table 2 2 2 2 4" xfId="19662"/>
    <cellStyle name="_Table 2 2 2 3" xfId="5697"/>
    <cellStyle name="_Table 2 2 2 3 2" xfId="5698"/>
    <cellStyle name="_Table 2 2 2 3 2 2" xfId="21496"/>
    <cellStyle name="_Table 2 2 2 3 2 3" xfId="19659"/>
    <cellStyle name="_Table 2 2 2 3 3" xfId="5699"/>
    <cellStyle name="_Table 2 2 2 3 3 2" xfId="21497"/>
    <cellStyle name="_Table 2 2 2 3 3 3" xfId="19658"/>
    <cellStyle name="_Table 2 2 2 3 4" xfId="21495"/>
    <cellStyle name="_Table 2 2 2 3 5" xfId="19660"/>
    <cellStyle name="_Table 2 2 2 4" xfId="20628"/>
    <cellStyle name="_Table 2 2 2 5" xfId="26825"/>
    <cellStyle name="_Table 2 2 3" xfId="4717"/>
    <cellStyle name="_Table 2 2 3 2" xfId="5700"/>
    <cellStyle name="_Table 2 2 3 2 2" xfId="5701"/>
    <cellStyle name="_Table 2 2 3 2 2 2" xfId="21499"/>
    <cellStyle name="_Table 2 2 3 2 2 3" xfId="19656"/>
    <cellStyle name="_Table 2 2 3 2 3" xfId="21498"/>
    <cellStyle name="_Table 2 2 3 2 4" xfId="19657"/>
    <cellStyle name="_Table 2 2 3 3" xfId="5702"/>
    <cellStyle name="_Table 2 2 3 3 2" xfId="5703"/>
    <cellStyle name="_Table 2 2 3 3 2 2" xfId="21501"/>
    <cellStyle name="_Table 2 2 3 3 2 3" xfId="19653"/>
    <cellStyle name="_Table 2 2 3 3 3" xfId="5704"/>
    <cellStyle name="_Table 2 2 3 3 3 2" xfId="21502"/>
    <cellStyle name="_Table 2 2 3 3 3 3" xfId="19652"/>
    <cellStyle name="_Table 2 2 3 3 4" xfId="21500"/>
    <cellStyle name="_Table 2 2 3 3 5" xfId="19654"/>
    <cellStyle name="_Table 2 2 3 4" xfId="20629"/>
    <cellStyle name="_Table 2 2 3 5" xfId="26824"/>
    <cellStyle name="_Table 2 2 4" xfId="4718"/>
    <cellStyle name="_Table 2 2 4 2" xfId="5705"/>
    <cellStyle name="_Table 2 2 4 2 2" xfId="5706"/>
    <cellStyle name="_Table 2 2 4 2 2 2" xfId="21504"/>
    <cellStyle name="_Table 2 2 4 2 2 3" xfId="19650"/>
    <cellStyle name="_Table 2 2 4 2 3" xfId="5707"/>
    <cellStyle name="_Table 2 2 4 2 3 2" xfId="21505"/>
    <cellStyle name="_Table 2 2 4 2 3 3" xfId="19648"/>
    <cellStyle name="_Table 2 2 4 2 4" xfId="21503"/>
    <cellStyle name="_Table 2 2 4 2 5" xfId="19651"/>
    <cellStyle name="_Table 2 2 4 3" xfId="5708"/>
    <cellStyle name="_Table 2 2 4 3 2" xfId="5709"/>
    <cellStyle name="_Table 2 2 4 3 2 2" xfId="21507"/>
    <cellStyle name="_Table 2 2 4 3 2 3" xfId="19646"/>
    <cellStyle name="_Table 2 2 4 3 3" xfId="21506"/>
    <cellStyle name="_Table 2 2 4 3 4" xfId="19647"/>
    <cellStyle name="_Table 2 2 4 4" xfId="20630"/>
    <cellStyle name="_Table 2 2 4 5" xfId="26823"/>
    <cellStyle name="_Table 2 2 5" xfId="5710"/>
    <cellStyle name="_Table 2 2 5 2" xfId="5711"/>
    <cellStyle name="_Table 2 2 5 2 2" xfId="21509"/>
    <cellStyle name="_Table 2 2 5 2 3" xfId="19644"/>
    <cellStyle name="_Table 2 2 5 3" xfId="5712"/>
    <cellStyle name="_Table 2 2 5 3 2" xfId="21510"/>
    <cellStyle name="_Table 2 2 5 3 3" xfId="19643"/>
    <cellStyle name="_Table 2 2 5 4" xfId="21508"/>
    <cellStyle name="_Table 2 2 5 5" xfId="19645"/>
    <cellStyle name="_Table 2 2 6" xfId="5713"/>
    <cellStyle name="_Table 2 2 6 2" xfId="5714"/>
    <cellStyle name="_Table 2 2 6 2 2" xfId="21512"/>
    <cellStyle name="_Table 2 2 6 2 3" xfId="19641"/>
    <cellStyle name="_Table 2 2 6 3" xfId="21511"/>
    <cellStyle name="_Table 2 2 6 4" xfId="19642"/>
    <cellStyle name="_Table 2 2 7" xfId="20627"/>
    <cellStyle name="_Table 2 2 8" xfId="20251"/>
    <cellStyle name="_Table 2 3" xfId="4719"/>
    <cellStyle name="_Table 2 3 2" xfId="5715"/>
    <cellStyle name="_Table 2 3 2 2" xfId="5716"/>
    <cellStyle name="_Table 2 3 2 2 2" xfId="21514"/>
    <cellStyle name="_Table 2 3 2 2 3" xfId="19639"/>
    <cellStyle name="_Table 2 3 2 3" xfId="21513"/>
    <cellStyle name="_Table 2 3 2 4" xfId="19640"/>
    <cellStyle name="_Table 2 3 3" xfId="5717"/>
    <cellStyle name="_Table 2 3 3 2" xfId="5718"/>
    <cellStyle name="_Table 2 3 3 2 2" xfId="21516"/>
    <cellStyle name="_Table 2 3 3 2 3" xfId="19637"/>
    <cellStyle name="_Table 2 3 3 3" xfId="5719"/>
    <cellStyle name="_Table 2 3 3 3 2" xfId="21517"/>
    <cellStyle name="_Table 2 3 3 3 3" xfId="19636"/>
    <cellStyle name="_Table 2 3 3 4" xfId="21515"/>
    <cellStyle name="_Table 2 3 3 5" xfId="19638"/>
    <cellStyle name="_Table 2 3 4" xfId="20631"/>
    <cellStyle name="_Table 2 3 5" xfId="26822"/>
    <cellStyle name="_Table 2 4" xfId="4720"/>
    <cellStyle name="_Table 2 4 2" xfId="5720"/>
    <cellStyle name="_Table 2 4 2 2" xfId="5721"/>
    <cellStyle name="_Table 2 4 2 2 2" xfId="21519"/>
    <cellStyle name="_Table 2 4 2 2 3" xfId="19634"/>
    <cellStyle name="_Table 2 4 2 3" xfId="5722"/>
    <cellStyle name="_Table 2 4 2 3 2" xfId="21520"/>
    <cellStyle name="_Table 2 4 2 3 3" xfId="19633"/>
    <cellStyle name="_Table 2 4 2 4" xfId="21518"/>
    <cellStyle name="_Table 2 4 2 5" xfId="19635"/>
    <cellStyle name="_Table 2 4 3" xfId="5723"/>
    <cellStyle name="_Table 2 4 3 2" xfId="5724"/>
    <cellStyle name="_Table 2 4 3 2 2" xfId="21522"/>
    <cellStyle name="_Table 2 4 3 2 3" xfId="19631"/>
    <cellStyle name="_Table 2 4 3 3" xfId="21521"/>
    <cellStyle name="_Table 2 4 3 4" xfId="19632"/>
    <cellStyle name="_Table 2 4 4" xfId="20632"/>
    <cellStyle name="_Table 2 4 5" xfId="26821"/>
    <cellStyle name="_Table 2 5" xfId="5725"/>
    <cellStyle name="_Table 2 5 2" xfId="5726"/>
    <cellStyle name="_Table 2 5 2 2" xfId="21524"/>
    <cellStyle name="_Table 2 5 2 3" xfId="19629"/>
    <cellStyle name="_Table 2 5 3" xfId="5727"/>
    <cellStyle name="_Table 2 5 3 2" xfId="21525"/>
    <cellStyle name="_Table 2 5 3 3" xfId="19628"/>
    <cellStyle name="_Table 2 5 4" xfId="21523"/>
    <cellStyle name="_Table 2 5 5" xfId="19630"/>
    <cellStyle name="_Table 2 6" xfId="5728"/>
    <cellStyle name="_Table 2 6 2" xfId="5729"/>
    <cellStyle name="_Table 2 6 2 2" xfId="21527"/>
    <cellStyle name="_Table 2 6 2 3" xfId="19626"/>
    <cellStyle name="_Table 2 6 3" xfId="21526"/>
    <cellStyle name="_Table 2 6 4" xfId="19627"/>
    <cellStyle name="_Table 2 7" xfId="18484"/>
    <cellStyle name="_Table 2 8" xfId="30701"/>
    <cellStyle name="_Table 3" xfId="796"/>
    <cellStyle name="_Table 3 2" xfId="4721"/>
    <cellStyle name="_Table 3 2 2" xfId="4722"/>
    <cellStyle name="_Table 3 2 2 2" xfId="5730"/>
    <cellStyle name="_Table 3 2 2 2 2" xfId="5731"/>
    <cellStyle name="_Table 3 2 2 2 2 2" xfId="21529"/>
    <cellStyle name="_Table 3 2 2 2 2 3" xfId="19624"/>
    <cellStyle name="_Table 3 2 2 2 3" xfId="21528"/>
    <cellStyle name="_Table 3 2 2 2 4" xfId="19625"/>
    <cellStyle name="_Table 3 2 2 3" xfId="5732"/>
    <cellStyle name="_Table 3 2 2 3 2" xfId="5733"/>
    <cellStyle name="_Table 3 2 2 3 2 2" xfId="21531"/>
    <cellStyle name="_Table 3 2 2 3 2 3" xfId="19622"/>
    <cellStyle name="_Table 3 2 2 3 3" xfId="5734"/>
    <cellStyle name="_Table 3 2 2 3 3 2" xfId="21532"/>
    <cellStyle name="_Table 3 2 2 3 3 3" xfId="19621"/>
    <cellStyle name="_Table 3 2 2 3 4" xfId="21530"/>
    <cellStyle name="_Table 3 2 2 3 5" xfId="19623"/>
    <cellStyle name="_Table 3 2 2 4" xfId="20634"/>
    <cellStyle name="_Table 3 2 2 5" xfId="26819"/>
    <cellStyle name="_Table 3 2 3" xfId="4723"/>
    <cellStyle name="_Table 3 2 3 2" xfId="5735"/>
    <cellStyle name="_Table 3 2 3 2 2" xfId="5736"/>
    <cellStyle name="_Table 3 2 3 2 2 2" xfId="21534"/>
    <cellStyle name="_Table 3 2 3 2 2 3" xfId="19619"/>
    <cellStyle name="_Table 3 2 3 2 3" xfId="21533"/>
    <cellStyle name="_Table 3 2 3 2 4" xfId="19620"/>
    <cellStyle name="_Table 3 2 3 3" xfId="5737"/>
    <cellStyle name="_Table 3 2 3 3 2" xfId="5738"/>
    <cellStyle name="_Table 3 2 3 3 2 2" xfId="21536"/>
    <cellStyle name="_Table 3 2 3 3 2 3" xfId="19617"/>
    <cellStyle name="_Table 3 2 3 3 3" xfId="5739"/>
    <cellStyle name="_Table 3 2 3 3 3 2" xfId="21537"/>
    <cellStyle name="_Table 3 2 3 3 3 3" xfId="19616"/>
    <cellStyle name="_Table 3 2 3 3 4" xfId="21535"/>
    <cellStyle name="_Table 3 2 3 3 5" xfId="19618"/>
    <cellStyle name="_Table 3 2 3 4" xfId="20635"/>
    <cellStyle name="_Table 3 2 3 5" xfId="26818"/>
    <cellStyle name="_Table 3 2 4" xfId="4724"/>
    <cellStyle name="_Table 3 2 4 2" xfId="5740"/>
    <cellStyle name="_Table 3 2 4 2 2" xfId="5741"/>
    <cellStyle name="_Table 3 2 4 2 2 2" xfId="21539"/>
    <cellStyle name="_Table 3 2 4 2 2 3" xfId="19595"/>
    <cellStyle name="_Table 3 2 4 2 3" xfId="5742"/>
    <cellStyle name="_Table 3 2 4 2 3 2" xfId="21540"/>
    <cellStyle name="_Table 3 2 4 2 3 3" xfId="19585"/>
    <cellStyle name="_Table 3 2 4 2 4" xfId="21538"/>
    <cellStyle name="_Table 3 2 4 2 5" xfId="20081"/>
    <cellStyle name="_Table 3 2 4 3" xfId="5743"/>
    <cellStyle name="_Table 3 2 4 3 2" xfId="5744"/>
    <cellStyle name="_Table 3 2 4 3 2 2" xfId="21542"/>
    <cellStyle name="_Table 3 2 4 3 2 3" xfId="19571"/>
    <cellStyle name="_Table 3 2 4 3 3" xfId="21541"/>
    <cellStyle name="_Table 3 2 4 3 4" xfId="19572"/>
    <cellStyle name="_Table 3 2 4 4" xfId="20636"/>
    <cellStyle name="_Table 3 2 4 5" xfId="26817"/>
    <cellStyle name="_Table 3 2 5" xfId="5745"/>
    <cellStyle name="_Table 3 2 5 2" xfId="5746"/>
    <cellStyle name="_Table 3 2 5 2 2" xfId="21544"/>
    <cellStyle name="_Table 3 2 5 2 3" xfId="19499"/>
    <cellStyle name="_Table 3 2 5 3" xfId="5747"/>
    <cellStyle name="_Table 3 2 5 3 2" xfId="21545"/>
    <cellStyle name="_Table 3 2 5 3 3" xfId="19410"/>
    <cellStyle name="_Table 3 2 5 4" xfId="21543"/>
    <cellStyle name="_Table 3 2 5 5" xfId="19533"/>
    <cellStyle name="_Table 3 2 6" xfId="5748"/>
    <cellStyle name="_Table 3 2 6 2" xfId="5749"/>
    <cellStyle name="_Table 3 2 6 2 2" xfId="21547"/>
    <cellStyle name="_Table 3 2 6 2 3" xfId="19407"/>
    <cellStyle name="_Table 3 2 6 3" xfId="21546"/>
    <cellStyle name="_Table 3 2 6 4" xfId="19408"/>
    <cellStyle name="_Table 3 2 7" xfId="20633"/>
    <cellStyle name="_Table 3 2 8" xfId="26820"/>
    <cellStyle name="_Table 3 3" xfId="4725"/>
    <cellStyle name="_Table 3 3 2" xfId="5750"/>
    <cellStyle name="_Table 3 3 2 2" xfId="5751"/>
    <cellStyle name="_Table 3 3 2 2 2" xfId="21549"/>
    <cellStyle name="_Table 3 3 2 2 3" xfId="19395"/>
    <cellStyle name="_Table 3 3 2 3" xfId="21548"/>
    <cellStyle name="_Table 3 3 2 4" xfId="18167"/>
    <cellStyle name="_Table 3 3 3" xfId="5752"/>
    <cellStyle name="_Table 3 3 3 2" xfId="5753"/>
    <cellStyle name="_Table 3 3 3 2 2" xfId="21551"/>
    <cellStyle name="_Table 3 3 3 2 3" xfId="19393"/>
    <cellStyle name="_Table 3 3 3 3" xfId="5754"/>
    <cellStyle name="_Table 3 3 3 3 2" xfId="21552"/>
    <cellStyle name="_Table 3 3 3 3 3" xfId="19392"/>
    <cellStyle name="_Table 3 3 3 4" xfId="21550"/>
    <cellStyle name="_Table 3 3 3 5" xfId="19394"/>
    <cellStyle name="_Table 3 3 4" xfId="20637"/>
    <cellStyle name="_Table 3 3 5" xfId="26816"/>
    <cellStyle name="_Table 3 4" xfId="4726"/>
    <cellStyle name="_Table 3 4 2" xfId="5755"/>
    <cellStyle name="_Table 3 4 2 2" xfId="5756"/>
    <cellStyle name="_Table 3 4 2 2 2" xfId="21554"/>
    <cellStyle name="_Table 3 4 2 2 3" xfId="19390"/>
    <cellStyle name="_Table 3 4 2 3" xfId="5757"/>
    <cellStyle name="_Table 3 4 2 3 2" xfId="21555"/>
    <cellStyle name="_Table 3 4 2 3 3" xfId="19389"/>
    <cellStyle name="_Table 3 4 2 4" xfId="21553"/>
    <cellStyle name="_Table 3 4 2 5" xfId="19391"/>
    <cellStyle name="_Table 3 4 3" xfId="5758"/>
    <cellStyle name="_Table 3 4 3 2" xfId="5759"/>
    <cellStyle name="_Table 3 4 3 2 2" xfId="21557"/>
    <cellStyle name="_Table 3 4 3 2 3" xfId="19387"/>
    <cellStyle name="_Table 3 4 3 3" xfId="21556"/>
    <cellStyle name="_Table 3 4 3 4" xfId="19388"/>
    <cellStyle name="_Table 3 4 4" xfId="20638"/>
    <cellStyle name="_Table 3 4 5" xfId="26815"/>
    <cellStyle name="_Table 3 5" xfId="5760"/>
    <cellStyle name="_Table 3 5 2" xfId="5761"/>
    <cellStyle name="_Table 3 5 2 2" xfId="21559"/>
    <cellStyle name="_Table 3 5 2 3" xfId="19385"/>
    <cellStyle name="_Table 3 5 3" xfId="5762"/>
    <cellStyle name="_Table 3 5 3 2" xfId="21560"/>
    <cellStyle name="_Table 3 5 3 3" xfId="19384"/>
    <cellStyle name="_Table 3 5 4" xfId="21558"/>
    <cellStyle name="_Table 3 5 5" xfId="19386"/>
    <cellStyle name="_Table 3 6" xfId="5763"/>
    <cellStyle name="_Table 3 6 2" xfId="5764"/>
    <cellStyle name="_Table 3 6 2 2" xfId="21562"/>
    <cellStyle name="_Table 3 6 2 3" xfId="19382"/>
    <cellStyle name="_Table 3 6 3" xfId="21561"/>
    <cellStyle name="_Table 3 6 4" xfId="19383"/>
    <cellStyle name="_Table 3 7" xfId="18485"/>
    <cellStyle name="_Table 3 8" xfId="30700"/>
    <cellStyle name="_Table 4" xfId="4727"/>
    <cellStyle name="_Table 4 2" xfId="4728"/>
    <cellStyle name="_Table 4 2 2" xfId="5765"/>
    <cellStyle name="_Table 4 2 2 2" xfId="5766"/>
    <cellStyle name="_Table 4 2 2 2 2" xfId="21564"/>
    <cellStyle name="_Table 4 2 2 2 3" xfId="19380"/>
    <cellStyle name="_Table 4 2 2 3" xfId="21563"/>
    <cellStyle name="_Table 4 2 2 4" xfId="19381"/>
    <cellStyle name="_Table 4 2 3" xfId="5767"/>
    <cellStyle name="_Table 4 2 3 2" xfId="5768"/>
    <cellStyle name="_Table 4 2 3 2 2" xfId="21566"/>
    <cellStyle name="_Table 4 2 3 2 3" xfId="19378"/>
    <cellStyle name="_Table 4 2 3 3" xfId="5769"/>
    <cellStyle name="_Table 4 2 3 3 2" xfId="21567"/>
    <cellStyle name="_Table 4 2 3 3 3" xfId="19377"/>
    <cellStyle name="_Table 4 2 3 4" xfId="21565"/>
    <cellStyle name="_Table 4 2 3 5" xfId="19379"/>
    <cellStyle name="_Table 4 2 4" xfId="20640"/>
    <cellStyle name="_Table 4 2 5" xfId="26813"/>
    <cellStyle name="_Table 4 3" xfId="4729"/>
    <cellStyle name="_Table 4 3 2" xfId="5770"/>
    <cellStyle name="_Table 4 3 2 2" xfId="5771"/>
    <cellStyle name="_Table 4 3 2 2 2" xfId="21569"/>
    <cellStyle name="_Table 4 3 2 2 3" xfId="19375"/>
    <cellStyle name="_Table 4 3 2 3" xfId="21568"/>
    <cellStyle name="_Table 4 3 2 4" xfId="19376"/>
    <cellStyle name="_Table 4 3 3" xfId="5772"/>
    <cellStyle name="_Table 4 3 3 2" xfId="5773"/>
    <cellStyle name="_Table 4 3 3 2 2" xfId="21571"/>
    <cellStyle name="_Table 4 3 3 2 3" xfId="19373"/>
    <cellStyle name="_Table 4 3 3 3" xfId="5774"/>
    <cellStyle name="_Table 4 3 3 3 2" xfId="21572"/>
    <cellStyle name="_Table 4 3 3 3 3" xfId="19372"/>
    <cellStyle name="_Table 4 3 3 4" xfId="21570"/>
    <cellStyle name="_Table 4 3 3 5" xfId="19374"/>
    <cellStyle name="_Table 4 3 4" xfId="20641"/>
    <cellStyle name="_Table 4 3 5" xfId="26812"/>
    <cellStyle name="_Table 4 4" xfId="4730"/>
    <cellStyle name="_Table 4 4 2" xfId="5775"/>
    <cellStyle name="_Table 4 4 2 2" xfId="5776"/>
    <cellStyle name="_Table 4 4 2 2 2" xfId="21574"/>
    <cellStyle name="_Table 4 4 2 2 3" xfId="19370"/>
    <cellStyle name="_Table 4 4 2 3" xfId="5777"/>
    <cellStyle name="_Table 4 4 2 3 2" xfId="21575"/>
    <cellStyle name="_Table 4 4 2 3 3" xfId="19369"/>
    <cellStyle name="_Table 4 4 2 4" xfId="21573"/>
    <cellStyle name="_Table 4 4 2 5" xfId="19371"/>
    <cellStyle name="_Table 4 4 3" xfId="5778"/>
    <cellStyle name="_Table 4 4 3 2" xfId="5779"/>
    <cellStyle name="_Table 4 4 3 2 2" xfId="21577"/>
    <cellStyle name="_Table 4 4 3 2 3" xfId="19367"/>
    <cellStyle name="_Table 4 4 3 3" xfId="21576"/>
    <cellStyle name="_Table 4 4 3 4" xfId="19368"/>
    <cellStyle name="_Table 4 4 4" xfId="20642"/>
    <cellStyle name="_Table 4 4 5" xfId="20424"/>
    <cellStyle name="_Table 4 5" xfId="5780"/>
    <cellStyle name="_Table 4 5 2" xfId="5781"/>
    <cellStyle name="_Table 4 5 2 2" xfId="21579"/>
    <cellStyle name="_Table 4 5 2 3" xfId="19365"/>
    <cellStyle name="_Table 4 5 3" xfId="5782"/>
    <cellStyle name="_Table 4 5 3 2" xfId="21580"/>
    <cellStyle name="_Table 4 5 3 3" xfId="19364"/>
    <cellStyle name="_Table 4 5 4" xfId="21578"/>
    <cellStyle name="_Table 4 5 5" xfId="19366"/>
    <cellStyle name="_Table 4 6" xfId="5783"/>
    <cellStyle name="_Table 4 6 2" xfId="5784"/>
    <cellStyle name="_Table 4 6 2 2" xfId="21582"/>
    <cellStyle name="_Table 4 6 2 3" xfId="19362"/>
    <cellStyle name="_Table 4 6 3" xfId="21581"/>
    <cellStyle name="_Table 4 6 4" xfId="19363"/>
    <cellStyle name="_Table 4 7" xfId="20639"/>
    <cellStyle name="_Table 4 8" xfId="26814"/>
    <cellStyle name="_Table 5" xfId="4731"/>
    <cellStyle name="_Table 5 2" xfId="5785"/>
    <cellStyle name="_Table 5 2 2" xfId="5786"/>
    <cellStyle name="_Table 5 2 2 2" xfId="21584"/>
    <cellStyle name="_Table 5 2 2 3" xfId="19360"/>
    <cellStyle name="_Table 5 2 3" xfId="21583"/>
    <cellStyle name="_Table 5 2 4" xfId="19361"/>
    <cellStyle name="_Table 5 3" xfId="5787"/>
    <cellStyle name="_Table 5 3 2" xfId="5788"/>
    <cellStyle name="_Table 5 3 2 2" xfId="21586"/>
    <cellStyle name="_Table 5 3 2 3" xfId="19358"/>
    <cellStyle name="_Table 5 3 3" xfId="5789"/>
    <cellStyle name="_Table 5 3 3 2" xfId="21587"/>
    <cellStyle name="_Table 5 3 3 3" xfId="19357"/>
    <cellStyle name="_Table 5 3 4" xfId="21585"/>
    <cellStyle name="_Table 5 3 5" xfId="19359"/>
    <cellStyle name="_Table 5 4" xfId="20643"/>
    <cellStyle name="_Table 5 5" xfId="19821"/>
    <cellStyle name="_Table 6" xfId="4732"/>
    <cellStyle name="_Table 6 2" xfId="5790"/>
    <cellStyle name="_Table 6 2 2" xfId="5791"/>
    <cellStyle name="_Table 6 2 2 2" xfId="21589"/>
    <cellStyle name="_Table 6 2 2 3" xfId="19355"/>
    <cellStyle name="_Table 6 2 3" xfId="5792"/>
    <cellStyle name="_Table 6 2 3 2" xfId="21590"/>
    <cellStyle name="_Table 6 2 3 3" xfId="19354"/>
    <cellStyle name="_Table 6 2 4" xfId="21588"/>
    <cellStyle name="_Table 6 2 5" xfId="19356"/>
    <cellStyle name="_Table 6 3" xfId="5793"/>
    <cellStyle name="_Table 6 3 2" xfId="5794"/>
    <cellStyle name="_Table 6 3 2 2" xfId="21592"/>
    <cellStyle name="_Table 6 3 2 3" xfId="19352"/>
    <cellStyle name="_Table 6 3 3" xfId="21591"/>
    <cellStyle name="_Table 6 3 4" xfId="19353"/>
    <cellStyle name="_Table 6 4" xfId="20644"/>
    <cellStyle name="_Table 6 5" xfId="19820"/>
    <cellStyle name="_Table 7" xfId="5795"/>
    <cellStyle name="_Table 7 2" xfId="5796"/>
    <cellStyle name="_Table 7 2 2" xfId="21594"/>
    <cellStyle name="_Table 7 2 3" xfId="19350"/>
    <cellStyle name="_Table 7 3" xfId="5797"/>
    <cellStyle name="_Table 7 3 2" xfId="21595"/>
    <cellStyle name="_Table 7 3 3" xfId="19349"/>
    <cellStyle name="_Table 7 4" xfId="21593"/>
    <cellStyle name="_Table 7 5" xfId="19351"/>
    <cellStyle name="_Table 8" xfId="5798"/>
    <cellStyle name="_Table 8 2" xfId="5799"/>
    <cellStyle name="_Table 8 2 2" xfId="21597"/>
    <cellStyle name="_Table 8 2 3" xfId="19347"/>
    <cellStyle name="_Table 8 3" xfId="21596"/>
    <cellStyle name="_Table 8 4" xfId="19348"/>
    <cellStyle name="_Table 9" xfId="18483"/>
    <cellStyle name="_Table_Book2" xfId="797"/>
    <cellStyle name="_Table_Book2 10" xfId="30699"/>
    <cellStyle name="_Table_Book2 2" xfId="798"/>
    <cellStyle name="_Table_Book2 2 2" xfId="4733"/>
    <cellStyle name="_Table_Book2 2 2 2" xfId="4734"/>
    <cellStyle name="_Table_Book2 2 2 2 2" xfId="5800"/>
    <cellStyle name="_Table_Book2 2 2 2 2 2" xfId="5801"/>
    <cellStyle name="_Table_Book2 2 2 2 2 2 2" xfId="21599"/>
    <cellStyle name="_Table_Book2 2 2 2 2 2 3" xfId="19345"/>
    <cellStyle name="_Table_Book2 2 2 2 2 3" xfId="21598"/>
    <cellStyle name="_Table_Book2 2 2 2 2 4" xfId="19346"/>
    <cellStyle name="_Table_Book2 2 2 2 3" xfId="5802"/>
    <cellStyle name="_Table_Book2 2 2 2 3 2" xfId="5803"/>
    <cellStyle name="_Table_Book2 2 2 2 3 2 2" xfId="21601"/>
    <cellStyle name="_Table_Book2 2 2 2 3 2 3" xfId="19343"/>
    <cellStyle name="_Table_Book2 2 2 2 3 3" xfId="5804"/>
    <cellStyle name="_Table_Book2 2 2 2 3 3 2" xfId="21602"/>
    <cellStyle name="_Table_Book2 2 2 2 3 3 3" xfId="19342"/>
    <cellStyle name="_Table_Book2 2 2 2 3 4" xfId="21600"/>
    <cellStyle name="_Table_Book2 2 2 2 3 5" xfId="19344"/>
    <cellStyle name="_Table_Book2 2 2 2 4" xfId="20646"/>
    <cellStyle name="_Table_Book2 2 2 2 5" xfId="26810"/>
    <cellStyle name="_Table_Book2 2 2 3" xfId="4735"/>
    <cellStyle name="_Table_Book2 2 2 3 2" xfId="5805"/>
    <cellStyle name="_Table_Book2 2 2 3 2 2" xfId="5806"/>
    <cellStyle name="_Table_Book2 2 2 3 2 2 2" xfId="21604"/>
    <cellStyle name="_Table_Book2 2 2 3 2 2 3" xfId="19340"/>
    <cellStyle name="_Table_Book2 2 2 3 2 3" xfId="21603"/>
    <cellStyle name="_Table_Book2 2 2 3 2 4" xfId="19341"/>
    <cellStyle name="_Table_Book2 2 2 3 3" xfId="5807"/>
    <cellStyle name="_Table_Book2 2 2 3 3 2" xfId="5808"/>
    <cellStyle name="_Table_Book2 2 2 3 3 2 2" xfId="21606"/>
    <cellStyle name="_Table_Book2 2 2 3 3 2 3" xfId="19338"/>
    <cellStyle name="_Table_Book2 2 2 3 3 3" xfId="5809"/>
    <cellStyle name="_Table_Book2 2 2 3 3 3 2" xfId="21607"/>
    <cellStyle name="_Table_Book2 2 2 3 3 3 3" xfId="19337"/>
    <cellStyle name="_Table_Book2 2 2 3 3 4" xfId="21605"/>
    <cellStyle name="_Table_Book2 2 2 3 3 5" xfId="19339"/>
    <cellStyle name="_Table_Book2 2 2 3 4" xfId="20647"/>
    <cellStyle name="_Table_Book2 2 2 3 5" xfId="26809"/>
    <cellStyle name="_Table_Book2 2 2 4" xfId="4736"/>
    <cellStyle name="_Table_Book2 2 2 4 2" xfId="5810"/>
    <cellStyle name="_Table_Book2 2 2 4 2 2" xfId="5811"/>
    <cellStyle name="_Table_Book2 2 2 4 2 2 2" xfId="21609"/>
    <cellStyle name="_Table_Book2 2 2 4 2 2 3" xfId="19335"/>
    <cellStyle name="_Table_Book2 2 2 4 2 3" xfId="5812"/>
    <cellStyle name="_Table_Book2 2 2 4 2 3 2" xfId="21610"/>
    <cellStyle name="_Table_Book2 2 2 4 2 3 3" xfId="19331"/>
    <cellStyle name="_Table_Book2 2 2 4 2 4" xfId="21608"/>
    <cellStyle name="_Table_Book2 2 2 4 2 5" xfId="19336"/>
    <cellStyle name="_Table_Book2 2 2 4 3" xfId="5813"/>
    <cellStyle name="_Table_Book2 2 2 4 3 2" xfId="5814"/>
    <cellStyle name="_Table_Book2 2 2 4 3 2 2" xfId="21612"/>
    <cellStyle name="_Table_Book2 2 2 4 3 2 3" xfId="19329"/>
    <cellStyle name="_Table_Book2 2 2 4 3 3" xfId="21611"/>
    <cellStyle name="_Table_Book2 2 2 4 3 4" xfId="19330"/>
    <cellStyle name="_Table_Book2 2 2 4 4" xfId="20648"/>
    <cellStyle name="_Table_Book2 2 2 4 5" xfId="26808"/>
    <cellStyle name="_Table_Book2 2 2 5" xfId="5815"/>
    <cellStyle name="_Table_Book2 2 2 5 2" xfId="5816"/>
    <cellStyle name="_Table_Book2 2 2 5 2 2" xfId="21614"/>
    <cellStyle name="_Table_Book2 2 2 5 2 3" xfId="19327"/>
    <cellStyle name="_Table_Book2 2 2 5 3" xfId="5817"/>
    <cellStyle name="_Table_Book2 2 2 5 3 2" xfId="21615"/>
    <cellStyle name="_Table_Book2 2 2 5 3 3" xfId="19326"/>
    <cellStyle name="_Table_Book2 2 2 5 4" xfId="21613"/>
    <cellStyle name="_Table_Book2 2 2 5 5" xfId="19328"/>
    <cellStyle name="_Table_Book2 2 2 6" xfId="5818"/>
    <cellStyle name="_Table_Book2 2 2 6 2" xfId="5819"/>
    <cellStyle name="_Table_Book2 2 2 6 2 2" xfId="21617"/>
    <cellStyle name="_Table_Book2 2 2 6 2 3" xfId="19321"/>
    <cellStyle name="_Table_Book2 2 2 6 3" xfId="21616"/>
    <cellStyle name="_Table_Book2 2 2 6 4" xfId="19325"/>
    <cellStyle name="_Table_Book2 2 2 7" xfId="20645"/>
    <cellStyle name="_Table_Book2 2 2 8" xfId="26811"/>
    <cellStyle name="_Table_Book2 2 3" xfId="4737"/>
    <cellStyle name="_Table_Book2 2 3 2" xfId="5820"/>
    <cellStyle name="_Table_Book2 2 3 2 2" xfId="5821"/>
    <cellStyle name="_Table_Book2 2 3 2 2 2" xfId="21619"/>
    <cellStyle name="_Table_Book2 2 3 2 2 3" xfId="19319"/>
    <cellStyle name="_Table_Book2 2 3 2 3" xfId="21618"/>
    <cellStyle name="_Table_Book2 2 3 2 4" xfId="19320"/>
    <cellStyle name="_Table_Book2 2 3 3" xfId="5822"/>
    <cellStyle name="_Table_Book2 2 3 3 2" xfId="5823"/>
    <cellStyle name="_Table_Book2 2 3 3 2 2" xfId="21621"/>
    <cellStyle name="_Table_Book2 2 3 3 2 3" xfId="19317"/>
    <cellStyle name="_Table_Book2 2 3 3 3" xfId="5824"/>
    <cellStyle name="_Table_Book2 2 3 3 3 2" xfId="21622"/>
    <cellStyle name="_Table_Book2 2 3 3 3 3" xfId="19316"/>
    <cellStyle name="_Table_Book2 2 3 3 4" xfId="21620"/>
    <cellStyle name="_Table_Book2 2 3 3 5" xfId="19318"/>
    <cellStyle name="_Table_Book2 2 3 4" xfId="20649"/>
    <cellStyle name="_Table_Book2 2 3 5" xfId="26807"/>
    <cellStyle name="_Table_Book2 2 4" xfId="4738"/>
    <cellStyle name="_Table_Book2 2 4 2" xfId="5825"/>
    <cellStyle name="_Table_Book2 2 4 2 2" xfId="5826"/>
    <cellStyle name="_Table_Book2 2 4 2 2 2" xfId="21624"/>
    <cellStyle name="_Table_Book2 2 4 2 2 3" xfId="19314"/>
    <cellStyle name="_Table_Book2 2 4 2 3" xfId="5827"/>
    <cellStyle name="_Table_Book2 2 4 2 3 2" xfId="21625"/>
    <cellStyle name="_Table_Book2 2 4 2 3 3" xfId="19313"/>
    <cellStyle name="_Table_Book2 2 4 2 4" xfId="21623"/>
    <cellStyle name="_Table_Book2 2 4 2 5" xfId="19315"/>
    <cellStyle name="_Table_Book2 2 4 3" xfId="5828"/>
    <cellStyle name="_Table_Book2 2 4 3 2" xfId="5829"/>
    <cellStyle name="_Table_Book2 2 4 3 2 2" xfId="21627"/>
    <cellStyle name="_Table_Book2 2 4 3 2 3" xfId="17932"/>
    <cellStyle name="_Table_Book2 2 4 3 3" xfId="21626"/>
    <cellStyle name="_Table_Book2 2 4 3 4" xfId="19312"/>
    <cellStyle name="_Table_Book2 2 4 4" xfId="20650"/>
    <cellStyle name="_Table_Book2 2 4 5" xfId="26806"/>
    <cellStyle name="_Table_Book2 2 5" xfId="5830"/>
    <cellStyle name="_Table_Book2 2 5 2" xfId="5831"/>
    <cellStyle name="_Table_Book2 2 5 2 2" xfId="21629"/>
    <cellStyle name="_Table_Book2 2 5 2 3" xfId="19310"/>
    <cellStyle name="_Table_Book2 2 5 3" xfId="5832"/>
    <cellStyle name="_Table_Book2 2 5 3 2" xfId="21630"/>
    <cellStyle name="_Table_Book2 2 5 3 3" xfId="19309"/>
    <cellStyle name="_Table_Book2 2 5 4" xfId="21628"/>
    <cellStyle name="_Table_Book2 2 5 5" xfId="19311"/>
    <cellStyle name="_Table_Book2 2 6" xfId="5833"/>
    <cellStyle name="_Table_Book2 2 6 2" xfId="5834"/>
    <cellStyle name="_Table_Book2 2 6 2 2" xfId="21632"/>
    <cellStyle name="_Table_Book2 2 6 2 3" xfId="19307"/>
    <cellStyle name="_Table_Book2 2 6 3" xfId="21631"/>
    <cellStyle name="_Table_Book2 2 6 4" xfId="19308"/>
    <cellStyle name="_Table_Book2 2 7" xfId="18487"/>
    <cellStyle name="_Table_Book2 2 8" xfId="30698"/>
    <cellStyle name="_Table_Book2 3" xfId="799"/>
    <cellStyle name="_Table_Book2 3 2" xfId="4739"/>
    <cellStyle name="_Table_Book2 3 2 2" xfId="4740"/>
    <cellStyle name="_Table_Book2 3 2 2 2" xfId="5835"/>
    <cellStyle name="_Table_Book2 3 2 2 2 2" xfId="5836"/>
    <cellStyle name="_Table_Book2 3 2 2 2 2 2" xfId="21634"/>
    <cellStyle name="_Table_Book2 3 2 2 2 2 3" xfId="19305"/>
    <cellStyle name="_Table_Book2 3 2 2 2 3" xfId="21633"/>
    <cellStyle name="_Table_Book2 3 2 2 2 4" xfId="19306"/>
    <cellStyle name="_Table_Book2 3 2 2 3" xfId="5837"/>
    <cellStyle name="_Table_Book2 3 2 2 3 2" xfId="5838"/>
    <cellStyle name="_Table_Book2 3 2 2 3 2 2" xfId="21636"/>
    <cellStyle name="_Table_Book2 3 2 2 3 2 3" xfId="17933"/>
    <cellStyle name="_Table_Book2 3 2 2 3 3" xfId="5839"/>
    <cellStyle name="_Table_Book2 3 2 2 3 3 2" xfId="21637"/>
    <cellStyle name="_Table_Book2 3 2 2 3 3 3" xfId="19303"/>
    <cellStyle name="_Table_Book2 3 2 2 3 4" xfId="21635"/>
    <cellStyle name="_Table_Book2 3 2 2 3 5" xfId="19304"/>
    <cellStyle name="_Table_Book2 3 2 2 4" xfId="20652"/>
    <cellStyle name="_Table_Book2 3 2 2 5" xfId="26804"/>
    <cellStyle name="_Table_Book2 3 2 3" xfId="4741"/>
    <cellStyle name="_Table_Book2 3 2 3 2" xfId="5840"/>
    <cellStyle name="_Table_Book2 3 2 3 2 2" xfId="5841"/>
    <cellStyle name="_Table_Book2 3 2 3 2 2 2" xfId="21639"/>
    <cellStyle name="_Table_Book2 3 2 3 2 2 3" xfId="19301"/>
    <cellStyle name="_Table_Book2 3 2 3 2 3" xfId="21638"/>
    <cellStyle name="_Table_Book2 3 2 3 2 4" xfId="19302"/>
    <cellStyle name="_Table_Book2 3 2 3 3" xfId="5842"/>
    <cellStyle name="_Table_Book2 3 2 3 3 2" xfId="5843"/>
    <cellStyle name="_Table_Book2 3 2 3 3 2 2" xfId="21641"/>
    <cellStyle name="_Table_Book2 3 2 3 3 2 3" xfId="19299"/>
    <cellStyle name="_Table_Book2 3 2 3 3 3" xfId="5844"/>
    <cellStyle name="_Table_Book2 3 2 3 3 3 2" xfId="21642"/>
    <cellStyle name="_Table_Book2 3 2 3 3 3 3" xfId="19298"/>
    <cellStyle name="_Table_Book2 3 2 3 3 4" xfId="21640"/>
    <cellStyle name="_Table_Book2 3 2 3 3 5" xfId="19300"/>
    <cellStyle name="_Table_Book2 3 2 3 4" xfId="20653"/>
    <cellStyle name="_Table_Book2 3 2 3 5" xfId="26803"/>
    <cellStyle name="_Table_Book2 3 2 4" xfId="4742"/>
    <cellStyle name="_Table_Book2 3 2 4 2" xfId="5845"/>
    <cellStyle name="_Table_Book2 3 2 4 2 2" xfId="5846"/>
    <cellStyle name="_Table_Book2 3 2 4 2 2 2" xfId="21644"/>
    <cellStyle name="_Table_Book2 3 2 4 2 2 3" xfId="19296"/>
    <cellStyle name="_Table_Book2 3 2 4 2 3" xfId="5847"/>
    <cellStyle name="_Table_Book2 3 2 4 2 3 2" xfId="21645"/>
    <cellStyle name="_Table_Book2 3 2 4 2 3 3" xfId="25600"/>
    <cellStyle name="_Table_Book2 3 2 4 2 4" xfId="21643"/>
    <cellStyle name="_Table_Book2 3 2 4 2 5" xfId="19297"/>
    <cellStyle name="_Table_Book2 3 2 4 3" xfId="5848"/>
    <cellStyle name="_Table_Book2 3 2 4 3 2" xfId="5849"/>
    <cellStyle name="_Table_Book2 3 2 4 3 2 2" xfId="21647"/>
    <cellStyle name="_Table_Book2 3 2 4 3 2 3" xfId="25598"/>
    <cellStyle name="_Table_Book2 3 2 4 3 3" xfId="21646"/>
    <cellStyle name="_Table_Book2 3 2 4 3 4" xfId="25599"/>
    <cellStyle name="_Table_Book2 3 2 4 4" xfId="20654"/>
    <cellStyle name="_Table_Book2 3 2 4 5" xfId="26802"/>
    <cellStyle name="_Table_Book2 3 2 5" xfId="5850"/>
    <cellStyle name="_Table_Book2 3 2 5 2" xfId="5851"/>
    <cellStyle name="_Table_Book2 3 2 5 2 2" xfId="21649"/>
    <cellStyle name="_Table_Book2 3 2 5 2 3" xfId="25596"/>
    <cellStyle name="_Table_Book2 3 2 5 3" xfId="5852"/>
    <cellStyle name="_Table_Book2 3 2 5 3 2" xfId="21650"/>
    <cellStyle name="_Table_Book2 3 2 5 3 3" xfId="25595"/>
    <cellStyle name="_Table_Book2 3 2 5 4" xfId="21648"/>
    <cellStyle name="_Table_Book2 3 2 5 5" xfId="25597"/>
    <cellStyle name="_Table_Book2 3 2 6" xfId="5853"/>
    <cellStyle name="_Table_Book2 3 2 6 2" xfId="5854"/>
    <cellStyle name="_Table_Book2 3 2 6 2 2" xfId="21652"/>
    <cellStyle name="_Table_Book2 3 2 6 2 3" xfId="25593"/>
    <cellStyle name="_Table_Book2 3 2 6 3" xfId="21651"/>
    <cellStyle name="_Table_Book2 3 2 6 4" xfId="25594"/>
    <cellStyle name="_Table_Book2 3 2 7" xfId="20651"/>
    <cellStyle name="_Table_Book2 3 2 8" xfId="26805"/>
    <cellStyle name="_Table_Book2 3 3" xfId="4743"/>
    <cellStyle name="_Table_Book2 3 3 2" xfId="5855"/>
    <cellStyle name="_Table_Book2 3 3 2 2" xfId="5856"/>
    <cellStyle name="_Table_Book2 3 3 2 2 2" xfId="21654"/>
    <cellStyle name="_Table_Book2 3 3 2 2 3" xfId="25591"/>
    <cellStyle name="_Table_Book2 3 3 2 3" xfId="21653"/>
    <cellStyle name="_Table_Book2 3 3 2 4" xfId="25592"/>
    <cellStyle name="_Table_Book2 3 3 3" xfId="5857"/>
    <cellStyle name="_Table_Book2 3 3 3 2" xfId="5858"/>
    <cellStyle name="_Table_Book2 3 3 3 2 2" xfId="21656"/>
    <cellStyle name="_Table_Book2 3 3 3 2 3" xfId="25589"/>
    <cellStyle name="_Table_Book2 3 3 3 3" xfId="5859"/>
    <cellStyle name="_Table_Book2 3 3 3 3 2" xfId="21657"/>
    <cellStyle name="_Table_Book2 3 3 3 3 3" xfId="25588"/>
    <cellStyle name="_Table_Book2 3 3 3 4" xfId="21655"/>
    <cellStyle name="_Table_Book2 3 3 3 5" xfId="25590"/>
    <cellStyle name="_Table_Book2 3 3 4" xfId="20655"/>
    <cellStyle name="_Table_Book2 3 3 5" xfId="26801"/>
    <cellStyle name="_Table_Book2 3 4" xfId="4744"/>
    <cellStyle name="_Table_Book2 3 4 2" xfId="5860"/>
    <cellStyle name="_Table_Book2 3 4 2 2" xfId="5861"/>
    <cellStyle name="_Table_Book2 3 4 2 2 2" xfId="21659"/>
    <cellStyle name="_Table_Book2 3 4 2 2 3" xfId="25586"/>
    <cellStyle name="_Table_Book2 3 4 2 3" xfId="5862"/>
    <cellStyle name="_Table_Book2 3 4 2 3 2" xfId="21660"/>
    <cellStyle name="_Table_Book2 3 4 2 3 3" xfId="25585"/>
    <cellStyle name="_Table_Book2 3 4 2 4" xfId="21658"/>
    <cellStyle name="_Table_Book2 3 4 2 5" xfId="25587"/>
    <cellStyle name="_Table_Book2 3 4 3" xfId="5863"/>
    <cellStyle name="_Table_Book2 3 4 3 2" xfId="5864"/>
    <cellStyle name="_Table_Book2 3 4 3 2 2" xfId="21662"/>
    <cellStyle name="_Table_Book2 3 4 3 2 3" xfId="25583"/>
    <cellStyle name="_Table_Book2 3 4 3 3" xfId="21661"/>
    <cellStyle name="_Table_Book2 3 4 3 4" xfId="25584"/>
    <cellStyle name="_Table_Book2 3 4 4" xfId="20656"/>
    <cellStyle name="_Table_Book2 3 4 5" xfId="26800"/>
    <cellStyle name="_Table_Book2 3 5" xfId="5865"/>
    <cellStyle name="_Table_Book2 3 5 2" xfId="5866"/>
    <cellStyle name="_Table_Book2 3 5 2 2" xfId="21664"/>
    <cellStyle name="_Table_Book2 3 5 2 3" xfId="21033"/>
    <cellStyle name="_Table_Book2 3 5 3" xfId="5867"/>
    <cellStyle name="_Table_Book2 3 5 3 2" xfId="21665"/>
    <cellStyle name="_Table_Book2 3 5 3 3" xfId="25581"/>
    <cellStyle name="_Table_Book2 3 5 4" xfId="21663"/>
    <cellStyle name="_Table_Book2 3 5 5" xfId="25582"/>
    <cellStyle name="_Table_Book2 3 6" xfId="5868"/>
    <cellStyle name="_Table_Book2 3 6 2" xfId="5869"/>
    <cellStyle name="_Table_Book2 3 6 2 2" xfId="21667"/>
    <cellStyle name="_Table_Book2 3 6 2 3" xfId="25579"/>
    <cellStyle name="_Table_Book2 3 6 3" xfId="21666"/>
    <cellStyle name="_Table_Book2 3 6 4" xfId="25580"/>
    <cellStyle name="_Table_Book2 3 7" xfId="18488"/>
    <cellStyle name="_Table_Book2 3 8" xfId="30697"/>
    <cellStyle name="_Table_Book2 4" xfId="4745"/>
    <cellStyle name="_Table_Book2 4 2" xfId="4746"/>
    <cellStyle name="_Table_Book2 4 2 2" xfId="5870"/>
    <cellStyle name="_Table_Book2 4 2 2 2" xfId="5871"/>
    <cellStyle name="_Table_Book2 4 2 2 2 2" xfId="21669"/>
    <cellStyle name="_Table_Book2 4 2 2 2 3" xfId="25577"/>
    <cellStyle name="_Table_Book2 4 2 2 3" xfId="21668"/>
    <cellStyle name="_Table_Book2 4 2 2 4" xfId="25578"/>
    <cellStyle name="_Table_Book2 4 2 3" xfId="5872"/>
    <cellStyle name="_Table_Book2 4 2 3 2" xfId="5873"/>
    <cellStyle name="_Table_Book2 4 2 3 2 2" xfId="21671"/>
    <cellStyle name="_Table_Book2 4 2 3 2 3" xfId="25575"/>
    <cellStyle name="_Table_Book2 4 2 3 3" xfId="5874"/>
    <cellStyle name="_Table_Book2 4 2 3 3 2" xfId="21672"/>
    <cellStyle name="_Table_Book2 4 2 3 3 3" xfId="25574"/>
    <cellStyle name="_Table_Book2 4 2 3 4" xfId="21670"/>
    <cellStyle name="_Table_Book2 4 2 3 5" xfId="25576"/>
    <cellStyle name="_Table_Book2 4 2 4" xfId="20658"/>
    <cellStyle name="_Table_Book2 4 2 5" xfId="26798"/>
    <cellStyle name="_Table_Book2 4 3" xfId="4747"/>
    <cellStyle name="_Table_Book2 4 3 2" xfId="5875"/>
    <cellStyle name="_Table_Book2 4 3 2 2" xfId="5876"/>
    <cellStyle name="_Table_Book2 4 3 2 2 2" xfId="21674"/>
    <cellStyle name="_Table_Book2 4 3 2 2 3" xfId="25572"/>
    <cellStyle name="_Table_Book2 4 3 2 3" xfId="21673"/>
    <cellStyle name="_Table_Book2 4 3 2 4" xfId="25573"/>
    <cellStyle name="_Table_Book2 4 3 3" xfId="5877"/>
    <cellStyle name="_Table_Book2 4 3 3 2" xfId="5878"/>
    <cellStyle name="_Table_Book2 4 3 3 2 2" xfId="21676"/>
    <cellStyle name="_Table_Book2 4 3 3 2 3" xfId="25570"/>
    <cellStyle name="_Table_Book2 4 3 3 3" xfId="5879"/>
    <cellStyle name="_Table_Book2 4 3 3 3 2" xfId="21677"/>
    <cellStyle name="_Table_Book2 4 3 3 3 3" xfId="25569"/>
    <cellStyle name="_Table_Book2 4 3 3 4" xfId="21675"/>
    <cellStyle name="_Table_Book2 4 3 3 5" xfId="25571"/>
    <cellStyle name="_Table_Book2 4 3 4" xfId="20659"/>
    <cellStyle name="_Table_Book2 4 3 5" xfId="26797"/>
    <cellStyle name="_Table_Book2 4 4" xfId="4748"/>
    <cellStyle name="_Table_Book2 4 4 2" xfId="5880"/>
    <cellStyle name="_Table_Book2 4 4 2 2" xfId="5881"/>
    <cellStyle name="_Table_Book2 4 4 2 2 2" xfId="21679"/>
    <cellStyle name="_Table_Book2 4 4 2 2 3" xfId="20339"/>
    <cellStyle name="_Table_Book2 4 4 2 3" xfId="5882"/>
    <cellStyle name="_Table_Book2 4 4 2 3 2" xfId="21680"/>
    <cellStyle name="_Table_Book2 4 4 2 3 3" xfId="25567"/>
    <cellStyle name="_Table_Book2 4 4 2 4" xfId="21678"/>
    <cellStyle name="_Table_Book2 4 4 2 5" xfId="25568"/>
    <cellStyle name="_Table_Book2 4 4 3" xfId="5883"/>
    <cellStyle name="_Table_Book2 4 4 3 2" xfId="5884"/>
    <cellStyle name="_Table_Book2 4 4 3 2 2" xfId="21682"/>
    <cellStyle name="_Table_Book2 4 4 3 2 3" xfId="25565"/>
    <cellStyle name="_Table_Book2 4 4 3 3" xfId="21681"/>
    <cellStyle name="_Table_Book2 4 4 3 4" xfId="25566"/>
    <cellStyle name="_Table_Book2 4 4 4" xfId="20660"/>
    <cellStyle name="_Table_Book2 4 4 5" xfId="26796"/>
    <cellStyle name="_Table_Book2 4 5" xfId="5885"/>
    <cellStyle name="_Table_Book2 4 5 2" xfId="5886"/>
    <cellStyle name="_Table_Book2 4 5 2 2" xfId="21684"/>
    <cellStyle name="_Table_Book2 4 5 2 3" xfId="25563"/>
    <cellStyle name="_Table_Book2 4 5 3" xfId="5887"/>
    <cellStyle name="_Table_Book2 4 5 3 2" xfId="21685"/>
    <cellStyle name="_Table_Book2 4 5 3 3" xfId="25562"/>
    <cellStyle name="_Table_Book2 4 5 4" xfId="21683"/>
    <cellStyle name="_Table_Book2 4 5 5" xfId="25564"/>
    <cellStyle name="_Table_Book2 4 6" xfId="5888"/>
    <cellStyle name="_Table_Book2 4 6 2" xfId="5889"/>
    <cellStyle name="_Table_Book2 4 6 2 2" xfId="21687"/>
    <cellStyle name="_Table_Book2 4 6 2 3" xfId="25560"/>
    <cellStyle name="_Table_Book2 4 6 3" xfId="21686"/>
    <cellStyle name="_Table_Book2 4 6 4" xfId="25561"/>
    <cellStyle name="_Table_Book2 4 7" xfId="20657"/>
    <cellStyle name="_Table_Book2 4 8" xfId="26799"/>
    <cellStyle name="_Table_Book2 5" xfId="4749"/>
    <cellStyle name="_Table_Book2 5 2" xfId="5890"/>
    <cellStyle name="_Table_Book2 5 2 2" xfId="5891"/>
    <cellStyle name="_Table_Book2 5 2 2 2" xfId="21689"/>
    <cellStyle name="_Table_Book2 5 2 2 3" xfId="25558"/>
    <cellStyle name="_Table_Book2 5 2 3" xfId="21688"/>
    <cellStyle name="_Table_Book2 5 2 4" xfId="25559"/>
    <cellStyle name="_Table_Book2 5 3" xfId="5892"/>
    <cellStyle name="_Table_Book2 5 3 2" xfId="5893"/>
    <cellStyle name="_Table_Book2 5 3 2 2" xfId="21691"/>
    <cellStyle name="_Table_Book2 5 3 2 3" xfId="25556"/>
    <cellStyle name="_Table_Book2 5 3 3" xfId="5894"/>
    <cellStyle name="_Table_Book2 5 3 3 2" xfId="21692"/>
    <cellStyle name="_Table_Book2 5 3 3 3" xfId="25555"/>
    <cellStyle name="_Table_Book2 5 3 4" xfId="21690"/>
    <cellStyle name="_Table_Book2 5 3 5" xfId="25557"/>
    <cellStyle name="_Table_Book2 5 4" xfId="20661"/>
    <cellStyle name="_Table_Book2 5 5" xfId="26795"/>
    <cellStyle name="_Table_Book2 6" xfId="4750"/>
    <cellStyle name="_Table_Book2 6 2" xfId="5895"/>
    <cellStyle name="_Table_Book2 6 2 2" xfId="5896"/>
    <cellStyle name="_Table_Book2 6 2 2 2" xfId="21694"/>
    <cellStyle name="_Table_Book2 6 2 2 3" xfId="20352"/>
    <cellStyle name="_Table_Book2 6 2 3" xfId="5897"/>
    <cellStyle name="_Table_Book2 6 2 3 2" xfId="21695"/>
    <cellStyle name="_Table_Book2 6 2 3 3" xfId="25553"/>
    <cellStyle name="_Table_Book2 6 2 4" xfId="21693"/>
    <cellStyle name="_Table_Book2 6 2 5" xfId="25554"/>
    <cellStyle name="_Table_Book2 6 3" xfId="5898"/>
    <cellStyle name="_Table_Book2 6 3 2" xfId="5899"/>
    <cellStyle name="_Table_Book2 6 3 2 2" xfId="21697"/>
    <cellStyle name="_Table_Book2 6 3 2 3" xfId="25551"/>
    <cellStyle name="_Table_Book2 6 3 3" xfId="21696"/>
    <cellStyle name="_Table_Book2 6 3 4" xfId="25552"/>
    <cellStyle name="_Table_Book2 6 4" xfId="20662"/>
    <cellStyle name="_Table_Book2 6 5" xfId="26794"/>
    <cellStyle name="_Table_Book2 7" xfId="5900"/>
    <cellStyle name="_Table_Book2 7 2" xfId="5901"/>
    <cellStyle name="_Table_Book2 7 2 2" xfId="21699"/>
    <cellStyle name="_Table_Book2 7 2 3" xfId="25549"/>
    <cellStyle name="_Table_Book2 7 3" xfId="5902"/>
    <cellStyle name="_Table_Book2 7 3 2" xfId="21700"/>
    <cellStyle name="_Table_Book2 7 3 3" xfId="25548"/>
    <cellStyle name="_Table_Book2 7 4" xfId="21698"/>
    <cellStyle name="_Table_Book2 7 5" xfId="25550"/>
    <cellStyle name="_Table_Book2 8" xfId="5903"/>
    <cellStyle name="_Table_Book2 8 2" xfId="5904"/>
    <cellStyle name="_Table_Book2 8 2 2" xfId="21702"/>
    <cellStyle name="_Table_Book2 8 2 3" xfId="25546"/>
    <cellStyle name="_Table_Book2 8 3" xfId="21701"/>
    <cellStyle name="_Table_Book2 8 4" xfId="25547"/>
    <cellStyle name="_Table_Book2 9" xfId="18486"/>
    <cellStyle name="_Table_Cidades" xfId="800"/>
    <cellStyle name="_Table_Cidades 10" xfId="30696"/>
    <cellStyle name="_Table_Cidades 2" xfId="801"/>
    <cellStyle name="_Table_Cidades 2 2" xfId="4751"/>
    <cellStyle name="_Table_Cidades 2 2 2" xfId="4752"/>
    <cellStyle name="_Table_Cidades 2 2 2 2" xfId="5905"/>
    <cellStyle name="_Table_Cidades 2 2 2 2 2" xfId="5906"/>
    <cellStyle name="_Table_Cidades 2 2 2 2 2 2" xfId="21704"/>
    <cellStyle name="_Table_Cidades 2 2 2 2 2 3" xfId="25544"/>
    <cellStyle name="_Table_Cidades 2 2 2 2 3" xfId="21703"/>
    <cellStyle name="_Table_Cidades 2 2 2 2 4" xfId="25545"/>
    <cellStyle name="_Table_Cidades 2 2 2 3" xfId="5907"/>
    <cellStyle name="_Table_Cidades 2 2 2 3 2" xfId="5908"/>
    <cellStyle name="_Table_Cidades 2 2 2 3 2 2" xfId="21706"/>
    <cellStyle name="_Table_Cidades 2 2 2 3 2 3" xfId="25542"/>
    <cellStyle name="_Table_Cidades 2 2 2 3 3" xfId="5909"/>
    <cellStyle name="_Table_Cidades 2 2 2 3 3 2" xfId="21707"/>
    <cellStyle name="_Table_Cidades 2 2 2 3 3 3" xfId="25541"/>
    <cellStyle name="_Table_Cidades 2 2 2 3 4" xfId="21705"/>
    <cellStyle name="_Table_Cidades 2 2 2 3 5" xfId="25543"/>
    <cellStyle name="_Table_Cidades 2 2 2 4" xfId="20664"/>
    <cellStyle name="_Table_Cidades 2 2 2 5" xfId="21102"/>
    <cellStyle name="_Table_Cidades 2 2 3" xfId="4753"/>
    <cellStyle name="_Table_Cidades 2 2 3 2" xfId="5910"/>
    <cellStyle name="_Table_Cidades 2 2 3 2 2" xfId="5911"/>
    <cellStyle name="_Table_Cidades 2 2 3 2 2 2" xfId="21709"/>
    <cellStyle name="_Table_Cidades 2 2 3 2 2 3" xfId="25539"/>
    <cellStyle name="_Table_Cidades 2 2 3 2 3" xfId="21708"/>
    <cellStyle name="_Table_Cidades 2 2 3 2 4" xfId="25540"/>
    <cellStyle name="_Table_Cidades 2 2 3 3" xfId="5912"/>
    <cellStyle name="_Table_Cidades 2 2 3 3 2" xfId="5913"/>
    <cellStyle name="_Table_Cidades 2 2 3 3 2 2" xfId="21711"/>
    <cellStyle name="_Table_Cidades 2 2 3 3 2 3" xfId="25537"/>
    <cellStyle name="_Table_Cidades 2 2 3 3 3" xfId="5914"/>
    <cellStyle name="_Table_Cidades 2 2 3 3 3 2" xfId="21712"/>
    <cellStyle name="_Table_Cidades 2 2 3 3 3 3" xfId="25536"/>
    <cellStyle name="_Table_Cidades 2 2 3 3 4" xfId="21710"/>
    <cellStyle name="_Table_Cidades 2 2 3 3 5" xfId="25538"/>
    <cellStyle name="_Table_Cidades 2 2 3 4" xfId="20665"/>
    <cellStyle name="_Table_Cidades 2 2 3 5" xfId="26792"/>
    <cellStyle name="_Table_Cidades 2 2 4" xfId="4754"/>
    <cellStyle name="_Table_Cidades 2 2 4 2" xfId="5915"/>
    <cellStyle name="_Table_Cidades 2 2 4 2 2" xfId="5916"/>
    <cellStyle name="_Table_Cidades 2 2 4 2 2 2" xfId="21714"/>
    <cellStyle name="_Table_Cidades 2 2 4 2 2 3" xfId="21032"/>
    <cellStyle name="_Table_Cidades 2 2 4 2 3" xfId="5917"/>
    <cellStyle name="_Table_Cidades 2 2 4 2 3 2" xfId="21715"/>
    <cellStyle name="_Table_Cidades 2 2 4 2 3 3" xfId="25534"/>
    <cellStyle name="_Table_Cidades 2 2 4 2 4" xfId="21713"/>
    <cellStyle name="_Table_Cidades 2 2 4 2 5" xfId="25535"/>
    <cellStyle name="_Table_Cidades 2 2 4 3" xfId="5918"/>
    <cellStyle name="_Table_Cidades 2 2 4 3 2" xfId="5919"/>
    <cellStyle name="_Table_Cidades 2 2 4 3 2 2" xfId="21717"/>
    <cellStyle name="_Table_Cidades 2 2 4 3 2 3" xfId="25532"/>
    <cellStyle name="_Table_Cidades 2 2 4 3 3" xfId="21716"/>
    <cellStyle name="_Table_Cidades 2 2 4 3 4" xfId="25533"/>
    <cellStyle name="_Table_Cidades 2 2 4 4" xfId="20666"/>
    <cellStyle name="_Table_Cidades 2 2 4 5" xfId="26791"/>
    <cellStyle name="_Table_Cidades 2 2 5" xfId="5920"/>
    <cellStyle name="_Table_Cidades 2 2 5 2" xfId="5921"/>
    <cellStyle name="_Table_Cidades 2 2 5 2 2" xfId="21719"/>
    <cellStyle name="_Table_Cidades 2 2 5 2 3" xfId="25530"/>
    <cellStyle name="_Table_Cidades 2 2 5 3" xfId="5922"/>
    <cellStyle name="_Table_Cidades 2 2 5 3 2" xfId="21720"/>
    <cellStyle name="_Table_Cidades 2 2 5 3 3" xfId="25529"/>
    <cellStyle name="_Table_Cidades 2 2 5 4" xfId="21718"/>
    <cellStyle name="_Table_Cidades 2 2 5 5" xfId="25531"/>
    <cellStyle name="_Table_Cidades 2 2 6" xfId="5923"/>
    <cellStyle name="_Table_Cidades 2 2 6 2" xfId="5924"/>
    <cellStyle name="_Table_Cidades 2 2 6 2 2" xfId="21722"/>
    <cellStyle name="_Table_Cidades 2 2 6 2 3" xfId="25527"/>
    <cellStyle name="_Table_Cidades 2 2 6 3" xfId="21721"/>
    <cellStyle name="_Table_Cidades 2 2 6 4" xfId="25528"/>
    <cellStyle name="_Table_Cidades 2 2 7" xfId="20663"/>
    <cellStyle name="_Table_Cidades 2 2 8" xfId="26793"/>
    <cellStyle name="_Table_Cidades 2 3" xfId="4755"/>
    <cellStyle name="_Table_Cidades 2 3 2" xfId="5925"/>
    <cellStyle name="_Table_Cidades 2 3 2 2" xfId="5926"/>
    <cellStyle name="_Table_Cidades 2 3 2 2 2" xfId="21724"/>
    <cellStyle name="_Table_Cidades 2 3 2 2 3" xfId="25525"/>
    <cellStyle name="_Table_Cidades 2 3 2 3" xfId="21723"/>
    <cellStyle name="_Table_Cidades 2 3 2 4" xfId="25526"/>
    <cellStyle name="_Table_Cidades 2 3 3" xfId="5927"/>
    <cellStyle name="_Table_Cidades 2 3 3 2" xfId="5928"/>
    <cellStyle name="_Table_Cidades 2 3 3 2 2" xfId="21726"/>
    <cellStyle name="_Table_Cidades 2 3 3 2 3" xfId="25523"/>
    <cellStyle name="_Table_Cidades 2 3 3 3" xfId="5929"/>
    <cellStyle name="_Table_Cidades 2 3 3 3 2" xfId="21727"/>
    <cellStyle name="_Table_Cidades 2 3 3 3 3" xfId="25522"/>
    <cellStyle name="_Table_Cidades 2 3 3 4" xfId="21725"/>
    <cellStyle name="_Table_Cidades 2 3 3 5" xfId="25524"/>
    <cellStyle name="_Table_Cidades 2 3 4" xfId="20667"/>
    <cellStyle name="_Table_Cidades 2 3 5" xfId="26790"/>
    <cellStyle name="_Table_Cidades 2 4" xfId="4756"/>
    <cellStyle name="_Table_Cidades 2 4 2" xfId="5930"/>
    <cellStyle name="_Table_Cidades 2 4 2 2" xfId="5931"/>
    <cellStyle name="_Table_Cidades 2 4 2 2 2" xfId="21729"/>
    <cellStyle name="_Table_Cidades 2 4 2 2 3" xfId="20341"/>
    <cellStyle name="_Table_Cidades 2 4 2 3" xfId="5932"/>
    <cellStyle name="_Table_Cidades 2 4 2 3 2" xfId="21730"/>
    <cellStyle name="_Table_Cidades 2 4 2 3 3" xfId="25520"/>
    <cellStyle name="_Table_Cidades 2 4 2 4" xfId="21728"/>
    <cellStyle name="_Table_Cidades 2 4 2 5" xfId="25521"/>
    <cellStyle name="_Table_Cidades 2 4 3" xfId="5933"/>
    <cellStyle name="_Table_Cidades 2 4 3 2" xfId="5934"/>
    <cellStyle name="_Table_Cidades 2 4 3 2 2" xfId="21732"/>
    <cellStyle name="_Table_Cidades 2 4 3 2 3" xfId="25518"/>
    <cellStyle name="_Table_Cidades 2 4 3 3" xfId="21731"/>
    <cellStyle name="_Table_Cidades 2 4 3 4" xfId="25519"/>
    <cellStyle name="_Table_Cidades 2 4 4" xfId="20668"/>
    <cellStyle name="_Table_Cidades 2 4 5" xfId="26789"/>
    <cellStyle name="_Table_Cidades 2 5" xfId="5935"/>
    <cellStyle name="_Table_Cidades 2 5 2" xfId="5936"/>
    <cellStyle name="_Table_Cidades 2 5 2 2" xfId="21734"/>
    <cellStyle name="_Table_Cidades 2 5 2 3" xfId="25516"/>
    <cellStyle name="_Table_Cidades 2 5 3" xfId="5937"/>
    <cellStyle name="_Table_Cidades 2 5 3 2" xfId="21735"/>
    <cellStyle name="_Table_Cidades 2 5 3 3" xfId="25515"/>
    <cellStyle name="_Table_Cidades 2 5 4" xfId="21733"/>
    <cellStyle name="_Table_Cidades 2 5 5" xfId="25517"/>
    <cellStyle name="_Table_Cidades 2 6" xfId="5938"/>
    <cellStyle name="_Table_Cidades 2 6 2" xfId="5939"/>
    <cellStyle name="_Table_Cidades 2 6 2 2" xfId="21737"/>
    <cellStyle name="_Table_Cidades 2 6 2 3" xfId="25513"/>
    <cellStyle name="_Table_Cidades 2 6 3" xfId="21736"/>
    <cellStyle name="_Table_Cidades 2 6 4" xfId="25514"/>
    <cellStyle name="_Table_Cidades 2 7" xfId="18490"/>
    <cellStyle name="_Table_Cidades 2 8" xfId="30695"/>
    <cellStyle name="_Table_Cidades 3" xfId="802"/>
    <cellStyle name="_Table_Cidades 3 2" xfId="4757"/>
    <cellStyle name="_Table_Cidades 3 2 2" xfId="4758"/>
    <cellStyle name="_Table_Cidades 3 2 2 2" xfId="5940"/>
    <cellStyle name="_Table_Cidades 3 2 2 2 2" xfId="5941"/>
    <cellStyle name="_Table_Cidades 3 2 2 2 2 2" xfId="21739"/>
    <cellStyle name="_Table_Cidades 3 2 2 2 2 3" xfId="25511"/>
    <cellStyle name="_Table_Cidades 3 2 2 2 3" xfId="21738"/>
    <cellStyle name="_Table_Cidades 3 2 2 2 4" xfId="25512"/>
    <cellStyle name="_Table_Cidades 3 2 2 3" xfId="5942"/>
    <cellStyle name="_Table_Cidades 3 2 2 3 2" xfId="5943"/>
    <cellStyle name="_Table_Cidades 3 2 2 3 2 2" xfId="21741"/>
    <cellStyle name="_Table_Cidades 3 2 2 3 2 3" xfId="25509"/>
    <cellStyle name="_Table_Cidades 3 2 2 3 3" xfId="5944"/>
    <cellStyle name="_Table_Cidades 3 2 2 3 3 2" xfId="21742"/>
    <cellStyle name="_Table_Cidades 3 2 2 3 3 3" xfId="25508"/>
    <cellStyle name="_Table_Cidades 3 2 2 3 4" xfId="21740"/>
    <cellStyle name="_Table_Cidades 3 2 2 3 5" xfId="25510"/>
    <cellStyle name="_Table_Cidades 3 2 2 4" xfId="20670"/>
    <cellStyle name="_Table_Cidades 3 2 2 5" xfId="26787"/>
    <cellStyle name="_Table_Cidades 3 2 3" xfId="4759"/>
    <cellStyle name="_Table_Cidades 3 2 3 2" xfId="5945"/>
    <cellStyle name="_Table_Cidades 3 2 3 2 2" xfId="5946"/>
    <cellStyle name="_Table_Cidades 3 2 3 2 2 2" xfId="21744"/>
    <cellStyle name="_Table_Cidades 3 2 3 2 2 3" xfId="20351"/>
    <cellStyle name="_Table_Cidades 3 2 3 2 3" xfId="21743"/>
    <cellStyle name="_Table_Cidades 3 2 3 2 4" xfId="25507"/>
    <cellStyle name="_Table_Cidades 3 2 3 3" xfId="5947"/>
    <cellStyle name="_Table_Cidades 3 2 3 3 2" xfId="5948"/>
    <cellStyle name="_Table_Cidades 3 2 3 3 2 2" xfId="21746"/>
    <cellStyle name="_Table_Cidades 3 2 3 3 2 3" xfId="25506"/>
    <cellStyle name="_Table_Cidades 3 2 3 3 3" xfId="5949"/>
    <cellStyle name="_Table_Cidades 3 2 3 3 3 2" xfId="21747"/>
    <cellStyle name="_Table_Cidades 3 2 3 3 3 3" xfId="25505"/>
    <cellStyle name="_Table_Cidades 3 2 3 3 4" xfId="21745"/>
    <cellStyle name="_Table_Cidades 3 2 3 3 5" xfId="19293"/>
    <cellStyle name="_Table_Cidades 3 2 3 4" xfId="20671"/>
    <cellStyle name="_Table_Cidades 3 2 3 5" xfId="26786"/>
    <cellStyle name="_Table_Cidades 3 2 4" xfId="4760"/>
    <cellStyle name="_Table_Cidades 3 2 4 2" xfId="5950"/>
    <cellStyle name="_Table_Cidades 3 2 4 2 2" xfId="5951"/>
    <cellStyle name="_Table_Cidades 3 2 4 2 2 2" xfId="21749"/>
    <cellStyle name="_Table_Cidades 3 2 4 2 2 3" xfId="25503"/>
    <cellStyle name="_Table_Cidades 3 2 4 2 3" xfId="5952"/>
    <cellStyle name="_Table_Cidades 3 2 4 2 3 2" xfId="21750"/>
    <cellStyle name="_Table_Cidades 3 2 4 2 3 3" xfId="25502"/>
    <cellStyle name="_Table_Cidades 3 2 4 2 4" xfId="21748"/>
    <cellStyle name="_Table_Cidades 3 2 4 2 5" xfId="25504"/>
    <cellStyle name="_Table_Cidades 3 2 4 3" xfId="5953"/>
    <cellStyle name="_Table_Cidades 3 2 4 3 2" xfId="5954"/>
    <cellStyle name="_Table_Cidades 3 2 4 3 2 2" xfId="21752"/>
    <cellStyle name="_Table_Cidades 3 2 4 3 2 3" xfId="25500"/>
    <cellStyle name="_Table_Cidades 3 2 4 3 3" xfId="21751"/>
    <cellStyle name="_Table_Cidades 3 2 4 3 4" xfId="25501"/>
    <cellStyle name="_Table_Cidades 3 2 4 4" xfId="20672"/>
    <cellStyle name="_Table_Cidades 3 2 4 5" xfId="26785"/>
    <cellStyle name="_Table_Cidades 3 2 5" xfId="5955"/>
    <cellStyle name="_Table_Cidades 3 2 5 2" xfId="5956"/>
    <cellStyle name="_Table_Cidades 3 2 5 2 2" xfId="21754"/>
    <cellStyle name="_Table_Cidades 3 2 5 2 3" xfId="25498"/>
    <cellStyle name="_Table_Cidades 3 2 5 3" xfId="5957"/>
    <cellStyle name="_Table_Cidades 3 2 5 3 2" xfId="21755"/>
    <cellStyle name="_Table_Cidades 3 2 5 3 3" xfId="25497"/>
    <cellStyle name="_Table_Cidades 3 2 5 4" xfId="21753"/>
    <cellStyle name="_Table_Cidades 3 2 5 5" xfId="25499"/>
    <cellStyle name="_Table_Cidades 3 2 6" xfId="5958"/>
    <cellStyle name="_Table_Cidades 3 2 6 2" xfId="5959"/>
    <cellStyle name="_Table_Cidades 3 2 6 2 2" xfId="21757"/>
    <cellStyle name="_Table_Cidades 3 2 6 2 3" xfId="25495"/>
    <cellStyle name="_Table_Cidades 3 2 6 3" xfId="21756"/>
    <cellStyle name="_Table_Cidades 3 2 6 4" xfId="25496"/>
    <cellStyle name="_Table_Cidades 3 2 7" xfId="20669"/>
    <cellStyle name="_Table_Cidades 3 2 8" xfId="26788"/>
    <cellStyle name="_Table_Cidades 3 3" xfId="4761"/>
    <cellStyle name="_Table_Cidades 3 3 2" xfId="5960"/>
    <cellStyle name="_Table_Cidades 3 3 2 2" xfId="5961"/>
    <cellStyle name="_Table_Cidades 3 3 2 2 2" xfId="21759"/>
    <cellStyle name="_Table_Cidades 3 3 2 2 3" xfId="25493"/>
    <cellStyle name="_Table_Cidades 3 3 2 3" xfId="21758"/>
    <cellStyle name="_Table_Cidades 3 3 2 4" xfId="25494"/>
    <cellStyle name="_Table_Cidades 3 3 3" xfId="5962"/>
    <cellStyle name="_Table_Cidades 3 3 3 2" xfId="5963"/>
    <cellStyle name="_Table_Cidades 3 3 3 2 2" xfId="21761"/>
    <cellStyle name="_Table_Cidades 3 3 3 2 3" xfId="25491"/>
    <cellStyle name="_Table_Cidades 3 3 3 3" xfId="5964"/>
    <cellStyle name="_Table_Cidades 3 3 3 3 2" xfId="21762"/>
    <cellStyle name="_Table_Cidades 3 3 3 3 3" xfId="25490"/>
    <cellStyle name="_Table_Cidades 3 3 3 4" xfId="21760"/>
    <cellStyle name="_Table_Cidades 3 3 3 5" xfId="25492"/>
    <cellStyle name="_Table_Cidades 3 3 4" xfId="20673"/>
    <cellStyle name="_Table_Cidades 3 3 5" xfId="26784"/>
    <cellStyle name="_Table_Cidades 3 4" xfId="4762"/>
    <cellStyle name="_Table_Cidades 3 4 2" xfId="5965"/>
    <cellStyle name="_Table_Cidades 3 4 2 2" xfId="5966"/>
    <cellStyle name="_Table_Cidades 3 4 2 2 2" xfId="21764"/>
    <cellStyle name="_Table_Cidades 3 4 2 2 3" xfId="25488"/>
    <cellStyle name="_Table_Cidades 3 4 2 3" xfId="5967"/>
    <cellStyle name="_Table_Cidades 3 4 2 3 2" xfId="21765"/>
    <cellStyle name="_Table_Cidades 3 4 2 3 3" xfId="21031"/>
    <cellStyle name="_Table_Cidades 3 4 2 4" xfId="21763"/>
    <cellStyle name="_Table_Cidades 3 4 2 5" xfId="25489"/>
    <cellStyle name="_Table_Cidades 3 4 3" xfId="5968"/>
    <cellStyle name="_Table_Cidades 3 4 3 2" xfId="5969"/>
    <cellStyle name="_Table_Cidades 3 4 3 2 2" xfId="21767"/>
    <cellStyle name="_Table_Cidades 3 4 3 2 3" xfId="25486"/>
    <cellStyle name="_Table_Cidades 3 4 3 3" xfId="21766"/>
    <cellStyle name="_Table_Cidades 3 4 3 4" xfId="25487"/>
    <cellStyle name="_Table_Cidades 3 4 4" xfId="20674"/>
    <cellStyle name="_Table_Cidades 3 4 5" xfId="26783"/>
    <cellStyle name="_Table_Cidades 3 5" xfId="5970"/>
    <cellStyle name="_Table_Cidades 3 5 2" xfId="5971"/>
    <cellStyle name="_Table_Cidades 3 5 2 2" xfId="21769"/>
    <cellStyle name="_Table_Cidades 3 5 2 3" xfId="25484"/>
    <cellStyle name="_Table_Cidades 3 5 3" xfId="5972"/>
    <cellStyle name="_Table_Cidades 3 5 3 2" xfId="21770"/>
    <cellStyle name="_Table_Cidades 3 5 3 3" xfId="25483"/>
    <cellStyle name="_Table_Cidades 3 5 4" xfId="21768"/>
    <cellStyle name="_Table_Cidades 3 5 5" xfId="25485"/>
    <cellStyle name="_Table_Cidades 3 6" xfId="5973"/>
    <cellStyle name="_Table_Cidades 3 6 2" xfId="5974"/>
    <cellStyle name="_Table_Cidades 3 6 2 2" xfId="21772"/>
    <cellStyle name="_Table_Cidades 3 6 2 3" xfId="25481"/>
    <cellStyle name="_Table_Cidades 3 6 3" xfId="21771"/>
    <cellStyle name="_Table_Cidades 3 6 4" xfId="25482"/>
    <cellStyle name="_Table_Cidades 3 7" xfId="18491"/>
    <cellStyle name="_Table_Cidades 3 8" xfId="30694"/>
    <cellStyle name="_Table_Cidades 4" xfId="4763"/>
    <cellStyle name="_Table_Cidades 4 2" xfId="4764"/>
    <cellStyle name="_Table_Cidades 4 2 2" xfId="5975"/>
    <cellStyle name="_Table_Cidades 4 2 2 2" xfId="5976"/>
    <cellStyle name="_Table_Cidades 4 2 2 2 2" xfId="21774"/>
    <cellStyle name="_Table_Cidades 4 2 2 2 3" xfId="25479"/>
    <cellStyle name="_Table_Cidades 4 2 2 3" xfId="21773"/>
    <cellStyle name="_Table_Cidades 4 2 2 4" xfId="25480"/>
    <cellStyle name="_Table_Cidades 4 2 3" xfId="5977"/>
    <cellStyle name="_Table_Cidades 4 2 3 2" xfId="5978"/>
    <cellStyle name="_Table_Cidades 4 2 3 2 2" xfId="21776"/>
    <cellStyle name="_Table_Cidades 4 2 3 2 3" xfId="25477"/>
    <cellStyle name="_Table_Cidades 4 2 3 3" xfId="5979"/>
    <cellStyle name="_Table_Cidades 4 2 3 3 2" xfId="21777"/>
    <cellStyle name="_Table_Cidades 4 2 3 3 3" xfId="25476"/>
    <cellStyle name="_Table_Cidades 4 2 3 4" xfId="21775"/>
    <cellStyle name="_Table_Cidades 4 2 3 5" xfId="25478"/>
    <cellStyle name="_Table_Cidades 4 2 4" xfId="20676"/>
    <cellStyle name="_Table_Cidades 4 2 5" xfId="26781"/>
    <cellStyle name="_Table_Cidades 4 3" xfId="4765"/>
    <cellStyle name="_Table_Cidades 4 3 2" xfId="5980"/>
    <cellStyle name="_Table_Cidades 4 3 2 2" xfId="5981"/>
    <cellStyle name="_Table_Cidades 4 3 2 2 2" xfId="21779"/>
    <cellStyle name="_Table_Cidades 4 3 2 2 3" xfId="25474"/>
    <cellStyle name="_Table_Cidades 4 3 2 3" xfId="21778"/>
    <cellStyle name="_Table_Cidades 4 3 2 4" xfId="25475"/>
    <cellStyle name="_Table_Cidades 4 3 3" xfId="5982"/>
    <cellStyle name="_Table_Cidades 4 3 3 2" xfId="5983"/>
    <cellStyle name="_Table_Cidades 4 3 3 2 2" xfId="21781"/>
    <cellStyle name="_Table_Cidades 4 3 3 2 3" xfId="25473"/>
    <cellStyle name="_Table_Cidades 4 3 3 3" xfId="5984"/>
    <cellStyle name="_Table_Cidades 4 3 3 3 2" xfId="21782"/>
    <cellStyle name="_Table_Cidades 4 3 3 3 3" xfId="25472"/>
    <cellStyle name="_Table_Cidades 4 3 3 4" xfId="21780"/>
    <cellStyle name="_Table_Cidades 4 3 3 5" xfId="20340"/>
    <cellStyle name="_Table_Cidades 4 3 4" xfId="20677"/>
    <cellStyle name="_Table_Cidades 4 3 5" xfId="26780"/>
    <cellStyle name="_Table_Cidades 4 4" xfId="4766"/>
    <cellStyle name="_Table_Cidades 4 4 2" xfId="5985"/>
    <cellStyle name="_Table_Cidades 4 4 2 2" xfId="5986"/>
    <cellStyle name="_Table_Cidades 4 4 2 2 2" xfId="21784"/>
    <cellStyle name="_Table_Cidades 4 4 2 2 3" xfId="25470"/>
    <cellStyle name="_Table_Cidades 4 4 2 3" xfId="5987"/>
    <cellStyle name="_Table_Cidades 4 4 2 3 2" xfId="21785"/>
    <cellStyle name="_Table_Cidades 4 4 2 3 3" xfId="25469"/>
    <cellStyle name="_Table_Cidades 4 4 2 4" xfId="21783"/>
    <cellStyle name="_Table_Cidades 4 4 2 5" xfId="25471"/>
    <cellStyle name="_Table_Cidades 4 4 3" xfId="5988"/>
    <cellStyle name="_Table_Cidades 4 4 3 2" xfId="5989"/>
    <cellStyle name="_Table_Cidades 4 4 3 2 2" xfId="21787"/>
    <cellStyle name="_Table_Cidades 4 4 3 2 3" xfId="25467"/>
    <cellStyle name="_Table_Cidades 4 4 3 3" xfId="21786"/>
    <cellStyle name="_Table_Cidades 4 4 3 4" xfId="25468"/>
    <cellStyle name="_Table_Cidades 4 4 4" xfId="20678"/>
    <cellStyle name="_Table_Cidades 4 4 5" xfId="26779"/>
    <cellStyle name="_Table_Cidades 4 5" xfId="5990"/>
    <cellStyle name="_Table_Cidades 4 5 2" xfId="5991"/>
    <cellStyle name="_Table_Cidades 4 5 2 2" xfId="21789"/>
    <cellStyle name="_Table_Cidades 4 5 2 3" xfId="25465"/>
    <cellStyle name="_Table_Cidades 4 5 3" xfId="5992"/>
    <cellStyle name="_Table_Cidades 4 5 3 2" xfId="21790"/>
    <cellStyle name="_Table_Cidades 4 5 3 3" xfId="25464"/>
    <cellStyle name="_Table_Cidades 4 5 4" xfId="21788"/>
    <cellStyle name="_Table_Cidades 4 5 5" xfId="25466"/>
    <cellStyle name="_Table_Cidades 4 6" xfId="5993"/>
    <cellStyle name="_Table_Cidades 4 6 2" xfId="5994"/>
    <cellStyle name="_Table_Cidades 4 6 2 2" xfId="21792"/>
    <cellStyle name="_Table_Cidades 4 6 2 3" xfId="25462"/>
    <cellStyle name="_Table_Cidades 4 6 3" xfId="21791"/>
    <cellStyle name="_Table_Cidades 4 6 4" xfId="25463"/>
    <cellStyle name="_Table_Cidades 4 7" xfId="20675"/>
    <cellStyle name="_Table_Cidades 4 8" xfId="26782"/>
    <cellStyle name="_Table_Cidades 5" xfId="4767"/>
    <cellStyle name="_Table_Cidades 5 2" xfId="5995"/>
    <cellStyle name="_Table_Cidades 5 2 2" xfId="5996"/>
    <cellStyle name="_Table_Cidades 5 2 2 2" xfId="21794"/>
    <cellStyle name="_Table_Cidades 5 2 2 3" xfId="25460"/>
    <cellStyle name="_Table_Cidades 5 2 3" xfId="21793"/>
    <cellStyle name="_Table_Cidades 5 2 4" xfId="25461"/>
    <cellStyle name="_Table_Cidades 5 3" xfId="5997"/>
    <cellStyle name="_Table_Cidades 5 3 2" xfId="5998"/>
    <cellStyle name="_Table_Cidades 5 3 2 2" xfId="21796"/>
    <cellStyle name="_Table_Cidades 5 3 2 3" xfId="19292"/>
    <cellStyle name="_Table_Cidades 5 3 3" xfId="5999"/>
    <cellStyle name="_Table_Cidades 5 3 3 2" xfId="21797"/>
    <cellStyle name="_Table_Cidades 5 3 3 3" xfId="19291"/>
    <cellStyle name="_Table_Cidades 5 3 4" xfId="21795"/>
    <cellStyle name="_Table_Cidades 5 3 5" xfId="20450"/>
    <cellStyle name="_Table_Cidades 5 4" xfId="20679"/>
    <cellStyle name="_Table_Cidades 5 5" xfId="20247"/>
    <cellStyle name="_Table_Cidades 6" xfId="4768"/>
    <cellStyle name="_Table_Cidades 6 2" xfId="6000"/>
    <cellStyle name="_Table_Cidades 6 2 2" xfId="6001"/>
    <cellStyle name="_Table_Cidades 6 2 2 2" xfId="21799"/>
    <cellStyle name="_Table_Cidades 6 2 2 3" xfId="25458"/>
    <cellStyle name="_Table_Cidades 6 2 3" xfId="6002"/>
    <cellStyle name="_Table_Cidades 6 2 3 2" xfId="21800"/>
    <cellStyle name="_Table_Cidades 6 2 3 3" xfId="25457"/>
    <cellStyle name="_Table_Cidades 6 2 4" xfId="21798"/>
    <cellStyle name="_Table_Cidades 6 2 5" xfId="25459"/>
    <cellStyle name="_Table_Cidades 6 3" xfId="6003"/>
    <cellStyle name="_Table_Cidades 6 3 2" xfId="6004"/>
    <cellStyle name="_Table_Cidades 6 3 2 2" xfId="21802"/>
    <cellStyle name="_Table_Cidades 6 3 2 3" xfId="25455"/>
    <cellStyle name="_Table_Cidades 6 3 3" xfId="21801"/>
    <cellStyle name="_Table_Cidades 6 3 4" xfId="25456"/>
    <cellStyle name="_Table_Cidades 6 4" xfId="20680"/>
    <cellStyle name="_Table_Cidades 6 5" xfId="26778"/>
    <cellStyle name="_Table_Cidades 7" xfId="6005"/>
    <cellStyle name="_Table_Cidades 7 2" xfId="6006"/>
    <cellStyle name="_Table_Cidades 7 2 2" xfId="21804"/>
    <cellStyle name="_Table_Cidades 7 2 3" xfId="25453"/>
    <cellStyle name="_Table_Cidades 7 3" xfId="6007"/>
    <cellStyle name="_Table_Cidades 7 3 2" xfId="21805"/>
    <cellStyle name="_Table_Cidades 7 3 3" xfId="25452"/>
    <cellStyle name="_Table_Cidades 7 4" xfId="21803"/>
    <cellStyle name="_Table_Cidades 7 5" xfId="25454"/>
    <cellStyle name="_Table_Cidades 8" xfId="6008"/>
    <cellStyle name="_Table_Cidades 8 2" xfId="6009"/>
    <cellStyle name="_Table_Cidades 8 2 2" xfId="21807"/>
    <cellStyle name="_Table_Cidades 8 2 3" xfId="25450"/>
    <cellStyle name="_Table_Cidades 8 3" xfId="21806"/>
    <cellStyle name="_Table_Cidades 8 4" xfId="25451"/>
    <cellStyle name="_Table_Cidades 9" xfId="18489"/>
    <cellStyle name="_Table_Modelo 021208 FINAL - Colíder" xfId="803"/>
    <cellStyle name="_Table_Modelo 021208 FINAL - Colíder 10" xfId="30693"/>
    <cellStyle name="_Table_Modelo 021208 FINAL - Colíder 2" xfId="804"/>
    <cellStyle name="_Table_Modelo 021208 FINAL - Colíder 2 2" xfId="4769"/>
    <cellStyle name="_Table_Modelo 021208 FINAL - Colíder 2 2 2" xfId="4770"/>
    <cellStyle name="_Table_Modelo 021208 FINAL - Colíder 2 2 2 2" xfId="6010"/>
    <cellStyle name="_Table_Modelo 021208 FINAL - Colíder 2 2 2 2 2" xfId="6011"/>
    <cellStyle name="_Table_Modelo 021208 FINAL - Colíder 2 2 2 2 2 2" xfId="21809"/>
    <cellStyle name="_Table_Modelo 021208 FINAL - Colíder 2 2 2 2 2 3" xfId="25448"/>
    <cellStyle name="_Table_Modelo 021208 FINAL - Colíder 2 2 2 2 3" xfId="21808"/>
    <cellStyle name="_Table_Modelo 021208 FINAL - Colíder 2 2 2 2 4" xfId="25449"/>
    <cellStyle name="_Table_Modelo 021208 FINAL - Colíder 2 2 2 3" xfId="6012"/>
    <cellStyle name="_Table_Modelo 021208 FINAL - Colíder 2 2 2 3 2" xfId="6013"/>
    <cellStyle name="_Table_Modelo 021208 FINAL - Colíder 2 2 2 3 2 2" xfId="21811"/>
    <cellStyle name="_Table_Modelo 021208 FINAL - Colíder 2 2 2 3 2 3" xfId="25446"/>
    <cellStyle name="_Table_Modelo 021208 FINAL - Colíder 2 2 2 3 3" xfId="6014"/>
    <cellStyle name="_Table_Modelo 021208 FINAL - Colíder 2 2 2 3 3 2" xfId="21812"/>
    <cellStyle name="_Table_Modelo 021208 FINAL - Colíder 2 2 2 3 3 3" xfId="25445"/>
    <cellStyle name="_Table_Modelo 021208 FINAL - Colíder 2 2 2 3 4" xfId="21810"/>
    <cellStyle name="_Table_Modelo 021208 FINAL - Colíder 2 2 2 3 5" xfId="25447"/>
    <cellStyle name="_Table_Modelo 021208 FINAL - Colíder 2 2 2 4" xfId="20682"/>
    <cellStyle name="_Table_Modelo 021208 FINAL - Colíder 2 2 2 5" xfId="26776"/>
    <cellStyle name="_Table_Modelo 021208 FINAL - Colíder 2 2 3" xfId="4771"/>
    <cellStyle name="_Table_Modelo 021208 FINAL - Colíder 2 2 3 2" xfId="6015"/>
    <cellStyle name="_Table_Modelo 021208 FINAL - Colíder 2 2 3 2 2" xfId="6016"/>
    <cellStyle name="_Table_Modelo 021208 FINAL - Colíder 2 2 3 2 2 2" xfId="21814"/>
    <cellStyle name="_Table_Modelo 021208 FINAL - Colíder 2 2 3 2 2 3" xfId="25443"/>
    <cellStyle name="_Table_Modelo 021208 FINAL - Colíder 2 2 3 2 3" xfId="21813"/>
    <cellStyle name="_Table_Modelo 021208 FINAL - Colíder 2 2 3 2 4" xfId="25444"/>
    <cellStyle name="_Table_Modelo 021208 FINAL - Colíder 2 2 3 3" xfId="6017"/>
    <cellStyle name="_Table_Modelo 021208 FINAL - Colíder 2 2 3 3 2" xfId="6018"/>
    <cellStyle name="_Table_Modelo 021208 FINAL - Colíder 2 2 3 3 2 2" xfId="21816"/>
    <cellStyle name="_Table_Modelo 021208 FINAL - Colíder 2 2 3 3 2 3" xfId="25441"/>
    <cellStyle name="_Table_Modelo 021208 FINAL - Colíder 2 2 3 3 3" xfId="6019"/>
    <cellStyle name="_Table_Modelo 021208 FINAL - Colíder 2 2 3 3 3 2" xfId="21817"/>
    <cellStyle name="_Table_Modelo 021208 FINAL - Colíder 2 2 3 3 3 3" xfId="21030"/>
    <cellStyle name="_Table_Modelo 021208 FINAL - Colíder 2 2 3 3 4" xfId="21815"/>
    <cellStyle name="_Table_Modelo 021208 FINAL - Colíder 2 2 3 3 5" xfId="25442"/>
    <cellStyle name="_Table_Modelo 021208 FINAL - Colíder 2 2 3 4" xfId="20683"/>
    <cellStyle name="_Table_Modelo 021208 FINAL - Colíder 2 2 3 5" xfId="26775"/>
    <cellStyle name="_Table_Modelo 021208 FINAL - Colíder 2 2 4" xfId="4772"/>
    <cellStyle name="_Table_Modelo 021208 FINAL - Colíder 2 2 4 2" xfId="6020"/>
    <cellStyle name="_Table_Modelo 021208 FINAL - Colíder 2 2 4 2 2" xfId="6021"/>
    <cellStyle name="_Table_Modelo 021208 FINAL - Colíder 2 2 4 2 2 2" xfId="21819"/>
    <cellStyle name="_Table_Modelo 021208 FINAL - Colíder 2 2 4 2 2 3" xfId="25439"/>
    <cellStyle name="_Table_Modelo 021208 FINAL - Colíder 2 2 4 2 3" xfId="6022"/>
    <cellStyle name="_Table_Modelo 021208 FINAL - Colíder 2 2 4 2 3 2" xfId="21820"/>
    <cellStyle name="_Table_Modelo 021208 FINAL - Colíder 2 2 4 2 3 3" xfId="25438"/>
    <cellStyle name="_Table_Modelo 021208 FINAL - Colíder 2 2 4 2 4" xfId="21818"/>
    <cellStyle name="_Table_Modelo 021208 FINAL - Colíder 2 2 4 2 5" xfId="25440"/>
    <cellStyle name="_Table_Modelo 021208 FINAL - Colíder 2 2 4 3" xfId="6023"/>
    <cellStyle name="_Table_Modelo 021208 FINAL - Colíder 2 2 4 3 2" xfId="6024"/>
    <cellStyle name="_Table_Modelo 021208 FINAL - Colíder 2 2 4 3 2 2" xfId="21822"/>
    <cellStyle name="_Table_Modelo 021208 FINAL - Colíder 2 2 4 3 2 3" xfId="25436"/>
    <cellStyle name="_Table_Modelo 021208 FINAL - Colíder 2 2 4 3 3" xfId="21821"/>
    <cellStyle name="_Table_Modelo 021208 FINAL - Colíder 2 2 4 3 4" xfId="25437"/>
    <cellStyle name="_Table_Modelo 021208 FINAL - Colíder 2 2 4 4" xfId="20684"/>
    <cellStyle name="_Table_Modelo 021208 FINAL - Colíder 2 2 4 5" xfId="26774"/>
    <cellStyle name="_Table_Modelo 021208 FINAL - Colíder 2 2 5" xfId="6025"/>
    <cellStyle name="_Table_Modelo 021208 FINAL - Colíder 2 2 5 2" xfId="6026"/>
    <cellStyle name="_Table_Modelo 021208 FINAL - Colíder 2 2 5 2 2" xfId="21824"/>
    <cellStyle name="_Table_Modelo 021208 FINAL - Colíder 2 2 5 2 3" xfId="25434"/>
    <cellStyle name="_Table_Modelo 021208 FINAL - Colíder 2 2 5 3" xfId="6027"/>
    <cellStyle name="_Table_Modelo 021208 FINAL - Colíder 2 2 5 3 2" xfId="21825"/>
    <cellStyle name="_Table_Modelo 021208 FINAL - Colíder 2 2 5 3 3" xfId="25433"/>
    <cellStyle name="_Table_Modelo 021208 FINAL - Colíder 2 2 5 4" xfId="21823"/>
    <cellStyle name="_Table_Modelo 021208 FINAL - Colíder 2 2 5 5" xfId="25435"/>
    <cellStyle name="_Table_Modelo 021208 FINAL - Colíder 2 2 6" xfId="6028"/>
    <cellStyle name="_Table_Modelo 021208 FINAL - Colíder 2 2 6 2" xfId="6029"/>
    <cellStyle name="_Table_Modelo 021208 FINAL - Colíder 2 2 6 2 2" xfId="21827"/>
    <cellStyle name="_Table_Modelo 021208 FINAL - Colíder 2 2 6 2 3" xfId="25431"/>
    <cellStyle name="_Table_Modelo 021208 FINAL - Colíder 2 2 6 3" xfId="21826"/>
    <cellStyle name="_Table_Modelo 021208 FINAL - Colíder 2 2 6 4" xfId="25432"/>
    <cellStyle name="_Table_Modelo 021208 FINAL - Colíder 2 2 7" xfId="20681"/>
    <cellStyle name="_Table_Modelo 021208 FINAL - Colíder 2 2 8" xfId="26777"/>
    <cellStyle name="_Table_Modelo 021208 FINAL - Colíder 2 3" xfId="4773"/>
    <cellStyle name="_Table_Modelo 021208 FINAL - Colíder 2 3 2" xfId="6030"/>
    <cellStyle name="_Table_Modelo 021208 FINAL - Colíder 2 3 2 2" xfId="6031"/>
    <cellStyle name="_Table_Modelo 021208 FINAL - Colíder 2 3 2 2 2" xfId="21829"/>
    <cellStyle name="_Table_Modelo 021208 FINAL - Colíder 2 3 2 2 3" xfId="25429"/>
    <cellStyle name="_Table_Modelo 021208 FINAL - Colíder 2 3 2 3" xfId="21828"/>
    <cellStyle name="_Table_Modelo 021208 FINAL - Colíder 2 3 2 4" xfId="25430"/>
    <cellStyle name="_Table_Modelo 021208 FINAL - Colíder 2 3 3" xfId="6032"/>
    <cellStyle name="_Table_Modelo 021208 FINAL - Colíder 2 3 3 2" xfId="6033"/>
    <cellStyle name="_Table_Modelo 021208 FINAL - Colíder 2 3 3 2 2" xfId="21831"/>
    <cellStyle name="_Table_Modelo 021208 FINAL - Colíder 2 3 3 2 3" xfId="25427"/>
    <cellStyle name="_Table_Modelo 021208 FINAL - Colíder 2 3 3 3" xfId="6034"/>
    <cellStyle name="_Table_Modelo 021208 FINAL - Colíder 2 3 3 3 2" xfId="21832"/>
    <cellStyle name="_Table_Modelo 021208 FINAL - Colíder 2 3 3 3 3" xfId="20474"/>
    <cellStyle name="_Table_Modelo 021208 FINAL - Colíder 2 3 3 4" xfId="21830"/>
    <cellStyle name="_Table_Modelo 021208 FINAL - Colíder 2 3 3 5" xfId="25428"/>
    <cellStyle name="_Table_Modelo 021208 FINAL - Colíder 2 3 4" xfId="20685"/>
    <cellStyle name="_Table_Modelo 021208 FINAL - Colíder 2 3 5" xfId="26773"/>
    <cellStyle name="_Table_Modelo 021208 FINAL - Colíder 2 4" xfId="4774"/>
    <cellStyle name="_Table_Modelo 021208 FINAL - Colíder 2 4 2" xfId="6035"/>
    <cellStyle name="_Table_Modelo 021208 FINAL - Colíder 2 4 2 2" xfId="6036"/>
    <cellStyle name="_Table_Modelo 021208 FINAL - Colíder 2 4 2 2 2" xfId="21834"/>
    <cellStyle name="_Table_Modelo 021208 FINAL - Colíder 2 4 2 2 3" xfId="25425"/>
    <cellStyle name="_Table_Modelo 021208 FINAL - Colíder 2 4 2 3" xfId="6037"/>
    <cellStyle name="_Table_Modelo 021208 FINAL - Colíder 2 4 2 3 2" xfId="21835"/>
    <cellStyle name="_Table_Modelo 021208 FINAL - Colíder 2 4 2 3 3" xfId="25424"/>
    <cellStyle name="_Table_Modelo 021208 FINAL - Colíder 2 4 2 4" xfId="21833"/>
    <cellStyle name="_Table_Modelo 021208 FINAL - Colíder 2 4 2 5" xfId="25426"/>
    <cellStyle name="_Table_Modelo 021208 FINAL - Colíder 2 4 3" xfId="6038"/>
    <cellStyle name="_Table_Modelo 021208 FINAL - Colíder 2 4 3 2" xfId="6039"/>
    <cellStyle name="_Table_Modelo 021208 FINAL - Colíder 2 4 3 2 2" xfId="21837"/>
    <cellStyle name="_Table_Modelo 021208 FINAL - Colíder 2 4 3 2 3" xfId="25422"/>
    <cellStyle name="_Table_Modelo 021208 FINAL - Colíder 2 4 3 3" xfId="21836"/>
    <cellStyle name="_Table_Modelo 021208 FINAL - Colíder 2 4 3 4" xfId="25423"/>
    <cellStyle name="_Table_Modelo 021208 FINAL - Colíder 2 4 4" xfId="20686"/>
    <cellStyle name="_Table_Modelo 021208 FINAL - Colíder 2 4 5" xfId="26772"/>
    <cellStyle name="_Table_Modelo 021208 FINAL - Colíder 2 5" xfId="6040"/>
    <cellStyle name="_Table_Modelo 021208 FINAL - Colíder 2 5 2" xfId="6041"/>
    <cellStyle name="_Table_Modelo 021208 FINAL - Colíder 2 5 2 2" xfId="21839"/>
    <cellStyle name="_Table_Modelo 021208 FINAL - Colíder 2 5 2 3" xfId="25420"/>
    <cellStyle name="_Table_Modelo 021208 FINAL - Colíder 2 5 3" xfId="6042"/>
    <cellStyle name="_Table_Modelo 021208 FINAL - Colíder 2 5 3 2" xfId="21840"/>
    <cellStyle name="_Table_Modelo 021208 FINAL - Colíder 2 5 3 3" xfId="25419"/>
    <cellStyle name="_Table_Modelo 021208 FINAL - Colíder 2 5 4" xfId="21838"/>
    <cellStyle name="_Table_Modelo 021208 FINAL - Colíder 2 5 5" xfId="25421"/>
    <cellStyle name="_Table_Modelo 021208 FINAL - Colíder 2 6" xfId="6043"/>
    <cellStyle name="_Table_Modelo 021208 FINAL - Colíder 2 6 2" xfId="6044"/>
    <cellStyle name="_Table_Modelo 021208 FINAL - Colíder 2 6 2 2" xfId="21842"/>
    <cellStyle name="_Table_Modelo 021208 FINAL - Colíder 2 6 2 3" xfId="25417"/>
    <cellStyle name="_Table_Modelo 021208 FINAL - Colíder 2 6 3" xfId="21841"/>
    <cellStyle name="_Table_Modelo 021208 FINAL - Colíder 2 6 4" xfId="25418"/>
    <cellStyle name="_Table_Modelo 021208 FINAL - Colíder 2 7" xfId="18493"/>
    <cellStyle name="_Table_Modelo 021208 FINAL - Colíder 2 8" xfId="30692"/>
    <cellStyle name="_Table_Modelo 021208 FINAL - Colíder 3" xfId="805"/>
    <cellStyle name="_Table_Modelo 021208 FINAL - Colíder 3 2" xfId="4775"/>
    <cellStyle name="_Table_Modelo 021208 FINAL - Colíder 3 2 2" xfId="4776"/>
    <cellStyle name="_Table_Modelo 021208 FINAL - Colíder 3 2 2 2" xfId="6045"/>
    <cellStyle name="_Table_Modelo 021208 FINAL - Colíder 3 2 2 2 2" xfId="6046"/>
    <cellStyle name="_Table_Modelo 021208 FINAL - Colíder 3 2 2 2 2 2" xfId="21844"/>
    <cellStyle name="_Table_Modelo 021208 FINAL - Colíder 3 2 2 2 2 3" xfId="25415"/>
    <cellStyle name="_Table_Modelo 021208 FINAL - Colíder 3 2 2 2 3" xfId="21843"/>
    <cellStyle name="_Table_Modelo 021208 FINAL - Colíder 3 2 2 2 4" xfId="25416"/>
    <cellStyle name="_Table_Modelo 021208 FINAL - Colíder 3 2 2 3" xfId="6047"/>
    <cellStyle name="_Table_Modelo 021208 FINAL - Colíder 3 2 2 3 2" xfId="6048"/>
    <cellStyle name="_Table_Modelo 021208 FINAL - Colíder 3 2 2 3 2 2" xfId="21846"/>
    <cellStyle name="_Table_Modelo 021208 FINAL - Colíder 3 2 2 3 2 3" xfId="25413"/>
    <cellStyle name="_Table_Modelo 021208 FINAL - Colíder 3 2 2 3 3" xfId="6049"/>
    <cellStyle name="_Table_Modelo 021208 FINAL - Colíder 3 2 2 3 3 2" xfId="21847"/>
    <cellStyle name="_Table_Modelo 021208 FINAL - Colíder 3 2 2 3 3 3" xfId="20355"/>
    <cellStyle name="_Table_Modelo 021208 FINAL - Colíder 3 2 2 3 4" xfId="21845"/>
    <cellStyle name="_Table_Modelo 021208 FINAL - Colíder 3 2 2 3 5" xfId="25414"/>
    <cellStyle name="_Table_Modelo 021208 FINAL - Colíder 3 2 2 4" xfId="20688"/>
    <cellStyle name="_Table_Modelo 021208 FINAL - Colíder 3 2 2 5" xfId="26770"/>
    <cellStyle name="_Table_Modelo 021208 FINAL - Colíder 3 2 3" xfId="4777"/>
    <cellStyle name="_Table_Modelo 021208 FINAL - Colíder 3 2 3 2" xfId="6050"/>
    <cellStyle name="_Table_Modelo 021208 FINAL - Colíder 3 2 3 2 2" xfId="6051"/>
    <cellStyle name="_Table_Modelo 021208 FINAL - Colíder 3 2 3 2 2 2" xfId="21849"/>
    <cellStyle name="_Table_Modelo 021208 FINAL - Colíder 3 2 3 2 2 3" xfId="25411"/>
    <cellStyle name="_Table_Modelo 021208 FINAL - Colíder 3 2 3 2 3" xfId="21848"/>
    <cellStyle name="_Table_Modelo 021208 FINAL - Colíder 3 2 3 2 4" xfId="25412"/>
    <cellStyle name="_Table_Modelo 021208 FINAL - Colíder 3 2 3 3" xfId="6052"/>
    <cellStyle name="_Table_Modelo 021208 FINAL - Colíder 3 2 3 3 2" xfId="6053"/>
    <cellStyle name="_Table_Modelo 021208 FINAL - Colíder 3 2 3 3 2 2" xfId="21851"/>
    <cellStyle name="_Table_Modelo 021208 FINAL - Colíder 3 2 3 3 2 3" xfId="25409"/>
    <cellStyle name="_Table_Modelo 021208 FINAL - Colíder 3 2 3 3 3" xfId="6054"/>
    <cellStyle name="_Table_Modelo 021208 FINAL - Colíder 3 2 3 3 3 2" xfId="21852"/>
    <cellStyle name="_Table_Modelo 021208 FINAL - Colíder 3 2 3 3 3 3" xfId="25408"/>
    <cellStyle name="_Table_Modelo 021208 FINAL - Colíder 3 2 3 3 4" xfId="21850"/>
    <cellStyle name="_Table_Modelo 021208 FINAL - Colíder 3 2 3 3 5" xfId="25410"/>
    <cellStyle name="_Table_Modelo 021208 FINAL - Colíder 3 2 3 4" xfId="20689"/>
    <cellStyle name="_Table_Modelo 021208 FINAL - Colíder 3 2 3 5" xfId="26769"/>
    <cellStyle name="_Table_Modelo 021208 FINAL - Colíder 3 2 4" xfId="4778"/>
    <cellStyle name="_Table_Modelo 021208 FINAL - Colíder 3 2 4 2" xfId="6055"/>
    <cellStyle name="_Table_Modelo 021208 FINAL - Colíder 3 2 4 2 2" xfId="6056"/>
    <cellStyle name="_Table_Modelo 021208 FINAL - Colíder 3 2 4 2 2 2" xfId="21854"/>
    <cellStyle name="_Table_Modelo 021208 FINAL - Colíder 3 2 4 2 2 3" xfId="25406"/>
    <cellStyle name="_Table_Modelo 021208 FINAL - Colíder 3 2 4 2 3" xfId="6057"/>
    <cellStyle name="_Table_Modelo 021208 FINAL - Colíder 3 2 4 2 3 2" xfId="21855"/>
    <cellStyle name="_Table_Modelo 021208 FINAL - Colíder 3 2 4 2 3 3" xfId="25405"/>
    <cellStyle name="_Table_Modelo 021208 FINAL - Colíder 3 2 4 2 4" xfId="21853"/>
    <cellStyle name="_Table_Modelo 021208 FINAL - Colíder 3 2 4 2 5" xfId="25407"/>
    <cellStyle name="_Table_Modelo 021208 FINAL - Colíder 3 2 4 3" xfId="6058"/>
    <cellStyle name="_Table_Modelo 021208 FINAL - Colíder 3 2 4 3 2" xfId="6059"/>
    <cellStyle name="_Table_Modelo 021208 FINAL - Colíder 3 2 4 3 2 2" xfId="21857"/>
    <cellStyle name="_Table_Modelo 021208 FINAL - Colíder 3 2 4 3 2 3" xfId="25403"/>
    <cellStyle name="_Table_Modelo 021208 FINAL - Colíder 3 2 4 3 3" xfId="21856"/>
    <cellStyle name="_Table_Modelo 021208 FINAL - Colíder 3 2 4 3 4" xfId="25404"/>
    <cellStyle name="_Table_Modelo 021208 FINAL - Colíder 3 2 4 4" xfId="20690"/>
    <cellStyle name="_Table_Modelo 021208 FINAL - Colíder 3 2 4 5" xfId="26768"/>
    <cellStyle name="_Table_Modelo 021208 FINAL - Colíder 3 2 5" xfId="6060"/>
    <cellStyle name="_Table_Modelo 021208 FINAL - Colíder 3 2 5 2" xfId="6061"/>
    <cellStyle name="_Table_Modelo 021208 FINAL - Colíder 3 2 5 2 2" xfId="21859"/>
    <cellStyle name="_Table_Modelo 021208 FINAL - Colíder 3 2 5 2 3" xfId="25401"/>
    <cellStyle name="_Table_Modelo 021208 FINAL - Colíder 3 2 5 3" xfId="6062"/>
    <cellStyle name="_Table_Modelo 021208 FINAL - Colíder 3 2 5 3 2" xfId="21860"/>
    <cellStyle name="_Table_Modelo 021208 FINAL - Colíder 3 2 5 3 3" xfId="25400"/>
    <cellStyle name="_Table_Modelo 021208 FINAL - Colíder 3 2 5 4" xfId="21858"/>
    <cellStyle name="_Table_Modelo 021208 FINAL - Colíder 3 2 5 5" xfId="25402"/>
    <cellStyle name="_Table_Modelo 021208 FINAL - Colíder 3 2 6" xfId="6063"/>
    <cellStyle name="_Table_Modelo 021208 FINAL - Colíder 3 2 6 2" xfId="6064"/>
    <cellStyle name="_Table_Modelo 021208 FINAL - Colíder 3 2 6 2 2" xfId="21862"/>
    <cellStyle name="_Table_Modelo 021208 FINAL - Colíder 3 2 6 2 3" xfId="25398"/>
    <cellStyle name="_Table_Modelo 021208 FINAL - Colíder 3 2 6 3" xfId="21861"/>
    <cellStyle name="_Table_Modelo 021208 FINAL - Colíder 3 2 6 4" xfId="25399"/>
    <cellStyle name="_Table_Modelo 021208 FINAL - Colíder 3 2 7" xfId="20687"/>
    <cellStyle name="_Table_Modelo 021208 FINAL - Colíder 3 2 8" xfId="26771"/>
    <cellStyle name="_Table_Modelo 021208 FINAL - Colíder 3 3" xfId="4779"/>
    <cellStyle name="_Table_Modelo 021208 FINAL - Colíder 3 3 2" xfId="6065"/>
    <cellStyle name="_Table_Modelo 021208 FINAL - Colíder 3 3 2 2" xfId="6066"/>
    <cellStyle name="_Table_Modelo 021208 FINAL - Colíder 3 3 2 2 2" xfId="21864"/>
    <cellStyle name="_Table_Modelo 021208 FINAL - Colíder 3 3 2 2 3" xfId="25396"/>
    <cellStyle name="_Table_Modelo 021208 FINAL - Colíder 3 3 2 3" xfId="21863"/>
    <cellStyle name="_Table_Modelo 021208 FINAL - Colíder 3 3 2 4" xfId="25397"/>
    <cellStyle name="_Table_Modelo 021208 FINAL - Colíder 3 3 3" xfId="6067"/>
    <cellStyle name="_Table_Modelo 021208 FINAL - Colíder 3 3 3 2" xfId="6068"/>
    <cellStyle name="_Table_Modelo 021208 FINAL - Colíder 3 3 3 2 2" xfId="21866"/>
    <cellStyle name="_Table_Modelo 021208 FINAL - Colíder 3 3 3 2 3" xfId="25394"/>
    <cellStyle name="_Table_Modelo 021208 FINAL - Colíder 3 3 3 3" xfId="6069"/>
    <cellStyle name="_Table_Modelo 021208 FINAL - Colíder 3 3 3 3 2" xfId="21867"/>
    <cellStyle name="_Table_Modelo 021208 FINAL - Colíder 3 3 3 3 3" xfId="21029"/>
    <cellStyle name="_Table_Modelo 021208 FINAL - Colíder 3 3 3 4" xfId="21865"/>
    <cellStyle name="_Table_Modelo 021208 FINAL - Colíder 3 3 3 5" xfId="25395"/>
    <cellStyle name="_Table_Modelo 021208 FINAL - Colíder 3 3 4" xfId="20691"/>
    <cellStyle name="_Table_Modelo 021208 FINAL - Colíder 3 3 5" xfId="26767"/>
    <cellStyle name="_Table_Modelo 021208 FINAL - Colíder 3 4" xfId="4780"/>
    <cellStyle name="_Table_Modelo 021208 FINAL - Colíder 3 4 2" xfId="6070"/>
    <cellStyle name="_Table_Modelo 021208 FINAL - Colíder 3 4 2 2" xfId="6071"/>
    <cellStyle name="_Table_Modelo 021208 FINAL - Colíder 3 4 2 2 2" xfId="21869"/>
    <cellStyle name="_Table_Modelo 021208 FINAL - Colíder 3 4 2 2 3" xfId="25392"/>
    <cellStyle name="_Table_Modelo 021208 FINAL - Colíder 3 4 2 3" xfId="6072"/>
    <cellStyle name="_Table_Modelo 021208 FINAL - Colíder 3 4 2 3 2" xfId="21870"/>
    <cellStyle name="_Table_Modelo 021208 FINAL - Colíder 3 4 2 3 3" xfId="25391"/>
    <cellStyle name="_Table_Modelo 021208 FINAL - Colíder 3 4 2 4" xfId="21868"/>
    <cellStyle name="_Table_Modelo 021208 FINAL - Colíder 3 4 2 5" xfId="25393"/>
    <cellStyle name="_Table_Modelo 021208 FINAL - Colíder 3 4 3" xfId="6073"/>
    <cellStyle name="_Table_Modelo 021208 FINAL - Colíder 3 4 3 2" xfId="6074"/>
    <cellStyle name="_Table_Modelo 021208 FINAL - Colíder 3 4 3 2 2" xfId="21872"/>
    <cellStyle name="_Table_Modelo 021208 FINAL - Colíder 3 4 3 2 3" xfId="25389"/>
    <cellStyle name="_Table_Modelo 021208 FINAL - Colíder 3 4 3 3" xfId="21871"/>
    <cellStyle name="_Table_Modelo 021208 FINAL - Colíder 3 4 3 4" xfId="25390"/>
    <cellStyle name="_Table_Modelo 021208 FINAL - Colíder 3 4 4" xfId="20692"/>
    <cellStyle name="_Table_Modelo 021208 FINAL - Colíder 3 4 5" xfId="26766"/>
    <cellStyle name="_Table_Modelo 021208 FINAL - Colíder 3 5" xfId="6075"/>
    <cellStyle name="_Table_Modelo 021208 FINAL - Colíder 3 5 2" xfId="6076"/>
    <cellStyle name="_Table_Modelo 021208 FINAL - Colíder 3 5 2 2" xfId="21874"/>
    <cellStyle name="_Table_Modelo 021208 FINAL - Colíder 3 5 2 3" xfId="25387"/>
    <cellStyle name="_Table_Modelo 021208 FINAL - Colíder 3 5 3" xfId="6077"/>
    <cellStyle name="_Table_Modelo 021208 FINAL - Colíder 3 5 3 2" xfId="21875"/>
    <cellStyle name="_Table_Modelo 021208 FINAL - Colíder 3 5 3 3" xfId="25386"/>
    <cellStyle name="_Table_Modelo 021208 FINAL - Colíder 3 5 4" xfId="21873"/>
    <cellStyle name="_Table_Modelo 021208 FINAL - Colíder 3 5 5" xfId="25388"/>
    <cellStyle name="_Table_Modelo 021208 FINAL - Colíder 3 6" xfId="6078"/>
    <cellStyle name="_Table_Modelo 021208 FINAL - Colíder 3 6 2" xfId="6079"/>
    <cellStyle name="_Table_Modelo 021208 FINAL - Colíder 3 6 2 2" xfId="21877"/>
    <cellStyle name="_Table_Modelo 021208 FINAL - Colíder 3 6 2 3" xfId="25384"/>
    <cellStyle name="_Table_Modelo 021208 FINAL - Colíder 3 6 3" xfId="21876"/>
    <cellStyle name="_Table_Modelo 021208 FINAL - Colíder 3 6 4" xfId="25385"/>
    <cellStyle name="_Table_Modelo 021208 FINAL - Colíder 3 7" xfId="18494"/>
    <cellStyle name="_Table_Modelo 021208 FINAL - Colíder 3 8" xfId="30691"/>
    <cellStyle name="_Table_Modelo 021208 FINAL - Colíder 4" xfId="4781"/>
    <cellStyle name="_Table_Modelo 021208 FINAL - Colíder 4 2" xfId="4782"/>
    <cellStyle name="_Table_Modelo 021208 FINAL - Colíder 4 2 2" xfId="6080"/>
    <cellStyle name="_Table_Modelo 021208 FINAL - Colíder 4 2 2 2" xfId="6081"/>
    <cellStyle name="_Table_Modelo 021208 FINAL - Colíder 4 2 2 2 2" xfId="21879"/>
    <cellStyle name="_Table_Modelo 021208 FINAL - Colíder 4 2 2 2 3" xfId="25382"/>
    <cellStyle name="_Table_Modelo 021208 FINAL - Colíder 4 2 2 3" xfId="21878"/>
    <cellStyle name="_Table_Modelo 021208 FINAL - Colíder 4 2 2 4" xfId="25383"/>
    <cellStyle name="_Table_Modelo 021208 FINAL - Colíder 4 2 3" xfId="6082"/>
    <cellStyle name="_Table_Modelo 021208 FINAL - Colíder 4 2 3 2" xfId="6083"/>
    <cellStyle name="_Table_Modelo 021208 FINAL - Colíder 4 2 3 2 2" xfId="21881"/>
    <cellStyle name="_Table_Modelo 021208 FINAL - Colíder 4 2 3 2 3" xfId="25380"/>
    <cellStyle name="_Table_Modelo 021208 FINAL - Colíder 4 2 3 3" xfId="6084"/>
    <cellStyle name="_Table_Modelo 021208 FINAL - Colíder 4 2 3 3 2" xfId="21882"/>
    <cellStyle name="_Table_Modelo 021208 FINAL - Colíder 4 2 3 3 3" xfId="20491"/>
    <cellStyle name="_Table_Modelo 021208 FINAL - Colíder 4 2 3 4" xfId="21880"/>
    <cellStyle name="_Table_Modelo 021208 FINAL - Colíder 4 2 3 5" xfId="25381"/>
    <cellStyle name="_Table_Modelo 021208 FINAL - Colíder 4 2 4" xfId="20694"/>
    <cellStyle name="_Table_Modelo 021208 FINAL - Colíder 4 2 5" xfId="20329"/>
    <cellStyle name="_Table_Modelo 021208 FINAL - Colíder 4 3" xfId="4783"/>
    <cellStyle name="_Table_Modelo 021208 FINAL - Colíder 4 3 2" xfId="6085"/>
    <cellStyle name="_Table_Modelo 021208 FINAL - Colíder 4 3 2 2" xfId="6086"/>
    <cellStyle name="_Table_Modelo 021208 FINAL - Colíder 4 3 2 2 2" xfId="21884"/>
    <cellStyle name="_Table_Modelo 021208 FINAL - Colíder 4 3 2 2 3" xfId="25378"/>
    <cellStyle name="_Table_Modelo 021208 FINAL - Colíder 4 3 2 3" xfId="21883"/>
    <cellStyle name="_Table_Modelo 021208 FINAL - Colíder 4 3 2 4" xfId="25379"/>
    <cellStyle name="_Table_Modelo 021208 FINAL - Colíder 4 3 3" xfId="6087"/>
    <cellStyle name="_Table_Modelo 021208 FINAL - Colíder 4 3 3 2" xfId="6088"/>
    <cellStyle name="_Table_Modelo 021208 FINAL - Colíder 4 3 3 2 2" xfId="21886"/>
    <cellStyle name="_Table_Modelo 021208 FINAL - Colíder 4 3 3 2 3" xfId="25376"/>
    <cellStyle name="_Table_Modelo 021208 FINAL - Colíder 4 3 3 3" xfId="6089"/>
    <cellStyle name="_Table_Modelo 021208 FINAL - Colíder 4 3 3 3 2" xfId="21887"/>
    <cellStyle name="_Table_Modelo 021208 FINAL - Colíder 4 3 3 3 3" xfId="25375"/>
    <cellStyle name="_Table_Modelo 021208 FINAL - Colíder 4 3 3 4" xfId="21885"/>
    <cellStyle name="_Table_Modelo 021208 FINAL - Colíder 4 3 3 5" xfId="25377"/>
    <cellStyle name="_Table_Modelo 021208 FINAL - Colíder 4 3 4" xfId="20695"/>
    <cellStyle name="_Table_Modelo 021208 FINAL - Colíder 4 3 5" xfId="26764"/>
    <cellStyle name="_Table_Modelo 021208 FINAL - Colíder 4 4" xfId="4784"/>
    <cellStyle name="_Table_Modelo 021208 FINAL - Colíder 4 4 2" xfId="6090"/>
    <cellStyle name="_Table_Modelo 021208 FINAL - Colíder 4 4 2 2" xfId="6091"/>
    <cellStyle name="_Table_Modelo 021208 FINAL - Colíder 4 4 2 2 2" xfId="21889"/>
    <cellStyle name="_Table_Modelo 021208 FINAL - Colíder 4 4 2 2 3" xfId="25373"/>
    <cellStyle name="_Table_Modelo 021208 FINAL - Colíder 4 4 2 3" xfId="6092"/>
    <cellStyle name="_Table_Modelo 021208 FINAL - Colíder 4 4 2 3 2" xfId="21890"/>
    <cellStyle name="_Table_Modelo 021208 FINAL - Colíder 4 4 2 3 3" xfId="25372"/>
    <cellStyle name="_Table_Modelo 021208 FINAL - Colíder 4 4 2 4" xfId="21888"/>
    <cellStyle name="_Table_Modelo 021208 FINAL - Colíder 4 4 2 5" xfId="25374"/>
    <cellStyle name="_Table_Modelo 021208 FINAL - Colíder 4 4 3" xfId="6093"/>
    <cellStyle name="_Table_Modelo 021208 FINAL - Colíder 4 4 3 2" xfId="6094"/>
    <cellStyle name="_Table_Modelo 021208 FINAL - Colíder 4 4 3 2 2" xfId="21892"/>
    <cellStyle name="_Table_Modelo 021208 FINAL - Colíder 4 4 3 2 3" xfId="25370"/>
    <cellStyle name="_Table_Modelo 021208 FINAL - Colíder 4 4 3 3" xfId="21891"/>
    <cellStyle name="_Table_Modelo 021208 FINAL - Colíder 4 4 3 4" xfId="25371"/>
    <cellStyle name="_Table_Modelo 021208 FINAL - Colíder 4 4 4" xfId="20696"/>
    <cellStyle name="_Table_Modelo 021208 FINAL - Colíder 4 4 5" xfId="26763"/>
    <cellStyle name="_Table_Modelo 021208 FINAL - Colíder 4 5" xfId="6095"/>
    <cellStyle name="_Table_Modelo 021208 FINAL - Colíder 4 5 2" xfId="6096"/>
    <cellStyle name="_Table_Modelo 021208 FINAL - Colíder 4 5 2 2" xfId="21894"/>
    <cellStyle name="_Table_Modelo 021208 FINAL - Colíder 4 5 2 3" xfId="25368"/>
    <cellStyle name="_Table_Modelo 021208 FINAL - Colíder 4 5 3" xfId="6097"/>
    <cellStyle name="_Table_Modelo 021208 FINAL - Colíder 4 5 3 2" xfId="21895"/>
    <cellStyle name="_Table_Modelo 021208 FINAL - Colíder 4 5 3 3" xfId="25367"/>
    <cellStyle name="_Table_Modelo 021208 FINAL - Colíder 4 5 4" xfId="21893"/>
    <cellStyle name="_Table_Modelo 021208 FINAL - Colíder 4 5 5" xfId="25369"/>
    <cellStyle name="_Table_Modelo 021208 FINAL - Colíder 4 6" xfId="6098"/>
    <cellStyle name="_Table_Modelo 021208 FINAL - Colíder 4 6 2" xfId="6099"/>
    <cellStyle name="_Table_Modelo 021208 FINAL - Colíder 4 6 2 2" xfId="21897"/>
    <cellStyle name="_Table_Modelo 021208 FINAL - Colíder 4 6 2 3" xfId="20353"/>
    <cellStyle name="_Table_Modelo 021208 FINAL - Colíder 4 6 3" xfId="21896"/>
    <cellStyle name="_Table_Modelo 021208 FINAL - Colíder 4 6 4" xfId="25366"/>
    <cellStyle name="_Table_Modelo 021208 FINAL - Colíder 4 7" xfId="20693"/>
    <cellStyle name="_Table_Modelo 021208 FINAL - Colíder 4 8" xfId="26765"/>
    <cellStyle name="_Table_Modelo 021208 FINAL - Colíder 5" xfId="4785"/>
    <cellStyle name="_Table_Modelo 021208 FINAL - Colíder 5 2" xfId="6100"/>
    <cellStyle name="_Table_Modelo 021208 FINAL - Colíder 5 2 2" xfId="6101"/>
    <cellStyle name="_Table_Modelo 021208 FINAL - Colíder 5 2 2 2" xfId="21899"/>
    <cellStyle name="_Table_Modelo 021208 FINAL - Colíder 5 2 2 3" xfId="25365"/>
    <cellStyle name="_Table_Modelo 021208 FINAL - Colíder 5 2 3" xfId="21898"/>
    <cellStyle name="_Table_Modelo 021208 FINAL - Colíder 5 2 4" xfId="19290"/>
    <cellStyle name="_Table_Modelo 021208 FINAL - Colíder 5 3" xfId="6102"/>
    <cellStyle name="_Table_Modelo 021208 FINAL - Colíder 5 3 2" xfId="6103"/>
    <cellStyle name="_Table_Modelo 021208 FINAL - Colíder 5 3 2 2" xfId="21901"/>
    <cellStyle name="_Table_Modelo 021208 FINAL - Colíder 5 3 2 3" xfId="25363"/>
    <cellStyle name="_Table_Modelo 021208 FINAL - Colíder 5 3 3" xfId="6104"/>
    <cellStyle name="_Table_Modelo 021208 FINAL - Colíder 5 3 3 2" xfId="21902"/>
    <cellStyle name="_Table_Modelo 021208 FINAL - Colíder 5 3 3 3" xfId="25362"/>
    <cellStyle name="_Table_Modelo 021208 FINAL - Colíder 5 3 4" xfId="21900"/>
    <cellStyle name="_Table_Modelo 021208 FINAL - Colíder 5 3 5" xfId="25364"/>
    <cellStyle name="_Table_Modelo 021208 FINAL - Colíder 5 4" xfId="20697"/>
    <cellStyle name="_Table_Modelo 021208 FINAL - Colíder 5 5" xfId="26762"/>
    <cellStyle name="_Table_Modelo 021208 FINAL - Colíder 6" xfId="4786"/>
    <cellStyle name="_Table_Modelo 021208 FINAL - Colíder 6 2" xfId="6105"/>
    <cellStyle name="_Table_Modelo 021208 FINAL - Colíder 6 2 2" xfId="6106"/>
    <cellStyle name="_Table_Modelo 021208 FINAL - Colíder 6 2 2 2" xfId="21904"/>
    <cellStyle name="_Table_Modelo 021208 FINAL - Colíder 6 2 2 3" xfId="25360"/>
    <cellStyle name="_Table_Modelo 021208 FINAL - Colíder 6 2 3" xfId="6107"/>
    <cellStyle name="_Table_Modelo 021208 FINAL - Colíder 6 2 3 2" xfId="21905"/>
    <cellStyle name="_Table_Modelo 021208 FINAL - Colíder 6 2 3 3" xfId="25359"/>
    <cellStyle name="_Table_Modelo 021208 FINAL - Colíder 6 2 4" xfId="21903"/>
    <cellStyle name="_Table_Modelo 021208 FINAL - Colíder 6 2 5" xfId="25361"/>
    <cellStyle name="_Table_Modelo 021208 FINAL - Colíder 6 3" xfId="6108"/>
    <cellStyle name="_Table_Modelo 021208 FINAL - Colíder 6 3 2" xfId="6109"/>
    <cellStyle name="_Table_Modelo 021208 FINAL - Colíder 6 3 2 2" xfId="21907"/>
    <cellStyle name="_Table_Modelo 021208 FINAL - Colíder 6 3 2 3" xfId="25357"/>
    <cellStyle name="_Table_Modelo 021208 FINAL - Colíder 6 3 3" xfId="21906"/>
    <cellStyle name="_Table_Modelo 021208 FINAL - Colíder 6 3 4" xfId="25358"/>
    <cellStyle name="_Table_Modelo 021208 FINAL - Colíder 6 4" xfId="20698"/>
    <cellStyle name="_Table_Modelo 021208 FINAL - Colíder 6 5" xfId="26761"/>
    <cellStyle name="_Table_Modelo 021208 FINAL - Colíder 7" xfId="6110"/>
    <cellStyle name="_Table_Modelo 021208 FINAL - Colíder 7 2" xfId="6111"/>
    <cellStyle name="_Table_Modelo 021208 FINAL - Colíder 7 2 2" xfId="21909"/>
    <cellStyle name="_Table_Modelo 021208 FINAL - Colíder 7 2 3" xfId="25355"/>
    <cellStyle name="_Table_Modelo 021208 FINAL - Colíder 7 3" xfId="6112"/>
    <cellStyle name="_Table_Modelo 021208 FINAL - Colíder 7 3 2" xfId="21910"/>
    <cellStyle name="_Table_Modelo 021208 FINAL - Colíder 7 3 3" xfId="25354"/>
    <cellStyle name="_Table_Modelo 021208 FINAL - Colíder 7 4" xfId="21908"/>
    <cellStyle name="_Table_Modelo 021208 FINAL - Colíder 7 5" xfId="25356"/>
    <cellStyle name="_Table_Modelo 021208 FINAL - Colíder 8" xfId="6113"/>
    <cellStyle name="_Table_Modelo 021208 FINAL - Colíder 8 2" xfId="6114"/>
    <cellStyle name="_Table_Modelo 021208 FINAL - Colíder 8 2 2" xfId="21912"/>
    <cellStyle name="_Table_Modelo 021208 FINAL - Colíder 8 2 3" xfId="25352"/>
    <cellStyle name="_Table_Modelo 021208 FINAL - Colíder 8 3" xfId="21911"/>
    <cellStyle name="_Table_Modelo 021208 FINAL - Colíder 8 4" xfId="25353"/>
    <cellStyle name="_Table_Modelo 021208 FINAL - Colíder 9" xfId="18492"/>
    <cellStyle name="_Table_Modelo 021208 FINAL - Colíder_v2" xfId="806"/>
    <cellStyle name="_Table_Modelo 021208 FINAL - Colíder_v2 10" xfId="30690"/>
    <cellStyle name="_Table_Modelo 021208 FINAL - Colíder_v2 2" xfId="807"/>
    <cellStyle name="_Table_Modelo 021208 FINAL - Colíder_v2 2 2" xfId="4787"/>
    <cellStyle name="_Table_Modelo 021208 FINAL - Colíder_v2 2 2 2" xfId="4788"/>
    <cellStyle name="_Table_Modelo 021208 FINAL - Colíder_v2 2 2 2 2" xfId="6115"/>
    <cellStyle name="_Table_Modelo 021208 FINAL - Colíder_v2 2 2 2 2 2" xfId="6116"/>
    <cellStyle name="_Table_Modelo 021208 FINAL - Colíder_v2 2 2 2 2 2 2" xfId="21914"/>
    <cellStyle name="_Table_Modelo 021208 FINAL - Colíder_v2 2 2 2 2 2 3" xfId="25350"/>
    <cellStyle name="_Table_Modelo 021208 FINAL - Colíder_v2 2 2 2 2 3" xfId="21913"/>
    <cellStyle name="_Table_Modelo 021208 FINAL - Colíder_v2 2 2 2 2 4" xfId="25351"/>
    <cellStyle name="_Table_Modelo 021208 FINAL - Colíder_v2 2 2 2 3" xfId="6117"/>
    <cellStyle name="_Table_Modelo 021208 FINAL - Colíder_v2 2 2 2 3 2" xfId="6118"/>
    <cellStyle name="_Table_Modelo 021208 FINAL - Colíder_v2 2 2 2 3 2 2" xfId="21916"/>
    <cellStyle name="_Table_Modelo 021208 FINAL - Colíder_v2 2 2 2 3 2 3" xfId="25348"/>
    <cellStyle name="_Table_Modelo 021208 FINAL - Colíder_v2 2 2 2 3 3" xfId="6119"/>
    <cellStyle name="_Table_Modelo 021208 FINAL - Colíder_v2 2 2 2 3 3 2" xfId="21917"/>
    <cellStyle name="_Table_Modelo 021208 FINAL - Colíder_v2 2 2 2 3 3 3" xfId="25347"/>
    <cellStyle name="_Table_Modelo 021208 FINAL - Colíder_v2 2 2 2 3 4" xfId="21915"/>
    <cellStyle name="_Table_Modelo 021208 FINAL - Colíder_v2 2 2 2 3 5" xfId="25349"/>
    <cellStyle name="_Table_Modelo 021208 FINAL - Colíder_v2 2 2 2 4" xfId="20700"/>
    <cellStyle name="_Table_Modelo 021208 FINAL - Colíder_v2 2 2 2 5" xfId="26759"/>
    <cellStyle name="_Table_Modelo 021208 FINAL - Colíder_v2 2 2 3" xfId="4789"/>
    <cellStyle name="_Table_Modelo 021208 FINAL - Colíder_v2 2 2 3 2" xfId="6120"/>
    <cellStyle name="_Table_Modelo 021208 FINAL - Colíder_v2 2 2 3 2 2" xfId="6121"/>
    <cellStyle name="_Table_Modelo 021208 FINAL - Colíder_v2 2 2 3 2 2 2" xfId="21919"/>
    <cellStyle name="_Table_Modelo 021208 FINAL - Colíder_v2 2 2 3 2 2 3" xfId="25346"/>
    <cellStyle name="_Table_Modelo 021208 FINAL - Colíder_v2 2 2 3 2 3" xfId="21918"/>
    <cellStyle name="_Table_Modelo 021208 FINAL - Colíder_v2 2 2 3 2 4" xfId="21028"/>
    <cellStyle name="_Table_Modelo 021208 FINAL - Colíder_v2 2 2 3 3" xfId="6122"/>
    <cellStyle name="_Table_Modelo 021208 FINAL - Colíder_v2 2 2 3 3 2" xfId="6123"/>
    <cellStyle name="_Table_Modelo 021208 FINAL - Colíder_v2 2 2 3 3 2 2" xfId="21921"/>
    <cellStyle name="_Table_Modelo 021208 FINAL - Colíder_v2 2 2 3 3 2 3" xfId="25344"/>
    <cellStyle name="_Table_Modelo 021208 FINAL - Colíder_v2 2 2 3 3 3" xfId="6124"/>
    <cellStyle name="_Table_Modelo 021208 FINAL - Colíder_v2 2 2 3 3 3 2" xfId="21922"/>
    <cellStyle name="_Table_Modelo 021208 FINAL - Colíder_v2 2 2 3 3 3 3" xfId="25343"/>
    <cellStyle name="_Table_Modelo 021208 FINAL - Colíder_v2 2 2 3 3 4" xfId="21920"/>
    <cellStyle name="_Table_Modelo 021208 FINAL - Colíder_v2 2 2 3 3 5" xfId="25345"/>
    <cellStyle name="_Table_Modelo 021208 FINAL - Colíder_v2 2 2 3 4" xfId="20701"/>
    <cellStyle name="_Table_Modelo 021208 FINAL - Colíder_v2 2 2 3 5" xfId="26758"/>
    <cellStyle name="_Table_Modelo 021208 FINAL - Colíder_v2 2 2 4" xfId="4790"/>
    <cellStyle name="_Table_Modelo 021208 FINAL - Colíder_v2 2 2 4 2" xfId="6125"/>
    <cellStyle name="_Table_Modelo 021208 FINAL - Colíder_v2 2 2 4 2 2" xfId="6126"/>
    <cellStyle name="_Table_Modelo 021208 FINAL - Colíder_v2 2 2 4 2 2 2" xfId="21924"/>
    <cellStyle name="_Table_Modelo 021208 FINAL - Colíder_v2 2 2 4 2 2 3" xfId="25341"/>
    <cellStyle name="_Table_Modelo 021208 FINAL - Colíder_v2 2 2 4 2 3" xfId="6127"/>
    <cellStyle name="_Table_Modelo 021208 FINAL - Colíder_v2 2 2 4 2 3 2" xfId="21925"/>
    <cellStyle name="_Table_Modelo 021208 FINAL - Colíder_v2 2 2 4 2 3 3" xfId="25340"/>
    <cellStyle name="_Table_Modelo 021208 FINAL - Colíder_v2 2 2 4 2 4" xfId="21923"/>
    <cellStyle name="_Table_Modelo 021208 FINAL - Colíder_v2 2 2 4 2 5" xfId="25342"/>
    <cellStyle name="_Table_Modelo 021208 FINAL - Colíder_v2 2 2 4 3" xfId="6128"/>
    <cellStyle name="_Table_Modelo 021208 FINAL - Colíder_v2 2 2 4 3 2" xfId="6129"/>
    <cellStyle name="_Table_Modelo 021208 FINAL - Colíder_v2 2 2 4 3 2 2" xfId="21927"/>
    <cellStyle name="_Table_Modelo 021208 FINAL - Colíder_v2 2 2 4 3 2 3" xfId="25338"/>
    <cellStyle name="_Table_Modelo 021208 FINAL - Colíder_v2 2 2 4 3 3" xfId="21926"/>
    <cellStyle name="_Table_Modelo 021208 FINAL - Colíder_v2 2 2 4 3 4" xfId="25339"/>
    <cellStyle name="_Table_Modelo 021208 FINAL - Colíder_v2 2 2 4 4" xfId="20702"/>
    <cellStyle name="_Table_Modelo 021208 FINAL - Colíder_v2 2 2 4 5" xfId="26757"/>
    <cellStyle name="_Table_Modelo 021208 FINAL - Colíder_v2 2 2 5" xfId="6130"/>
    <cellStyle name="_Table_Modelo 021208 FINAL - Colíder_v2 2 2 5 2" xfId="6131"/>
    <cellStyle name="_Table_Modelo 021208 FINAL - Colíder_v2 2 2 5 2 2" xfId="21929"/>
    <cellStyle name="_Table_Modelo 021208 FINAL - Colíder_v2 2 2 5 2 3" xfId="25336"/>
    <cellStyle name="_Table_Modelo 021208 FINAL - Colíder_v2 2 2 5 3" xfId="6132"/>
    <cellStyle name="_Table_Modelo 021208 FINAL - Colíder_v2 2 2 5 3 2" xfId="21930"/>
    <cellStyle name="_Table_Modelo 021208 FINAL - Colíder_v2 2 2 5 3 3" xfId="25335"/>
    <cellStyle name="_Table_Modelo 021208 FINAL - Colíder_v2 2 2 5 4" xfId="21928"/>
    <cellStyle name="_Table_Modelo 021208 FINAL - Colíder_v2 2 2 5 5" xfId="25337"/>
    <cellStyle name="_Table_Modelo 021208 FINAL - Colíder_v2 2 2 6" xfId="6133"/>
    <cellStyle name="_Table_Modelo 021208 FINAL - Colíder_v2 2 2 6 2" xfId="6134"/>
    <cellStyle name="_Table_Modelo 021208 FINAL - Colíder_v2 2 2 6 2 2" xfId="21932"/>
    <cellStyle name="_Table_Modelo 021208 FINAL - Colíder_v2 2 2 6 2 3" xfId="25333"/>
    <cellStyle name="_Table_Modelo 021208 FINAL - Colíder_v2 2 2 6 3" xfId="21931"/>
    <cellStyle name="_Table_Modelo 021208 FINAL - Colíder_v2 2 2 6 4" xfId="25334"/>
    <cellStyle name="_Table_Modelo 021208 FINAL - Colíder_v2 2 2 7" xfId="20699"/>
    <cellStyle name="_Table_Modelo 021208 FINAL - Colíder_v2 2 2 8" xfId="26760"/>
    <cellStyle name="_Table_Modelo 021208 FINAL - Colíder_v2 2 3" xfId="4791"/>
    <cellStyle name="_Table_Modelo 021208 FINAL - Colíder_v2 2 3 2" xfId="6135"/>
    <cellStyle name="_Table_Modelo 021208 FINAL - Colíder_v2 2 3 2 2" xfId="6136"/>
    <cellStyle name="_Table_Modelo 021208 FINAL - Colíder_v2 2 3 2 2 2" xfId="21934"/>
    <cellStyle name="_Table_Modelo 021208 FINAL - Colíder_v2 2 3 2 2 3" xfId="25332"/>
    <cellStyle name="_Table_Modelo 021208 FINAL - Colíder_v2 2 3 2 3" xfId="21933"/>
    <cellStyle name="_Table_Modelo 021208 FINAL - Colíder_v2 2 3 2 4" xfId="20338"/>
    <cellStyle name="_Table_Modelo 021208 FINAL - Colíder_v2 2 3 3" xfId="6137"/>
    <cellStyle name="_Table_Modelo 021208 FINAL - Colíder_v2 2 3 3 2" xfId="6138"/>
    <cellStyle name="_Table_Modelo 021208 FINAL - Colíder_v2 2 3 3 2 2" xfId="21936"/>
    <cellStyle name="_Table_Modelo 021208 FINAL - Colíder_v2 2 3 3 2 3" xfId="25330"/>
    <cellStyle name="_Table_Modelo 021208 FINAL - Colíder_v2 2 3 3 3" xfId="6139"/>
    <cellStyle name="_Table_Modelo 021208 FINAL - Colíder_v2 2 3 3 3 2" xfId="21937"/>
    <cellStyle name="_Table_Modelo 021208 FINAL - Colíder_v2 2 3 3 3 3" xfId="25329"/>
    <cellStyle name="_Table_Modelo 021208 FINAL - Colíder_v2 2 3 3 4" xfId="21935"/>
    <cellStyle name="_Table_Modelo 021208 FINAL - Colíder_v2 2 3 3 5" xfId="25331"/>
    <cellStyle name="_Table_Modelo 021208 FINAL - Colíder_v2 2 3 4" xfId="20703"/>
    <cellStyle name="_Table_Modelo 021208 FINAL - Colíder_v2 2 3 5" xfId="26756"/>
    <cellStyle name="_Table_Modelo 021208 FINAL - Colíder_v2 2 4" xfId="4792"/>
    <cellStyle name="_Table_Modelo 021208 FINAL - Colíder_v2 2 4 2" xfId="6140"/>
    <cellStyle name="_Table_Modelo 021208 FINAL - Colíder_v2 2 4 2 2" xfId="6141"/>
    <cellStyle name="_Table_Modelo 021208 FINAL - Colíder_v2 2 4 2 2 2" xfId="21939"/>
    <cellStyle name="_Table_Modelo 021208 FINAL - Colíder_v2 2 4 2 2 3" xfId="25327"/>
    <cellStyle name="_Table_Modelo 021208 FINAL - Colíder_v2 2 4 2 3" xfId="6142"/>
    <cellStyle name="_Table_Modelo 021208 FINAL - Colíder_v2 2 4 2 3 2" xfId="21940"/>
    <cellStyle name="_Table_Modelo 021208 FINAL - Colíder_v2 2 4 2 3 3" xfId="25326"/>
    <cellStyle name="_Table_Modelo 021208 FINAL - Colíder_v2 2 4 2 4" xfId="21938"/>
    <cellStyle name="_Table_Modelo 021208 FINAL - Colíder_v2 2 4 2 5" xfId="25328"/>
    <cellStyle name="_Table_Modelo 021208 FINAL - Colíder_v2 2 4 3" xfId="6143"/>
    <cellStyle name="_Table_Modelo 021208 FINAL - Colíder_v2 2 4 3 2" xfId="6144"/>
    <cellStyle name="_Table_Modelo 021208 FINAL - Colíder_v2 2 4 3 2 2" xfId="21942"/>
    <cellStyle name="_Table_Modelo 021208 FINAL - Colíder_v2 2 4 3 2 3" xfId="25324"/>
    <cellStyle name="_Table_Modelo 021208 FINAL - Colíder_v2 2 4 3 3" xfId="21941"/>
    <cellStyle name="_Table_Modelo 021208 FINAL - Colíder_v2 2 4 3 4" xfId="25325"/>
    <cellStyle name="_Table_Modelo 021208 FINAL - Colíder_v2 2 4 4" xfId="20704"/>
    <cellStyle name="_Table_Modelo 021208 FINAL - Colíder_v2 2 4 5" xfId="26755"/>
    <cellStyle name="_Table_Modelo 021208 FINAL - Colíder_v2 2 5" xfId="6145"/>
    <cellStyle name="_Table_Modelo 021208 FINAL - Colíder_v2 2 5 2" xfId="6146"/>
    <cellStyle name="_Table_Modelo 021208 FINAL - Colíder_v2 2 5 2 2" xfId="21944"/>
    <cellStyle name="_Table_Modelo 021208 FINAL - Colíder_v2 2 5 2 3" xfId="25322"/>
    <cellStyle name="_Table_Modelo 021208 FINAL - Colíder_v2 2 5 3" xfId="6147"/>
    <cellStyle name="_Table_Modelo 021208 FINAL - Colíder_v2 2 5 3 2" xfId="21945"/>
    <cellStyle name="_Table_Modelo 021208 FINAL - Colíder_v2 2 5 3 3" xfId="25321"/>
    <cellStyle name="_Table_Modelo 021208 FINAL - Colíder_v2 2 5 4" xfId="21943"/>
    <cellStyle name="_Table_Modelo 021208 FINAL - Colíder_v2 2 5 5" xfId="25323"/>
    <cellStyle name="_Table_Modelo 021208 FINAL - Colíder_v2 2 6" xfId="6148"/>
    <cellStyle name="_Table_Modelo 021208 FINAL - Colíder_v2 2 6 2" xfId="6149"/>
    <cellStyle name="_Table_Modelo 021208 FINAL - Colíder_v2 2 6 2 2" xfId="21947"/>
    <cellStyle name="_Table_Modelo 021208 FINAL - Colíder_v2 2 6 2 3" xfId="25319"/>
    <cellStyle name="_Table_Modelo 021208 FINAL - Colíder_v2 2 6 3" xfId="21946"/>
    <cellStyle name="_Table_Modelo 021208 FINAL - Colíder_v2 2 6 4" xfId="25320"/>
    <cellStyle name="_Table_Modelo 021208 FINAL - Colíder_v2 2 7" xfId="18496"/>
    <cellStyle name="_Table_Modelo 021208 FINAL - Colíder_v2 2 8" xfId="30689"/>
    <cellStyle name="_Table_Modelo 021208 FINAL - Colíder_v2 3" xfId="808"/>
    <cellStyle name="_Table_Modelo 021208 FINAL - Colíder_v2 3 2" xfId="4793"/>
    <cellStyle name="_Table_Modelo 021208 FINAL - Colíder_v2 3 2 2" xfId="4794"/>
    <cellStyle name="_Table_Modelo 021208 FINAL - Colíder_v2 3 2 2 2" xfId="6150"/>
    <cellStyle name="_Table_Modelo 021208 FINAL - Colíder_v2 3 2 2 2 2" xfId="6151"/>
    <cellStyle name="_Table_Modelo 021208 FINAL - Colíder_v2 3 2 2 2 2 2" xfId="21949"/>
    <cellStyle name="_Table_Modelo 021208 FINAL - Colíder_v2 3 2 2 2 2 3" xfId="19289"/>
    <cellStyle name="_Table_Modelo 021208 FINAL - Colíder_v2 3 2 2 2 3" xfId="21948"/>
    <cellStyle name="_Table_Modelo 021208 FINAL - Colíder_v2 3 2 2 2 4" xfId="20354"/>
    <cellStyle name="_Table_Modelo 021208 FINAL - Colíder_v2 3 2 2 3" xfId="6152"/>
    <cellStyle name="_Table_Modelo 021208 FINAL - Colíder_v2 3 2 2 3 2" xfId="6153"/>
    <cellStyle name="_Table_Modelo 021208 FINAL - Colíder_v2 3 2 2 3 2 2" xfId="21951"/>
    <cellStyle name="_Table_Modelo 021208 FINAL - Colíder_v2 3 2 2 3 2 3" xfId="25318"/>
    <cellStyle name="_Table_Modelo 021208 FINAL - Colíder_v2 3 2 2 3 3" xfId="6154"/>
    <cellStyle name="_Table_Modelo 021208 FINAL - Colíder_v2 3 2 2 3 3 2" xfId="21952"/>
    <cellStyle name="_Table_Modelo 021208 FINAL - Colíder_v2 3 2 2 3 3 3" xfId="25317"/>
    <cellStyle name="_Table_Modelo 021208 FINAL - Colíder_v2 3 2 2 3 4" xfId="21950"/>
    <cellStyle name="_Table_Modelo 021208 FINAL - Colíder_v2 3 2 2 3 5" xfId="19288"/>
    <cellStyle name="_Table_Modelo 021208 FINAL - Colíder_v2 3 2 2 4" xfId="20706"/>
    <cellStyle name="_Table_Modelo 021208 FINAL - Colíder_v2 3 2 2 5" xfId="26753"/>
    <cellStyle name="_Table_Modelo 021208 FINAL - Colíder_v2 3 2 3" xfId="4795"/>
    <cellStyle name="_Table_Modelo 021208 FINAL - Colíder_v2 3 2 3 2" xfId="6155"/>
    <cellStyle name="_Table_Modelo 021208 FINAL - Colíder_v2 3 2 3 2 2" xfId="6156"/>
    <cellStyle name="_Table_Modelo 021208 FINAL - Colíder_v2 3 2 3 2 2 2" xfId="21954"/>
    <cellStyle name="_Table_Modelo 021208 FINAL - Colíder_v2 3 2 3 2 2 3" xfId="25315"/>
    <cellStyle name="_Table_Modelo 021208 FINAL - Colíder_v2 3 2 3 2 3" xfId="21953"/>
    <cellStyle name="_Table_Modelo 021208 FINAL - Colíder_v2 3 2 3 2 4" xfId="25316"/>
    <cellStyle name="_Table_Modelo 021208 FINAL - Colíder_v2 3 2 3 3" xfId="6157"/>
    <cellStyle name="_Table_Modelo 021208 FINAL - Colíder_v2 3 2 3 3 2" xfId="6158"/>
    <cellStyle name="_Table_Modelo 021208 FINAL - Colíder_v2 3 2 3 3 2 2" xfId="21956"/>
    <cellStyle name="_Table_Modelo 021208 FINAL - Colíder_v2 3 2 3 3 2 3" xfId="25313"/>
    <cellStyle name="_Table_Modelo 021208 FINAL - Colíder_v2 3 2 3 3 3" xfId="6159"/>
    <cellStyle name="_Table_Modelo 021208 FINAL - Colíder_v2 3 2 3 3 3 2" xfId="21957"/>
    <cellStyle name="_Table_Modelo 021208 FINAL - Colíder_v2 3 2 3 3 3 3" xfId="25312"/>
    <cellStyle name="_Table_Modelo 021208 FINAL - Colíder_v2 3 2 3 3 4" xfId="21955"/>
    <cellStyle name="_Table_Modelo 021208 FINAL - Colíder_v2 3 2 3 3 5" xfId="25314"/>
    <cellStyle name="_Table_Modelo 021208 FINAL - Colíder_v2 3 2 3 4" xfId="20707"/>
    <cellStyle name="_Table_Modelo 021208 FINAL - Colíder_v2 3 2 3 5" xfId="26752"/>
    <cellStyle name="_Table_Modelo 021208 FINAL - Colíder_v2 3 2 4" xfId="4796"/>
    <cellStyle name="_Table_Modelo 021208 FINAL - Colíder_v2 3 2 4 2" xfId="6160"/>
    <cellStyle name="_Table_Modelo 021208 FINAL - Colíder_v2 3 2 4 2 2" xfId="6161"/>
    <cellStyle name="_Table_Modelo 021208 FINAL - Colíder_v2 3 2 4 2 2 2" xfId="21959"/>
    <cellStyle name="_Table_Modelo 021208 FINAL - Colíder_v2 3 2 4 2 2 3" xfId="25310"/>
    <cellStyle name="_Table_Modelo 021208 FINAL - Colíder_v2 3 2 4 2 3" xfId="6162"/>
    <cellStyle name="_Table_Modelo 021208 FINAL - Colíder_v2 3 2 4 2 3 2" xfId="21960"/>
    <cellStyle name="_Table_Modelo 021208 FINAL - Colíder_v2 3 2 4 2 3 3" xfId="25309"/>
    <cellStyle name="_Table_Modelo 021208 FINAL - Colíder_v2 3 2 4 2 4" xfId="21958"/>
    <cellStyle name="_Table_Modelo 021208 FINAL - Colíder_v2 3 2 4 2 5" xfId="25311"/>
    <cellStyle name="_Table_Modelo 021208 FINAL - Colíder_v2 3 2 4 3" xfId="6163"/>
    <cellStyle name="_Table_Modelo 021208 FINAL - Colíder_v2 3 2 4 3 2" xfId="6164"/>
    <cellStyle name="_Table_Modelo 021208 FINAL - Colíder_v2 3 2 4 3 2 2" xfId="21962"/>
    <cellStyle name="_Table_Modelo 021208 FINAL - Colíder_v2 3 2 4 3 2 3" xfId="25307"/>
    <cellStyle name="_Table_Modelo 021208 FINAL - Colíder_v2 3 2 4 3 3" xfId="21961"/>
    <cellStyle name="_Table_Modelo 021208 FINAL - Colíder_v2 3 2 4 3 4" xfId="25308"/>
    <cellStyle name="_Table_Modelo 021208 FINAL - Colíder_v2 3 2 4 4" xfId="20708"/>
    <cellStyle name="_Table_Modelo 021208 FINAL - Colíder_v2 3 2 4 5" xfId="26751"/>
    <cellStyle name="_Table_Modelo 021208 FINAL - Colíder_v2 3 2 5" xfId="6165"/>
    <cellStyle name="_Table_Modelo 021208 FINAL - Colíder_v2 3 2 5 2" xfId="6166"/>
    <cellStyle name="_Table_Modelo 021208 FINAL - Colíder_v2 3 2 5 2 2" xfId="21964"/>
    <cellStyle name="_Table_Modelo 021208 FINAL - Colíder_v2 3 2 5 2 3" xfId="25305"/>
    <cellStyle name="_Table_Modelo 021208 FINAL - Colíder_v2 3 2 5 3" xfId="6167"/>
    <cellStyle name="_Table_Modelo 021208 FINAL - Colíder_v2 3 2 5 3 2" xfId="21965"/>
    <cellStyle name="_Table_Modelo 021208 FINAL - Colíder_v2 3 2 5 3 3" xfId="25304"/>
    <cellStyle name="_Table_Modelo 021208 FINAL - Colíder_v2 3 2 5 4" xfId="21963"/>
    <cellStyle name="_Table_Modelo 021208 FINAL - Colíder_v2 3 2 5 5" xfId="25306"/>
    <cellStyle name="_Table_Modelo 021208 FINAL - Colíder_v2 3 2 6" xfId="6168"/>
    <cellStyle name="_Table_Modelo 021208 FINAL - Colíder_v2 3 2 6 2" xfId="6169"/>
    <cellStyle name="_Table_Modelo 021208 FINAL - Colíder_v2 3 2 6 2 2" xfId="21967"/>
    <cellStyle name="_Table_Modelo 021208 FINAL - Colíder_v2 3 2 6 2 3" xfId="25302"/>
    <cellStyle name="_Table_Modelo 021208 FINAL - Colíder_v2 3 2 6 3" xfId="21966"/>
    <cellStyle name="_Table_Modelo 021208 FINAL - Colíder_v2 3 2 6 4" xfId="25303"/>
    <cellStyle name="_Table_Modelo 021208 FINAL - Colíder_v2 3 2 7" xfId="20705"/>
    <cellStyle name="_Table_Modelo 021208 FINAL - Colíder_v2 3 2 8" xfId="26754"/>
    <cellStyle name="_Table_Modelo 021208 FINAL - Colíder_v2 3 3" xfId="4797"/>
    <cellStyle name="_Table_Modelo 021208 FINAL - Colíder_v2 3 3 2" xfId="6170"/>
    <cellStyle name="_Table_Modelo 021208 FINAL - Colíder_v2 3 3 2 2" xfId="6171"/>
    <cellStyle name="_Table_Modelo 021208 FINAL - Colíder_v2 3 3 2 2 2" xfId="21969"/>
    <cellStyle name="_Table_Modelo 021208 FINAL - Colíder_v2 3 3 2 2 3" xfId="25300"/>
    <cellStyle name="_Table_Modelo 021208 FINAL - Colíder_v2 3 3 2 3" xfId="21968"/>
    <cellStyle name="_Table_Modelo 021208 FINAL - Colíder_v2 3 3 2 4" xfId="25301"/>
    <cellStyle name="_Table_Modelo 021208 FINAL - Colíder_v2 3 3 3" xfId="6172"/>
    <cellStyle name="_Table_Modelo 021208 FINAL - Colíder_v2 3 3 3 2" xfId="6173"/>
    <cellStyle name="_Table_Modelo 021208 FINAL - Colíder_v2 3 3 3 2 2" xfId="21971"/>
    <cellStyle name="_Table_Modelo 021208 FINAL - Colíder_v2 3 3 3 2 3" xfId="25299"/>
    <cellStyle name="_Table_Modelo 021208 FINAL - Colíder_v2 3 3 3 3" xfId="6174"/>
    <cellStyle name="_Table_Modelo 021208 FINAL - Colíder_v2 3 3 3 3 2" xfId="21972"/>
    <cellStyle name="_Table_Modelo 021208 FINAL - Colíder_v2 3 3 3 3 3" xfId="25298"/>
    <cellStyle name="_Table_Modelo 021208 FINAL - Colíder_v2 3 3 3 4" xfId="21970"/>
    <cellStyle name="_Table_Modelo 021208 FINAL - Colíder_v2 3 3 3 5" xfId="21027"/>
    <cellStyle name="_Table_Modelo 021208 FINAL - Colíder_v2 3 3 4" xfId="20709"/>
    <cellStyle name="_Table_Modelo 021208 FINAL - Colíder_v2 3 3 5" xfId="26750"/>
    <cellStyle name="_Table_Modelo 021208 FINAL - Colíder_v2 3 4" xfId="4798"/>
    <cellStyle name="_Table_Modelo 021208 FINAL - Colíder_v2 3 4 2" xfId="6175"/>
    <cellStyle name="_Table_Modelo 021208 FINAL - Colíder_v2 3 4 2 2" xfId="6176"/>
    <cellStyle name="_Table_Modelo 021208 FINAL - Colíder_v2 3 4 2 2 2" xfId="21974"/>
    <cellStyle name="_Table_Modelo 021208 FINAL - Colíder_v2 3 4 2 2 3" xfId="25296"/>
    <cellStyle name="_Table_Modelo 021208 FINAL - Colíder_v2 3 4 2 3" xfId="6177"/>
    <cellStyle name="_Table_Modelo 021208 FINAL - Colíder_v2 3 4 2 3 2" xfId="21975"/>
    <cellStyle name="_Table_Modelo 021208 FINAL - Colíder_v2 3 4 2 3 3" xfId="25295"/>
    <cellStyle name="_Table_Modelo 021208 FINAL - Colíder_v2 3 4 2 4" xfId="21973"/>
    <cellStyle name="_Table_Modelo 021208 FINAL - Colíder_v2 3 4 2 5" xfId="25297"/>
    <cellStyle name="_Table_Modelo 021208 FINAL - Colíder_v2 3 4 3" xfId="6178"/>
    <cellStyle name="_Table_Modelo 021208 FINAL - Colíder_v2 3 4 3 2" xfId="6179"/>
    <cellStyle name="_Table_Modelo 021208 FINAL - Colíder_v2 3 4 3 2 2" xfId="21977"/>
    <cellStyle name="_Table_Modelo 021208 FINAL - Colíder_v2 3 4 3 2 3" xfId="25293"/>
    <cellStyle name="_Table_Modelo 021208 FINAL - Colíder_v2 3 4 3 3" xfId="21976"/>
    <cellStyle name="_Table_Modelo 021208 FINAL - Colíder_v2 3 4 3 4" xfId="25294"/>
    <cellStyle name="_Table_Modelo 021208 FINAL - Colíder_v2 3 4 4" xfId="20710"/>
    <cellStyle name="_Table_Modelo 021208 FINAL - Colíder_v2 3 4 5" xfId="26749"/>
    <cellStyle name="_Table_Modelo 021208 FINAL - Colíder_v2 3 5" xfId="6180"/>
    <cellStyle name="_Table_Modelo 021208 FINAL - Colíder_v2 3 5 2" xfId="6181"/>
    <cellStyle name="_Table_Modelo 021208 FINAL - Colíder_v2 3 5 2 2" xfId="21979"/>
    <cellStyle name="_Table_Modelo 021208 FINAL - Colíder_v2 3 5 2 3" xfId="25291"/>
    <cellStyle name="_Table_Modelo 021208 FINAL - Colíder_v2 3 5 3" xfId="6182"/>
    <cellStyle name="_Table_Modelo 021208 FINAL - Colíder_v2 3 5 3 2" xfId="21980"/>
    <cellStyle name="_Table_Modelo 021208 FINAL - Colíder_v2 3 5 3 3" xfId="25290"/>
    <cellStyle name="_Table_Modelo 021208 FINAL - Colíder_v2 3 5 4" xfId="21978"/>
    <cellStyle name="_Table_Modelo 021208 FINAL - Colíder_v2 3 5 5" xfId="25292"/>
    <cellStyle name="_Table_Modelo 021208 FINAL - Colíder_v2 3 6" xfId="6183"/>
    <cellStyle name="_Table_Modelo 021208 FINAL - Colíder_v2 3 6 2" xfId="6184"/>
    <cellStyle name="_Table_Modelo 021208 FINAL - Colíder_v2 3 6 2 2" xfId="21982"/>
    <cellStyle name="_Table_Modelo 021208 FINAL - Colíder_v2 3 6 2 3" xfId="25288"/>
    <cellStyle name="_Table_Modelo 021208 FINAL - Colíder_v2 3 6 3" xfId="21981"/>
    <cellStyle name="_Table_Modelo 021208 FINAL - Colíder_v2 3 6 4" xfId="25289"/>
    <cellStyle name="_Table_Modelo 021208 FINAL - Colíder_v2 3 7" xfId="18497"/>
    <cellStyle name="_Table_Modelo 021208 FINAL - Colíder_v2 3 8" xfId="20289"/>
    <cellStyle name="_Table_Modelo 021208 FINAL - Colíder_v2 4" xfId="4799"/>
    <cellStyle name="_Table_Modelo 021208 FINAL - Colíder_v2 4 2" xfId="4800"/>
    <cellStyle name="_Table_Modelo 021208 FINAL - Colíder_v2 4 2 2" xfId="6185"/>
    <cellStyle name="_Table_Modelo 021208 FINAL - Colíder_v2 4 2 2 2" xfId="6186"/>
    <cellStyle name="_Table_Modelo 021208 FINAL - Colíder_v2 4 2 2 2 2" xfId="21984"/>
    <cellStyle name="_Table_Modelo 021208 FINAL - Colíder_v2 4 2 2 2 3" xfId="25286"/>
    <cellStyle name="_Table_Modelo 021208 FINAL - Colíder_v2 4 2 2 3" xfId="21983"/>
    <cellStyle name="_Table_Modelo 021208 FINAL - Colíder_v2 4 2 2 4" xfId="25287"/>
    <cellStyle name="_Table_Modelo 021208 FINAL - Colíder_v2 4 2 3" xfId="6187"/>
    <cellStyle name="_Table_Modelo 021208 FINAL - Colíder_v2 4 2 3 2" xfId="6188"/>
    <cellStyle name="_Table_Modelo 021208 FINAL - Colíder_v2 4 2 3 2 2" xfId="21986"/>
    <cellStyle name="_Table_Modelo 021208 FINAL - Colíder_v2 4 2 3 2 3" xfId="25285"/>
    <cellStyle name="_Table_Modelo 021208 FINAL - Colíder_v2 4 2 3 3" xfId="6189"/>
    <cellStyle name="_Table_Modelo 021208 FINAL - Colíder_v2 4 2 3 3 2" xfId="21987"/>
    <cellStyle name="_Table_Modelo 021208 FINAL - Colíder_v2 4 2 3 3 3" xfId="25284"/>
    <cellStyle name="_Table_Modelo 021208 FINAL - Colíder_v2 4 2 3 4" xfId="21985"/>
    <cellStyle name="_Table_Modelo 021208 FINAL - Colíder_v2 4 2 3 5" xfId="20337"/>
    <cellStyle name="_Table_Modelo 021208 FINAL - Colíder_v2 4 2 4" xfId="20712"/>
    <cellStyle name="_Table_Modelo 021208 FINAL - Colíder_v2 4 2 5" xfId="26747"/>
    <cellStyle name="_Table_Modelo 021208 FINAL - Colíder_v2 4 3" xfId="4801"/>
    <cellStyle name="_Table_Modelo 021208 FINAL - Colíder_v2 4 3 2" xfId="6190"/>
    <cellStyle name="_Table_Modelo 021208 FINAL - Colíder_v2 4 3 2 2" xfId="6191"/>
    <cellStyle name="_Table_Modelo 021208 FINAL - Colíder_v2 4 3 2 2 2" xfId="21989"/>
    <cellStyle name="_Table_Modelo 021208 FINAL - Colíder_v2 4 3 2 2 3" xfId="25282"/>
    <cellStyle name="_Table_Modelo 021208 FINAL - Colíder_v2 4 3 2 3" xfId="21988"/>
    <cellStyle name="_Table_Modelo 021208 FINAL - Colíder_v2 4 3 2 4" xfId="25283"/>
    <cellStyle name="_Table_Modelo 021208 FINAL - Colíder_v2 4 3 3" xfId="6192"/>
    <cellStyle name="_Table_Modelo 021208 FINAL - Colíder_v2 4 3 3 2" xfId="6193"/>
    <cellStyle name="_Table_Modelo 021208 FINAL - Colíder_v2 4 3 3 2 2" xfId="21991"/>
    <cellStyle name="_Table_Modelo 021208 FINAL - Colíder_v2 4 3 3 2 3" xfId="25280"/>
    <cellStyle name="_Table_Modelo 021208 FINAL - Colíder_v2 4 3 3 3" xfId="6194"/>
    <cellStyle name="_Table_Modelo 021208 FINAL - Colíder_v2 4 3 3 3 2" xfId="21992"/>
    <cellStyle name="_Table_Modelo 021208 FINAL - Colíder_v2 4 3 3 3 3" xfId="25279"/>
    <cellStyle name="_Table_Modelo 021208 FINAL - Colíder_v2 4 3 3 4" xfId="21990"/>
    <cellStyle name="_Table_Modelo 021208 FINAL - Colíder_v2 4 3 3 5" xfId="25281"/>
    <cellStyle name="_Table_Modelo 021208 FINAL - Colíder_v2 4 3 4" xfId="20713"/>
    <cellStyle name="_Table_Modelo 021208 FINAL - Colíder_v2 4 3 5" xfId="26746"/>
    <cellStyle name="_Table_Modelo 021208 FINAL - Colíder_v2 4 4" xfId="4802"/>
    <cellStyle name="_Table_Modelo 021208 FINAL - Colíder_v2 4 4 2" xfId="6195"/>
    <cellStyle name="_Table_Modelo 021208 FINAL - Colíder_v2 4 4 2 2" xfId="6196"/>
    <cellStyle name="_Table_Modelo 021208 FINAL - Colíder_v2 4 4 2 2 2" xfId="21994"/>
    <cellStyle name="_Table_Modelo 021208 FINAL - Colíder_v2 4 4 2 2 3" xfId="25277"/>
    <cellStyle name="_Table_Modelo 021208 FINAL - Colíder_v2 4 4 2 3" xfId="6197"/>
    <cellStyle name="_Table_Modelo 021208 FINAL - Colíder_v2 4 4 2 3 2" xfId="21995"/>
    <cellStyle name="_Table_Modelo 021208 FINAL - Colíder_v2 4 4 2 3 3" xfId="25276"/>
    <cellStyle name="_Table_Modelo 021208 FINAL - Colíder_v2 4 4 2 4" xfId="21993"/>
    <cellStyle name="_Table_Modelo 021208 FINAL - Colíder_v2 4 4 2 5" xfId="25278"/>
    <cellStyle name="_Table_Modelo 021208 FINAL - Colíder_v2 4 4 3" xfId="6198"/>
    <cellStyle name="_Table_Modelo 021208 FINAL - Colíder_v2 4 4 3 2" xfId="6199"/>
    <cellStyle name="_Table_Modelo 021208 FINAL - Colíder_v2 4 4 3 2 2" xfId="21997"/>
    <cellStyle name="_Table_Modelo 021208 FINAL - Colíder_v2 4 4 3 2 3" xfId="25274"/>
    <cellStyle name="_Table_Modelo 021208 FINAL - Colíder_v2 4 4 3 3" xfId="21996"/>
    <cellStyle name="_Table_Modelo 021208 FINAL - Colíder_v2 4 4 3 4" xfId="25275"/>
    <cellStyle name="_Table_Modelo 021208 FINAL - Colíder_v2 4 4 4" xfId="20714"/>
    <cellStyle name="_Table_Modelo 021208 FINAL - Colíder_v2 4 4 5" xfId="21101"/>
    <cellStyle name="_Table_Modelo 021208 FINAL - Colíder_v2 4 5" xfId="6200"/>
    <cellStyle name="_Table_Modelo 021208 FINAL - Colíder_v2 4 5 2" xfId="6201"/>
    <cellStyle name="_Table_Modelo 021208 FINAL - Colíder_v2 4 5 2 2" xfId="21999"/>
    <cellStyle name="_Table_Modelo 021208 FINAL - Colíder_v2 4 5 2 3" xfId="25272"/>
    <cellStyle name="_Table_Modelo 021208 FINAL - Colíder_v2 4 5 3" xfId="6202"/>
    <cellStyle name="_Table_Modelo 021208 FINAL - Colíder_v2 4 5 3 2" xfId="22000"/>
    <cellStyle name="_Table_Modelo 021208 FINAL - Colíder_v2 4 5 3 3" xfId="20358"/>
    <cellStyle name="_Table_Modelo 021208 FINAL - Colíder_v2 4 5 4" xfId="21998"/>
    <cellStyle name="_Table_Modelo 021208 FINAL - Colíder_v2 4 5 5" xfId="25273"/>
    <cellStyle name="_Table_Modelo 021208 FINAL - Colíder_v2 4 6" xfId="6203"/>
    <cellStyle name="_Table_Modelo 021208 FINAL - Colíder_v2 4 6 2" xfId="6204"/>
    <cellStyle name="_Table_Modelo 021208 FINAL - Colíder_v2 4 6 2 2" xfId="22002"/>
    <cellStyle name="_Table_Modelo 021208 FINAL - Colíder_v2 4 6 2 3" xfId="25270"/>
    <cellStyle name="_Table_Modelo 021208 FINAL - Colíder_v2 4 6 3" xfId="22001"/>
    <cellStyle name="_Table_Modelo 021208 FINAL - Colíder_v2 4 6 4" xfId="25271"/>
    <cellStyle name="_Table_Modelo 021208 FINAL - Colíder_v2 4 7" xfId="20711"/>
    <cellStyle name="_Table_Modelo 021208 FINAL - Colíder_v2 4 8" xfId="26748"/>
    <cellStyle name="_Table_Modelo 021208 FINAL - Colíder_v2 5" xfId="4803"/>
    <cellStyle name="_Table_Modelo 021208 FINAL - Colíder_v2 5 2" xfId="6205"/>
    <cellStyle name="_Table_Modelo 021208 FINAL - Colíder_v2 5 2 2" xfId="6206"/>
    <cellStyle name="_Table_Modelo 021208 FINAL - Colíder_v2 5 2 2 2" xfId="22004"/>
    <cellStyle name="_Table_Modelo 021208 FINAL - Colíder_v2 5 2 2 3" xfId="25268"/>
    <cellStyle name="_Table_Modelo 021208 FINAL - Colíder_v2 5 2 3" xfId="22003"/>
    <cellStyle name="_Table_Modelo 021208 FINAL - Colíder_v2 5 2 4" xfId="25269"/>
    <cellStyle name="_Table_Modelo 021208 FINAL - Colíder_v2 5 3" xfId="6207"/>
    <cellStyle name="_Table_Modelo 021208 FINAL - Colíder_v2 5 3 2" xfId="6208"/>
    <cellStyle name="_Table_Modelo 021208 FINAL - Colíder_v2 5 3 2 2" xfId="22006"/>
    <cellStyle name="_Table_Modelo 021208 FINAL - Colíder_v2 5 3 2 3" xfId="25266"/>
    <cellStyle name="_Table_Modelo 021208 FINAL - Colíder_v2 5 3 3" xfId="6209"/>
    <cellStyle name="_Table_Modelo 021208 FINAL - Colíder_v2 5 3 3 2" xfId="22007"/>
    <cellStyle name="_Table_Modelo 021208 FINAL - Colíder_v2 5 3 3 3" xfId="25265"/>
    <cellStyle name="_Table_Modelo 021208 FINAL - Colíder_v2 5 3 4" xfId="22005"/>
    <cellStyle name="_Table_Modelo 021208 FINAL - Colíder_v2 5 3 5" xfId="25267"/>
    <cellStyle name="_Table_Modelo 021208 FINAL - Colíder_v2 5 4" xfId="20715"/>
    <cellStyle name="_Table_Modelo 021208 FINAL - Colíder_v2 5 5" xfId="26745"/>
    <cellStyle name="_Table_Modelo 021208 FINAL - Colíder_v2 6" xfId="4804"/>
    <cellStyle name="_Table_Modelo 021208 FINAL - Colíder_v2 6 2" xfId="6210"/>
    <cellStyle name="_Table_Modelo 021208 FINAL - Colíder_v2 6 2 2" xfId="6211"/>
    <cellStyle name="_Table_Modelo 021208 FINAL - Colíder_v2 6 2 2 2" xfId="22009"/>
    <cellStyle name="_Table_Modelo 021208 FINAL - Colíder_v2 6 2 2 3" xfId="25263"/>
    <cellStyle name="_Table_Modelo 021208 FINAL - Colíder_v2 6 2 3" xfId="6212"/>
    <cellStyle name="_Table_Modelo 021208 FINAL - Colíder_v2 6 2 3 2" xfId="22010"/>
    <cellStyle name="_Table_Modelo 021208 FINAL - Colíder_v2 6 2 3 3" xfId="25262"/>
    <cellStyle name="_Table_Modelo 021208 FINAL - Colíder_v2 6 2 4" xfId="22008"/>
    <cellStyle name="_Table_Modelo 021208 FINAL - Colíder_v2 6 2 5" xfId="25264"/>
    <cellStyle name="_Table_Modelo 021208 FINAL - Colíder_v2 6 3" xfId="6213"/>
    <cellStyle name="_Table_Modelo 021208 FINAL - Colíder_v2 6 3 2" xfId="6214"/>
    <cellStyle name="_Table_Modelo 021208 FINAL - Colíder_v2 6 3 2 2" xfId="22012"/>
    <cellStyle name="_Table_Modelo 021208 FINAL - Colíder_v2 6 3 2 3" xfId="25260"/>
    <cellStyle name="_Table_Modelo 021208 FINAL - Colíder_v2 6 3 3" xfId="22011"/>
    <cellStyle name="_Table_Modelo 021208 FINAL - Colíder_v2 6 3 4" xfId="25261"/>
    <cellStyle name="_Table_Modelo 021208 FINAL - Colíder_v2 6 4" xfId="20716"/>
    <cellStyle name="_Table_Modelo 021208 FINAL - Colíder_v2 6 5" xfId="26744"/>
    <cellStyle name="_Table_Modelo 021208 FINAL - Colíder_v2 7" xfId="6215"/>
    <cellStyle name="_Table_Modelo 021208 FINAL - Colíder_v2 7 2" xfId="6216"/>
    <cellStyle name="_Table_Modelo 021208 FINAL - Colíder_v2 7 2 2" xfId="22014"/>
    <cellStyle name="_Table_Modelo 021208 FINAL - Colíder_v2 7 2 3" xfId="25258"/>
    <cellStyle name="_Table_Modelo 021208 FINAL - Colíder_v2 7 3" xfId="6217"/>
    <cellStyle name="_Table_Modelo 021208 FINAL - Colíder_v2 7 3 2" xfId="22015"/>
    <cellStyle name="_Table_Modelo 021208 FINAL - Colíder_v2 7 3 3" xfId="25257"/>
    <cellStyle name="_Table_Modelo 021208 FINAL - Colíder_v2 7 4" xfId="22013"/>
    <cellStyle name="_Table_Modelo 021208 FINAL - Colíder_v2 7 5" xfId="25259"/>
    <cellStyle name="_Table_Modelo 021208 FINAL - Colíder_v2 8" xfId="6218"/>
    <cellStyle name="_Table_Modelo 021208 FINAL - Colíder_v2 8 2" xfId="6219"/>
    <cellStyle name="_Table_Modelo 021208 FINAL - Colíder_v2 8 2 2" xfId="22017"/>
    <cellStyle name="_Table_Modelo 021208 FINAL - Colíder_v2 8 2 3" xfId="25255"/>
    <cellStyle name="_Table_Modelo 021208 FINAL - Colíder_v2 8 3" xfId="22016"/>
    <cellStyle name="_Table_Modelo 021208 FINAL - Colíder_v2 8 4" xfId="25256"/>
    <cellStyle name="_Table_Modelo 021208 FINAL - Colíder_v2 9" xfId="18495"/>
    <cellStyle name="_Table_Modelo 281108 FINAL - Alta Floresta" xfId="809"/>
    <cellStyle name="_Table_Modelo 281108 FINAL - Alta Floresta 10" xfId="20078"/>
    <cellStyle name="_Table_Modelo 281108 FINAL - Alta Floresta 2" xfId="810"/>
    <cellStyle name="_Table_Modelo 281108 FINAL - Alta Floresta 2 2" xfId="4805"/>
    <cellStyle name="_Table_Modelo 281108 FINAL - Alta Floresta 2 2 2" xfId="4806"/>
    <cellStyle name="_Table_Modelo 281108 FINAL - Alta Floresta 2 2 2 2" xfId="6220"/>
    <cellStyle name="_Table_Modelo 281108 FINAL - Alta Floresta 2 2 2 2 2" xfId="6221"/>
    <cellStyle name="_Table_Modelo 281108 FINAL - Alta Floresta 2 2 2 2 2 2" xfId="22019"/>
    <cellStyle name="_Table_Modelo 281108 FINAL - Alta Floresta 2 2 2 2 2 3" xfId="25253"/>
    <cellStyle name="_Table_Modelo 281108 FINAL - Alta Floresta 2 2 2 2 3" xfId="22018"/>
    <cellStyle name="_Table_Modelo 281108 FINAL - Alta Floresta 2 2 2 2 4" xfId="25254"/>
    <cellStyle name="_Table_Modelo 281108 FINAL - Alta Floresta 2 2 2 3" xfId="6222"/>
    <cellStyle name="_Table_Modelo 281108 FINAL - Alta Floresta 2 2 2 3 2" xfId="6223"/>
    <cellStyle name="_Table_Modelo 281108 FINAL - Alta Floresta 2 2 2 3 2 2" xfId="22021"/>
    <cellStyle name="_Table_Modelo 281108 FINAL - Alta Floresta 2 2 2 3 2 3" xfId="25252"/>
    <cellStyle name="_Table_Modelo 281108 FINAL - Alta Floresta 2 2 2 3 3" xfId="6224"/>
    <cellStyle name="_Table_Modelo 281108 FINAL - Alta Floresta 2 2 2 3 3 2" xfId="22022"/>
    <cellStyle name="_Table_Modelo 281108 FINAL - Alta Floresta 2 2 2 3 3 3" xfId="25251"/>
    <cellStyle name="_Table_Modelo 281108 FINAL - Alta Floresta 2 2 2 3 4" xfId="22020"/>
    <cellStyle name="_Table_Modelo 281108 FINAL - Alta Floresta 2 2 2 3 5" xfId="21026"/>
    <cellStyle name="_Table_Modelo 281108 FINAL - Alta Floresta 2 2 2 4" xfId="20718"/>
    <cellStyle name="_Table_Modelo 281108 FINAL - Alta Floresta 2 2 2 5" xfId="26742"/>
    <cellStyle name="_Table_Modelo 281108 FINAL - Alta Floresta 2 2 3" xfId="4807"/>
    <cellStyle name="_Table_Modelo 281108 FINAL - Alta Floresta 2 2 3 2" xfId="6225"/>
    <cellStyle name="_Table_Modelo 281108 FINAL - Alta Floresta 2 2 3 2 2" xfId="6226"/>
    <cellStyle name="_Table_Modelo 281108 FINAL - Alta Floresta 2 2 3 2 2 2" xfId="22024"/>
    <cellStyle name="_Table_Modelo 281108 FINAL - Alta Floresta 2 2 3 2 2 3" xfId="25249"/>
    <cellStyle name="_Table_Modelo 281108 FINAL - Alta Floresta 2 2 3 2 3" xfId="22023"/>
    <cellStyle name="_Table_Modelo 281108 FINAL - Alta Floresta 2 2 3 2 4" xfId="25250"/>
    <cellStyle name="_Table_Modelo 281108 FINAL - Alta Floresta 2 2 3 3" xfId="6227"/>
    <cellStyle name="_Table_Modelo 281108 FINAL - Alta Floresta 2 2 3 3 2" xfId="6228"/>
    <cellStyle name="_Table_Modelo 281108 FINAL - Alta Floresta 2 2 3 3 2 2" xfId="22026"/>
    <cellStyle name="_Table_Modelo 281108 FINAL - Alta Floresta 2 2 3 3 2 3" xfId="25247"/>
    <cellStyle name="_Table_Modelo 281108 FINAL - Alta Floresta 2 2 3 3 3" xfId="6229"/>
    <cellStyle name="_Table_Modelo 281108 FINAL - Alta Floresta 2 2 3 3 3 2" xfId="22027"/>
    <cellStyle name="_Table_Modelo 281108 FINAL - Alta Floresta 2 2 3 3 3 3" xfId="25246"/>
    <cellStyle name="_Table_Modelo 281108 FINAL - Alta Floresta 2 2 3 3 4" xfId="22025"/>
    <cellStyle name="_Table_Modelo 281108 FINAL - Alta Floresta 2 2 3 3 5" xfId="25248"/>
    <cellStyle name="_Table_Modelo 281108 FINAL - Alta Floresta 2 2 3 4" xfId="20719"/>
    <cellStyle name="_Table_Modelo 281108 FINAL - Alta Floresta 2 2 3 5" xfId="26741"/>
    <cellStyle name="_Table_Modelo 281108 FINAL - Alta Floresta 2 2 4" xfId="4808"/>
    <cellStyle name="_Table_Modelo 281108 FINAL - Alta Floresta 2 2 4 2" xfId="6230"/>
    <cellStyle name="_Table_Modelo 281108 FINAL - Alta Floresta 2 2 4 2 2" xfId="6231"/>
    <cellStyle name="_Table_Modelo 281108 FINAL - Alta Floresta 2 2 4 2 2 2" xfId="22029"/>
    <cellStyle name="_Table_Modelo 281108 FINAL - Alta Floresta 2 2 4 2 2 3" xfId="25244"/>
    <cellStyle name="_Table_Modelo 281108 FINAL - Alta Floresta 2 2 4 2 3" xfId="6232"/>
    <cellStyle name="_Table_Modelo 281108 FINAL - Alta Floresta 2 2 4 2 3 2" xfId="22030"/>
    <cellStyle name="_Table_Modelo 281108 FINAL - Alta Floresta 2 2 4 2 3 3" xfId="25243"/>
    <cellStyle name="_Table_Modelo 281108 FINAL - Alta Floresta 2 2 4 2 4" xfId="22028"/>
    <cellStyle name="_Table_Modelo 281108 FINAL - Alta Floresta 2 2 4 2 5" xfId="25245"/>
    <cellStyle name="_Table_Modelo 281108 FINAL - Alta Floresta 2 2 4 3" xfId="6233"/>
    <cellStyle name="_Table_Modelo 281108 FINAL - Alta Floresta 2 2 4 3 2" xfId="6234"/>
    <cellStyle name="_Table_Modelo 281108 FINAL - Alta Floresta 2 2 4 3 2 2" xfId="22032"/>
    <cellStyle name="_Table_Modelo 281108 FINAL - Alta Floresta 2 2 4 3 2 3" xfId="25241"/>
    <cellStyle name="_Table_Modelo 281108 FINAL - Alta Floresta 2 2 4 3 3" xfId="22031"/>
    <cellStyle name="_Table_Modelo 281108 FINAL - Alta Floresta 2 2 4 3 4" xfId="25242"/>
    <cellStyle name="_Table_Modelo 281108 FINAL - Alta Floresta 2 2 4 4" xfId="20720"/>
    <cellStyle name="_Table_Modelo 281108 FINAL - Alta Floresta 2 2 4 5" xfId="26740"/>
    <cellStyle name="_Table_Modelo 281108 FINAL - Alta Floresta 2 2 5" xfId="6235"/>
    <cellStyle name="_Table_Modelo 281108 FINAL - Alta Floresta 2 2 5 2" xfId="6236"/>
    <cellStyle name="_Table_Modelo 281108 FINAL - Alta Floresta 2 2 5 2 2" xfId="22034"/>
    <cellStyle name="_Table_Modelo 281108 FINAL - Alta Floresta 2 2 5 2 3" xfId="25239"/>
    <cellStyle name="_Table_Modelo 281108 FINAL - Alta Floresta 2 2 5 3" xfId="6237"/>
    <cellStyle name="_Table_Modelo 281108 FINAL - Alta Floresta 2 2 5 3 2" xfId="22035"/>
    <cellStyle name="_Table_Modelo 281108 FINAL - Alta Floresta 2 2 5 3 3" xfId="20236"/>
    <cellStyle name="_Table_Modelo 281108 FINAL - Alta Floresta 2 2 5 4" xfId="22033"/>
    <cellStyle name="_Table_Modelo 281108 FINAL - Alta Floresta 2 2 5 5" xfId="25240"/>
    <cellStyle name="_Table_Modelo 281108 FINAL - Alta Floresta 2 2 6" xfId="6238"/>
    <cellStyle name="_Table_Modelo 281108 FINAL - Alta Floresta 2 2 6 2" xfId="6239"/>
    <cellStyle name="_Table_Modelo 281108 FINAL - Alta Floresta 2 2 6 2 2" xfId="22037"/>
    <cellStyle name="_Table_Modelo 281108 FINAL - Alta Floresta 2 2 6 2 3" xfId="25237"/>
    <cellStyle name="_Table_Modelo 281108 FINAL - Alta Floresta 2 2 6 3" xfId="22036"/>
    <cellStyle name="_Table_Modelo 281108 FINAL - Alta Floresta 2 2 6 4" xfId="25238"/>
    <cellStyle name="_Table_Modelo 281108 FINAL - Alta Floresta 2 2 7" xfId="20717"/>
    <cellStyle name="_Table_Modelo 281108 FINAL - Alta Floresta 2 2 8" xfId="26743"/>
    <cellStyle name="_Table_Modelo 281108 FINAL - Alta Floresta 2 3" xfId="4809"/>
    <cellStyle name="_Table_Modelo 281108 FINAL - Alta Floresta 2 3 2" xfId="6240"/>
    <cellStyle name="_Table_Modelo 281108 FINAL - Alta Floresta 2 3 2 2" xfId="6241"/>
    <cellStyle name="_Table_Modelo 281108 FINAL - Alta Floresta 2 3 2 2 2" xfId="22039"/>
    <cellStyle name="_Table_Modelo 281108 FINAL - Alta Floresta 2 3 2 2 3" xfId="25235"/>
    <cellStyle name="_Table_Modelo 281108 FINAL - Alta Floresta 2 3 2 3" xfId="22038"/>
    <cellStyle name="_Table_Modelo 281108 FINAL - Alta Floresta 2 3 2 4" xfId="25236"/>
    <cellStyle name="_Table_Modelo 281108 FINAL - Alta Floresta 2 3 3" xfId="6242"/>
    <cellStyle name="_Table_Modelo 281108 FINAL - Alta Floresta 2 3 3 2" xfId="6243"/>
    <cellStyle name="_Table_Modelo 281108 FINAL - Alta Floresta 2 3 3 2 2" xfId="22041"/>
    <cellStyle name="_Table_Modelo 281108 FINAL - Alta Floresta 2 3 3 2 3" xfId="25233"/>
    <cellStyle name="_Table_Modelo 281108 FINAL - Alta Floresta 2 3 3 3" xfId="6244"/>
    <cellStyle name="_Table_Modelo 281108 FINAL - Alta Floresta 2 3 3 3 2" xfId="22042"/>
    <cellStyle name="_Table_Modelo 281108 FINAL - Alta Floresta 2 3 3 3 3" xfId="25232"/>
    <cellStyle name="_Table_Modelo 281108 FINAL - Alta Floresta 2 3 3 4" xfId="22040"/>
    <cellStyle name="_Table_Modelo 281108 FINAL - Alta Floresta 2 3 3 5" xfId="25234"/>
    <cellStyle name="_Table_Modelo 281108 FINAL - Alta Floresta 2 3 4" xfId="20721"/>
    <cellStyle name="_Table_Modelo 281108 FINAL - Alta Floresta 2 3 5" xfId="26739"/>
    <cellStyle name="_Table_Modelo 281108 FINAL - Alta Floresta 2 4" xfId="4810"/>
    <cellStyle name="_Table_Modelo 281108 FINAL - Alta Floresta 2 4 2" xfId="6245"/>
    <cellStyle name="_Table_Modelo 281108 FINAL - Alta Floresta 2 4 2 2" xfId="6246"/>
    <cellStyle name="_Table_Modelo 281108 FINAL - Alta Floresta 2 4 2 2 2" xfId="22044"/>
    <cellStyle name="_Table_Modelo 281108 FINAL - Alta Floresta 2 4 2 2 3" xfId="25230"/>
    <cellStyle name="_Table_Modelo 281108 FINAL - Alta Floresta 2 4 2 3" xfId="6247"/>
    <cellStyle name="_Table_Modelo 281108 FINAL - Alta Floresta 2 4 2 3 2" xfId="22045"/>
    <cellStyle name="_Table_Modelo 281108 FINAL - Alta Floresta 2 4 2 3 3" xfId="25229"/>
    <cellStyle name="_Table_Modelo 281108 FINAL - Alta Floresta 2 4 2 4" xfId="22043"/>
    <cellStyle name="_Table_Modelo 281108 FINAL - Alta Floresta 2 4 2 5" xfId="25231"/>
    <cellStyle name="_Table_Modelo 281108 FINAL - Alta Floresta 2 4 3" xfId="6248"/>
    <cellStyle name="_Table_Modelo 281108 FINAL - Alta Floresta 2 4 3 2" xfId="6249"/>
    <cellStyle name="_Table_Modelo 281108 FINAL - Alta Floresta 2 4 3 2 2" xfId="22047"/>
    <cellStyle name="_Table_Modelo 281108 FINAL - Alta Floresta 2 4 3 2 3" xfId="25227"/>
    <cellStyle name="_Table_Modelo 281108 FINAL - Alta Floresta 2 4 3 3" xfId="22046"/>
    <cellStyle name="_Table_Modelo 281108 FINAL - Alta Floresta 2 4 3 4" xfId="25228"/>
    <cellStyle name="_Table_Modelo 281108 FINAL - Alta Floresta 2 4 4" xfId="20722"/>
    <cellStyle name="_Table_Modelo 281108 FINAL - Alta Floresta 2 4 5" xfId="26738"/>
    <cellStyle name="_Table_Modelo 281108 FINAL - Alta Floresta 2 5" xfId="6250"/>
    <cellStyle name="_Table_Modelo 281108 FINAL - Alta Floresta 2 5 2" xfId="6251"/>
    <cellStyle name="_Table_Modelo 281108 FINAL - Alta Floresta 2 5 2 2" xfId="22049"/>
    <cellStyle name="_Table_Modelo 281108 FINAL - Alta Floresta 2 5 2 3" xfId="25225"/>
    <cellStyle name="_Table_Modelo 281108 FINAL - Alta Floresta 2 5 3" xfId="6252"/>
    <cellStyle name="_Table_Modelo 281108 FINAL - Alta Floresta 2 5 3 2" xfId="22050"/>
    <cellStyle name="_Table_Modelo 281108 FINAL - Alta Floresta 2 5 3 3" xfId="20356"/>
    <cellStyle name="_Table_Modelo 281108 FINAL - Alta Floresta 2 5 4" xfId="22048"/>
    <cellStyle name="_Table_Modelo 281108 FINAL - Alta Floresta 2 5 5" xfId="25226"/>
    <cellStyle name="_Table_Modelo 281108 FINAL - Alta Floresta 2 6" xfId="6253"/>
    <cellStyle name="_Table_Modelo 281108 FINAL - Alta Floresta 2 6 2" xfId="6254"/>
    <cellStyle name="_Table_Modelo 281108 FINAL - Alta Floresta 2 6 2 2" xfId="22052"/>
    <cellStyle name="_Table_Modelo 281108 FINAL - Alta Floresta 2 6 2 3" xfId="25224"/>
    <cellStyle name="_Table_Modelo 281108 FINAL - Alta Floresta 2 6 3" xfId="22051"/>
    <cellStyle name="_Table_Modelo 281108 FINAL - Alta Floresta 2 6 4" xfId="19287"/>
    <cellStyle name="_Table_Modelo 281108 FINAL - Alta Floresta 2 7" xfId="18499"/>
    <cellStyle name="_Table_Modelo 281108 FINAL - Alta Floresta 2 8" xfId="30688"/>
    <cellStyle name="_Table_Modelo 281108 FINAL - Alta Floresta 3" xfId="811"/>
    <cellStyle name="_Table_Modelo 281108 FINAL - Alta Floresta 3 2" xfId="4811"/>
    <cellStyle name="_Table_Modelo 281108 FINAL - Alta Floresta 3 2 2" xfId="4812"/>
    <cellStyle name="_Table_Modelo 281108 FINAL - Alta Floresta 3 2 2 2" xfId="6255"/>
    <cellStyle name="_Table_Modelo 281108 FINAL - Alta Floresta 3 2 2 2 2" xfId="6256"/>
    <cellStyle name="_Table_Modelo 281108 FINAL - Alta Floresta 3 2 2 2 2 2" xfId="22054"/>
    <cellStyle name="_Table_Modelo 281108 FINAL - Alta Floresta 3 2 2 2 2 3" xfId="25222"/>
    <cellStyle name="_Table_Modelo 281108 FINAL - Alta Floresta 3 2 2 2 3" xfId="22053"/>
    <cellStyle name="_Table_Modelo 281108 FINAL - Alta Floresta 3 2 2 2 4" xfId="25223"/>
    <cellStyle name="_Table_Modelo 281108 FINAL - Alta Floresta 3 2 2 3" xfId="6257"/>
    <cellStyle name="_Table_Modelo 281108 FINAL - Alta Floresta 3 2 2 3 2" xfId="6258"/>
    <cellStyle name="_Table_Modelo 281108 FINAL - Alta Floresta 3 2 2 3 2 2" xfId="22056"/>
    <cellStyle name="_Table_Modelo 281108 FINAL - Alta Floresta 3 2 2 3 2 3" xfId="25220"/>
    <cellStyle name="_Table_Modelo 281108 FINAL - Alta Floresta 3 2 2 3 3" xfId="6259"/>
    <cellStyle name="_Table_Modelo 281108 FINAL - Alta Floresta 3 2 2 3 3 2" xfId="22057"/>
    <cellStyle name="_Table_Modelo 281108 FINAL - Alta Floresta 3 2 2 3 3 3" xfId="25219"/>
    <cellStyle name="_Table_Modelo 281108 FINAL - Alta Floresta 3 2 2 3 4" xfId="22055"/>
    <cellStyle name="_Table_Modelo 281108 FINAL - Alta Floresta 3 2 2 3 5" xfId="25221"/>
    <cellStyle name="_Table_Modelo 281108 FINAL - Alta Floresta 3 2 2 4" xfId="20724"/>
    <cellStyle name="_Table_Modelo 281108 FINAL - Alta Floresta 3 2 2 5" xfId="26736"/>
    <cellStyle name="_Table_Modelo 281108 FINAL - Alta Floresta 3 2 3" xfId="4813"/>
    <cellStyle name="_Table_Modelo 281108 FINAL - Alta Floresta 3 2 3 2" xfId="6260"/>
    <cellStyle name="_Table_Modelo 281108 FINAL - Alta Floresta 3 2 3 2 2" xfId="6261"/>
    <cellStyle name="_Table_Modelo 281108 FINAL - Alta Floresta 3 2 3 2 2 2" xfId="22059"/>
    <cellStyle name="_Table_Modelo 281108 FINAL - Alta Floresta 3 2 3 2 2 3" xfId="25217"/>
    <cellStyle name="_Table_Modelo 281108 FINAL - Alta Floresta 3 2 3 2 3" xfId="22058"/>
    <cellStyle name="_Table_Modelo 281108 FINAL - Alta Floresta 3 2 3 2 4" xfId="25218"/>
    <cellStyle name="_Table_Modelo 281108 FINAL - Alta Floresta 3 2 3 3" xfId="6262"/>
    <cellStyle name="_Table_Modelo 281108 FINAL - Alta Floresta 3 2 3 3 2" xfId="6263"/>
    <cellStyle name="_Table_Modelo 281108 FINAL - Alta Floresta 3 2 3 3 2 2" xfId="22061"/>
    <cellStyle name="_Table_Modelo 281108 FINAL - Alta Floresta 3 2 3 3 2 3" xfId="25215"/>
    <cellStyle name="_Table_Modelo 281108 FINAL - Alta Floresta 3 2 3 3 3" xfId="6264"/>
    <cellStyle name="_Table_Modelo 281108 FINAL - Alta Floresta 3 2 3 3 3 2" xfId="22062"/>
    <cellStyle name="_Table_Modelo 281108 FINAL - Alta Floresta 3 2 3 3 3 3" xfId="25214"/>
    <cellStyle name="_Table_Modelo 281108 FINAL - Alta Floresta 3 2 3 3 4" xfId="22060"/>
    <cellStyle name="_Table_Modelo 281108 FINAL - Alta Floresta 3 2 3 3 5" xfId="25216"/>
    <cellStyle name="_Table_Modelo 281108 FINAL - Alta Floresta 3 2 3 4" xfId="20725"/>
    <cellStyle name="_Table_Modelo 281108 FINAL - Alta Floresta 3 2 3 5" xfId="26735"/>
    <cellStyle name="_Table_Modelo 281108 FINAL - Alta Floresta 3 2 4" xfId="4814"/>
    <cellStyle name="_Table_Modelo 281108 FINAL - Alta Floresta 3 2 4 2" xfId="6265"/>
    <cellStyle name="_Table_Modelo 281108 FINAL - Alta Floresta 3 2 4 2 2" xfId="6266"/>
    <cellStyle name="_Table_Modelo 281108 FINAL - Alta Floresta 3 2 4 2 2 2" xfId="22064"/>
    <cellStyle name="_Table_Modelo 281108 FINAL - Alta Floresta 3 2 4 2 2 3" xfId="25212"/>
    <cellStyle name="_Table_Modelo 281108 FINAL - Alta Floresta 3 2 4 2 3" xfId="6267"/>
    <cellStyle name="_Table_Modelo 281108 FINAL - Alta Floresta 3 2 4 2 3 2" xfId="22065"/>
    <cellStyle name="_Table_Modelo 281108 FINAL - Alta Floresta 3 2 4 2 3 3" xfId="25211"/>
    <cellStyle name="_Table_Modelo 281108 FINAL - Alta Floresta 3 2 4 2 4" xfId="22063"/>
    <cellStyle name="_Table_Modelo 281108 FINAL - Alta Floresta 3 2 4 2 5" xfId="25213"/>
    <cellStyle name="_Table_Modelo 281108 FINAL - Alta Floresta 3 2 4 3" xfId="6268"/>
    <cellStyle name="_Table_Modelo 281108 FINAL - Alta Floresta 3 2 4 3 2" xfId="6269"/>
    <cellStyle name="_Table_Modelo 281108 FINAL - Alta Floresta 3 2 4 3 2 2" xfId="22067"/>
    <cellStyle name="_Table_Modelo 281108 FINAL - Alta Floresta 3 2 4 3 2 3" xfId="25209"/>
    <cellStyle name="_Table_Modelo 281108 FINAL - Alta Floresta 3 2 4 3 3" xfId="22066"/>
    <cellStyle name="_Table_Modelo 281108 FINAL - Alta Floresta 3 2 4 3 4" xfId="25210"/>
    <cellStyle name="_Table_Modelo 281108 FINAL - Alta Floresta 3 2 4 4" xfId="20726"/>
    <cellStyle name="_Table_Modelo 281108 FINAL - Alta Floresta 3 2 4 5" xfId="26734"/>
    <cellStyle name="_Table_Modelo 281108 FINAL - Alta Floresta 3 2 5" xfId="6270"/>
    <cellStyle name="_Table_Modelo 281108 FINAL - Alta Floresta 3 2 5 2" xfId="6271"/>
    <cellStyle name="_Table_Modelo 281108 FINAL - Alta Floresta 3 2 5 2 2" xfId="22069"/>
    <cellStyle name="_Table_Modelo 281108 FINAL - Alta Floresta 3 2 5 2 3" xfId="25207"/>
    <cellStyle name="_Table_Modelo 281108 FINAL - Alta Floresta 3 2 5 3" xfId="6272"/>
    <cellStyle name="_Table_Modelo 281108 FINAL - Alta Floresta 3 2 5 3 2" xfId="22070"/>
    <cellStyle name="_Table_Modelo 281108 FINAL - Alta Floresta 3 2 5 3 3" xfId="25206"/>
    <cellStyle name="_Table_Modelo 281108 FINAL - Alta Floresta 3 2 5 4" xfId="22068"/>
    <cellStyle name="_Table_Modelo 281108 FINAL - Alta Floresta 3 2 5 5" xfId="25208"/>
    <cellStyle name="_Table_Modelo 281108 FINAL - Alta Floresta 3 2 6" xfId="6273"/>
    <cellStyle name="_Table_Modelo 281108 FINAL - Alta Floresta 3 2 6 2" xfId="6274"/>
    <cellStyle name="_Table_Modelo 281108 FINAL - Alta Floresta 3 2 6 2 2" xfId="22072"/>
    <cellStyle name="_Table_Modelo 281108 FINAL - Alta Floresta 3 2 6 2 3" xfId="25205"/>
    <cellStyle name="_Table_Modelo 281108 FINAL - Alta Floresta 3 2 6 3" xfId="22071"/>
    <cellStyle name="_Table_Modelo 281108 FINAL - Alta Floresta 3 2 6 4" xfId="21025"/>
    <cellStyle name="_Table_Modelo 281108 FINAL - Alta Floresta 3 2 7" xfId="20723"/>
    <cellStyle name="_Table_Modelo 281108 FINAL - Alta Floresta 3 2 8" xfId="26737"/>
    <cellStyle name="_Table_Modelo 281108 FINAL - Alta Floresta 3 3" xfId="4815"/>
    <cellStyle name="_Table_Modelo 281108 FINAL - Alta Floresta 3 3 2" xfId="6275"/>
    <cellStyle name="_Table_Modelo 281108 FINAL - Alta Floresta 3 3 2 2" xfId="6276"/>
    <cellStyle name="_Table_Modelo 281108 FINAL - Alta Floresta 3 3 2 2 2" xfId="22074"/>
    <cellStyle name="_Table_Modelo 281108 FINAL - Alta Floresta 3 3 2 2 3" xfId="25203"/>
    <cellStyle name="_Table_Modelo 281108 FINAL - Alta Floresta 3 3 2 3" xfId="22073"/>
    <cellStyle name="_Table_Modelo 281108 FINAL - Alta Floresta 3 3 2 4" xfId="25204"/>
    <cellStyle name="_Table_Modelo 281108 FINAL - Alta Floresta 3 3 3" xfId="6277"/>
    <cellStyle name="_Table_Modelo 281108 FINAL - Alta Floresta 3 3 3 2" xfId="6278"/>
    <cellStyle name="_Table_Modelo 281108 FINAL - Alta Floresta 3 3 3 2 2" xfId="22076"/>
    <cellStyle name="_Table_Modelo 281108 FINAL - Alta Floresta 3 3 3 2 3" xfId="25201"/>
    <cellStyle name="_Table_Modelo 281108 FINAL - Alta Floresta 3 3 3 3" xfId="6279"/>
    <cellStyle name="_Table_Modelo 281108 FINAL - Alta Floresta 3 3 3 3 2" xfId="22077"/>
    <cellStyle name="_Table_Modelo 281108 FINAL - Alta Floresta 3 3 3 3 3" xfId="25200"/>
    <cellStyle name="_Table_Modelo 281108 FINAL - Alta Floresta 3 3 3 4" xfId="22075"/>
    <cellStyle name="_Table_Modelo 281108 FINAL - Alta Floresta 3 3 3 5" xfId="25202"/>
    <cellStyle name="_Table_Modelo 281108 FINAL - Alta Floresta 3 3 4" xfId="20727"/>
    <cellStyle name="_Table_Modelo 281108 FINAL - Alta Floresta 3 3 5" xfId="26733"/>
    <cellStyle name="_Table_Modelo 281108 FINAL - Alta Floresta 3 4" xfId="4816"/>
    <cellStyle name="_Table_Modelo 281108 FINAL - Alta Floresta 3 4 2" xfId="6280"/>
    <cellStyle name="_Table_Modelo 281108 FINAL - Alta Floresta 3 4 2 2" xfId="6281"/>
    <cellStyle name="_Table_Modelo 281108 FINAL - Alta Floresta 3 4 2 2 2" xfId="22079"/>
    <cellStyle name="_Table_Modelo 281108 FINAL - Alta Floresta 3 4 2 2 3" xfId="25198"/>
    <cellStyle name="_Table_Modelo 281108 FINAL - Alta Floresta 3 4 2 3" xfId="6282"/>
    <cellStyle name="_Table_Modelo 281108 FINAL - Alta Floresta 3 4 2 3 2" xfId="22080"/>
    <cellStyle name="_Table_Modelo 281108 FINAL - Alta Floresta 3 4 2 3 3" xfId="25197"/>
    <cellStyle name="_Table_Modelo 281108 FINAL - Alta Floresta 3 4 2 4" xfId="22078"/>
    <cellStyle name="_Table_Modelo 281108 FINAL - Alta Floresta 3 4 2 5" xfId="25199"/>
    <cellStyle name="_Table_Modelo 281108 FINAL - Alta Floresta 3 4 3" xfId="6283"/>
    <cellStyle name="_Table_Modelo 281108 FINAL - Alta Floresta 3 4 3 2" xfId="6284"/>
    <cellStyle name="_Table_Modelo 281108 FINAL - Alta Floresta 3 4 3 2 2" xfId="22082"/>
    <cellStyle name="_Table_Modelo 281108 FINAL - Alta Floresta 3 4 3 2 3" xfId="25195"/>
    <cellStyle name="_Table_Modelo 281108 FINAL - Alta Floresta 3 4 3 3" xfId="22081"/>
    <cellStyle name="_Table_Modelo 281108 FINAL - Alta Floresta 3 4 3 4" xfId="25196"/>
    <cellStyle name="_Table_Modelo 281108 FINAL - Alta Floresta 3 4 4" xfId="20728"/>
    <cellStyle name="_Table_Modelo 281108 FINAL - Alta Floresta 3 4 5" xfId="26732"/>
    <cellStyle name="_Table_Modelo 281108 FINAL - Alta Floresta 3 5" xfId="6285"/>
    <cellStyle name="_Table_Modelo 281108 FINAL - Alta Floresta 3 5 2" xfId="6286"/>
    <cellStyle name="_Table_Modelo 281108 FINAL - Alta Floresta 3 5 2 2" xfId="22084"/>
    <cellStyle name="_Table_Modelo 281108 FINAL - Alta Floresta 3 5 2 3" xfId="25193"/>
    <cellStyle name="_Table_Modelo 281108 FINAL - Alta Floresta 3 5 3" xfId="6287"/>
    <cellStyle name="_Table_Modelo 281108 FINAL - Alta Floresta 3 5 3 2" xfId="22085"/>
    <cellStyle name="_Table_Modelo 281108 FINAL - Alta Floresta 3 5 3 3" xfId="25192"/>
    <cellStyle name="_Table_Modelo 281108 FINAL - Alta Floresta 3 5 4" xfId="22083"/>
    <cellStyle name="_Table_Modelo 281108 FINAL - Alta Floresta 3 5 5" xfId="25194"/>
    <cellStyle name="_Table_Modelo 281108 FINAL - Alta Floresta 3 6" xfId="6288"/>
    <cellStyle name="_Table_Modelo 281108 FINAL - Alta Floresta 3 6 2" xfId="6289"/>
    <cellStyle name="_Table_Modelo 281108 FINAL - Alta Floresta 3 6 2 2" xfId="22087"/>
    <cellStyle name="_Table_Modelo 281108 FINAL - Alta Floresta 3 6 2 3" xfId="25191"/>
    <cellStyle name="_Table_Modelo 281108 FINAL - Alta Floresta 3 6 3" xfId="22086"/>
    <cellStyle name="_Table_Modelo 281108 FINAL - Alta Floresta 3 6 4" xfId="20417"/>
    <cellStyle name="_Table_Modelo 281108 FINAL - Alta Floresta 3 7" xfId="18500"/>
    <cellStyle name="_Table_Modelo 281108 FINAL - Alta Floresta 3 8" xfId="30687"/>
    <cellStyle name="_Table_Modelo 281108 FINAL - Alta Floresta 4" xfId="4817"/>
    <cellStyle name="_Table_Modelo 281108 FINAL - Alta Floresta 4 2" xfId="4818"/>
    <cellStyle name="_Table_Modelo 281108 FINAL - Alta Floresta 4 2 2" xfId="6290"/>
    <cellStyle name="_Table_Modelo 281108 FINAL - Alta Floresta 4 2 2 2" xfId="6291"/>
    <cellStyle name="_Table_Modelo 281108 FINAL - Alta Floresta 4 2 2 2 2" xfId="22089"/>
    <cellStyle name="_Table_Modelo 281108 FINAL - Alta Floresta 4 2 2 2 3" xfId="25189"/>
    <cellStyle name="_Table_Modelo 281108 FINAL - Alta Floresta 4 2 2 3" xfId="22088"/>
    <cellStyle name="_Table_Modelo 281108 FINAL - Alta Floresta 4 2 2 4" xfId="25190"/>
    <cellStyle name="_Table_Modelo 281108 FINAL - Alta Floresta 4 2 3" xfId="6292"/>
    <cellStyle name="_Table_Modelo 281108 FINAL - Alta Floresta 4 2 3 2" xfId="6293"/>
    <cellStyle name="_Table_Modelo 281108 FINAL - Alta Floresta 4 2 3 2 2" xfId="22091"/>
    <cellStyle name="_Table_Modelo 281108 FINAL - Alta Floresta 4 2 3 2 3" xfId="25187"/>
    <cellStyle name="_Table_Modelo 281108 FINAL - Alta Floresta 4 2 3 3" xfId="6294"/>
    <cellStyle name="_Table_Modelo 281108 FINAL - Alta Floresta 4 2 3 3 2" xfId="22092"/>
    <cellStyle name="_Table_Modelo 281108 FINAL - Alta Floresta 4 2 3 3 3" xfId="25186"/>
    <cellStyle name="_Table_Modelo 281108 FINAL - Alta Floresta 4 2 3 4" xfId="22090"/>
    <cellStyle name="_Table_Modelo 281108 FINAL - Alta Floresta 4 2 3 5" xfId="25188"/>
    <cellStyle name="_Table_Modelo 281108 FINAL - Alta Floresta 4 2 4" xfId="20730"/>
    <cellStyle name="_Table_Modelo 281108 FINAL - Alta Floresta 4 2 5" xfId="26731"/>
    <cellStyle name="_Table_Modelo 281108 FINAL - Alta Floresta 4 3" xfId="4819"/>
    <cellStyle name="_Table_Modelo 281108 FINAL - Alta Floresta 4 3 2" xfId="6295"/>
    <cellStyle name="_Table_Modelo 281108 FINAL - Alta Floresta 4 3 2 2" xfId="6296"/>
    <cellStyle name="_Table_Modelo 281108 FINAL - Alta Floresta 4 3 2 2 2" xfId="22094"/>
    <cellStyle name="_Table_Modelo 281108 FINAL - Alta Floresta 4 3 2 2 3" xfId="25184"/>
    <cellStyle name="_Table_Modelo 281108 FINAL - Alta Floresta 4 3 2 3" xfId="22093"/>
    <cellStyle name="_Table_Modelo 281108 FINAL - Alta Floresta 4 3 2 4" xfId="25185"/>
    <cellStyle name="_Table_Modelo 281108 FINAL - Alta Floresta 4 3 3" xfId="6297"/>
    <cellStyle name="_Table_Modelo 281108 FINAL - Alta Floresta 4 3 3 2" xfId="6298"/>
    <cellStyle name="_Table_Modelo 281108 FINAL - Alta Floresta 4 3 3 2 2" xfId="22096"/>
    <cellStyle name="_Table_Modelo 281108 FINAL - Alta Floresta 4 3 3 2 3" xfId="25182"/>
    <cellStyle name="_Table_Modelo 281108 FINAL - Alta Floresta 4 3 3 3" xfId="6299"/>
    <cellStyle name="_Table_Modelo 281108 FINAL - Alta Floresta 4 3 3 3 2" xfId="22097"/>
    <cellStyle name="_Table_Modelo 281108 FINAL - Alta Floresta 4 3 3 3 3" xfId="25181"/>
    <cellStyle name="_Table_Modelo 281108 FINAL - Alta Floresta 4 3 3 4" xfId="22095"/>
    <cellStyle name="_Table_Modelo 281108 FINAL - Alta Floresta 4 3 3 5" xfId="25183"/>
    <cellStyle name="_Table_Modelo 281108 FINAL - Alta Floresta 4 3 4" xfId="20731"/>
    <cellStyle name="_Table_Modelo 281108 FINAL - Alta Floresta 4 3 5" xfId="26730"/>
    <cellStyle name="_Table_Modelo 281108 FINAL - Alta Floresta 4 4" xfId="4820"/>
    <cellStyle name="_Table_Modelo 281108 FINAL - Alta Floresta 4 4 2" xfId="6300"/>
    <cellStyle name="_Table_Modelo 281108 FINAL - Alta Floresta 4 4 2 2" xfId="6301"/>
    <cellStyle name="_Table_Modelo 281108 FINAL - Alta Floresta 4 4 2 2 2" xfId="22099"/>
    <cellStyle name="_Table_Modelo 281108 FINAL - Alta Floresta 4 4 2 2 3" xfId="25179"/>
    <cellStyle name="_Table_Modelo 281108 FINAL - Alta Floresta 4 4 2 3" xfId="6302"/>
    <cellStyle name="_Table_Modelo 281108 FINAL - Alta Floresta 4 4 2 3 2" xfId="22100"/>
    <cellStyle name="_Table_Modelo 281108 FINAL - Alta Floresta 4 4 2 3 3" xfId="25178"/>
    <cellStyle name="_Table_Modelo 281108 FINAL - Alta Floresta 4 4 2 4" xfId="22098"/>
    <cellStyle name="_Table_Modelo 281108 FINAL - Alta Floresta 4 4 2 5" xfId="25180"/>
    <cellStyle name="_Table_Modelo 281108 FINAL - Alta Floresta 4 4 3" xfId="6303"/>
    <cellStyle name="_Table_Modelo 281108 FINAL - Alta Floresta 4 4 3 2" xfId="6304"/>
    <cellStyle name="_Table_Modelo 281108 FINAL - Alta Floresta 4 4 3 2 2" xfId="22102"/>
    <cellStyle name="_Table_Modelo 281108 FINAL - Alta Floresta 4 4 3 2 3" xfId="19286"/>
    <cellStyle name="_Table_Modelo 281108 FINAL - Alta Floresta 4 4 3 3" xfId="22101"/>
    <cellStyle name="_Table_Modelo 281108 FINAL - Alta Floresta 4 4 3 4" xfId="20357"/>
    <cellStyle name="_Table_Modelo 281108 FINAL - Alta Floresta 4 4 4" xfId="20732"/>
    <cellStyle name="_Table_Modelo 281108 FINAL - Alta Floresta 4 4 5" xfId="26729"/>
    <cellStyle name="_Table_Modelo 281108 FINAL - Alta Floresta 4 5" xfId="6305"/>
    <cellStyle name="_Table_Modelo 281108 FINAL - Alta Floresta 4 5 2" xfId="6306"/>
    <cellStyle name="_Table_Modelo 281108 FINAL - Alta Floresta 4 5 2 2" xfId="22104"/>
    <cellStyle name="_Table_Modelo 281108 FINAL - Alta Floresta 4 5 2 3" xfId="25177"/>
    <cellStyle name="_Table_Modelo 281108 FINAL - Alta Floresta 4 5 3" xfId="6307"/>
    <cellStyle name="_Table_Modelo 281108 FINAL - Alta Floresta 4 5 3 2" xfId="22105"/>
    <cellStyle name="_Table_Modelo 281108 FINAL - Alta Floresta 4 5 3 3" xfId="25176"/>
    <cellStyle name="_Table_Modelo 281108 FINAL - Alta Floresta 4 5 4" xfId="22103"/>
    <cellStyle name="_Table_Modelo 281108 FINAL - Alta Floresta 4 5 5" xfId="19285"/>
    <cellStyle name="_Table_Modelo 281108 FINAL - Alta Floresta 4 6" xfId="6308"/>
    <cellStyle name="_Table_Modelo 281108 FINAL - Alta Floresta 4 6 2" xfId="6309"/>
    <cellStyle name="_Table_Modelo 281108 FINAL - Alta Floresta 4 6 2 2" xfId="22107"/>
    <cellStyle name="_Table_Modelo 281108 FINAL - Alta Floresta 4 6 2 3" xfId="25174"/>
    <cellStyle name="_Table_Modelo 281108 FINAL - Alta Floresta 4 6 3" xfId="22106"/>
    <cellStyle name="_Table_Modelo 281108 FINAL - Alta Floresta 4 6 4" xfId="25175"/>
    <cellStyle name="_Table_Modelo 281108 FINAL - Alta Floresta 4 7" xfId="20729"/>
    <cellStyle name="_Table_Modelo 281108 FINAL - Alta Floresta 4 8" xfId="20255"/>
    <cellStyle name="_Table_Modelo 281108 FINAL - Alta Floresta 5" xfId="4821"/>
    <cellStyle name="_Table_Modelo 281108 FINAL - Alta Floresta 5 2" xfId="6310"/>
    <cellStyle name="_Table_Modelo 281108 FINAL - Alta Floresta 5 2 2" xfId="6311"/>
    <cellStyle name="_Table_Modelo 281108 FINAL - Alta Floresta 5 2 2 2" xfId="22109"/>
    <cellStyle name="_Table_Modelo 281108 FINAL - Alta Floresta 5 2 2 3" xfId="25172"/>
    <cellStyle name="_Table_Modelo 281108 FINAL - Alta Floresta 5 2 3" xfId="22108"/>
    <cellStyle name="_Table_Modelo 281108 FINAL - Alta Floresta 5 2 4" xfId="25173"/>
    <cellStyle name="_Table_Modelo 281108 FINAL - Alta Floresta 5 3" xfId="6312"/>
    <cellStyle name="_Table_Modelo 281108 FINAL - Alta Floresta 5 3 2" xfId="6313"/>
    <cellStyle name="_Table_Modelo 281108 FINAL - Alta Floresta 5 3 2 2" xfId="22111"/>
    <cellStyle name="_Table_Modelo 281108 FINAL - Alta Floresta 5 3 2 3" xfId="25170"/>
    <cellStyle name="_Table_Modelo 281108 FINAL - Alta Floresta 5 3 3" xfId="6314"/>
    <cellStyle name="_Table_Modelo 281108 FINAL - Alta Floresta 5 3 3 2" xfId="22112"/>
    <cellStyle name="_Table_Modelo 281108 FINAL - Alta Floresta 5 3 3 3" xfId="25169"/>
    <cellStyle name="_Table_Modelo 281108 FINAL - Alta Floresta 5 3 4" xfId="22110"/>
    <cellStyle name="_Table_Modelo 281108 FINAL - Alta Floresta 5 3 5" xfId="25171"/>
    <cellStyle name="_Table_Modelo 281108 FINAL - Alta Floresta 5 4" xfId="20733"/>
    <cellStyle name="_Table_Modelo 281108 FINAL - Alta Floresta 5 5" xfId="26728"/>
    <cellStyle name="_Table_Modelo 281108 FINAL - Alta Floresta 6" xfId="4822"/>
    <cellStyle name="_Table_Modelo 281108 FINAL - Alta Floresta 6 2" xfId="6315"/>
    <cellStyle name="_Table_Modelo 281108 FINAL - Alta Floresta 6 2 2" xfId="6316"/>
    <cellStyle name="_Table_Modelo 281108 FINAL - Alta Floresta 6 2 2 2" xfId="22114"/>
    <cellStyle name="_Table_Modelo 281108 FINAL - Alta Floresta 6 2 2 3" xfId="25167"/>
    <cellStyle name="_Table_Modelo 281108 FINAL - Alta Floresta 6 2 3" xfId="6317"/>
    <cellStyle name="_Table_Modelo 281108 FINAL - Alta Floresta 6 2 3 2" xfId="22115"/>
    <cellStyle name="_Table_Modelo 281108 FINAL - Alta Floresta 6 2 3 3" xfId="25166"/>
    <cellStyle name="_Table_Modelo 281108 FINAL - Alta Floresta 6 2 4" xfId="22113"/>
    <cellStyle name="_Table_Modelo 281108 FINAL - Alta Floresta 6 2 5" xfId="25168"/>
    <cellStyle name="_Table_Modelo 281108 FINAL - Alta Floresta 6 3" xfId="6318"/>
    <cellStyle name="_Table_Modelo 281108 FINAL - Alta Floresta 6 3 2" xfId="6319"/>
    <cellStyle name="_Table_Modelo 281108 FINAL - Alta Floresta 6 3 2 2" xfId="22117"/>
    <cellStyle name="_Table_Modelo 281108 FINAL - Alta Floresta 6 3 2 3" xfId="25164"/>
    <cellStyle name="_Table_Modelo 281108 FINAL - Alta Floresta 6 3 3" xfId="22116"/>
    <cellStyle name="_Table_Modelo 281108 FINAL - Alta Floresta 6 3 4" xfId="25165"/>
    <cellStyle name="_Table_Modelo 281108 FINAL - Alta Floresta 6 4" xfId="20734"/>
    <cellStyle name="_Table_Modelo 281108 FINAL - Alta Floresta 6 5" xfId="26727"/>
    <cellStyle name="_Table_Modelo 281108 FINAL - Alta Floresta 7" xfId="6320"/>
    <cellStyle name="_Table_Modelo 281108 FINAL - Alta Floresta 7 2" xfId="6321"/>
    <cellStyle name="_Table_Modelo 281108 FINAL - Alta Floresta 7 2 2" xfId="22119"/>
    <cellStyle name="_Table_Modelo 281108 FINAL - Alta Floresta 7 2 3" xfId="25162"/>
    <cellStyle name="_Table_Modelo 281108 FINAL - Alta Floresta 7 3" xfId="6322"/>
    <cellStyle name="_Table_Modelo 281108 FINAL - Alta Floresta 7 3 2" xfId="22120"/>
    <cellStyle name="_Table_Modelo 281108 FINAL - Alta Floresta 7 3 3" xfId="25161"/>
    <cellStyle name="_Table_Modelo 281108 FINAL - Alta Floresta 7 4" xfId="22118"/>
    <cellStyle name="_Table_Modelo 281108 FINAL - Alta Floresta 7 5" xfId="25163"/>
    <cellStyle name="_Table_Modelo 281108 FINAL - Alta Floresta 8" xfId="6323"/>
    <cellStyle name="_Table_Modelo 281108 FINAL - Alta Floresta 8 2" xfId="6324"/>
    <cellStyle name="_Table_Modelo 281108 FINAL - Alta Floresta 8 2 2" xfId="22122"/>
    <cellStyle name="_Table_Modelo 281108 FINAL - Alta Floresta 8 2 3" xfId="25159"/>
    <cellStyle name="_Table_Modelo 281108 FINAL - Alta Floresta 8 3" xfId="22121"/>
    <cellStyle name="_Table_Modelo 281108 FINAL - Alta Floresta 8 4" xfId="25160"/>
    <cellStyle name="_Table_Modelo 281108 FINAL - Alta Floresta 9" xfId="18498"/>
    <cellStyle name="_Table_Modelo 281108 FINAL - Colíder" xfId="812"/>
    <cellStyle name="_Table_Modelo 281108 FINAL - Colíder 10" xfId="30686"/>
    <cellStyle name="_Table_Modelo 281108 FINAL - Colíder 2" xfId="813"/>
    <cellStyle name="_Table_Modelo 281108 FINAL - Colíder 2 2" xfId="4823"/>
    <cellStyle name="_Table_Modelo 281108 FINAL - Colíder 2 2 2" xfId="4824"/>
    <cellStyle name="_Table_Modelo 281108 FINAL - Colíder 2 2 2 2" xfId="6325"/>
    <cellStyle name="_Table_Modelo 281108 FINAL - Colíder 2 2 2 2 2" xfId="6326"/>
    <cellStyle name="_Table_Modelo 281108 FINAL - Colíder 2 2 2 2 2 2" xfId="22124"/>
    <cellStyle name="_Table_Modelo 281108 FINAL - Colíder 2 2 2 2 2 3" xfId="25158"/>
    <cellStyle name="_Table_Modelo 281108 FINAL - Colíder 2 2 2 2 3" xfId="22123"/>
    <cellStyle name="_Table_Modelo 281108 FINAL - Colíder 2 2 2 2 4" xfId="21024"/>
    <cellStyle name="_Table_Modelo 281108 FINAL - Colíder 2 2 2 3" xfId="6327"/>
    <cellStyle name="_Table_Modelo 281108 FINAL - Colíder 2 2 2 3 2" xfId="6328"/>
    <cellStyle name="_Table_Modelo 281108 FINAL - Colíder 2 2 2 3 2 2" xfId="22126"/>
    <cellStyle name="_Table_Modelo 281108 FINAL - Colíder 2 2 2 3 2 3" xfId="25156"/>
    <cellStyle name="_Table_Modelo 281108 FINAL - Colíder 2 2 2 3 3" xfId="6329"/>
    <cellStyle name="_Table_Modelo 281108 FINAL - Colíder 2 2 2 3 3 2" xfId="22127"/>
    <cellStyle name="_Table_Modelo 281108 FINAL - Colíder 2 2 2 3 3 3" xfId="25155"/>
    <cellStyle name="_Table_Modelo 281108 FINAL - Colíder 2 2 2 3 4" xfId="22125"/>
    <cellStyle name="_Table_Modelo 281108 FINAL - Colíder 2 2 2 3 5" xfId="25157"/>
    <cellStyle name="_Table_Modelo 281108 FINAL - Colíder 2 2 2 4" xfId="20736"/>
    <cellStyle name="_Table_Modelo 281108 FINAL - Colíder 2 2 2 5" xfId="26725"/>
    <cellStyle name="_Table_Modelo 281108 FINAL - Colíder 2 2 3" xfId="4825"/>
    <cellStyle name="_Table_Modelo 281108 FINAL - Colíder 2 2 3 2" xfId="6330"/>
    <cellStyle name="_Table_Modelo 281108 FINAL - Colíder 2 2 3 2 2" xfId="6331"/>
    <cellStyle name="_Table_Modelo 281108 FINAL - Colíder 2 2 3 2 2 2" xfId="22129"/>
    <cellStyle name="_Table_Modelo 281108 FINAL - Colíder 2 2 3 2 2 3" xfId="25153"/>
    <cellStyle name="_Table_Modelo 281108 FINAL - Colíder 2 2 3 2 3" xfId="22128"/>
    <cellStyle name="_Table_Modelo 281108 FINAL - Colíder 2 2 3 2 4" xfId="25154"/>
    <cellStyle name="_Table_Modelo 281108 FINAL - Colíder 2 2 3 3" xfId="6332"/>
    <cellStyle name="_Table_Modelo 281108 FINAL - Colíder 2 2 3 3 2" xfId="6333"/>
    <cellStyle name="_Table_Modelo 281108 FINAL - Colíder 2 2 3 3 2 2" xfId="22131"/>
    <cellStyle name="_Table_Modelo 281108 FINAL - Colíder 2 2 3 3 2 3" xfId="25151"/>
    <cellStyle name="_Table_Modelo 281108 FINAL - Colíder 2 2 3 3 3" xfId="6334"/>
    <cellStyle name="_Table_Modelo 281108 FINAL - Colíder 2 2 3 3 3 2" xfId="22132"/>
    <cellStyle name="_Table_Modelo 281108 FINAL - Colíder 2 2 3 3 3 3" xfId="25150"/>
    <cellStyle name="_Table_Modelo 281108 FINAL - Colíder 2 2 3 3 4" xfId="22130"/>
    <cellStyle name="_Table_Modelo 281108 FINAL - Colíder 2 2 3 3 5" xfId="25152"/>
    <cellStyle name="_Table_Modelo 281108 FINAL - Colíder 2 2 3 4" xfId="20737"/>
    <cellStyle name="_Table_Modelo 281108 FINAL - Colíder 2 2 3 5" xfId="26724"/>
    <cellStyle name="_Table_Modelo 281108 FINAL - Colíder 2 2 4" xfId="4826"/>
    <cellStyle name="_Table_Modelo 281108 FINAL - Colíder 2 2 4 2" xfId="6335"/>
    <cellStyle name="_Table_Modelo 281108 FINAL - Colíder 2 2 4 2 2" xfId="6336"/>
    <cellStyle name="_Table_Modelo 281108 FINAL - Colíder 2 2 4 2 2 2" xfId="22134"/>
    <cellStyle name="_Table_Modelo 281108 FINAL - Colíder 2 2 4 2 2 3" xfId="25148"/>
    <cellStyle name="_Table_Modelo 281108 FINAL - Colíder 2 2 4 2 3" xfId="6337"/>
    <cellStyle name="_Table_Modelo 281108 FINAL - Colíder 2 2 4 2 3 2" xfId="22135"/>
    <cellStyle name="_Table_Modelo 281108 FINAL - Colíder 2 2 4 2 3 3" xfId="25147"/>
    <cellStyle name="_Table_Modelo 281108 FINAL - Colíder 2 2 4 2 4" xfId="22133"/>
    <cellStyle name="_Table_Modelo 281108 FINAL - Colíder 2 2 4 2 5" xfId="25149"/>
    <cellStyle name="_Table_Modelo 281108 FINAL - Colíder 2 2 4 3" xfId="6338"/>
    <cellStyle name="_Table_Modelo 281108 FINAL - Colíder 2 2 4 3 2" xfId="6339"/>
    <cellStyle name="_Table_Modelo 281108 FINAL - Colíder 2 2 4 3 2 2" xfId="22137"/>
    <cellStyle name="_Table_Modelo 281108 FINAL - Colíder 2 2 4 3 2 3" xfId="25145"/>
    <cellStyle name="_Table_Modelo 281108 FINAL - Colíder 2 2 4 3 3" xfId="22136"/>
    <cellStyle name="_Table_Modelo 281108 FINAL - Colíder 2 2 4 3 4" xfId="25146"/>
    <cellStyle name="_Table_Modelo 281108 FINAL - Colíder 2 2 4 4" xfId="20738"/>
    <cellStyle name="_Table_Modelo 281108 FINAL - Colíder 2 2 4 5" xfId="26723"/>
    <cellStyle name="_Table_Modelo 281108 FINAL - Colíder 2 2 5" xfId="6340"/>
    <cellStyle name="_Table_Modelo 281108 FINAL - Colíder 2 2 5 2" xfId="6341"/>
    <cellStyle name="_Table_Modelo 281108 FINAL - Colíder 2 2 5 2 2" xfId="22139"/>
    <cellStyle name="_Table_Modelo 281108 FINAL - Colíder 2 2 5 2 3" xfId="25144"/>
    <cellStyle name="_Table_Modelo 281108 FINAL - Colíder 2 2 5 3" xfId="6342"/>
    <cellStyle name="_Table_Modelo 281108 FINAL - Colíder 2 2 5 3 2" xfId="22140"/>
    <cellStyle name="_Table_Modelo 281108 FINAL - Colíder 2 2 5 3 3" xfId="25143"/>
    <cellStyle name="_Table_Modelo 281108 FINAL - Colíder 2 2 5 4" xfId="22138"/>
    <cellStyle name="_Table_Modelo 281108 FINAL - Colíder 2 2 5 5" xfId="20205"/>
    <cellStyle name="_Table_Modelo 281108 FINAL - Colíder 2 2 6" xfId="6343"/>
    <cellStyle name="_Table_Modelo 281108 FINAL - Colíder 2 2 6 2" xfId="6344"/>
    <cellStyle name="_Table_Modelo 281108 FINAL - Colíder 2 2 6 2 2" xfId="22142"/>
    <cellStyle name="_Table_Modelo 281108 FINAL - Colíder 2 2 6 2 3" xfId="25141"/>
    <cellStyle name="_Table_Modelo 281108 FINAL - Colíder 2 2 6 3" xfId="22141"/>
    <cellStyle name="_Table_Modelo 281108 FINAL - Colíder 2 2 6 4" xfId="25142"/>
    <cellStyle name="_Table_Modelo 281108 FINAL - Colíder 2 2 7" xfId="20735"/>
    <cellStyle name="_Table_Modelo 281108 FINAL - Colíder 2 2 8" xfId="26726"/>
    <cellStyle name="_Table_Modelo 281108 FINAL - Colíder 2 3" xfId="4827"/>
    <cellStyle name="_Table_Modelo 281108 FINAL - Colíder 2 3 2" xfId="6345"/>
    <cellStyle name="_Table_Modelo 281108 FINAL - Colíder 2 3 2 2" xfId="6346"/>
    <cellStyle name="_Table_Modelo 281108 FINAL - Colíder 2 3 2 2 2" xfId="22144"/>
    <cellStyle name="_Table_Modelo 281108 FINAL - Colíder 2 3 2 2 3" xfId="25139"/>
    <cellStyle name="_Table_Modelo 281108 FINAL - Colíder 2 3 2 3" xfId="22143"/>
    <cellStyle name="_Table_Modelo 281108 FINAL - Colíder 2 3 2 4" xfId="25140"/>
    <cellStyle name="_Table_Modelo 281108 FINAL - Colíder 2 3 3" xfId="6347"/>
    <cellStyle name="_Table_Modelo 281108 FINAL - Colíder 2 3 3 2" xfId="6348"/>
    <cellStyle name="_Table_Modelo 281108 FINAL - Colíder 2 3 3 2 2" xfId="22146"/>
    <cellStyle name="_Table_Modelo 281108 FINAL - Colíder 2 3 3 2 3" xfId="25137"/>
    <cellStyle name="_Table_Modelo 281108 FINAL - Colíder 2 3 3 3" xfId="6349"/>
    <cellStyle name="_Table_Modelo 281108 FINAL - Colíder 2 3 3 3 2" xfId="22147"/>
    <cellStyle name="_Table_Modelo 281108 FINAL - Colíder 2 3 3 3 3" xfId="25136"/>
    <cellStyle name="_Table_Modelo 281108 FINAL - Colíder 2 3 3 4" xfId="22145"/>
    <cellStyle name="_Table_Modelo 281108 FINAL - Colíder 2 3 3 5" xfId="25138"/>
    <cellStyle name="_Table_Modelo 281108 FINAL - Colíder 2 3 4" xfId="20739"/>
    <cellStyle name="_Table_Modelo 281108 FINAL - Colíder 2 3 5" xfId="26722"/>
    <cellStyle name="_Table_Modelo 281108 FINAL - Colíder 2 4" xfId="4828"/>
    <cellStyle name="_Table_Modelo 281108 FINAL - Colíder 2 4 2" xfId="6350"/>
    <cellStyle name="_Table_Modelo 281108 FINAL - Colíder 2 4 2 2" xfId="6351"/>
    <cellStyle name="_Table_Modelo 281108 FINAL - Colíder 2 4 2 2 2" xfId="22149"/>
    <cellStyle name="_Table_Modelo 281108 FINAL - Colíder 2 4 2 2 3" xfId="25134"/>
    <cellStyle name="_Table_Modelo 281108 FINAL - Colíder 2 4 2 3" xfId="6352"/>
    <cellStyle name="_Table_Modelo 281108 FINAL - Colíder 2 4 2 3 2" xfId="22150"/>
    <cellStyle name="_Table_Modelo 281108 FINAL - Colíder 2 4 2 3 3" xfId="25133"/>
    <cellStyle name="_Table_Modelo 281108 FINAL - Colíder 2 4 2 4" xfId="22148"/>
    <cellStyle name="_Table_Modelo 281108 FINAL - Colíder 2 4 2 5" xfId="25135"/>
    <cellStyle name="_Table_Modelo 281108 FINAL - Colíder 2 4 3" xfId="6353"/>
    <cellStyle name="_Table_Modelo 281108 FINAL - Colíder 2 4 3 2" xfId="6354"/>
    <cellStyle name="_Table_Modelo 281108 FINAL - Colíder 2 4 3 2 2" xfId="22152"/>
    <cellStyle name="_Table_Modelo 281108 FINAL - Colíder 2 4 3 2 3" xfId="25131"/>
    <cellStyle name="_Table_Modelo 281108 FINAL - Colíder 2 4 3 3" xfId="22151"/>
    <cellStyle name="_Table_Modelo 281108 FINAL - Colíder 2 4 3 4" xfId="25132"/>
    <cellStyle name="_Table_Modelo 281108 FINAL - Colíder 2 4 4" xfId="20740"/>
    <cellStyle name="_Table_Modelo 281108 FINAL - Colíder 2 4 5" xfId="26721"/>
    <cellStyle name="_Table_Modelo 281108 FINAL - Colíder 2 5" xfId="6355"/>
    <cellStyle name="_Table_Modelo 281108 FINAL - Colíder 2 5 2" xfId="6356"/>
    <cellStyle name="_Table_Modelo 281108 FINAL - Colíder 2 5 2 2" xfId="22154"/>
    <cellStyle name="_Table_Modelo 281108 FINAL - Colíder 2 5 2 3" xfId="25130"/>
    <cellStyle name="_Table_Modelo 281108 FINAL - Colíder 2 5 3" xfId="6357"/>
    <cellStyle name="_Table_Modelo 281108 FINAL - Colíder 2 5 3 2" xfId="22155"/>
    <cellStyle name="_Table_Modelo 281108 FINAL - Colíder 2 5 3 3" xfId="25129"/>
    <cellStyle name="_Table_Modelo 281108 FINAL - Colíder 2 5 4" xfId="22153"/>
    <cellStyle name="_Table_Modelo 281108 FINAL - Colíder 2 5 5" xfId="20360"/>
    <cellStyle name="_Table_Modelo 281108 FINAL - Colíder 2 6" xfId="6358"/>
    <cellStyle name="_Table_Modelo 281108 FINAL - Colíder 2 6 2" xfId="6359"/>
    <cellStyle name="_Table_Modelo 281108 FINAL - Colíder 2 6 2 2" xfId="22157"/>
    <cellStyle name="_Table_Modelo 281108 FINAL - Colíder 2 6 2 3" xfId="25127"/>
    <cellStyle name="_Table_Modelo 281108 FINAL - Colíder 2 6 3" xfId="22156"/>
    <cellStyle name="_Table_Modelo 281108 FINAL - Colíder 2 6 4" xfId="25128"/>
    <cellStyle name="_Table_Modelo 281108 FINAL - Colíder 2 7" xfId="18502"/>
    <cellStyle name="_Table_Modelo 281108 FINAL - Colíder 2 8" xfId="30685"/>
    <cellStyle name="_Table_Modelo 281108 FINAL - Colíder 3" xfId="814"/>
    <cellStyle name="_Table_Modelo 281108 FINAL - Colíder 3 2" xfId="4829"/>
    <cellStyle name="_Table_Modelo 281108 FINAL - Colíder 3 2 2" xfId="4830"/>
    <cellStyle name="_Table_Modelo 281108 FINAL - Colíder 3 2 2 2" xfId="6360"/>
    <cellStyle name="_Table_Modelo 281108 FINAL - Colíder 3 2 2 2 2" xfId="6361"/>
    <cellStyle name="_Table_Modelo 281108 FINAL - Colíder 3 2 2 2 2 2" xfId="22159"/>
    <cellStyle name="_Table_Modelo 281108 FINAL - Colíder 3 2 2 2 2 3" xfId="25125"/>
    <cellStyle name="_Table_Modelo 281108 FINAL - Colíder 3 2 2 2 3" xfId="22158"/>
    <cellStyle name="_Table_Modelo 281108 FINAL - Colíder 3 2 2 2 4" xfId="25126"/>
    <cellStyle name="_Table_Modelo 281108 FINAL - Colíder 3 2 2 3" xfId="6362"/>
    <cellStyle name="_Table_Modelo 281108 FINAL - Colíder 3 2 2 3 2" xfId="6363"/>
    <cellStyle name="_Table_Modelo 281108 FINAL - Colíder 3 2 2 3 2 2" xfId="22161"/>
    <cellStyle name="_Table_Modelo 281108 FINAL - Colíder 3 2 2 3 2 3" xfId="25123"/>
    <cellStyle name="_Table_Modelo 281108 FINAL - Colíder 3 2 2 3 3" xfId="6364"/>
    <cellStyle name="_Table_Modelo 281108 FINAL - Colíder 3 2 2 3 3 2" xfId="22162"/>
    <cellStyle name="_Table_Modelo 281108 FINAL - Colíder 3 2 2 3 3 3" xfId="25122"/>
    <cellStyle name="_Table_Modelo 281108 FINAL - Colíder 3 2 2 3 4" xfId="22160"/>
    <cellStyle name="_Table_Modelo 281108 FINAL - Colíder 3 2 2 3 5" xfId="25124"/>
    <cellStyle name="_Table_Modelo 281108 FINAL - Colíder 3 2 2 4" xfId="20742"/>
    <cellStyle name="_Table_Modelo 281108 FINAL - Colíder 3 2 2 5" xfId="26719"/>
    <cellStyle name="_Table_Modelo 281108 FINAL - Colíder 3 2 3" xfId="4831"/>
    <cellStyle name="_Table_Modelo 281108 FINAL - Colíder 3 2 3 2" xfId="6365"/>
    <cellStyle name="_Table_Modelo 281108 FINAL - Colíder 3 2 3 2 2" xfId="6366"/>
    <cellStyle name="_Table_Modelo 281108 FINAL - Colíder 3 2 3 2 2 2" xfId="22164"/>
    <cellStyle name="_Table_Modelo 281108 FINAL - Colíder 3 2 3 2 2 3" xfId="25120"/>
    <cellStyle name="_Table_Modelo 281108 FINAL - Colíder 3 2 3 2 3" xfId="22163"/>
    <cellStyle name="_Table_Modelo 281108 FINAL - Colíder 3 2 3 2 4" xfId="25121"/>
    <cellStyle name="_Table_Modelo 281108 FINAL - Colíder 3 2 3 3" xfId="6367"/>
    <cellStyle name="_Table_Modelo 281108 FINAL - Colíder 3 2 3 3 2" xfId="6368"/>
    <cellStyle name="_Table_Modelo 281108 FINAL - Colíder 3 2 3 3 2 2" xfId="22166"/>
    <cellStyle name="_Table_Modelo 281108 FINAL - Colíder 3 2 3 3 2 3" xfId="25118"/>
    <cellStyle name="_Table_Modelo 281108 FINAL - Colíder 3 2 3 3 3" xfId="6369"/>
    <cellStyle name="_Table_Modelo 281108 FINAL - Colíder 3 2 3 3 3 2" xfId="22167"/>
    <cellStyle name="_Table_Modelo 281108 FINAL - Colíder 3 2 3 3 3 3" xfId="25117"/>
    <cellStyle name="_Table_Modelo 281108 FINAL - Colíder 3 2 3 3 4" xfId="22165"/>
    <cellStyle name="_Table_Modelo 281108 FINAL - Colíder 3 2 3 3 5" xfId="25119"/>
    <cellStyle name="_Table_Modelo 281108 FINAL - Colíder 3 2 3 4" xfId="20743"/>
    <cellStyle name="_Table_Modelo 281108 FINAL - Colíder 3 2 3 5" xfId="26718"/>
    <cellStyle name="_Table_Modelo 281108 FINAL - Colíder 3 2 4" xfId="4832"/>
    <cellStyle name="_Table_Modelo 281108 FINAL - Colíder 3 2 4 2" xfId="6370"/>
    <cellStyle name="_Table_Modelo 281108 FINAL - Colíder 3 2 4 2 2" xfId="6371"/>
    <cellStyle name="_Table_Modelo 281108 FINAL - Colíder 3 2 4 2 2 2" xfId="22169"/>
    <cellStyle name="_Table_Modelo 281108 FINAL - Colíder 3 2 4 2 2 3" xfId="25115"/>
    <cellStyle name="_Table_Modelo 281108 FINAL - Colíder 3 2 4 2 3" xfId="6372"/>
    <cellStyle name="_Table_Modelo 281108 FINAL - Colíder 3 2 4 2 3 2" xfId="22170"/>
    <cellStyle name="_Table_Modelo 281108 FINAL - Colíder 3 2 4 2 3 3" xfId="25114"/>
    <cellStyle name="_Table_Modelo 281108 FINAL - Colíder 3 2 4 2 4" xfId="22168"/>
    <cellStyle name="_Table_Modelo 281108 FINAL - Colíder 3 2 4 2 5" xfId="25116"/>
    <cellStyle name="_Table_Modelo 281108 FINAL - Colíder 3 2 4 3" xfId="6373"/>
    <cellStyle name="_Table_Modelo 281108 FINAL - Colíder 3 2 4 3 2" xfId="6374"/>
    <cellStyle name="_Table_Modelo 281108 FINAL - Colíder 3 2 4 3 2 2" xfId="22172"/>
    <cellStyle name="_Table_Modelo 281108 FINAL - Colíder 3 2 4 3 2 3" xfId="25112"/>
    <cellStyle name="_Table_Modelo 281108 FINAL - Colíder 3 2 4 3 3" xfId="22171"/>
    <cellStyle name="_Table_Modelo 281108 FINAL - Colíder 3 2 4 3 4" xfId="25113"/>
    <cellStyle name="_Table_Modelo 281108 FINAL - Colíder 3 2 4 4" xfId="20744"/>
    <cellStyle name="_Table_Modelo 281108 FINAL - Colíder 3 2 4 5" xfId="20233"/>
    <cellStyle name="_Table_Modelo 281108 FINAL - Colíder 3 2 5" xfId="6375"/>
    <cellStyle name="_Table_Modelo 281108 FINAL - Colíder 3 2 5 2" xfId="6376"/>
    <cellStyle name="_Table_Modelo 281108 FINAL - Colíder 3 2 5 2 2" xfId="22174"/>
    <cellStyle name="_Table_Modelo 281108 FINAL - Colíder 3 2 5 2 3" xfId="25111"/>
    <cellStyle name="_Table_Modelo 281108 FINAL - Colíder 3 2 5 3" xfId="6377"/>
    <cellStyle name="_Table_Modelo 281108 FINAL - Colíder 3 2 5 3 2" xfId="22175"/>
    <cellStyle name="_Table_Modelo 281108 FINAL - Colíder 3 2 5 3 3" xfId="25110"/>
    <cellStyle name="_Table_Modelo 281108 FINAL - Colíder 3 2 5 4" xfId="22173"/>
    <cellStyle name="_Table_Modelo 281108 FINAL - Colíder 3 2 5 5" xfId="21023"/>
    <cellStyle name="_Table_Modelo 281108 FINAL - Colíder 3 2 6" xfId="6378"/>
    <cellStyle name="_Table_Modelo 281108 FINAL - Colíder 3 2 6 2" xfId="6379"/>
    <cellStyle name="_Table_Modelo 281108 FINAL - Colíder 3 2 6 2 2" xfId="22177"/>
    <cellStyle name="_Table_Modelo 281108 FINAL - Colíder 3 2 6 2 3" xfId="25108"/>
    <cellStyle name="_Table_Modelo 281108 FINAL - Colíder 3 2 6 3" xfId="22176"/>
    <cellStyle name="_Table_Modelo 281108 FINAL - Colíder 3 2 6 4" xfId="25109"/>
    <cellStyle name="_Table_Modelo 281108 FINAL - Colíder 3 2 7" xfId="20741"/>
    <cellStyle name="_Table_Modelo 281108 FINAL - Colíder 3 2 8" xfId="26720"/>
    <cellStyle name="_Table_Modelo 281108 FINAL - Colíder 3 3" xfId="4833"/>
    <cellStyle name="_Table_Modelo 281108 FINAL - Colíder 3 3 2" xfId="6380"/>
    <cellStyle name="_Table_Modelo 281108 FINAL - Colíder 3 3 2 2" xfId="6381"/>
    <cellStyle name="_Table_Modelo 281108 FINAL - Colíder 3 3 2 2 2" xfId="22179"/>
    <cellStyle name="_Table_Modelo 281108 FINAL - Colíder 3 3 2 2 3" xfId="25106"/>
    <cellStyle name="_Table_Modelo 281108 FINAL - Colíder 3 3 2 3" xfId="22178"/>
    <cellStyle name="_Table_Modelo 281108 FINAL - Colíder 3 3 2 4" xfId="25107"/>
    <cellStyle name="_Table_Modelo 281108 FINAL - Colíder 3 3 3" xfId="6382"/>
    <cellStyle name="_Table_Modelo 281108 FINAL - Colíder 3 3 3 2" xfId="6383"/>
    <cellStyle name="_Table_Modelo 281108 FINAL - Colíder 3 3 3 2 2" xfId="22181"/>
    <cellStyle name="_Table_Modelo 281108 FINAL - Colíder 3 3 3 2 3" xfId="25104"/>
    <cellStyle name="_Table_Modelo 281108 FINAL - Colíder 3 3 3 3" xfId="6384"/>
    <cellStyle name="_Table_Modelo 281108 FINAL - Colíder 3 3 3 3 2" xfId="22182"/>
    <cellStyle name="_Table_Modelo 281108 FINAL - Colíder 3 3 3 3 3" xfId="25103"/>
    <cellStyle name="_Table_Modelo 281108 FINAL - Colíder 3 3 3 4" xfId="22180"/>
    <cellStyle name="_Table_Modelo 281108 FINAL - Colíder 3 3 3 5" xfId="25105"/>
    <cellStyle name="_Table_Modelo 281108 FINAL - Colíder 3 3 4" xfId="20745"/>
    <cellStyle name="_Table_Modelo 281108 FINAL - Colíder 3 3 5" xfId="19819"/>
    <cellStyle name="_Table_Modelo 281108 FINAL - Colíder 3 4" xfId="4834"/>
    <cellStyle name="_Table_Modelo 281108 FINAL - Colíder 3 4 2" xfId="6385"/>
    <cellStyle name="_Table_Modelo 281108 FINAL - Colíder 3 4 2 2" xfId="6386"/>
    <cellStyle name="_Table_Modelo 281108 FINAL - Colíder 3 4 2 2 2" xfId="22184"/>
    <cellStyle name="_Table_Modelo 281108 FINAL - Colíder 3 4 2 2 3" xfId="25101"/>
    <cellStyle name="_Table_Modelo 281108 FINAL - Colíder 3 4 2 3" xfId="6387"/>
    <cellStyle name="_Table_Modelo 281108 FINAL - Colíder 3 4 2 3 2" xfId="22185"/>
    <cellStyle name="_Table_Modelo 281108 FINAL - Colíder 3 4 2 3 3" xfId="25100"/>
    <cellStyle name="_Table_Modelo 281108 FINAL - Colíder 3 4 2 4" xfId="22183"/>
    <cellStyle name="_Table_Modelo 281108 FINAL - Colíder 3 4 2 5" xfId="25102"/>
    <cellStyle name="_Table_Modelo 281108 FINAL - Colíder 3 4 3" xfId="6388"/>
    <cellStyle name="_Table_Modelo 281108 FINAL - Colíder 3 4 3 2" xfId="6389"/>
    <cellStyle name="_Table_Modelo 281108 FINAL - Colíder 3 4 3 2 2" xfId="22187"/>
    <cellStyle name="_Table_Modelo 281108 FINAL - Colíder 3 4 3 2 3" xfId="25098"/>
    <cellStyle name="_Table_Modelo 281108 FINAL - Colíder 3 4 3 3" xfId="22186"/>
    <cellStyle name="_Table_Modelo 281108 FINAL - Colíder 3 4 3 4" xfId="25099"/>
    <cellStyle name="_Table_Modelo 281108 FINAL - Colíder 3 4 4" xfId="20746"/>
    <cellStyle name="_Table_Modelo 281108 FINAL - Colíder 3 4 5" xfId="19818"/>
    <cellStyle name="_Table_Modelo 281108 FINAL - Colíder 3 5" xfId="6390"/>
    <cellStyle name="_Table_Modelo 281108 FINAL - Colíder 3 5 2" xfId="6391"/>
    <cellStyle name="_Table_Modelo 281108 FINAL - Colíder 3 5 2 2" xfId="22189"/>
    <cellStyle name="_Table_Modelo 281108 FINAL - Colíder 3 5 2 3" xfId="25097"/>
    <cellStyle name="_Table_Modelo 281108 FINAL - Colíder 3 5 3" xfId="6392"/>
    <cellStyle name="_Table_Modelo 281108 FINAL - Colíder 3 5 3 2" xfId="22190"/>
    <cellStyle name="_Table_Modelo 281108 FINAL - Colíder 3 5 3 3" xfId="25096"/>
    <cellStyle name="_Table_Modelo 281108 FINAL - Colíder 3 5 4" xfId="22188"/>
    <cellStyle name="_Table_Modelo 281108 FINAL - Colíder 3 5 5" xfId="20336"/>
    <cellStyle name="_Table_Modelo 281108 FINAL - Colíder 3 6" xfId="6393"/>
    <cellStyle name="_Table_Modelo 281108 FINAL - Colíder 3 6 2" xfId="6394"/>
    <cellStyle name="_Table_Modelo 281108 FINAL - Colíder 3 6 2 2" xfId="22192"/>
    <cellStyle name="_Table_Modelo 281108 FINAL - Colíder 3 6 2 3" xfId="25094"/>
    <cellStyle name="_Table_Modelo 281108 FINAL - Colíder 3 6 3" xfId="22191"/>
    <cellStyle name="_Table_Modelo 281108 FINAL - Colíder 3 6 4" xfId="25095"/>
    <cellStyle name="_Table_Modelo 281108 FINAL - Colíder 3 7" xfId="18503"/>
    <cellStyle name="_Table_Modelo 281108 FINAL - Colíder 3 8" xfId="30684"/>
    <cellStyle name="_Table_Modelo 281108 FINAL - Colíder 4" xfId="4835"/>
    <cellStyle name="_Table_Modelo 281108 FINAL - Colíder 4 2" xfId="4836"/>
    <cellStyle name="_Table_Modelo 281108 FINAL - Colíder 4 2 2" xfId="6395"/>
    <cellStyle name="_Table_Modelo 281108 FINAL - Colíder 4 2 2 2" xfId="6396"/>
    <cellStyle name="_Table_Modelo 281108 FINAL - Colíder 4 2 2 2 2" xfId="22194"/>
    <cellStyle name="_Table_Modelo 281108 FINAL - Colíder 4 2 2 2 3" xfId="25092"/>
    <cellStyle name="_Table_Modelo 281108 FINAL - Colíder 4 2 2 3" xfId="22193"/>
    <cellStyle name="_Table_Modelo 281108 FINAL - Colíder 4 2 2 4" xfId="25093"/>
    <cellStyle name="_Table_Modelo 281108 FINAL - Colíder 4 2 3" xfId="6397"/>
    <cellStyle name="_Table_Modelo 281108 FINAL - Colíder 4 2 3 2" xfId="6398"/>
    <cellStyle name="_Table_Modelo 281108 FINAL - Colíder 4 2 3 2 2" xfId="22196"/>
    <cellStyle name="_Table_Modelo 281108 FINAL - Colíder 4 2 3 2 3" xfId="25090"/>
    <cellStyle name="_Table_Modelo 281108 FINAL - Colíder 4 2 3 3" xfId="6399"/>
    <cellStyle name="_Table_Modelo 281108 FINAL - Colíder 4 2 3 3 2" xfId="22197"/>
    <cellStyle name="_Table_Modelo 281108 FINAL - Colíder 4 2 3 3 3" xfId="25089"/>
    <cellStyle name="_Table_Modelo 281108 FINAL - Colíder 4 2 3 4" xfId="22195"/>
    <cellStyle name="_Table_Modelo 281108 FINAL - Colíder 4 2 3 5" xfId="25091"/>
    <cellStyle name="_Table_Modelo 281108 FINAL - Colíder 4 2 4" xfId="20748"/>
    <cellStyle name="_Table_Modelo 281108 FINAL - Colíder 4 2 5" xfId="26716"/>
    <cellStyle name="_Table_Modelo 281108 FINAL - Colíder 4 3" xfId="4837"/>
    <cellStyle name="_Table_Modelo 281108 FINAL - Colíder 4 3 2" xfId="6400"/>
    <cellStyle name="_Table_Modelo 281108 FINAL - Colíder 4 3 2 2" xfId="6401"/>
    <cellStyle name="_Table_Modelo 281108 FINAL - Colíder 4 3 2 2 2" xfId="22199"/>
    <cellStyle name="_Table_Modelo 281108 FINAL - Colíder 4 3 2 2 3" xfId="25087"/>
    <cellStyle name="_Table_Modelo 281108 FINAL - Colíder 4 3 2 3" xfId="22198"/>
    <cellStyle name="_Table_Modelo 281108 FINAL - Colíder 4 3 2 4" xfId="25088"/>
    <cellStyle name="_Table_Modelo 281108 FINAL - Colíder 4 3 3" xfId="6402"/>
    <cellStyle name="_Table_Modelo 281108 FINAL - Colíder 4 3 3 2" xfId="6403"/>
    <cellStyle name="_Table_Modelo 281108 FINAL - Colíder 4 3 3 2 2" xfId="22201"/>
    <cellStyle name="_Table_Modelo 281108 FINAL - Colíder 4 3 3 2 3" xfId="25085"/>
    <cellStyle name="_Table_Modelo 281108 FINAL - Colíder 4 3 3 3" xfId="6404"/>
    <cellStyle name="_Table_Modelo 281108 FINAL - Colíder 4 3 3 3 2" xfId="22202"/>
    <cellStyle name="_Table_Modelo 281108 FINAL - Colíder 4 3 3 3 3" xfId="25084"/>
    <cellStyle name="_Table_Modelo 281108 FINAL - Colíder 4 3 3 4" xfId="22200"/>
    <cellStyle name="_Table_Modelo 281108 FINAL - Colíder 4 3 3 5" xfId="25086"/>
    <cellStyle name="_Table_Modelo 281108 FINAL - Colíder 4 3 4" xfId="20749"/>
    <cellStyle name="_Table_Modelo 281108 FINAL - Colíder 4 3 5" xfId="26715"/>
    <cellStyle name="_Table_Modelo 281108 FINAL - Colíder 4 4" xfId="4838"/>
    <cellStyle name="_Table_Modelo 281108 FINAL - Colíder 4 4 2" xfId="6405"/>
    <cellStyle name="_Table_Modelo 281108 FINAL - Colíder 4 4 2 2" xfId="6406"/>
    <cellStyle name="_Table_Modelo 281108 FINAL - Colíder 4 4 2 2 2" xfId="22204"/>
    <cellStyle name="_Table_Modelo 281108 FINAL - Colíder 4 4 2 2 3" xfId="19284"/>
    <cellStyle name="_Table_Modelo 281108 FINAL - Colíder 4 4 2 3" xfId="6407"/>
    <cellStyle name="_Table_Modelo 281108 FINAL - Colíder 4 4 2 3 2" xfId="22205"/>
    <cellStyle name="_Table_Modelo 281108 FINAL - Colíder 4 4 2 3 3" xfId="25083"/>
    <cellStyle name="_Table_Modelo 281108 FINAL - Colíder 4 4 2 4" xfId="22203"/>
    <cellStyle name="_Table_Modelo 281108 FINAL - Colíder 4 4 2 5" xfId="20359"/>
    <cellStyle name="_Table_Modelo 281108 FINAL - Colíder 4 4 3" xfId="6408"/>
    <cellStyle name="_Table_Modelo 281108 FINAL - Colíder 4 4 3 2" xfId="6409"/>
    <cellStyle name="_Table_Modelo 281108 FINAL - Colíder 4 4 3 2 2" xfId="22207"/>
    <cellStyle name="_Table_Modelo 281108 FINAL - Colíder 4 4 3 2 3" xfId="25081"/>
    <cellStyle name="_Table_Modelo 281108 FINAL - Colíder 4 4 3 3" xfId="22206"/>
    <cellStyle name="_Table_Modelo 281108 FINAL - Colíder 4 4 3 4" xfId="25082"/>
    <cellStyle name="_Table_Modelo 281108 FINAL - Colíder 4 4 4" xfId="20750"/>
    <cellStyle name="_Table_Modelo 281108 FINAL - Colíder 4 4 5" xfId="26714"/>
    <cellStyle name="_Table_Modelo 281108 FINAL - Colíder 4 5" xfId="6410"/>
    <cellStyle name="_Table_Modelo 281108 FINAL - Colíder 4 5 2" xfId="6411"/>
    <cellStyle name="_Table_Modelo 281108 FINAL - Colíder 4 5 2 2" xfId="22209"/>
    <cellStyle name="_Table_Modelo 281108 FINAL - Colíder 4 5 2 3" xfId="25079"/>
    <cellStyle name="_Table_Modelo 281108 FINAL - Colíder 4 5 3" xfId="6412"/>
    <cellStyle name="_Table_Modelo 281108 FINAL - Colíder 4 5 3 2" xfId="22210"/>
    <cellStyle name="_Table_Modelo 281108 FINAL - Colíder 4 5 3 3" xfId="25078"/>
    <cellStyle name="_Table_Modelo 281108 FINAL - Colíder 4 5 4" xfId="22208"/>
    <cellStyle name="_Table_Modelo 281108 FINAL - Colíder 4 5 5" xfId="25080"/>
    <cellStyle name="_Table_Modelo 281108 FINAL - Colíder 4 6" xfId="6413"/>
    <cellStyle name="_Table_Modelo 281108 FINAL - Colíder 4 6 2" xfId="6414"/>
    <cellStyle name="_Table_Modelo 281108 FINAL - Colíder 4 6 2 2" xfId="22212"/>
    <cellStyle name="_Table_Modelo 281108 FINAL - Colíder 4 6 2 3" xfId="25076"/>
    <cellStyle name="_Table_Modelo 281108 FINAL - Colíder 4 6 3" xfId="22211"/>
    <cellStyle name="_Table_Modelo 281108 FINAL - Colíder 4 6 4" xfId="25077"/>
    <cellStyle name="_Table_Modelo 281108 FINAL - Colíder 4 7" xfId="20747"/>
    <cellStyle name="_Table_Modelo 281108 FINAL - Colíder 4 8" xfId="26717"/>
    <cellStyle name="_Table_Modelo 281108 FINAL - Colíder 5" xfId="4839"/>
    <cellStyle name="_Table_Modelo 281108 FINAL - Colíder 5 2" xfId="6415"/>
    <cellStyle name="_Table_Modelo 281108 FINAL - Colíder 5 2 2" xfId="6416"/>
    <cellStyle name="_Table_Modelo 281108 FINAL - Colíder 5 2 2 2" xfId="22214"/>
    <cellStyle name="_Table_Modelo 281108 FINAL - Colíder 5 2 2 3" xfId="25074"/>
    <cellStyle name="_Table_Modelo 281108 FINAL - Colíder 5 2 3" xfId="22213"/>
    <cellStyle name="_Table_Modelo 281108 FINAL - Colíder 5 2 4" xfId="25075"/>
    <cellStyle name="_Table_Modelo 281108 FINAL - Colíder 5 3" xfId="6417"/>
    <cellStyle name="_Table_Modelo 281108 FINAL - Colíder 5 3 2" xfId="6418"/>
    <cellStyle name="_Table_Modelo 281108 FINAL - Colíder 5 3 2 2" xfId="22216"/>
    <cellStyle name="_Table_Modelo 281108 FINAL - Colíder 5 3 2 3" xfId="25072"/>
    <cellStyle name="_Table_Modelo 281108 FINAL - Colíder 5 3 3" xfId="6419"/>
    <cellStyle name="_Table_Modelo 281108 FINAL - Colíder 5 3 3 2" xfId="22217"/>
    <cellStyle name="_Table_Modelo 281108 FINAL - Colíder 5 3 3 3" xfId="25071"/>
    <cellStyle name="_Table_Modelo 281108 FINAL - Colíder 5 3 4" xfId="22215"/>
    <cellStyle name="_Table_Modelo 281108 FINAL - Colíder 5 3 5" xfId="25073"/>
    <cellStyle name="_Table_Modelo 281108 FINAL - Colíder 5 4" xfId="20751"/>
    <cellStyle name="_Table_Modelo 281108 FINAL - Colíder 5 5" xfId="26713"/>
    <cellStyle name="_Table_Modelo 281108 FINAL - Colíder 6" xfId="4840"/>
    <cellStyle name="_Table_Modelo 281108 FINAL - Colíder 6 2" xfId="6420"/>
    <cellStyle name="_Table_Modelo 281108 FINAL - Colíder 6 2 2" xfId="6421"/>
    <cellStyle name="_Table_Modelo 281108 FINAL - Colíder 6 2 2 2" xfId="22219"/>
    <cellStyle name="_Table_Modelo 281108 FINAL - Colíder 6 2 2 3" xfId="25069"/>
    <cellStyle name="_Table_Modelo 281108 FINAL - Colíder 6 2 3" xfId="6422"/>
    <cellStyle name="_Table_Modelo 281108 FINAL - Colíder 6 2 3 2" xfId="22220"/>
    <cellStyle name="_Table_Modelo 281108 FINAL - Colíder 6 2 3 3" xfId="25068"/>
    <cellStyle name="_Table_Modelo 281108 FINAL - Colíder 6 2 4" xfId="22218"/>
    <cellStyle name="_Table_Modelo 281108 FINAL - Colíder 6 2 5" xfId="25070"/>
    <cellStyle name="_Table_Modelo 281108 FINAL - Colíder 6 3" xfId="6423"/>
    <cellStyle name="_Table_Modelo 281108 FINAL - Colíder 6 3 2" xfId="6424"/>
    <cellStyle name="_Table_Modelo 281108 FINAL - Colíder 6 3 2 2" xfId="22222"/>
    <cellStyle name="_Table_Modelo 281108 FINAL - Colíder 6 3 2 3" xfId="25066"/>
    <cellStyle name="_Table_Modelo 281108 FINAL - Colíder 6 3 3" xfId="22221"/>
    <cellStyle name="_Table_Modelo 281108 FINAL - Colíder 6 3 4" xfId="25067"/>
    <cellStyle name="_Table_Modelo 281108 FINAL - Colíder 6 4" xfId="20752"/>
    <cellStyle name="_Table_Modelo 281108 FINAL - Colíder 6 5" xfId="26712"/>
    <cellStyle name="_Table_Modelo 281108 FINAL - Colíder 7" xfId="6425"/>
    <cellStyle name="_Table_Modelo 281108 FINAL - Colíder 7 2" xfId="6426"/>
    <cellStyle name="_Table_Modelo 281108 FINAL - Colíder 7 2 2" xfId="22224"/>
    <cellStyle name="_Table_Modelo 281108 FINAL - Colíder 7 2 3" xfId="21022"/>
    <cellStyle name="_Table_Modelo 281108 FINAL - Colíder 7 3" xfId="6427"/>
    <cellStyle name="_Table_Modelo 281108 FINAL - Colíder 7 3 2" xfId="22225"/>
    <cellStyle name="_Table_Modelo 281108 FINAL - Colíder 7 3 3" xfId="25064"/>
    <cellStyle name="_Table_Modelo 281108 FINAL - Colíder 7 4" xfId="22223"/>
    <cellStyle name="_Table_Modelo 281108 FINAL - Colíder 7 5" xfId="25065"/>
    <cellStyle name="_Table_Modelo 281108 FINAL - Colíder 8" xfId="6428"/>
    <cellStyle name="_Table_Modelo 281108 FINAL - Colíder 8 2" xfId="6429"/>
    <cellStyle name="_Table_Modelo 281108 FINAL - Colíder 8 2 2" xfId="22227"/>
    <cellStyle name="_Table_Modelo 281108 FINAL - Colíder 8 2 3" xfId="25062"/>
    <cellStyle name="_Table_Modelo 281108 FINAL - Colíder 8 3" xfId="22226"/>
    <cellStyle name="_Table_Modelo 281108 FINAL - Colíder 8 4" xfId="25063"/>
    <cellStyle name="_Table_Modelo 281108 FINAL - Colíder 9" xfId="18501"/>
    <cellStyle name="_Table_Modelo 281108 FINAL - Comodoro" xfId="815"/>
    <cellStyle name="_Table_Modelo 281108 FINAL - Comodoro 10" xfId="30683"/>
    <cellStyle name="_Table_Modelo 281108 FINAL - Comodoro 2" xfId="816"/>
    <cellStyle name="_Table_Modelo 281108 FINAL - Comodoro 2 2" xfId="4841"/>
    <cellStyle name="_Table_Modelo 281108 FINAL - Comodoro 2 2 2" xfId="4842"/>
    <cellStyle name="_Table_Modelo 281108 FINAL - Comodoro 2 2 2 2" xfId="6430"/>
    <cellStyle name="_Table_Modelo 281108 FINAL - Comodoro 2 2 2 2 2" xfId="6431"/>
    <cellStyle name="_Table_Modelo 281108 FINAL - Comodoro 2 2 2 2 2 2" xfId="22229"/>
    <cellStyle name="_Table_Modelo 281108 FINAL - Comodoro 2 2 2 2 2 3" xfId="25060"/>
    <cellStyle name="_Table_Modelo 281108 FINAL - Comodoro 2 2 2 2 3" xfId="22228"/>
    <cellStyle name="_Table_Modelo 281108 FINAL - Comodoro 2 2 2 2 4" xfId="25061"/>
    <cellStyle name="_Table_Modelo 281108 FINAL - Comodoro 2 2 2 3" xfId="6432"/>
    <cellStyle name="_Table_Modelo 281108 FINAL - Comodoro 2 2 2 3 2" xfId="6433"/>
    <cellStyle name="_Table_Modelo 281108 FINAL - Comodoro 2 2 2 3 2 2" xfId="22231"/>
    <cellStyle name="_Table_Modelo 281108 FINAL - Comodoro 2 2 2 3 2 3" xfId="25058"/>
    <cellStyle name="_Table_Modelo 281108 FINAL - Comodoro 2 2 2 3 3" xfId="6434"/>
    <cellStyle name="_Table_Modelo 281108 FINAL - Comodoro 2 2 2 3 3 2" xfId="22232"/>
    <cellStyle name="_Table_Modelo 281108 FINAL - Comodoro 2 2 2 3 3 3" xfId="25057"/>
    <cellStyle name="_Table_Modelo 281108 FINAL - Comodoro 2 2 2 3 4" xfId="22230"/>
    <cellStyle name="_Table_Modelo 281108 FINAL - Comodoro 2 2 2 3 5" xfId="25059"/>
    <cellStyle name="_Table_Modelo 281108 FINAL - Comodoro 2 2 2 4" xfId="20754"/>
    <cellStyle name="_Table_Modelo 281108 FINAL - Comodoro 2 2 2 5" xfId="26710"/>
    <cellStyle name="_Table_Modelo 281108 FINAL - Comodoro 2 2 3" xfId="4843"/>
    <cellStyle name="_Table_Modelo 281108 FINAL - Comodoro 2 2 3 2" xfId="6435"/>
    <cellStyle name="_Table_Modelo 281108 FINAL - Comodoro 2 2 3 2 2" xfId="6436"/>
    <cellStyle name="_Table_Modelo 281108 FINAL - Comodoro 2 2 3 2 2 2" xfId="22234"/>
    <cellStyle name="_Table_Modelo 281108 FINAL - Comodoro 2 2 3 2 2 3" xfId="25055"/>
    <cellStyle name="_Table_Modelo 281108 FINAL - Comodoro 2 2 3 2 3" xfId="22233"/>
    <cellStyle name="_Table_Modelo 281108 FINAL - Comodoro 2 2 3 2 4" xfId="25056"/>
    <cellStyle name="_Table_Modelo 281108 FINAL - Comodoro 2 2 3 3" xfId="6437"/>
    <cellStyle name="_Table_Modelo 281108 FINAL - Comodoro 2 2 3 3 2" xfId="6438"/>
    <cellStyle name="_Table_Modelo 281108 FINAL - Comodoro 2 2 3 3 2 2" xfId="22236"/>
    <cellStyle name="_Table_Modelo 281108 FINAL - Comodoro 2 2 3 3 2 3" xfId="25053"/>
    <cellStyle name="_Table_Modelo 281108 FINAL - Comodoro 2 2 3 3 3" xfId="6439"/>
    <cellStyle name="_Table_Modelo 281108 FINAL - Comodoro 2 2 3 3 3 2" xfId="22237"/>
    <cellStyle name="_Table_Modelo 281108 FINAL - Comodoro 2 2 3 3 3 3" xfId="25052"/>
    <cellStyle name="_Table_Modelo 281108 FINAL - Comodoro 2 2 3 3 4" xfId="22235"/>
    <cellStyle name="_Table_Modelo 281108 FINAL - Comodoro 2 2 3 3 5" xfId="25054"/>
    <cellStyle name="_Table_Modelo 281108 FINAL - Comodoro 2 2 3 4" xfId="20755"/>
    <cellStyle name="_Table_Modelo 281108 FINAL - Comodoro 2 2 3 5" xfId="26709"/>
    <cellStyle name="_Table_Modelo 281108 FINAL - Comodoro 2 2 4" xfId="4844"/>
    <cellStyle name="_Table_Modelo 281108 FINAL - Comodoro 2 2 4 2" xfId="6440"/>
    <cellStyle name="_Table_Modelo 281108 FINAL - Comodoro 2 2 4 2 2" xfId="6441"/>
    <cellStyle name="_Table_Modelo 281108 FINAL - Comodoro 2 2 4 2 2 2" xfId="22239"/>
    <cellStyle name="_Table_Modelo 281108 FINAL - Comodoro 2 2 4 2 2 3" xfId="20335"/>
    <cellStyle name="_Table_Modelo 281108 FINAL - Comodoro 2 2 4 2 3" xfId="6442"/>
    <cellStyle name="_Table_Modelo 281108 FINAL - Comodoro 2 2 4 2 3 2" xfId="22240"/>
    <cellStyle name="_Table_Modelo 281108 FINAL - Comodoro 2 2 4 2 3 3" xfId="25050"/>
    <cellStyle name="_Table_Modelo 281108 FINAL - Comodoro 2 2 4 2 4" xfId="22238"/>
    <cellStyle name="_Table_Modelo 281108 FINAL - Comodoro 2 2 4 2 5" xfId="25051"/>
    <cellStyle name="_Table_Modelo 281108 FINAL - Comodoro 2 2 4 3" xfId="6443"/>
    <cellStyle name="_Table_Modelo 281108 FINAL - Comodoro 2 2 4 3 2" xfId="6444"/>
    <cellStyle name="_Table_Modelo 281108 FINAL - Comodoro 2 2 4 3 2 2" xfId="22242"/>
    <cellStyle name="_Table_Modelo 281108 FINAL - Comodoro 2 2 4 3 2 3" xfId="25048"/>
    <cellStyle name="_Table_Modelo 281108 FINAL - Comodoro 2 2 4 3 3" xfId="22241"/>
    <cellStyle name="_Table_Modelo 281108 FINAL - Comodoro 2 2 4 3 4" xfId="25049"/>
    <cellStyle name="_Table_Modelo 281108 FINAL - Comodoro 2 2 4 4" xfId="20756"/>
    <cellStyle name="_Table_Modelo 281108 FINAL - Comodoro 2 2 4 5" xfId="26708"/>
    <cellStyle name="_Table_Modelo 281108 FINAL - Comodoro 2 2 5" xfId="6445"/>
    <cellStyle name="_Table_Modelo 281108 FINAL - Comodoro 2 2 5 2" xfId="6446"/>
    <cellStyle name="_Table_Modelo 281108 FINAL - Comodoro 2 2 5 2 2" xfId="22244"/>
    <cellStyle name="_Table_Modelo 281108 FINAL - Comodoro 2 2 5 2 3" xfId="25046"/>
    <cellStyle name="_Table_Modelo 281108 FINAL - Comodoro 2 2 5 3" xfId="6447"/>
    <cellStyle name="_Table_Modelo 281108 FINAL - Comodoro 2 2 5 3 2" xfId="22245"/>
    <cellStyle name="_Table_Modelo 281108 FINAL - Comodoro 2 2 5 3 3" xfId="25045"/>
    <cellStyle name="_Table_Modelo 281108 FINAL - Comodoro 2 2 5 4" xfId="22243"/>
    <cellStyle name="_Table_Modelo 281108 FINAL - Comodoro 2 2 5 5" xfId="25047"/>
    <cellStyle name="_Table_Modelo 281108 FINAL - Comodoro 2 2 6" xfId="6448"/>
    <cellStyle name="_Table_Modelo 281108 FINAL - Comodoro 2 2 6 2" xfId="6449"/>
    <cellStyle name="_Table_Modelo 281108 FINAL - Comodoro 2 2 6 2 2" xfId="22247"/>
    <cellStyle name="_Table_Modelo 281108 FINAL - Comodoro 2 2 6 2 3" xfId="25043"/>
    <cellStyle name="_Table_Modelo 281108 FINAL - Comodoro 2 2 6 3" xfId="22246"/>
    <cellStyle name="_Table_Modelo 281108 FINAL - Comodoro 2 2 6 4" xfId="25044"/>
    <cellStyle name="_Table_Modelo 281108 FINAL - Comodoro 2 2 7" xfId="20753"/>
    <cellStyle name="_Table_Modelo 281108 FINAL - Comodoro 2 2 8" xfId="26711"/>
    <cellStyle name="_Table_Modelo 281108 FINAL - Comodoro 2 3" xfId="4845"/>
    <cellStyle name="_Table_Modelo 281108 FINAL - Comodoro 2 3 2" xfId="6450"/>
    <cellStyle name="_Table_Modelo 281108 FINAL - Comodoro 2 3 2 2" xfId="6451"/>
    <cellStyle name="_Table_Modelo 281108 FINAL - Comodoro 2 3 2 2 2" xfId="22249"/>
    <cellStyle name="_Table_Modelo 281108 FINAL - Comodoro 2 3 2 2 3" xfId="25041"/>
    <cellStyle name="_Table_Modelo 281108 FINAL - Comodoro 2 3 2 3" xfId="22248"/>
    <cellStyle name="_Table_Modelo 281108 FINAL - Comodoro 2 3 2 4" xfId="25042"/>
    <cellStyle name="_Table_Modelo 281108 FINAL - Comodoro 2 3 3" xfId="6452"/>
    <cellStyle name="_Table_Modelo 281108 FINAL - Comodoro 2 3 3 2" xfId="6453"/>
    <cellStyle name="_Table_Modelo 281108 FINAL - Comodoro 2 3 3 2 2" xfId="22251"/>
    <cellStyle name="_Table_Modelo 281108 FINAL - Comodoro 2 3 3 2 3" xfId="25039"/>
    <cellStyle name="_Table_Modelo 281108 FINAL - Comodoro 2 3 3 3" xfId="6454"/>
    <cellStyle name="_Table_Modelo 281108 FINAL - Comodoro 2 3 3 3 2" xfId="22252"/>
    <cellStyle name="_Table_Modelo 281108 FINAL - Comodoro 2 3 3 3 3" xfId="25038"/>
    <cellStyle name="_Table_Modelo 281108 FINAL - Comodoro 2 3 3 4" xfId="22250"/>
    <cellStyle name="_Table_Modelo 281108 FINAL - Comodoro 2 3 3 5" xfId="25040"/>
    <cellStyle name="_Table_Modelo 281108 FINAL - Comodoro 2 3 4" xfId="20757"/>
    <cellStyle name="_Table_Modelo 281108 FINAL - Comodoro 2 3 5" xfId="26707"/>
    <cellStyle name="_Table_Modelo 281108 FINAL - Comodoro 2 4" xfId="4846"/>
    <cellStyle name="_Table_Modelo 281108 FINAL - Comodoro 2 4 2" xfId="6455"/>
    <cellStyle name="_Table_Modelo 281108 FINAL - Comodoro 2 4 2 2" xfId="6456"/>
    <cellStyle name="_Table_Modelo 281108 FINAL - Comodoro 2 4 2 2 2" xfId="22254"/>
    <cellStyle name="_Table_Modelo 281108 FINAL - Comodoro 2 4 2 2 3" xfId="20418"/>
    <cellStyle name="_Table_Modelo 281108 FINAL - Comodoro 2 4 2 3" xfId="6457"/>
    <cellStyle name="_Table_Modelo 281108 FINAL - Comodoro 2 4 2 3 2" xfId="22255"/>
    <cellStyle name="_Table_Modelo 281108 FINAL - Comodoro 2 4 2 3 3" xfId="19283"/>
    <cellStyle name="_Table_Modelo 281108 FINAL - Comodoro 2 4 2 4" xfId="22253"/>
    <cellStyle name="_Table_Modelo 281108 FINAL - Comodoro 2 4 2 5" xfId="25037"/>
    <cellStyle name="_Table_Modelo 281108 FINAL - Comodoro 2 4 3" xfId="6458"/>
    <cellStyle name="_Table_Modelo 281108 FINAL - Comodoro 2 4 3 2" xfId="6459"/>
    <cellStyle name="_Table_Modelo 281108 FINAL - Comodoro 2 4 3 2 2" xfId="22257"/>
    <cellStyle name="_Table_Modelo 281108 FINAL - Comodoro 2 4 3 2 3" xfId="25036"/>
    <cellStyle name="_Table_Modelo 281108 FINAL - Comodoro 2 4 3 3" xfId="22256"/>
    <cellStyle name="_Table_Modelo 281108 FINAL - Comodoro 2 4 3 4" xfId="19282"/>
    <cellStyle name="_Table_Modelo 281108 FINAL - Comodoro 2 4 4" xfId="20758"/>
    <cellStyle name="_Table_Modelo 281108 FINAL - Comodoro 2 4 5" xfId="26706"/>
    <cellStyle name="_Table_Modelo 281108 FINAL - Comodoro 2 5" xfId="6460"/>
    <cellStyle name="_Table_Modelo 281108 FINAL - Comodoro 2 5 2" xfId="6461"/>
    <cellStyle name="_Table_Modelo 281108 FINAL - Comodoro 2 5 2 2" xfId="22259"/>
    <cellStyle name="_Table_Modelo 281108 FINAL - Comodoro 2 5 2 3" xfId="25034"/>
    <cellStyle name="_Table_Modelo 281108 FINAL - Comodoro 2 5 3" xfId="6462"/>
    <cellStyle name="_Table_Modelo 281108 FINAL - Comodoro 2 5 3 2" xfId="22260"/>
    <cellStyle name="_Table_Modelo 281108 FINAL - Comodoro 2 5 3 3" xfId="25033"/>
    <cellStyle name="_Table_Modelo 281108 FINAL - Comodoro 2 5 4" xfId="22258"/>
    <cellStyle name="_Table_Modelo 281108 FINAL - Comodoro 2 5 5" xfId="25035"/>
    <cellStyle name="_Table_Modelo 281108 FINAL - Comodoro 2 6" xfId="6463"/>
    <cellStyle name="_Table_Modelo 281108 FINAL - Comodoro 2 6 2" xfId="6464"/>
    <cellStyle name="_Table_Modelo 281108 FINAL - Comodoro 2 6 2 2" xfId="22262"/>
    <cellStyle name="_Table_Modelo 281108 FINAL - Comodoro 2 6 2 3" xfId="25031"/>
    <cellStyle name="_Table_Modelo 281108 FINAL - Comodoro 2 6 3" xfId="22261"/>
    <cellStyle name="_Table_Modelo 281108 FINAL - Comodoro 2 6 4" xfId="25032"/>
    <cellStyle name="_Table_Modelo 281108 FINAL - Comodoro 2 7" xfId="18505"/>
    <cellStyle name="_Table_Modelo 281108 FINAL - Comodoro 2 8" xfId="30682"/>
    <cellStyle name="_Table_Modelo 281108 FINAL - Comodoro 3" xfId="817"/>
    <cellStyle name="_Table_Modelo 281108 FINAL - Comodoro 3 2" xfId="4847"/>
    <cellStyle name="_Table_Modelo 281108 FINAL - Comodoro 3 2 2" xfId="4848"/>
    <cellStyle name="_Table_Modelo 281108 FINAL - Comodoro 3 2 2 2" xfId="6465"/>
    <cellStyle name="_Table_Modelo 281108 FINAL - Comodoro 3 2 2 2 2" xfId="6466"/>
    <cellStyle name="_Table_Modelo 281108 FINAL - Comodoro 3 2 2 2 2 2" xfId="22264"/>
    <cellStyle name="_Table_Modelo 281108 FINAL - Comodoro 3 2 2 2 2 3" xfId="25029"/>
    <cellStyle name="_Table_Modelo 281108 FINAL - Comodoro 3 2 2 2 3" xfId="22263"/>
    <cellStyle name="_Table_Modelo 281108 FINAL - Comodoro 3 2 2 2 4" xfId="25030"/>
    <cellStyle name="_Table_Modelo 281108 FINAL - Comodoro 3 2 2 3" xfId="6467"/>
    <cellStyle name="_Table_Modelo 281108 FINAL - Comodoro 3 2 2 3 2" xfId="6468"/>
    <cellStyle name="_Table_Modelo 281108 FINAL - Comodoro 3 2 2 3 2 2" xfId="22266"/>
    <cellStyle name="_Table_Modelo 281108 FINAL - Comodoro 3 2 2 3 2 3" xfId="25027"/>
    <cellStyle name="_Table_Modelo 281108 FINAL - Comodoro 3 2 2 3 3" xfId="6469"/>
    <cellStyle name="_Table_Modelo 281108 FINAL - Comodoro 3 2 2 3 3 2" xfId="22267"/>
    <cellStyle name="_Table_Modelo 281108 FINAL - Comodoro 3 2 2 3 3 3" xfId="25026"/>
    <cellStyle name="_Table_Modelo 281108 FINAL - Comodoro 3 2 2 3 4" xfId="22265"/>
    <cellStyle name="_Table_Modelo 281108 FINAL - Comodoro 3 2 2 3 5" xfId="25028"/>
    <cellStyle name="_Table_Modelo 281108 FINAL - Comodoro 3 2 2 4" xfId="20760"/>
    <cellStyle name="_Table_Modelo 281108 FINAL - Comodoro 3 2 2 5" xfId="26704"/>
    <cellStyle name="_Table_Modelo 281108 FINAL - Comodoro 3 2 3" xfId="4849"/>
    <cellStyle name="_Table_Modelo 281108 FINAL - Comodoro 3 2 3 2" xfId="6470"/>
    <cellStyle name="_Table_Modelo 281108 FINAL - Comodoro 3 2 3 2 2" xfId="6471"/>
    <cellStyle name="_Table_Modelo 281108 FINAL - Comodoro 3 2 3 2 2 2" xfId="22269"/>
    <cellStyle name="_Table_Modelo 281108 FINAL - Comodoro 3 2 3 2 2 3" xfId="25024"/>
    <cellStyle name="_Table_Modelo 281108 FINAL - Comodoro 3 2 3 2 3" xfId="22268"/>
    <cellStyle name="_Table_Modelo 281108 FINAL - Comodoro 3 2 3 2 4" xfId="25025"/>
    <cellStyle name="_Table_Modelo 281108 FINAL - Comodoro 3 2 3 3" xfId="6472"/>
    <cellStyle name="_Table_Modelo 281108 FINAL - Comodoro 3 2 3 3 2" xfId="6473"/>
    <cellStyle name="_Table_Modelo 281108 FINAL - Comodoro 3 2 3 3 2 2" xfId="22271"/>
    <cellStyle name="_Table_Modelo 281108 FINAL - Comodoro 3 2 3 3 2 3" xfId="25022"/>
    <cellStyle name="_Table_Modelo 281108 FINAL - Comodoro 3 2 3 3 3" xfId="6474"/>
    <cellStyle name="_Table_Modelo 281108 FINAL - Comodoro 3 2 3 3 3 2" xfId="22272"/>
    <cellStyle name="_Table_Modelo 281108 FINAL - Comodoro 3 2 3 3 3 3" xfId="25021"/>
    <cellStyle name="_Table_Modelo 281108 FINAL - Comodoro 3 2 3 3 4" xfId="22270"/>
    <cellStyle name="_Table_Modelo 281108 FINAL - Comodoro 3 2 3 3 5" xfId="25023"/>
    <cellStyle name="_Table_Modelo 281108 FINAL - Comodoro 3 2 3 4" xfId="20761"/>
    <cellStyle name="_Table_Modelo 281108 FINAL - Comodoro 3 2 3 5" xfId="26703"/>
    <cellStyle name="_Table_Modelo 281108 FINAL - Comodoro 3 2 4" xfId="4850"/>
    <cellStyle name="_Table_Modelo 281108 FINAL - Comodoro 3 2 4 2" xfId="6475"/>
    <cellStyle name="_Table_Modelo 281108 FINAL - Comodoro 3 2 4 2 2" xfId="6476"/>
    <cellStyle name="_Table_Modelo 281108 FINAL - Comodoro 3 2 4 2 2 2" xfId="22274"/>
    <cellStyle name="_Table_Modelo 281108 FINAL - Comodoro 3 2 4 2 2 3" xfId="25019"/>
    <cellStyle name="_Table_Modelo 281108 FINAL - Comodoro 3 2 4 2 3" xfId="6477"/>
    <cellStyle name="_Table_Modelo 281108 FINAL - Comodoro 3 2 4 2 3 2" xfId="22275"/>
    <cellStyle name="_Table_Modelo 281108 FINAL - Comodoro 3 2 4 2 3 3" xfId="25018"/>
    <cellStyle name="_Table_Modelo 281108 FINAL - Comodoro 3 2 4 2 4" xfId="22273"/>
    <cellStyle name="_Table_Modelo 281108 FINAL - Comodoro 3 2 4 2 5" xfId="25020"/>
    <cellStyle name="_Table_Modelo 281108 FINAL - Comodoro 3 2 4 3" xfId="6478"/>
    <cellStyle name="_Table_Modelo 281108 FINAL - Comodoro 3 2 4 3 2" xfId="6479"/>
    <cellStyle name="_Table_Modelo 281108 FINAL - Comodoro 3 2 4 3 2 2" xfId="22277"/>
    <cellStyle name="_Table_Modelo 281108 FINAL - Comodoro 3 2 4 3 2 3" xfId="25017"/>
    <cellStyle name="_Table_Modelo 281108 FINAL - Comodoro 3 2 4 3 3" xfId="22276"/>
    <cellStyle name="_Table_Modelo 281108 FINAL - Comodoro 3 2 4 3 4" xfId="21021"/>
    <cellStyle name="_Table_Modelo 281108 FINAL - Comodoro 3 2 4 4" xfId="20762"/>
    <cellStyle name="_Table_Modelo 281108 FINAL - Comodoro 3 2 4 5" xfId="26702"/>
    <cellStyle name="_Table_Modelo 281108 FINAL - Comodoro 3 2 5" xfId="6480"/>
    <cellStyle name="_Table_Modelo 281108 FINAL - Comodoro 3 2 5 2" xfId="6481"/>
    <cellStyle name="_Table_Modelo 281108 FINAL - Comodoro 3 2 5 2 2" xfId="22279"/>
    <cellStyle name="_Table_Modelo 281108 FINAL - Comodoro 3 2 5 2 3" xfId="25015"/>
    <cellStyle name="_Table_Modelo 281108 FINAL - Comodoro 3 2 5 3" xfId="6482"/>
    <cellStyle name="_Table_Modelo 281108 FINAL - Comodoro 3 2 5 3 2" xfId="22280"/>
    <cellStyle name="_Table_Modelo 281108 FINAL - Comodoro 3 2 5 3 3" xfId="25014"/>
    <cellStyle name="_Table_Modelo 281108 FINAL - Comodoro 3 2 5 4" xfId="22278"/>
    <cellStyle name="_Table_Modelo 281108 FINAL - Comodoro 3 2 5 5" xfId="25016"/>
    <cellStyle name="_Table_Modelo 281108 FINAL - Comodoro 3 2 6" xfId="6483"/>
    <cellStyle name="_Table_Modelo 281108 FINAL - Comodoro 3 2 6 2" xfId="6484"/>
    <cellStyle name="_Table_Modelo 281108 FINAL - Comodoro 3 2 6 2 2" xfId="22282"/>
    <cellStyle name="_Table_Modelo 281108 FINAL - Comodoro 3 2 6 2 3" xfId="25012"/>
    <cellStyle name="_Table_Modelo 281108 FINAL - Comodoro 3 2 6 3" xfId="22281"/>
    <cellStyle name="_Table_Modelo 281108 FINAL - Comodoro 3 2 6 4" xfId="25013"/>
    <cellStyle name="_Table_Modelo 281108 FINAL - Comodoro 3 2 7" xfId="20759"/>
    <cellStyle name="_Table_Modelo 281108 FINAL - Comodoro 3 2 8" xfId="26705"/>
    <cellStyle name="_Table_Modelo 281108 FINAL - Comodoro 3 3" xfId="4851"/>
    <cellStyle name="_Table_Modelo 281108 FINAL - Comodoro 3 3 2" xfId="6485"/>
    <cellStyle name="_Table_Modelo 281108 FINAL - Comodoro 3 3 2 2" xfId="6486"/>
    <cellStyle name="_Table_Modelo 281108 FINAL - Comodoro 3 3 2 2 2" xfId="22284"/>
    <cellStyle name="_Table_Modelo 281108 FINAL - Comodoro 3 3 2 2 3" xfId="25010"/>
    <cellStyle name="_Table_Modelo 281108 FINAL - Comodoro 3 3 2 3" xfId="22283"/>
    <cellStyle name="_Table_Modelo 281108 FINAL - Comodoro 3 3 2 4" xfId="25011"/>
    <cellStyle name="_Table_Modelo 281108 FINAL - Comodoro 3 3 3" xfId="6487"/>
    <cellStyle name="_Table_Modelo 281108 FINAL - Comodoro 3 3 3 2" xfId="6488"/>
    <cellStyle name="_Table_Modelo 281108 FINAL - Comodoro 3 3 3 2 2" xfId="22286"/>
    <cellStyle name="_Table_Modelo 281108 FINAL - Comodoro 3 3 3 2 3" xfId="25008"/>
    <cellStyle name="_Table_Modelo 281108 FINAL - Comodoro 3 3 3 3" xfId="6489"/>
    <cellStyle name="_Table_Modelo 281108 FINAL - Comodoro 3 3 3 3 2" xfId="22287"/>
    <cellStyle name="_Table_Modelo 281108 FINAL - Comodoro 3 3 3 3 3" xfId="25007"/>
    <cellStyle name="_Table_Modelo 281108 FINAL - Comodoro 3 3 3 4" xfId="22285"/>
    <cellStyle name="_Table_Modelo 281108 FINAL - Comodoro 3 3 3 5" xfId="25009"/>
    <cellStyle name="_Table_Modelo 281108 FINAL - Comodoro 3 3 4" xfId="20763"/>
    <cellStyle name="_Table_Modelo 281108 FINAL - Comodoro 3 3 5" xfId="26701"/>
    <cellStyle name="_Table_Modelo 281108 FINAL - Comodoro 3 4" xfId="4852"/>
    <cellStyle name="_Table_Modelo 281108 FINAL - Comodoro 3 4 2" xfId="6490"/>
    <cellStyle name="_Table_Modelo 281108 FINAL - Comodoro 3 4 2 2" xfId="6491"/>
    <cellStyle name="_Table_Modelo 281108 FINAL - Comodoro 3 4 2 2 2" xfId="22289"/>
    <cellStyle name="_Table_Modelo 281108 FINAL - Comodoro 3 4 2 2 3" xfId="25005"/>
    <cellStyle name="_Table_Modelo 281108 FINAL - Comodoro 3 4 2 3" xfId="6492"/>
    <cellStyle name="_Table_Modelo 281108 FINAL - Comodoro 3 4 2 3 2" xfId="22290"/>
    <cellStyle name="_Table_Modelo 281108 FINAL - Comodoro 3 4 2 3 3" xfId="25004"/>
    <cellStyle name="_Table_Modelo 281108 FINAL - Comodoro 3 4 2 4" xfId="22288"/>
    <cellStyle name="_Table_Modelo 281108 FINAL - Comodoro 3 4 2 5" xfId="25006"/>
    <cellStyle name="_Table_Modelo 281108 FINAL - Comodoro 3 4 3" xfId="6493"/>
    <cellStyle name="_Table_Modelo 281108 FINAL - Comodoro 3 4 3 2" xfId="6494"/>
    <cellStyle name="_Table_Modelo 281108 FINAL - Comodoro 3 4 3 2 2" xfId="22292"/>
    <cellStyle name="_Table_Modelo 281108 FINAL - Comodoro 3 4 3 2 3" xfId="25003"/>
    <cellStyle name="_Table_Modelo 281108 FINAL - Comodoro 3 4 3 3" xfId="22291"/>
    <cellStyle name="_Table_Modelo 281108 FINAL - Comodoro 3 4 3 4" xfId="20481"/>
    <cellStyle name="_Table_Modelo 281108 FINAL - Comodoro 3 4 4" xfId="20764"/>
    <cellStyle name="_Table_Modelo 281108 FINAL - Comodoro 3 4 5" xfId="26700"/>
    <cellStyle name="_Table_Modelo 281108 FINAL - Comodoro 3 5" xfId="6495"/>
    <cellStyle name="_Table_Modelo 281108 FINAL - Comodoro 3 5 2" xfId="6496"/>
    <cellStyle name="_Table_Modelo 281108 FINAL - Comodoro 3 5 2 2" xfId="22294"/>
    <cellStyle name="_Table_Modelo 281108 FINAL - Comodoro 3 5 2 3" xfId="25001"/>
    <cellStyle name="_Table_Modelo 281108 FINAL - Comodoro 3 5 3" xfId="6497"/>
    <cellStyle name="_Table_Modelo 281108 FINAL - Comodoro 3 5 3 2" xfId="22295"/>
    <cellStyle name="_Table_Modelo 281108 FINAL - Comodoro 3 5 3 3" xfId="25000"/>
    <cellStyle name="_Table_Modelo 281108 FINAL - Comodoro 3 5 4" xfId="22293"/>
    <cellStyle name="_Table_Modelo 281108 FINAL - Comodoro 3 5 5" xfId="25002"/>
    <cellStyle name="_Table_Modelo 281108 FINAL - Comodoro 3 6" xfId="6498"/>
    <cellStyle name="_Table_Modelo 281108 FINAL - Comodoro 3 6 2" xfId="6499"/>
    <cellStyle name="_Table_Modelo 281108 FINAL - Comodoro 3 6 2 2" xfId="22297"/>
    <cellStyle name="_Table_Modelo 281108 FINAL - Comodoro 3 6 2 3" xfId="24998"/>
    <cellStyle name="_Table_Modelo 281108 FINAL - Comodoro 3 6 3" xfId="22296"/>
    <cellStyle name="_Table_Modelo 281108 FINAL - Comodoro 3 6 4" xfId="24999"/>
    <cellStyle name="_Table_Modelo 281108 FINAL - Comodoro 3 7" xfId="18506"/>
    <cellStyle name="_Table_Modelo 281108 FINAL - Comodoro 3 8" xfId="30681"/>
    <cellStyle name="_Table_Modelo 281108 FINAL - Comodoro 4" xfId="4853"/>
    <cellStyle name="_Table_Modelo 281108 FINAL - Comodoro 4 2" xfId="4854"/>
    <cellStyle name="_Table_Modelo 281108 FINAL - Comodoro 4 2 2" xfId="6500"/>
    <cellStyle name="_Table_Modelo 281108 FINAL - Comodoro 4 2 2 2" xfId="6501"/>
    <cellStyle name="_Table_Modelo 281108 FINAL - Comodoro 4 2 2 2 2" xfId="22299"/>
    <cellStyle name="_Table_Modelo 281108 FINAL - Comodoro 4 2 2 2 3" xfId="24996"/>
    <cellStyle name="_Table_Modelo 281108 FINAL - Comodoro 4 2 2 3" xfId="22298"/>
    <cellStyle name="_Table_Modelo 281108 FINAL - Comodoro 4 2 2 4" xfId="24997"/>
    <cellStyle name="_Table_Modelo 281108 FINAL - Comodoro 4 2 3" xfId="6502"/>
    <cellStyle name="_Table_Modelo 281108 FINAL - Comodoro 4 2 3 2" xfId="6503"/>
    <cellStyle name="_Table_Modelo 281108 FINAL - Comodoro 4 2 3 2 2" xfId="22301"/>
    <cellStyle name="_Table_Modelo 281108 FINAL - Comodoro 4 2 3 2 3" xfId="24994"/>
    <cellStyle name="_Table_Modelo 281108 FINAL - Comodoro 4 2 3 3" xfId="6504"/>
    <cellStyle name="_Table_Modelo 281108 FINAL - Comodoro 4 2 3 3 2" xfId="22302"/>
    <cellStyle name="_Table_Modelo 281108 FINAL - Comodoro 4 2 3 3 3" xfId="24993"/>
    <cellStyle name="_Table_Modelo 281108 FINAL - Comodoro 4 2 3 4" xfId="22300"/>
    <cellStyle name="_Table_Modelo 281108 FINAL - Comodoro 4 2 3 5" xfId="24995"/>
    <cellStyle name="_Table_Modelo 281108 FINAL - Comodoro 4 2 4" xfId="20766"/>
    <cellStyle name="_Table_Modelo 281108 FINAL - Comodoro 4 2 5" xfId="21100"/>
    <cellStyle name="_Table_Modelo 281108 FINAL - Comodoro 4 3" xfId="4855"/>
    <cellStyle name="_Table_Modelo 281108 FINAL - Comodoro 4 3 2" xfId="6505"/>
    <cellStyle name="_Table_Modelo 281108 FINAL - Comodoro 4 3 2 2" xfId="6506"/>
    <cellStyle name="_Table_Modelo 281108 FINAL - Comodoro 4 3 2 2 2" xfId="22304"/>
    <cellStyle name="_Table_Modelo 281108 FINAL - Comodoro 4 3 2 2 3" xfId="24991"/>
    <cellStyle name="_Table_Modelo 281108 FINAL - Comodoro 4 3 2 3" xfId="22303"/>
    <cellStyle name="_Table_Modelo 281108 FINAL - Comodoro 4 3 2 4" xfId="24992"/>
    <cellStyle name="_Table_Modelo 281108 FINAL - Comodoro 4 3 3" xfId="6507"/>
    <cellStyle name="_Table_Modelo 281108 FINAL - Comodoro 4 3 3 2" xfId="6508"/>
    <cellStyle name="_Table_Modelo 281108 FINAL - Comodoro 4 3 3 2 2" xfId="22306"/>
    <cellStyle name="_Table_Modelo 281108 FINAL - Comodoro 4 3 3 2 3" xfId="20363"/>
    <cellStyle name="_Table_Modelo 281108 FINAL - Comodoro 4 3 3 3" xfId="6509"/>
    <cellStyle name="_Table_Modelo 281108 FINAL - Comodoro 4 3 3 3 2" xfId="22307"/>
    <cellStyle name="_Table_Modelo 281108 FINAL - Comodoro 4 3 3 3 3" xfId="24989"/>
    <cellStyle name="_Table_Modelo 281108 FINAL - Comodoro 4 3 3 4" xfId="22305"/>
    <cellStyle name="_Table_Modelo 281108 FINAL - Comodoro 4 3 3 5" xfId="24990"/>
    <cellStyle name="_Table_Modelo 281108 FINAL - Comodoro 4 3 4" xfId="20767"/>
    <cellStyle name="_Table_Modelo 281108 FINAL - Comodoro 4 3 5" xfId="26698"/>
    <cellStyle name="_Table_Modelo 281108 FINAL - Comodoro 4 4" xfId="4856"/>
    <cellStyle name="_Table_Modelo 281108 FINAL - Comodoro 4 4 2" xfId="6510"/>
    <cellStyle name="_Table_Modelo 281108 FINAL - Comodoro 4 4 2 2" xfId="6511"/>
    <cellStyle name="_Table_Modelo 281108 FINAL - Comodoro 4 4 2 2 2" xfId="22309"/>
    <cellStyle name="_Table_Modelo 281108 FINAL - Comodoro 4 4 2 2 3" xfId="24987"/>
    <cellStyle name="_Table_Modelo 281108 FINAL - Comodoro 4 4 2 3" xfId="6512"/>
    <cellStyle name="_Table_Modelo 281108 FINAL - Comodoro 4 4 2 3 2" xfId="22310"/>
    <cellStyle name="_Table_Modelo 281108 FINAL - Comodoro 4 4 2 3 3" xfId="24986"/>
    <cellStyle name="_Table_Modelo 281108 FINAL - Comodoro 4 4 2 4" xfId="22308"/>
    <cellStyle name="_Table_Modelo 281108 FINAL - Comodoro 4 4 2 5" xfId="24988"/>
    <cellStyle name="_Table_Modelo 281108 FINAL - Comodoro 4 4 3" xfId="6513"/>
    <cellStyle name="_Table_Modelo 281108 FINAL - Comodoro 4 4 3 2" xfId="6514"/>
    <cellStyle name="_Table_Modelo 281108 FINAL - Comodoro 4 4 3 2 2" xfId="22312"/>
    <cellStyle name="_Table_Modelo 281108 FINAL - Comodoro 4 4 3 2 3" xfId="24984"/>
    <cellStyle name="_Table_Modelo 281108 FINAL - Comodoro 4 4 3 3" xfId="22311"/>
    <cellStyle name="_Table_Modelo 281108 FINAL - Comodoro 4 4 3 4" xfId="24985"/>
    <cellStyle name="_Table_Modelo 281108 FINAL - Comodoro 4 4 4" xfId="20768"/>
    <cellStyle name="_Table_Modelo 281108 FINAL - Comodoro 4 4 5" xfId="26697"/>
    <cellStyle name="_Table_Modelo 281108 FINAL - Comodoro 4 5" xfId="6515"/>
    <cellStyle name="_Table_Modelo 281108 FINAL - Comodoro 4 5 2" xfId="6516"/>
    <cellStyle name="_Table_Modelo 281108 FINAL - Comodoro 4 5 2 2" xfId="22314"/>
    <cellStyle name="_Table_Modelo 281108 FINAL - Comodoro 4 5 2 3" xfId="24982"/>
    <cellStyle name="_Table_Modelo 281108 FINAL - Comodoro 4 5 3" xfId="6517"/>
    <cellStyle name="_Table_Modelo 281108 FINAL - Comodoro 4 5 3 2" xfId="22315"/>
    <cellStyle name="_Table_Modelo 281108 FINAL - Comodoro 4 5 3 3" xfId="24981"/>
    <cellStyle name="_Table_Modelo 281108 FINAL - Comodoro 4 5 4" xfId="22313"/>
    <cellStyle name="_Table_Modelo 281108 FINAL - Comodoro 4 5 5" xfId="24983"/>
    <cellStyle name="_Table_Modelo 281108 FINAL - Comodoro 4 6" xfId="6518"/>
    <cellStyle name="_Table_Modelo 281108 FINAL - Comodoro 4 6 2" xfId="6519"/>
    <cellStyle name="_Table_Modelo 281108 FINAL - Comodoro 4 6 2 2" xfId="22317"/>
    <cellStyle name="_Table_Modelo 281108 FINAL - Comodoro 4 6 2 3" xfId="24979"/>
    <cellStyle name="_Table_Modelo 281108 FINAL - Comodoro 4 6 3" xfId="22316"/>
    <cellStyle name="_Table_Modelo 281108 FINAL - Comodoro 4 6 4" xfId="24980"/>
    <cellStyle name="_Table_Modelo 281108 FINAL - Comodoro 4 7" xfId="20765"/>
    <cellStyle name="_Table_Modelo 281108 FINAL - Comodoro 4 8" xfId="26699"/>
    <cellStyle name="_Table_Modelo 281108 FINAL - Comodoro 5" xfId="4857"/>
    <cellStyle name="_Table_Modelo 281108 FINAL - Comodoro 5 2" xfId="6520"/>
    <cellStyle name="_Table_Modelo 281108 FINAL - Comodoro 5 2 2" xfId="6521"/>
    <cellStyle name="_Table_Modelo 281108 FINAL - Comodoro 5 2 2 2" xfId="22319"/>
    <cellStyle name="_Table_Modelo 281108 FINAL - Comodoro 5 2 2 3" xfId="24977"/>
    <cellStyle name="_Table_Modelo 281108 FINAL - Comodoro 5 2 3" xfId="22318"/>
    <cellStyle name="_Table_Modelo 281108 FINAL - Comodoro 5 2 4" xfId="24978"/>
    <cellStyle name="_Table_Modelo 281108 FINAL - Comodoro 5 3" xfId="6522"/>
    <cellStyle name="_Table_Modelo 281108 FINAL - Comodoro 5 3 2" xfId="6523"/>
    <cellStyle name="_Table_Modelo 281108 FINAL - Comodoro 5 3 2 2" xfId="22321"/>
    <cellStyle name="_Table_Modelo 281108 FINAL - Comodoro 5 3 2 3" xfId="24975"/>
    <cellStyle name="_Table_Modelo 281108 FINAL - Comodoro 5 3 3" xfId="6524"/>
    <cellStyle name="_Table_Modelo 281108 FINAL - Comodoro 5 3 3 2" xfId="22322"/>
    <cellStyle name="_Table_Modelo 281108 FINAL - Comodoro 5 3 3 3" xfId="24974"/>
    <cellStyle name="_Table_Modelo 281108 FINAL - Comodoro 5 3 4" xfId="22320"/>
    <cellStyle name="_Table_Modelo 281108 FINAL - Comodoro 5 3 5" xfId="24976"/>
    <cellStyle name="_Table_Modelo 281108 FINAL - Comodoro 5 4" xfId="20769"/>
    <cellStyle name="_Table_Modelo 281108 FINAL - Comodoro 5 5" xfId="26696"/>
    <cellStyle name="_Table_Modelo 281108 FINAL - Comodoro 6" xfId="4858"/>
    <cellStyle name="_Table_Modelo 281108 FINAL - Comodoro 6 2" xfId="6525"/>
    <cellStyle name="_Table_Modelo 281108 FINAL - Comodoro 6 2 2" xfId="6526"/>
    <cellStyle name="_Table_Modelo 281108 FINAL - Comodoro 6 2 2 2" xfId="22324"/>
    <cellStyle name="_Table_Modelo 281108 FINAL - Comodoro 6 2 2 3" xfId="24972"/>
    <cellStyle name="_Table_Modelo 281108 FINAL - Comodoro 6 2 3" xfId="6527"/>
    <cellStyle name="_Table_Modelo 281108 FINAL - Comodoro 6 2 3 2" xfId="22325"/>
    <cellStyle name="_Table_Modelo 281108 FINAL - Comodoro 6 2 3 3" xfId="24971"/>
    <cellStyle name="_Table_Modelo 281108 FINAL - Comodoro 6 2 4" xfId="22323"/>
    <cellStyle name="_Table_Modelo 281108 FINAL - Comodoro 6 2 5" xfId="24973"/>
    <cellStyle name="_Table_Modelo 281108 FINAL - Comodoro 6 3" xfId="6528"/>
    <cellStyle name="_Table_Modelo 281108 FINAL - Comodoro 6 3 2" xfId="6529"/>
    <cellStyle name="_Table_Modelo 281108 FINAL - Comodoro 6 3 2 2" xfId="22327"/>
    <cellStyle name="_Table_Modelo 281108 FINAL - Comodoro 6 3 2 3" xfId="24970"/>
    <cellStyle name="_Table_Modelo 281108 FINAL - Comodoro 6 3 3" xfId="22326"/>
    <cellStyle name="_Table_Modelo 281108 FINAL - Comodoro 6 3 4" xfId="21020"/>
    <cellStyle name="_Table_Modelo 281108 FINAL - Comodoro 6 4" xfId="20770"/>
    <cellStyle name="_Table_Modelo 281108 FINAL - Comodoro 6 5" xfId="26695"/>
    <cellStyle name="_Table_Modelo 281108 FINAL - Comodoro 7" xfId="6530"/>
    <cellStyle name="_Table_Modelo 281108 FINAL - Comodoro 7 2" xfId="6531"/>
    <cellStyle name="_Table_Modelo 281108 FINAL - Comodoro 7 2 2" xfId="22329"/>
    <cellStyle name="_Table_Modelo 281108 FINAL - Comodoro 7 2 3" xfId="24968"/>
    <cellStyle name="_Table_Modelo 281108 FINAL - Comodoro 7 3" xfId="6532"/>
    <cellStyle name="_Table_Modelo 281108 FINAL - Comodoro 7 3 2" xfId="22330"/>
    <cellStyle name="_Table_Modelo 281108 FINAL - Comodoro 7 3 3" xfId="24967"/>
    <cellStyle name="_Table_Modelo 281108 FINAL - Comodoro 7 4" xfId="22328"/>
    <cellStyle name="_Table_Modelo 281108 FINAL - Comodoro 7 5" xfId="24969"/>
    <cellStyle name="_Table_Modelo 281108 FINAL - Comodoro 8" xfId="6533"/>
    <cellStyle name="_Table_Modelo 281108 FINAL - Comodoro 8 2" xfId="6534"/>
    <cellStyle name="_Table_Modelo 281108 FINAL - Comodoro 8 2 2" xfId="22332"/>
    <cellStyle name="_Table_Modelo 281108 FINAL - Comodoro 8 2 3" xfId="24965"/>
    <cellStyle name="_Table_Modelo 281108 FINAL - Comodoro 8 3" xfId="22331"/>
    <cellStyle name="_Table_Modelo 281108 FINAL - Comodoro 8 4" xfId="24966"/>
    <cellStyle name="_Table_Modelo 281108 FINAL - Comodoro 9" xfId="18504"/>
    <cellStyle name="_Table_Modelo 281108 FINAL - Pontes e Lacerda" xfId="818"/>
    <cellStyle name="_Table_Modelo 281108 FINAL - Pontes e Lacerda 10" xfId="30680"/>
    <cellStyle name="_Table_Modelo 281108 FINAL - Pontes e Lacerda 2" xfId="819"/>
    <cellStyle name="_Table_Modelo 281108 FINAL - Pontes e Lacerda 2 2" xfId="4859"/>
    <cellStyle name="_Table_Modelo 281108 FINAL - Pontes e Lacerda 2 2 2" xfId="4860"/>
    <cellStyle name="_Table_Modelo 281108 FINAL - Pontes e Lacerda 2 2 2 2" xfId="6535"/>
    <cellStyle name="_Table_Modelo 281108 FINAL - Pontes e Lacerda 2 2 2 2 2" xfId="6536"/>
    <cellStyle name="_Table_Modelo 281108 FINAL - Pontes e Lacerda 2 2 2 2 2 2" xfId="22334"/>
    <cellStyle name="_Table_Modelo 281108 FINAL - Pontes e Lacerda 2 2 2 2 2 3" xfId="24963"/>
    <cellStyle name="_Table_Modelo 281108 FINAL - Pontes e Lacerda 2 2 2 2 3" xfId="22333"/>
    <cellStyle name="_Table_Modelo 281108 FINAL - Pontes e Lacerda 2 2 2 2 4" xfId="24964"/>
    <cellStyle name="_Table_Modelo 281108 FINAL - Pontes e Lacerda 2 2 2 3" xfId="6537"/>
    <cellStyle name="_Table_Modelo 281108 FINAL - Pontes e Lacerda 2 2 2 3 2" xfId="6538"/>
    <cellStyle name="_Table_Modelo 281108 FINAL - Pontes e Lacerda 2 2 2 3 2 2" xfId="22336"/>
    <cellStyle name="_Table_Modelo 281108 FINAL - Pontes e Lacerda 2 2 2 3 2 3" xfId="24961"/>
    <cellStyle name="_Table_Modelo 281108 FINAL - Pontes e Lacerda 2 2 2 3 3" xfId="6539"/>
    <cellStyle name="_Table_Modelo 281108 FINAL - Pontes e Lacerda 2 2 2 3 3 2" xfId="22337"/>
    <cellStyle name="_Table_Modelo 281108 FINAL - Pontes e Lacerda 2 2 2 3 3 3" xfId="24960"/>
    <cellStyle name="_Table_Modelo 281108 FINAL - Pontes e Lacerda 2 2 2 3 4" xfId="22335"/>
    <cellStyle name="_Table_Modelo 281108 FINAL - Pontes e Lacerda 2 2 2 3 5" xfId="24962"/>
    <cellStyle name="_Table_Modelo 281108 FINAL - Pontes e Lacerda 2 2 2 4" xfId="20772"/>
    <cellStyle name="_Table_Modelo 281108 FINAL - Pontes e Lacerda 2 2 2 5" xfId="26693"/>
    <cellStyle name="_Table_Modelo 281108 FINAL - Pontes e Lacerda 2 2 3" xfId="4861"/>
    <cellStyle name="_Table_Modelo 281108 FINAL - Pontes e Lacerda 2 2 3 2" xfId="6540"/>
    <cellStyle name="_Table_Modelo 281108 FINAL - Pontes e Lacerda 2 2 3 2 2" xfId="6541"/>
    <cellStyle name="_Table_Modelo 281108 FINAL - Pontes e Lacerda 2 2 3 2 2 2" xfId="22339"/>
    <cellStyle name="_Table_Modelo 281108 FINAL - Pontes e Lacerda 2 2 3 2 2 3" xfId="24958"/>
    <cellStyle name="_Table_Modelo 281108 FINAL - Pontes e Lacerda 2 2 3 2 3" xfId="22338"/>
    <cellStyle name="_Table_Modelo 281108 FINAL - Pontes e Lacerda 2 2 3 2 4" xfId="24959"/>
    <cellStyle name="_Table_Modelo 281108 FINAL - Pontes e Lacerda 2 2 3 3" xfId="6542"/>
    <cellStyle name="_Table_Modelo 281108 FINAL - Pontes e Lacerda 2 2 3 3 2" xfId="6543"/>
    <cellStyle name="_Table_Modelo 281108 FINAL - Pontes e Lacerda 2 2 3 3 2 2" xfId="22341"/>
    <cellStyle name="_Table_Modelo 281108 FINAL - Pontes e Lacerda 2 2 3 3 2 3" xfId="20334"/>
    <cellStyle name="_Table_Modelo 281108 FINAL - Pontes e Lacerda 2 2 3 3 3" xfId="6544"/>
    <cellStyle name="_Table_Modelo 281108 FINAL - Pontes e Lacerda 2 2 3 3 3 2" xfId="22342"/>
    <cellStyle name="_Table_Modelo 281108 FINAL - Pontes e Lacerda 2 2 3 3 3 3" xfId="24956"/>
    <cellStyle name="_Table_Modelo 281108 FINAL - Pontes e Lacerda 2 2 3 3 4" xfId="22340"/>
    <cellStyle name="_Table_Modelo 281108 FINAL - Pontes e Lacerda 2 2 3 3 5" xfId="24957"/>
    <cellStyle name="_Table_Modelo 281108 FINAL - Pontes e Lacerda 2 2 3 4" xfId="20773"/>
    <cellStyle name="_Table_Modelo 281108 FINAL - Pontes e Lacerda 2 2 3 5" xfId="26692"/>
    <cellStyle name="_Table_Modelo 281108 FINAL - Pontes e Lacerda 2 2 4" xfId="4862"/>
    <cellStyle name="_Table_Modelo 281108 FINAL - Pontes e Lacerda 2 2 4 2" xfId="6545"/>
    <cellStyle name="_Table_Modelo 281108 FINAL - Pontes e Lacerda 2 2 4 2 2" xfId="6546"/>
    <cellStyle name="_Table_Modelo 281108 FINAL - Pontes e Lacerda 2 2 4 2 2 2" xfId="22344"/>
    <cellStyle name="_Table_Modelo 281108 FINAL - Pontes e Lacerda 2 2 4 2 2 3" xfId="24954"/>
    <cellStyle name="_Table_Modelo 281108 FINAL - Pontes e Lacerda 2 2 4 2 3" xfId="6547"/>
    <cellStyle name="_Table_Modelo 281108 FINAL - Pontes e Lacerda 2 2 4 2 3 2" xfId="22345"/>
    <cellStyle name="_Table_Modelo 281108 FINAL - Pontes e Lacerda 2 2 4 2 3 3" xfId="24953"/>
    <cellStyle name="_Table_Modelo 281108 FINAL - Pontes e Lacerda 2 2 4 2 4" xfId="22343"/>
    <cellStyle name="_Table_Modelo 281108 FINAL - Pontes e Lacerda 2 2 4 2 5" xfId="24955"/>
    <cellStyle name="_Table_Modelo 281108 FINAL - Pontes e Lacerda 2 2 4 3" xfId="6548"/>
    <cellStyle name="_Table_Modelo 281108 FINAL - Pontes e Lacerda 2 2 4 3 2" xfId="6549"/>
    <cellStyle name="_Table_Modelo 281108 FINAL - Pontes e Lacerda 2 2 4 3 2 2" xfId="22347"/>
    <cellStyle name="_Table_Modelo 281108 FINAL - Pontes e Lacerda 2 2 4 3 2 3" xfId="24951"/>
    <cellStyle name="_Table_Modelo 281108 FINAL - Pontes e Lacerda 2 2 4 3 3" xfId="22346"/>
    <cellStyle name="_Table_Modelo 281108 FINAL - Pontes e Lacerda 2 2 4 3 4" xfId="24952"/>
    <cellStyle name="_Table_Modelo 281108 FINAL - Pontes e Lacerda 2 2 4 4" xfId="20774"/>
    <cellStyle name="_Table_Modelo 281108 FINAL - Pontes e Lacerda 2 2 4 5" xfId="26691"/>
    <cellStyle name="_Table_Modelo 281108 FINAL - Pontes e Lacerda 2 2 5" xfId="6550"/>
    <cellStyle name="_Table_Modelo 281108 FINAL - Pontes e Lacerda 2 2 5 2" xfId="6551"/>
    <cellStyle name="_Table_Modelo 281108 FINAL - Pontes e Lacerda 2 2 5 2 2" xfId="22349"/>
    <cellStyle name="_Table_Modelo 281108 FINAL - Pontes e Lacerda 2 2 5 2 3" xfId="24949"/>
    <cellStyle name="_Table_Modelo 281108 FINAL - Pontes e Lacerda 2 2 5 3" xfId="6552"/>
    <cellStyle name="_Table_Modelo 281108 FINAL - Pontes e Lacerda 2 2 5 3 2" xfId="22350"/>
    <cellStyle name="_Table_Modelo 281108 FINAL - Pontes e Lacerda 2 2 5 3 3" xfId="24948"/>
    <cellStyle name="_Table_Modelo 281108 FINAL - Pontes e Lacerda 2 2 5 4" xfId="22348"/>
    <cellStyle name="_Table_Modelo 281108 FINAL - Pontes e Lacerda 2 2 5 5" xfId="24950"/>
    <cellStyle name="_Table_Modelo 281108 FINAL - Pontes e Lacerda 2 2 6" xfId="6553"/>
    <cellStyle name="_Table_Modelo 281108 FINAL - Pontes e Lacerda 2 2 6 2" xfId="6554"/>
    <cellStyle name="_Table_Modelo 281108 FINAL - Pontes e Lacerda 2 2 6 2 2" xfId="22352"/>
    <cellStyle name="_Table_Modelo 281108 FINAL - Pontes e Lacerda 2 2 6 2 3" xfId="24946"/>
    <cellStyle name="_Table_Modelo 281108 FINAL - Pontes e Lacerda 2 2 6 3" xfId="22351"/>
    <cellStyle name="_Table_Modelo 281108 FINAL - Pontes e Lacerda 2 2 6 4" xfId="24947"/>
    <cellStyle name="_Table_Modelo 281108 FINAL - Pontes e Lacerda 2 2 7" xfId="20771"/>
    <cellStyle name="_Table_Modelo 281108 FINAL - Pontes e Lacerda 2 2 8" xfId="26694"/>
    <cellStyle name="_Table_Modelo 281108 FINAL - Pontes e Lacerda 2 3" xfId="4863"/>
    <cellStyle name="_Table_Modelo 281108 FINAL - Pontes e Lacerda 2 3 2" xfId="6555"/>
    <cellStyle name="_Table_Modelo 281108 FINAL - Pontes e Lacerda 2 3 2 2" xfId="6556"/>
    <cellStyle name="_Table_Modelo 281108 FINAL - Pontes e Lacerda 2 3 2 2 2" xfId="22354"/>
    <cellStyle name="_Table_Modelo 281108 FINAL - Pontes e Lacerda 2 3 2 2 3" xfId="24944"/>
    <cellStyle name="_Table_Modelo 281108 FINAL - Pontes e Lacerda 2 3 2 3" xfId="22353"/>
    <cellStyle name="_Table_Modelo 281108 FINAL - Pontes e Lacerda 2 3 2 4" xfId="24945"/>
    <cellStyle name="_Table_Modelo 281108 FINAL - Pontes e Lacerda 2 3 3" xfId="6557"/>
    <cellStyle name="_Table_Modelo 281108 FINAL - Pontes e Lacerda 2 3 3 2" xfId="6558"/>
    <cellStyle name="_Table_Modelo 281108 FINAL - Pontes e Lacerda 2 3 3 2 2" xfId="22356"/>
    <cellStyle name="_Table_Modelo 281108 FINAL - Pontes e Lacerda 2 3 3 2 3" xfId="20361"/>
    <cellStyle name="_Table_Modelo 281108 FINAL - Pontes e Lacerda 2 3 3 3" xfId="6559"/>
    <cellStyle name="_Table_Modelo 281108 FINAL - Pontes e Lacerda 2 3 3 3 2" xfId="22357"/>
    <cellStyle name="_Table_Modelo 281108 FINAL - Pontes e Lacerda 2 3 3 3 3" xfId="19281"/>
    <cellStyle name="_Table_Modelo 281108 FINAL - Pontes e Lacerda 2 3 3 4" xfId="22355"/>
    <cellStyle name="_Table_Modelo 281108 FINAL - Pontes e Lacerda 2 3 3 5" xfId="24943"/>
    <cellStyle name="_Table_Modelo 281108 FINAL - Pontes e Lacerda 2 3 4" xfId="20775"/>
    <cellStyle name="_Table_Modelo 281108 FINAL - Pontes e Lacerda 2 3 5" xfId="26690"/>
    <cellStyle name="_Table_Modelo 281108 FINAL - Pontes e Lacerda 2 4" xfId="4864"/>
    <cellStyle name="_Table_Modelo 281108 FINAL - Pontes e Lacerda 2 4 2" xfId="6560"/>
    <cellStyle name="_Table_Modelo 281108 FINAL - Pontes e Lacerda 2 4 2 2" xfId="6561"/>
    <cellStyle name="_Table_Modelo 281108 FINAL - Pontes e Lacerda 2 4 2 2 2" xfId="22359"/>
    <cellStyle name="_Table_Modelo 281108 FINAL - Pontes e Lacerda 2 4 2 2 3" xfId="24941"/>
    <cellStyle name="_Table_Modelo 281108 FINAL - Pontes e Lacerda 2 4 2 3" xfId="6562"/>
    <cellStyle name="_Table_Modelo 281108 FINAL - Pontes e Lacerda 2 4 2 3 2" xfId="22360"/>
    <cellStyle name="_Table_Modelo 281108 FINAL - Pontes e Lacerda 2 4 2 3 3" xfId="24940"/>
    <cellStyle name="_Table_Modelo 281108 FINAL - Pontes e Lacerda 2 4 2 4" xfId="22358"/>
    <cellStyle name="_Table_Modelo 281108 FINAL - Pontes e Lacerda 2 4 2 5" xfId="24942"/>
    <cellStyle name="_Table_Modelo 281108 FINAL - Pontes e Lacerda 2 4 3" xfId="6563"/>
    <cellStyle name="_Table_Modelo 281108 FINAL - Pontes e Lacerda 2 4 3 2" xfId="6564"/>
    <cellStyle name="_Table_Modelo 281108 FINAL - Pontes e Lacerda 2 4 3 2 2" xfId="22362"/>
    <cellStyle name="_Table_Modelo 281108 FINAL - Pontes e Lacerda 2 4 3 2 3" xfId="24938"/>
    <cellStyle name="_Table_Modelo 281108 FINAL - Pontes e Lacerda 2 4 3 3" xfId="22361"/>
    <cellStyle name="_Table_Modelo 281108 FINAL - Pontes e Lacerda 2 4 3 4" xfId="24939"/>
    <cellStyle name="_Table_Modelo 281108 FINAL - Pontes e Lacerda 2 4 4" xfId="20776"/>
    <cellStyle name="_Table_Modelo 281108 FINAL - Pontes e Lacerda 2 4 5" xfId="26689"/>
    <cellStyle name="_Table_Modelo 281108 FINAL - Pontes e Lacerda 2 5" xfId="6565"/>
    <cellStyle name="_Table_Modelo 281108 FINAL - Pontes e Lacerda 2 5 2" xfId="6566"/>
    <cellStyle name="_Table_Modelo 281108 FINAL - Pontes e Lacerda 2 5 2 2" xfId="22364"/>
    <cellStyle name="_Table_Modelo 281108 FINAL - Pontes e Lacerda 2 5 2 3" xfId="24936"/>
    <cellStyle name="_Table_Modelo 281108 FINAL - Pontes e Lacerda 2 5 3" xfId="6567"/>
    <cellStyle name="_Table_Modelo 281108 FINAL - Pontes e Lacerda 2 5 3 2" xfId="22365"/>
    <cellStyle name="_Table_Modelo 281108 FINAL - Pontes e Lacerda 2 5 3 3" xfId="24935"/>
    <cellStyle name="_Table_Modelo 281108 FINAL - Pontes e Lacerda 2 5 4" xfId="22363"/>
    <cellStyle name="_Table_Modelo 281108 FINAL - Pontes e Lacerda 2 5 5" xfId="24937"/>
    <cellStyle name="_Table_Modelo 281108 FINAL - Pontes e Lacerda 2 6" xfId="6568"/>
    <cellStyle name="_Table_Modelo 281108 FINAL - Pontes e Lacerda 2 6 2" xfId="6569"/>
    <cellStyle name="_Table_Modelo 281108 FINAL - Pontes e Lacerda 2 6 2 2" xfId="22367"/>
    <cellStyle name="_Table_Modelo 281108 FINAL - Pontes e Lacerda 2 6 2 3" xfId="24933"/>
    <cellStyle name="_Table_Modelo 281108 FINAL - Pontes e Lacerda 2 6 3" xfId="22366"/>
    <cellStyle name="_Table_Modelo 281108 FINAL - Pontes e Lacerda 2 6 4" xfId="24934"/>
    <cellStyle name="_Table_Modelo 281108 FINAL - Pontes e Lacerda 2 7" xfId="18508"/>
    <cellStyle name="_Table_Modelo 281108 FINAL - Pontes e Lacerda 2 8" xfId="30679"/>
    <cellStyle name="_Table_Modelo 281108 FINAL - Pontes e Lacerda 3" xfId="820"/>
    <cellStyle name="_Table_Modelo 281108 FINAL - Pontes e Lacerda 3 2" xfId="4865"/>
    <cellStyle name="_Table_Modelo 281108 FINAL - Pontes e Lacerda 3 2 2" xfId="4866"/>
    <cellStyle name="_Table_Modelo 281108 FINAL - Pontes e Lacerda 3 2 2 2" xfId="6570"/>
    <cellStyle name="_Table_Modelo 281108 FINAL - Pontes e Lacerda 3 2 2 2 2" xfId="6571"/>
    <cellStyle name="_Table_Modelo 281108 FINAL - Pontes e Lacerda 3 2 2 2 2 2" xfId="22369"/>
    <cellStyle name="_Table_Modelo 281108 FINAL - Pontes e Lacerda 3 2 2 2 2 3" xfId="24931"/>
    <cellStyle name="_Table_Modelo 281108 FINAL - Pontes e Lacerda 3 2 2 2 3" xfId="22368"/>
    <cellStyle name="_Table_Modelo 281108 FINAL - Pontes e Lacerda 3 2 2 2 4" xfId="24932"/>
    <cellStyle name="_Table_Modelo 281108 FINAL - Pontes e Lacerda 3 2 2 3" xfId="6572"/>
    <cellStyle name="_Table_Modelo 281108 FINAL - Pontes e Lacerda 3 2 2 3 2" xfId="6573"/>
    <cellStyle name="_Table_Modelo 281108 FINAL - Pontes e Lacerda 3 2 2 3 2 2" xfId="22371"/>
    <cellStyle name="_Table_Modelo 281108 FINAL - Pontes e Lacerda 3 2 2 3 2 3" xfId="24929"/>
    <cellStyle name="_Table_Modelo 281108 FINAL - Pontes e Lacerda 3 2 2 3 3" xfId="6574"/>
    <cellStyle name="_Table_Modelo 281108 FINAL - Pontes e Lacerda 3 2 2 3 3 2" xfId="22372"/>
    <cellStyle name="_Table_Modelo 281108 FINAL - Pontes e Lacerda 3 2 2 3 3 3" xfId="24928"/>
    <cellStyle name="_Table_Modelo 281108 FINAL - Pontes e Lacerda 3 2 2 3 4" xfId="22370"/>
    <cellStyle name="_Table_Modelo 281108 FINAL - Pontes e Lacerda 3 2 2 3 5" xfId="24930"/>
    <cellStyle name="_Table_Modelo 281108 FINAL - Pontes e Lacerda 3 2 2 4" xfId="20778"/>
    <cellStyle name="_Table_Modelo 281108 FINAL - Pontes e Lacerda 3 2 2 5" xfId="26687"/>
    <cellStyle name="_Table_Modelo 281108 FINAL - Pontes e Lacerda 3 2 3" xfId="4867"/>
    <cellStyle name="_Table_Modelo 281108 FINAL - Pontes e Lacerda 3 2 3 2" xfId="6575"/>
    <cellStyle name="_Table_Modelo 281108 FINAL - Pontes e Lacerda 3 2 3 2 2" xfId="6576"/>
    <cellStyle name="_Table_Modelo 281108 FINAL - Pontes e Lacerda 3 2 3 2 2 2" xfId="22374"/>
    <cellStyle name="_Table_Modelo 281108 FINAL - Pontes e Lacerda 3 2 3 2 2 3" xfId="24926"/>
    <cellStyle name="_Table_Modelo 281108 FINAL - Pontes e Lacerda 3 2 3 2 3" xfId="22373"/>
    <cellStyle name="_Table_Modelo 281108 FINAL - Pontes e Lacerda 3 2 3 2 4" xfId="24927"/>
    <cellStyle name="_Table_Modelo 281108 FINAL - Pontes e Lacerda 3 2 3 3" xfId="6577"/>
    <cellStyle name="_Table_Modelo 281108 FINAL - Pontes e Lacerda 3 2 3 3 2" xfId="6578"/>
    <cellStyle name="_Table_Modelo 281108 FINAL - Pontes e Lacerda 3 2 3 3 2 2" xfId="22376"/>
    <cellStyle name="_Table_Modelo 281108 FINAL - Pontes e Lacerda 3 2 3 3 2 3" xfId="24924"/>
    <cellStyle name="_Table_Modelo 281108 FINAL - Pontes e Lacerda 3 2 3 3 3" xfId="6579"/>
    <cellStyle name="_Table_Modelo 281108 FINAL - Pontes e Lacerda 3 2 3 3 3 2" xfId="22377"/>
    <cellStyle name="_Table_Modelo 281108 FINAL - Pontes e Lacerda 3 2 3 3 3 3" xfId="21019"/>
    <cellStyle name="_Table_Modelo 281108 FINAL - Pontes e Lacerda 3 2 3 3 4" xfId="22375"/>
    <cellStyle name="_Table_Modelo 281108 FINAL - Pontes e Lacerda 3 2 3 3 5" xfId="24925"/>
    <cellStyle name="_Table_Modelo 281108 FINAL - Pontes e Lacerda 3 2 3 4" xfId="20779"/>
    <cellStyle name="_Table_Modelo 281108 FINAL - Pontes e Lacerda 3 2 3 5" xfId="26686"/>
    <cellStyle name="_Table_Modelo 281108 FINAL - Pontes e Lacerda 3 2 4" xfId="4868"/>
    <cellStyle name="_Table_Modelo 281108 FINAL - Pontes e Lacerda 3 2 4 2" xfId="6580"/>
    <cellStyle name="_Table_Modelo 281108 FINAL - Pontes e Lacerda 3 2 4 2 2" xfId="6581"/>
    <cellStyle name="_Table_Modelo 281108 FINAL - Pontes e Lacerda 3 2 4 2 2 2" xfId="22379"/>
    <cellStyle name="_Table_Modelo 281108 FINAL - Pontes e Lacerda 3 2 4 2 2 3" xfId="24922"/>
    <cellStyle name="_Table_Modelo 281108 FINAL - Pontes e Lacerda 3 2 4 2 3" xfId="6582"/>
    <cellStyle name="_Table_Modelo 281108 FINAL - Pontes e Lacerda 3 2 4 2 3 2" xfId="22380"/>
    <cellStyle name="_Table_Modelo 281108 FINAL - Pontes e Lacerda 3 2 4 2 3 3" xfId="24921"/>
    <cellStyle name="_Table_Modelo 281108 FINAL - Pontes e Lacerda 3 2 4 2 4" xfId="22378"/>
    <cellStyle name="_Table_Modelo 281108 FINAL - Pontes e Lacerda 3 2 4 2 5" xfId="24923"/>
    <cellStyle name="_Table_Modelo 281108 FINAL - Pontes e Lacerda 3 2 4 3" xfId="6583"/>
    <cellStyle name="_Table_Modelo 281108 FINAL - Pontes e Lacerda 3 2 4 3 2" xfId="6584"/>
    <cellStyle name="_Table_Modelo 281108 FINAL - Pontes e Lacerda 3 2 4 3 2 2" xfId="22382"/>
    <cellStyle name="_Table_Modelo 281108 FINAL - Pontes e Lacerda 3 2 4 3 2 3" xfId="24919"/>
    <cellStyle name="_Table_Modelo 281108 FINAL - Pontes e Lacerda 3 2 4 3 3" xfId="22381"/>
    <cellStyle name="_Table_Modelo 281108 FINAL - Pontes e Lacerda 3 2 4 3 4" xfId="24920"/>
    <cellStyle name="_Table_Modelo 281108 FINAL - Pontes e Lacerda 3 2 4 4" xfId="20780"/>
    <cellStyle name="_Table_Modelo 281108 FINAL - Pontes e Lacerda 3 2 4 5" xfId="26685"/>
    <cellStyle name="_Table_Modelo 281108 FINAL - Pontes e Lacerda 3 2 5" xfId="6585"/>
    <cellStyle name="_Table_Modelo 281108 FINAL - Pontes e Lacerda 3 2 5 2" xfId="6586"/>
    <cellStyle name="_Table_Modelo 281108 FINAL - Pontes e Lacerda 3 2 5 2 2" xfId="22384"/>
    <cellStyle name="_Table_Modelo 281108 FINAL - Pontes e Lacerda 3 2 5 2 3" xfId="24917"/>
    <cellStyle name="_Table_Modelo 281108 FINAL - Pontes e Lacerda 3 2 5 3" xfId="6587"/>
    <cellStyle name="_Table_Modelo 281108 FINAL - Pontes e Lacerda 3 2 5 3 2" xfId="22385"/>
    <cellStyle name="_Table_Modelo 281108 FINAL - Pontes e Lacerda 3 2 5 3 3" xfId="24916"/>
    <cellStyle name="_Table_Modelo 281108 FINAL - Pontes e Lacerda 3 2 5 4" xfId="22383"/>
    <cellStyle name="_Table_Modelo 281108 FINAL - Pontes e Lacerda 3 2 5 5" xfId="24918"/>
    <cellStyle name="_Table_Modelo 281108 FINAL - Pontes e Lacerda 3 2 6" xfId="6588"/>
    <cellStyle name="_Table_Modelo 281108 FINAL - Pontes e Lacerda 3 2 6 2" xfId="6589"/>
    <cellStyle name="_Table_Modelo 281108 FINAL - Pontes e Lacerda 3 2 6 2 2" xfId="22387"/>
    <cellStyle name="_Table_Modelo 281108 FINAL - Pontes e Lacerda 3 2 6 2 3" xfId="24914"/>
    <cellStyle name="_Table_Modelo 281108 FINAL - Pontes e Lacerda 3 2 6 3" xfId="22386"/>
    <cellStyle name="_Table_Modelo 281108 FINAL - Pontes e Lacerda 3 2 6 4" xfId="24915"/>
    <cellStyle name="_Table_Modelo 281108 FINAL - Pontes e Lacerda 3 2 7" xfId="20777"/>
    <cellStyle name="_Table_Modelo 281108 FINAL - Pontes e Lacerda 3 2 8" xfId="26688"/>
    <cellStyle name="_Table_Modelo 281108 FINAL - Pontes e Lacerda 3 3" xfId="4869"/>
    <cellStyle name="_Table_Modelo 281108 FINAL - Pontes e Lacerda 3 3 2" xfId="6590"/>
    <cellStyle name="_Table_Modelo 281108 FINAL - Pontes e Lacerda 3 3 2 2" xfId="6591"/>
    <cellStyle name="_Table_Modelo 281108 FINAL - Pontes e Lacerda 3 3 2 2 2" xfId="22389"/>
    <cellStyle name="_Table_Modelo 281108 FINAL - Pontes e Lacerda 3 3 2 2 3" xfId="24912"/>
    <cellStyle name="_Table_Modelo 281108 FINAL - Pontes e Lacerda 3 3 2 3" xfId="22388"/>
    <cellStyle name="_Table_Modelo 281108 FINAL - Pontes e Lacerda 3 3 2 4" xfId="24913"/>
    <cellStyle name="_Table_Modelo 281108 FINAL - Pontes e Lacerda 3 3 3" xfId="6592"/>
    <cellStyle name="_Table_Modelo 281108 FINAL - Pontes e Lacerda 3 3 3 2" xfId="6593"/>
    <cellStyle name="_Table_Modelo 281108 FINAL - Pontes e Lacerda 3 3 3 2 2" xfId="22391"/>
    <cellStyle name="_Table_Modelo 281108 FINAL - Pontes e Lacerda 3 3 3 2 3" xfId="24910"/>
    <cellStyle name="_Table_Modelo 281108 FINAL - Pontes e Lacerda 3 3 3 3" xfId="6594"/>
    <cellStyle name="_Table_Modelo 281108 FINAL - Pontes e Lacerda 3 3 3 3 2" xfId="22392"/>
    <cellStyle name="_Table_Modelo 281108 FINAL - Pontes e Lacerda 3 3 3 3 3" xfId="20267"/>
    <cellStyle name="_Table_Modelo 281108 FINAL - Pontes e Lacerda 3 3 3 4" xfId="22390"/>
    <cellStyle name="_Table_Modelo 281108 FINAL - Pontes e Lacerda 3 3 3 5" xfId="24911"/>
    <cellStyle name="_Table_Modelo 281108 FINAL - Pontes e Lacerda 3 3 4" xfId="20781"/>
    <cellStyle name="_Table_Modelo 281108 FINAL - Pontes e Lacerda 3 3 5" xfId="20343"/>
    <cellStyle name="_Table_Modelo 281108 FINAL - Pontes e Lacerda 3 4" xfId="4870"/>
    <cellStyle name="_Table_Modelo 281108 FINAL - Pontes e Lacerda 3 4 2" xfId="6595"/>
    <cellStyle name="_Table_Modelo 281108 FINAL - Pontes e Lacerda 3 4 2 2" xfId="6596"/>
    <cellStyle name="_Table_Modelo 281108 FINAL - Pontes e Lacerda 3 4 2 2 2" xfId="22394"/>
    <cellStyle name="_Table_Modelo 281108 FINAL - Pontes e Lacerda 3 4 2 2 3" xfId="24908"/>
    <cellStyle name="_Table_Modelo 281108 FINAL - Pontes e Lacerda 3 4 2 3" xfId="6597"/>
    <cellStyle name="_Table_Modelo 281108 FINAL - Pontes e Lacerda 3 4 2 3 2" xfId="22395"/>
    <cellStyle name="_Table_Modelo 281108 FINAL - Pontes e Lacerda 3 4 2 3 3" xfId="24907"/>
    <cellStyle name="_Table_Modelo 281108 FINAL - Pontes e Lacerda 3 4 2 4" xfId="22393"/>
    <cellStyle name="_Table_Modelo 281108 FINAL - Pontes e Lacerda 3 4 2 5" xfId="24909"/>
    <cellStyle name="_Table_Modelo 281108 FINAL - Pontes e Lacerda 3 4 3" xfId="6598"/>
    <cellStyle name="_Table_Modelo 281108 FINAL - Pontes e Lacerda 3 4 3 2" xfId="6599"/>
    <cellStyle name="_Table_Modelo 281108 FINAL - Pontes e Lacerda 3 4 3 2 2" xfId="22397"/>
    <cellStyle name="_Table_Modelo 281108 FINAL - Pontes e Lacerda 3 4 3 2 3" xfId="24905"/>
    <cellStyle name="_Table_Modelo 281108 FINAL - Pontes e Lacerda 3 4 3 3" xfId="22396"/>
    <cellStyle name="_Table_Modelo 281108 FINAL - Pontes e Lacerda 3 4 3 4" xfId="24906"/>
    <cellStyle name="_Table_Modelo 281108 FINAL - Pontes e Lacerda 3 4 4" xfId="20782"/>
    <cellStyle name="_Table_Modelo 281108 FINAL - Pontes e Lacerda 3 4 5" xfId="26684"/>
    <cellStyle name="_Table_Modelo 281108 FINAL - Pontes e Lacerda 3 5" xfId="6600"/>
    <cellStyle name="_Table_Modelo 281108 FINAL - Pontes e Lacerda 3 5 2" xfId="6601"/>
    <cellStyle name="_Table_Modelo 281108 FINAL - Pontes e Lacerda 3 5 2 2" xfId="22399"/>
    <cellStyle name="_Table_Modelo 281108 FINAL - Pontes e Lacerda 3 5 2 3" xfId="24903"/>
    <cellStyle name="_Table_Modelo 281108 FINAL - Pontes e Lacerda 3 5 3" xfId="6602"/>
    <cellStyle name="_Table_Modelo 281108 FINAL - Pontes e Lacerda 3 5 3 2" xfId="22400"/>
    <cellStyle name="_Table_Modelo 281108 FINAL - Pontes e Lacerda 3 5 3 3" xfId="24902"/>
    <cellStyle name="_Table_Modelo 281108 FINAL - Pontes e Lacerda 3 5 4" xfId="22398"/>
    <cellStyle name="_Table_Modelo 281108 FINAL - Pontes e Lacerda 3 5 5" xfId="24904"/>
    <cellStyle name="_Table_Modelo 281108 FINAL - Pontes e Lacerda 3 6" xfId="6603"/>
    <cellStyle name="_Table_Modelo 281108 FINAL - Pontes e Lacerda 3 6 2" xfId="6604"/>
    <cellStyle name="_Table_Modelo 281108 FINAL - Pontes e Lacerda 3 6 2 2" xfId="22402"/>
    <cellStyle name="_Table_Modelo 281108 FINAL - Pontes e Lacerda 3 6 2 3" xfId="24900"/>
    <cellStyle name="_Table_Modelo 281108 FINAL - Pontes e Lacerda 3 6 3" xfId="22401"/>
    <cellStyle name="_Table_Modelo 281108 FINAL - Pontes e Lacerda 3 6 4" xfId="24901"/>
    <cellStyle name="_Table_Modelo 281108 FINAL - Pontes e Lacerda 3 7" xfId="18509"/>
    <cellStyle name="_Table_Modelo 281108 FINAL - Pontes e Lacerda 3 8" xfId="30678"/>
    <cellStyle name="_Table_Modelo 281108 FINAL - Pontes e Lacerda 4" xfId="4871"/>
    <cellStyle name="_Table_Modelo 281108 FINAL - Pontes e Lacerda 4 2" xfId="4872"/>
    <cellStyle name="_Table_Modelo 281108 FINAL - Pontes e Lacerda 4 2 2" xfId="6605"/>
    <cellStyle name="_Table_Modelo 281108 FINAL - Pontes e Lacerda 4 2 2 2" xfId="6606"/>
    <cellStyle name="_Table_Modelo 281108 FINAL - Pontes e Lacerda 4 2 2 2 2" xfId="22404"/>
    <cellStyle name="_Table_Modelo 281108 FINAL - Pontes e Lacerda 4 2 2 2 3" xfId="24898"/>
    <cellStyle name="_Table_Modelo 281108 FINAL - Pontes e Lacerda 4 2 2 3" xfId="22403"/>
    <cellStyle name="_Table_Modelo 281108 FINAL - Pontes e Lacerda 4 2 2 4" xfId="24899"/>
    <cellStyle name="_Table_Modelo 281108 FINAL - Pontes e Lacerda 4 2 3" xfId="6607"/>
    <cellStyle name="_Table_Modelo 281108 FINAL - Pontes e Lacerda 4 2 3 2" xfId="6608"/>
    <cellStyle name="_Table_Modelo 281108 FINAL - Pontes e Lacerda 4 2 3 2 2" xfId="22406"/>
    <cellStyle name="_Table_Modelo 281108 FINAL - Pontes e Lacerda 4 2 3 2 3" xfId="24896"/>
    <cellStyle name="_Table_Modelo 281108 FINAL - Pontes e Lacerda 4 2 3 3" xfId="6609"/>
    <cellStyle name="_Table_Modelo 281108 FINAL - Pontes e Lacerda 4 2 3 3 2" xfId="22407"/>
    <cellStyle name="_Table_Modelo 281108 FINAL - Pontes e Lacerda 4 2 3 3 3" xfId="20362"/>
    <cellStyle name="_Table_Modelo 281108 FINAL - Pontes e Lacerda 4 2 3 4" xfId="22405"/>
    <cellStyle name="_Table_Modelo 281108 FINAL - Pontes e Lacerda 4 2 3 5" xfId="24897"/>
    <cellStyle name="_Table_Modelo 281108 FINAL - Pontes e Lacerda 4 2 4" xfId="20784"/>
    <cellStyle name="_Table_Modelo 281108 FINAL - Pontes e Lacerda 4 2 5" xfId="26682"/>
    <cellStyle name="_Table_Modelo 281108 FINAL - Pontes e Lacerda 4 3" xfId="4873"/>
    <cellStyle name="_Table_Modelo 281108 FINAL - Pontes e Lacerda 4 3 2" xfId="6610"/>
    <cellStyle name="_Table_Modelo 281108 FINAL - Pontes e Lacerda 4 3 2 2" xfId="6611"/>
    <cellStyle name="_Table_Modelo 281108 FINAL - Pontes e Lacerda 4 3 2 2 2" xfId="22409"/>
    <cellStyle name="_Table_Modelo 281108 FINAL - Pontes e Lacerda 4 3 2 2 3" xfId="19279"/>
    <cellStyle name="_Table_Modelo 281108 FINAL - Pontes e Lacerda 4 3 2 3" xfId="22408"/>
    <cellStyle name="_Table_Modelo 281108 FINAL - Pontes e Lacerda 4 3 2 4" xfId="19280"/>
    <cellStyle name="_Table_Modelo 281108 FINAL - Pontes e Lacerda 4 3 3" xfId="6612"/>
    <cellStyle name="_Table_Modelo 281108 FINAL - Pontes e Lacerda 4 3 3 2" xfId="6613"/>
    <cellStyle name="_Table_Modelo 281108 FINAL - Pontes e Lacerda 4 3 3 2 2" xfId="22411"/>
    <cellStyle name="_Table_Modelo 281108 FINAL - Pontes e Lacerda 4 3 3 2 3" xfId="24894"/>
    <cellStyle name="_Table_Modelo 281108 FINAL - Pontes e Lacerda 4 3 3 3" xfId="6614"/>
    <cellStyle name="_Table_Modelo 281108 FINAL - Pontes e Lacerda 4 3 3 3 2" xfId="22412"/>
    <cellStyle name="_Table_Modelo 281108 FINAL - Pontes e Lacerda 4 3 3 3 3" xfId="24893"/>
    <cellStyle name="_Table_Modelo 281108 FINAL - Pontes e Lacerda 4 3 3 4" xfId="22410"/>
    <cellStyle name="_Table_Modelo 281108 FINAL - Pontes e Lacerda 4 3 3 5" xfId="24895"/>
    <cellStyle name="_Table_Modelo 281108 FINAL - Pontes e Lacerda 4 3 4" xfId="20785"/>
    <cellStyle name="_Table_Modelo 281108 FINAL - Pontes e Lacerda 4 3 5" xfId="26681"/>
    <cellStyle name="_Table_Modelo 281108 FINAL - Pontes e Lacerda 4 4" xfId="4874"/>
    <cellStyle name="_Table_Modelo 281108 FINAL - Pontes e Lacerda 4 4 2" xfId="6615"/>
    <cellStyle name="_Table_Modelo 281108 FINAL - Pontes e Lacerda 4 4 2 2" xfId="6616"/>
    <cellStyle name="_Table_Modelo 281108 FINAL - Pontes e Lacerda 4 4 2 2 2" xfId="22414"/>
    <cellStyle name="_Table_Modelo 281108 FINAL - Pontes e Lacerda 4 4 2 2 3" xfId="24891"/>
    <cellStyle name="_Table_Modelo 281108 FINAL - Pontes e Lacerda 4 4 2 3" xfId="6617"/>
    <cellStyle name="_Table_Modelo 281108 FINAL - Pontes e Lacerda 4 4 2 3 2" xfId="22415"/>
    <cellStyle name="_Table_Modelo 281108 FINAL - Pontes e Lacerda 4 4 2 3 3" xfId="24890"/>
    <cellStyle name="_Table_Modelo 281108 FINAL - Pontes e Lacerda 4 4 2 4" xfId="22413"/>
    <cellStyle name="_Table_Modelo 281108 FINAL - Pontes e Lacerda 4 4 2 5" xfId="24892"/>
    <cellStyle name="_Table_Modelo 281108 FINAL - Pontes e Lacerda 4 4 3" xfId="6618"/>
    <cellStyle name="_Table_Modelo 281108 FINAL - Pontes e Lacerda 4 4 3 2" xfId="6619"/>
    <cellStyle name="_Table_Modelo 281108 FINAL - Pontes e Lacerda 4 4 3 2 2" xfId="22417"/>
    <cellStyle name="_Table_Modelo 281108 FINAL - Pontes e Lacerda 4 4 3 2 3" xfId="24888"/>
    <cellStyle name="_Table_Modelo 281108 FINAL - Pontes e Lacerda 4 4 3 3" xfId="22416"/>
    <cellStyle name="_Table_Modelo 281108 FINAL - Pontes e Lacerda 4 4 3 4" xfId="24889"/>
    <cellStyle name="_Table_Modelo 281108 FINAL - Pontes e Lacerda 4 4 4" xfId="20786"/>
    <cellStyle name="_Table_Modelo 281108 FINAL - Pontes e Lacerda 4 4 5" xfId="26680"/>
    <cellStyle name="_Table_Modelo 281108 FINAL - Pontes e Lacerda 4 5" xfId="6620"/>
    <cellStyle name="_Table_Modelo 281108 FINAL - Pontes e Lacerda 4 5 2" xfId="6621"/>
    <cellStyle name="_Table_Modelo 281108 FINAL - Pontes e Lacerda 4 5 2 2" xfId="22419"/>
    <cellStyle name="_Table_Modelo 281108 FINAL - Pontes e Lacerda 4 5 2 3" xfId="24886"/>
    <cellStyle name="_Table_Modelo 281108 FINAL - Pontes e Lacerda 4 5 3" xfId="6622"/>
    <cellStyle name="_Table_Modelo 281108 FINAL - Pontes e Lacerda 4 5 3 2" xfId="22420"/>
    <cellStyle name="_Table_Modelo 281108 FINAL - Pontes e Lacerda 4 5 3 3" xfId="24885"/>
    <cellStyle name="_Table_Modelo 281108 FINAL - Pontes e Lacerda 4 5 4" xfId="22418"/>
    <cellStyle name="_Table_Modelo 281108 FINAL - Pontes e Lacerda 4 5 5" xfId="24887"/>
    <cellStyle name="_Table_Modelo 281108 FINAL - Pontes e Lacerda 4 6" xfId="6623"/>
    <cellStyle name="_Table_Modelo 281108 FINAL - Pontes e Lacerda 4 6 2" xfId="6624"/>
    <cellStyle name="_Table_Modelo 281108 FINAL - Pontes e Lacerda 4 6 2 2" xfId="22422"/>
    <cellStyle name="_Table_Modelo 281108 FINAL - Pontes e Lacerda 4 6 2 3" xfId="24883"/>
    <cellStyle name="_Table_Modelo 281108 FINAL - Pontes e Lacerda 4 6 3" xfId="22421"/>
    <cellStyle name="_Table_Modelo 281108 FINAL - Pontes e Lacerda 4 6 4" xfId="24884"/>
    <cellStyle name="_Table_Modelo 281108 FINAL - Pontes e Lacerda 4 7" xfId="20783"/>
    <cellStyle name="_Table_Modelo 281108 FINAL - Pontes e Lacerda 4 8" xfId="26683"/>
    <cellStyle name="_Table_Modelo 281108 FINAL - Pontes e Lacerda 5" xfId="4875"/>
    <cellStyle name="_Table_Modelo 281108 FINAL - Pontes e Lacerda 5 2" xfId="6625"/>
    <cellStyle name="_Table_Modelo 281108 FINAL - Pontes e Lacerda 5 2 2" xfId="6626"/>
    <cellStyle name="_Table_Modelo 281108 FINAL - Pontes e Lacerda 5 2 2 2" xfId="22424"/>
    <cellStyle name="_Table_Modelo 281108 FINAL - Pontes e Lacerda 5 2 2 3" xfId="24881"/>
    <cellStyle name="_Table_Modelo 281108 FINAL - Pontes e Lacerda 5 2 3" xfId="22423"/>
    <cellStyle name="_Table_Modelo 281108 FINAL - Pontes e Lacerda 5 2 4" xfId="24882"/>
    <cellStyle name="_Table_Modelo 281108 FINAL - Pontes e Lacerda 5 3" xfId="6627"/>
    <cellStyle name="_Table_Modelo 281108 FINAL - Pontes e Lacerda 5 3 2" xfId="6628"/>
    <cellStyle name="_Table_Modelo 281108 FINAL - Pontes e Lacerda 5 3 2 2" xfId="22426"/>
    <cellStyle name="_Table_Modelo 281108 FINAL - Pontes e Lacerda 5 3 2 3" xfId="24879"/>
    <cellStyle name="_Table_Modelo 281108 FINAL - Pontes e Lacerda 5 3 3" xfId="6629"/>
    <cellStyle name="_Table_Modelo 281108 FINAL - Pontes e Lacerda 5 3 3 2" xfId="22427"/>
    <cellStyle name="_Table_Modelo 281108 FINAL - Pontes e Lacerda 5 3 3 3" xfId="24878"/>
    <cellStyle name="_Table_Modelo 281108 FINAL - Pontes e Lacerda 5 3 4" xfId="22425"/>
    <cellStyle name="_Table_Modelo 281108 FINAL - Pontes e Lacerda 5 3 5" xfId="24880"/>
    <cellStyle name="_Table_Modelo 281108 FINAL - Pontes e Lacerda 5 4" xfId="20787"/>
    <cellStyle name="_Table_Modelo 281108 FINAL - Pontes e Lacerda 5 5" xfId="26679"/>
    <cellStyle name="_Table_Modelo 281108 FINAL - Pontes e Lacerda 6" xfId="4876"/>
    <cellStyle name="_Table_Modelo 281108 FINAL - Pontes e Lacerda 6 2" xfId="6630"/>
    <cellStyle name="_Table_Modelo 281108 FINAL - Pontes e Lacerda 6 2 2" xfId="6631"/>
    <cellStyle name="_Table_Modelo 281108 FINAL - Pontes e Lacerda 6 2 2 2" xfId="22429"/>
    <cellStyle name="_Table_Modelo 281108 FINAL - Pontes e Lacerda 6 2 2 3" xfId="21018"/>
    <cellStyle name="_Table_Modelo 281108 FINAL - Pontes e Lacerda 6 2 3" xfId="6632"/>
    <cellStyle name="_Table_Modelo 281108 FINAL - Pontes e Lacerda 6 2 3 2" xfId="22430"/>
    <cellStyle name="_Table_Modelo 281108 FINAL - Pontes e Lacerda 6 2 3 3" xfId="24876"/>
    <cellStyle name="_Table_Modelo 281108 FINAL - Pontes e Lacerda 6 2 4" xfId="22428"/>
    <cellStyle name="_Table_Modelo 281108 FINAL - Pontes e Lacerda 6 2 5" xfId="24877"/>
    <cellStyle name="_Table_Modelo 281108 FINAL - Pontes e Lacerda 6 3" xfId="6633"/>
    <cellStyle name="_Table_Modelo 281108 FINAL - Pontes e Lacerda 6 3 2" xfId="6634"/>
    <cellStyle name="_Table_Modelo 281108 FINAL - Pontes e Lacerda 6 3 2 2" xfId="22432"/>
    <cellStyle name="_Table_Modelo 281108 FINAL - Pontes e Lacerda 6 3 2 3" xfId="24874"/>
    <cellStyle name="_Table_Modelo 281108 FINAL - Pontes e Lacerda 6 3 3" xfId="22431"/>
    <cellStyle name="_Table_Modelo 281108 FINAL - Pontes e Lacerda 6 3 4" xfId="24875"/>
    <cellStyle name="_Table_Modelo 281108 FINAL - Pontes e Lacerda 6 4" xfId="20788"/>
    <cellStyle name="_Table_Modelo 281108 FINAL - Pontes e Lacerda 6 5" xfId="26678"/>
    <cellStyle name="_Table_Modelo 281108 FINAL - Pontes e Lacerda 7" xfId="6635"/>
    <cellStyle name="_Table_Modelo 281108 FINAL - Pontes e Lacerda 7 2" xfId="6636"/>
    <cellStyle name="_Table_Modelo 281108 FINAL - Pontes e Lacerda 7 2 2" xfId="22434"/>
    <cellStyle name="_Table_Modelo 281108 FINAL - Pontes e Lacerda 7 2 3" xfId="24872"/>
    <cellStyle name="_Table_Modelo 281108 FINAL - Pontes e Lacerda 7 3" xfId="6637"/>
    <cellStyle name="_Table_Modelo 281108 FINAL - Pontes e Lacerda 7 3 2" xfId="22435"/>
    <cellStyle name="_Table_Modelo 281108 FINAL - Pontes e Lacerda 7 3 3" xfId="24871"/>
    <cellStyle name="_Table_Modelo 281108 FINAL - Pontes e Lacerda 7 4" xfId="22433"/>
    <cellStyle name="_Table_Modelo 281108 FINAL - Pontes e Lacerda 7 5" xfId="24873"/>
    <cellStyle name="_Table_Modelo 281108 FINAL - Pontes e Lacerda 8" xfId="6638"/>
    <cellStyle name="_Table_Modelo 281108 FINAL - Pontes e Lacerda 8 2" xfId="6639"/>
    <cellStyle name="_Table_Modelo 281108 FINAL - Pontes e Lacerda 8 2 2" xfId="22437"/>
    <cellStyle name="_Table_Modelo 281108 FINAL - Pontes e Lacerda 8 2 3" xfId="24869"/>
    <cellStyle name="_Table_Modelo 281108 FINAL - Pontes e Lacerda 8 3" xfId="22436"/>
    <cellStyle name="_Table_Modelo 281108 FINAL - Pontes e Lacerda 8 4" xfId="24870"/>
    <cellStyle name="_Table_Modelo 281108 FINAL - Pontes e Lacerda 9" xfId="18507"/>
    <cellStyle name="_Table_Modelo 301108 FINAL - Alta Floresta" xfId="821"/>
    <cellStyle name="_Table_Modelo 301108 FINAL - Alta Floresta 10" xfId="30677"/>
    <cellStyle name="_Table_Modelo 301108 FINAL - Alta Floresta 2" xfId="822"/>
    <cellStyle name="_Table_Modelo 301108 FINAL - Alta Floresta 2 2" xfId="4877"/>
    <cellStyle name="_Table_Modelo 301108 FINAL - Alta Floresta 2 2 2" xfId="4878"/>
    <cellStyle name="_Table_Modelo 301108 FINAL - Alta Floresta 2 2 2 2" xfId="6640"/>
    <cellStyle name="_Table_Modelo 301108 FINAL - Alta Floresta 2 2 2 2 2" xfId="6641"/>
    <cellStyle name="_Table_Modelo 301108 FINAL - Alta Floresta 2 2 2 2 2 2" xfId="22439"/>
    <cellStyle name="_Table_Modelo 301108 FINAL - Alta Floresta 2 2 2 2 2 3" xfId="24867"/>
    <cellStyle name="_Table_Modelo 301108 FINAL - Alta Floresta 2 2 2 2 3" xfId="22438"/>
    <cellStyle name="_Table_Modelo 301108 FINAL - Alta Floresta 2 2 2 2 4" xfId="24868"/>
    <cellStyle name="_Table_Modelo 301108 FINAL - Alta Floresta 2 2 2 3" xfId="6642"/>
    <cellStyle name="_Table_Modelo 301108 FINAL - Alta Floresta 2 2 2 3 2" xfId="6643"/>
    <cellStyle name="_Table_Modelo 301108 FINAL - Alta Floresta 2 2 2 3 2 2" xfId="22441"/>
    <cellStyle name="_Table_Modelo 301108 FINAL - Alta Floresta 2 2 2 3 2 3" xfId="24865"/>
    <cellStyle name="_Table_Modelo 301108 FINAL - Alta Floresta 2 2 2 3 3" xfId="6644"/>
    <cellStyle name="_Table_Modelo 301108 FINAL - Alta Floresta 2 2 2 3 3 2" xfId="22442"/>
    <cellStyle name="_Table_Modelo 301108 FINAL - Alta Floresta 2 2 2 3 3 3" xfId="24864"/>
    <cellStyle name="_Table_Modelo 301108 FINAL - Alta Floresta 2 2 2 3 4" xfId="22440"/>
    <cellStyle name="_Table_Modelo 301108 FINAL - Alta Floresta 2 2 2 3 5" xfId="24866"/>
    <cellStyle name="_Table_Modelo 301108 FINAL - Alta Floresta 2 2 2 4" xfId="20790"/>
    <cellStyle name="_Table_Modelo 301108 FINAL - Alta Floresta 2 2 2 5" xfId="26676"/>
    <cellStyle name="_Table_Modelo 301108 FINAL - Alta Floresta 2 2 3" xfId="4879"/>
    <cellStyle name="_Table_Modelo 301108 FINAL - Alta Floresta 2 2 3 2" xfId="6645"/>
    <cellStyle name="_Table_Modelo 301108 FINAL - Alta Floresta 2 2 3 2 2" xfId="6646"/>
    <cellStyle name="_Table_Modelo 301108 FINAL - Alta Floresta 2 2 3 2 2 2" xfId="22444"/>
    <cellStyle name="_Table_Modelo 301108 FINAL - Alta Floresta 2 2 3 2 2 3" xfId="20328"/>
    <cellStyle name="_Table_Modelo 301108 FINAL - Alta Floresta 2 2 3 2 3" xfId="22443"/>
    <cellStyle name="_Table_Modelo 301108 FINAL - Alta Floresta 2 2 3 2 4" xfId="24863"/>
    <cellStyle name="_Table_Modelo 301108 FINAL - Alta Floresta 2 2 3 3" xfId="6647"/>
    <cellStyle name="_Table_Modelo 301108 FINAL - Alta Floresta 2 2 3 3 2" xfId="6648"/>
    <cellStyle name="_Table_Modelo 301108 FINAL - Alta Floresta 2 2 3 3 2 2" xfId="22446"/>
    <cellStyle name="_Table_Modelo 301108 FINAL - Alta Floresta 2 2 3 3 2 3" xfId="24861"/>
    <cellStyle name="_Table_Modelo 301108 FINAL - Alta Floresta 2 2 3 3 3" xfId="6649"/>
    <cellStyle name="_Table_Modelo 301108 FINAL - Alta Floresta 2 2 3 3 3 2" xfId="22447"/>
    <cellStyle name="_Table_Modelo 301108 FINAL - Alta Floresta 2 2 3 3 3 3" xfId="24860"/>
    <cellStyle name="_Table_Modelo 301108 FINAL - Alta Floresta 2 2 3 3 4" xfId="22445"/>
    <cellStyle name="_Table_Modelo 301108 FINAL - Alta Floresta 2 2 3 3 5" xfId="24862"/>
    <cellStyle name="_Table_Modelo 301108 FINAL - Alta Floresta 2 2 3 4" xfId="20791"/>
    <cellStyle name="_Table_Modelo 301108 FINAL - Alta Floresta 2 2 3 5" xfId="26675"/>
    <cellStyle name="_Table_Modelo 301108 FINAL - Alta Floresta 2 2 4" xfId="4880"/>
    <cellStyle name="_Table_Modelo 301108 FINAL - Alta Floresta 2 2 4 2" xfId="6650"/>
    <cellStyle name="_Table_Modelo 301108 FINAL - Alta Floresta 2 2 4 2 2" xfId="6651"/>
    <cellStyle name="_Table_Modelo 301108 FINAL - Alta Floresta 2 2 4 2 2 2" xfId="22449"/>
    <cellStyle name="_Table_Modelo 301108 FINAL - Alta Floresta 2 2 4 2 2 3" xfId="24858"/>
    <cellStyle name="_Table_Modelo 301108 FINAL - Alta Floresta 2 2 4 2 3" xfId="6652"/>
    <cellStyle name="_Table_Modelo 301108 FINAL - Alta Floresta 2 2 4 2 3 2" xfId="22450"/>
    <cellStyle name="_Table_Modelo 301108 FINAL - Alta Floresta 2 2 4 2 3 3" xfId="24857"/>
    <cellStyle name="_Table_Modelo 301108 FINAL - Alta Floresta 2 2 4 2 4" xfId="22448"/>
    <cellStyle name="_Table_Modelo 301108 FINAL - Alta Floresta 2 2 4 2 5" xfId="24859"/>
    <cellStyle name="_Table_Modelo 301108 FINAL - Alta Floresta 2 2 4 3" xfId="6653"/>
    <cellStyle name="_Table_Modelo 301108 FINAL - Alta Floresta 2 2 4 3 2" xfId="6654"/>
    <cellStyle name="_Table_Modelo 301108 FINAL - Alta Floresta 2 2 4 3 2 2" xfId="22452"/>
    <cellStyle name="_Table_Modelo 301108 FINAL - Alta Floresta 2 2 4 3 2 3" xfId="24855"/>
    <cellStyle name="_Table_Modelo 301108 FINAL - Alta Floresta 2 2 4 3 3" xfId="22451"/>
    <cellStyle name="_Table_Modelo 301108 FINAL - Alta Floresta 2 2 4 3 4" xfId="24856"/>
    <cellStyle name="_Table_Modelo 301108 FINAL - Alta Floresta 2 2 4 4" xfId="20792"/>
    <cellStyle name="_Table_Modelo 301108 FINAL - Alta Floresta 2 2 4 5" xfId="26674"/>
    <cellStyle name="_Table_Modelo 301108 FINAL - Alta Floresta 2 2 5" xfId="6655"/>
    <cellStyle name="_Table_Modelo 301108 FINAL - Alta Floresta 2 2 5 2" xfId="6656"/>
    <cellStyle name="_Table_Modelo 301108 FINAL - Alta Floresta 2 2 5 2 2" xfId="22454"/>
    <cellStyle name="_Table_Modelo 301108 FINAL - Alta Floresta 2 2 5 2 3" xfId="24853"/>
    <cellStyle name="_Table_Modelo 301108 FINAL - Alta Floresta 2 2 5 3" xfId="6657"/>
    <cellStyle name="_Table_Modelo 301108 FINAL - Alta Floresta 2 2 5 3 2" xfId="22455"/>
    <cellStyle name="_Table_Modelo 301108 FINAL - Alta Floresta 2 2 5 3 3" xfId="24852"/>
    <cellStyle name="_Table_Modelo 301108 FINAL - Alta Floresta 2 2 5 4" xfId="22453"/>
    <cellStyle name="_Table_Modelo 301108 FINAL - Alta Floresta 2 2 5 5" xfId="24854"/>
    <cellStyle name="_Table_Modelo 301108 FINAL - Alta Floresta 2 2 6" xfId="6658"/>
    <cellStyle name="_Table_Modelo 301108 FINAL - Alta Floresta 2 2 6 2" xfId="6659"/>
    <cellStyle name="_Table_Modelo 301108 FINAL - Alta Floresta 2 2 6 2 2" xfId="22457"/>
    <cellStyle name="_Table_Modelo 301108 FINAL - Alta Floresta 2 2 6 2 3" xfId="24850"/>
    <cellStyle name="_Table_Modelo 301108 FINAL - Alta Floresta 2 2 6 3" xfId="22456"/>
    <cellStyle name="_Table_Modelo 301108 FINAL - Alta Floresta 2 2 6 4" xfId="24851"/>
    <cellStyle name="_Table_Modelo 301108 FINAL - Alta Floresta 2 2 7" xfId="20789"/>
    <cellStyle name="_Table_Modelo 301108 FINAL - Alta Floresta 2 2 8" xfId="26677"/>
    <cellStyle name="_Table_Modelo 301108 FINAL - Alta Floresta 2 3" xfId="4881"/>
    <cellStyle name="_Table_Modelo 301108 FINAL - Alta Floresta 2 3 2" xfId="6660"/>
    <cellStyle name="_Table_Modelo 301108 FINAL - Alta Floresta 2 3 2 2" xfId="6661"/>
    <cellStyle name="_Table_Modelo 301108 FINAL - Alta Floresta 2 3 2 2 2" xfId="22459"/>
    <cellStyle name="_Table_Modelo 301108 FINAL - Alta Floresta 2 3 2 2 3" xfId="20365"/>
    <cellStyle name="_Table_Modelo 301108 FINAL - Alta Floresta 2 3 2 3" xfId="22458"/>
    <cellStyle name="_Table_Modelo 301108 FINAL - Alta Floresta 2 3 2 4" xfId="24849"/>
    <cellStyle name="_Table_Modelo 301108 FINAL - Alta Floresta 2 3 3" xfId="6662"/>
    <cellStyle name="_Table_Modelo 301108 FINAL - Alta Floresta 2 3 3 2" xfId="6663"/>
    <cellStyle name="_Table_Modelo 301108 FINAL - Alta Floresta 2 3 3 2 2" xfId="22461"/>
    <cellStyle name="_Table_Modelo 301108 FINAL - Alta Floresta 2 3 3 2 3" xfId="24847"/>
    <cellStyle name="_Table_Modelo 301108 FINAL - Alta Floresta 2 3 3 3" xfId="6664"/>
    <cellStyle name="_Table_Modelo 301108 FINAL - Alta Floresta 2 3 3 3 2" xfId="22462"/>
    <cellStyle name="_Table_Modelo 301108 FINAL - Alta Floresta 2 3 3 3 3" xfId="24846"/>
    <cellStyle name="_Table_Modelo 301108 FINAL - Alta Floresta 2 3 3 4" xfId="22460"/>
    <cellStyle name="_Table_Modelo 301108 FINAL - Alta Floresta 2 3 3 5" xfId="24848"/>
    <cellStyle name="_Table_Modelo 301108 FINAL - Alta Floresta 2 3 4" xfId="20793"/>
    <cellStyle name="_Table_Modelo 301108 FINAL - Alta Floresta 2 3 5" xfId="26673"/>
    <cellStyle name="_Table_Modelo 301108 FINAL - Alta Floresta 2 4" xfId="4882"/>
    <cellStyle name="_Table_Modelo 301108 FINAL - Alta Floresta 2 4 2" xfId="6665"/>
    <cellStyle name="_Table_Modelo 301108 FINAL - Alta Floresta 2 4 2 2" xfId="6666"/>
    <cellStyle name="_Table_Modelo 301108 FINAL - Alta Floresta 2 4 2 2 2" xfId="22464"/>
    <cellStyle name="_Table_Modelo 301108 FINAL - Alta Floresta 2 4 2 2 3" xfId="24844"/>
    <cellStyle name="_Table_Modelo 301108 FINAL - Alta Floresta 2 4 2 3" xfId="6667"/>
    <cellStyle name="_Table_Modelo 301108 FINAL - Alta Floresta 2 4 2 3 2" xfId="22465"/>
    <cellStyle name="_Table_Modelo 301108 FINAL - Alta Floresta 2 4 2 3 3" xfId="24843"/>
    <cellStyle name="_Table_Modelo 301108 FINAL - Alta Floresta 2 4 2 4" xfId="22463"/>
    <cellStyle name="_Table_Modelo 301108 FINAL - Alta Floresta 2 4 2 5" xfId="24845"/>
    <cellStyle name="_Table_Modelo 301108 FINAL - Alta Floresta 2 4 3" xfId="6668"/>
    <cellStyle name="_Table_Modelo 301108 FINAL - Alta Floresta 2 4 3 2" xfId="6669"/>
    <cellStyle name="_Table_Modelo 301108 FINAL - Alta Floresta 2 4 3 2 2" xfId="22467"/>
    <cellStyle name="_Table_Modelo 301108 FINAL - Alta Floresta 2 4 3 2 3" xfId="24841"/>
    <cellStyle name="_Table_Modelo 301108 FINAL - Alta Floresta 2 4 3 3" xfId="22466"/>
    <cellStyle name="_Table_Modelo 301108 FINAL - Alta Floresta 2 4 3 4" xfId="24842"/>
    <cellStyle name="_Table_Modelo 301108 FINAL - Alta Floresta 2 4 4" xfId="20794"/>
    <cellStyle name="_Table_Modelo 301108 FINAL - Alta Floresta 2 4 5" xfId="26672"/>
    <cellStyle name="_Table_Modelo 301108 FINAL - Alta Floresta 2 5" xfId="6670"/>
    <cellStyle name="_Table_Modelo 301108 FINAL - Alta Floresta 2 5 2" xfId="6671"/>
    <cellStyle name="_Table_Modelo 301108 FINAL - Alta Floresta 2 5 2 2" xfId="22469"/>
    <cellStyle name="_Table_Modelo 301108 FINAL - Alta Floresta 2 5 2 3" xfId="24839"/>
    <cellStyle name="_Table_Modelo 301108 FINAL - Alta Floresta 2 5 3" xfId="6672"/>
    <cellStyle name="_Table_Modelo 301108 FINAL - Alta Floresta 2 5 3 2" xfId="22470"/>
    <cellStyle name="_Table_Modelo 301108 FINAL - Alta Floresta 2 5 3 3" xfId="24838"/>
    <cellStyle name="_Table_Modelo 301108 FINAL - Alta Floresta 2 5 4" xfId="22468"/>
    <cellStyle name="_Table_Modelo 301108 FINAL - Alta Floresta 2 5 5" xfId="24840"/>
    <cellStyle name="_Table_Modelo 301108 FINAL - Alta Floresta 2 6" xfId="6673"/>
    <cellStyle name="_Table_Modelo 301108 FINAL - Alta Floresta 2 6 2" xfId="6674"/>
    <cellStyle name="_Table_Modelo 301108 FINAL - Alta Floresta 2 6 2 2" xfId="22472"/>
    <cellStyle name="_Table_Modelo 301108 FINAL - Alta Floresta 2 6 2 3" xfId="24836"/>
    <cellStyle name="_Table_Modelo 301108 FINAL - Alta Floresta 2 6 3" xfId="22471"/>
    <cellStyle name="_Table_Modelo 301108 FINAL - Alta Floresta 2 6 4" xfId="24837"/>
    <cellStyle name="_Table_Modelo 301108 FINAL - Alta Floresta 2 7" xfId="18511"/>
    <cellStyle name="_Table_Modelo 301108 FINAL - Alta Floresta 2 8" xfId="30676"/>
    <cellStyle name="_Table_Modelo 301108 FINAL - Alta Floresta 3" xfId="823"/>
    <cellStyle name="_Table_Modelo 301108 FINAL - Alta Floresta 3 2" xfId="4883"/>
    <cellStyle name="_Table_Modelo 301108 FINAL - Alta Floresta 3 2 2" xfId="4884"/>
    <cellStyle name="_Table_Modelo 301108 FINAL - Alta Floresta 3 2 2 2" xfId="6675"/>
    <cellStyle name="_Table_Modelo 301108 FINAL - Alta Floresta 3 2 2 2 2" xfId="6676"/>
    <cellStyle name="_Table_Modelo 301108 FINAL - Alta Floresta 3 2 2 2 2 2" xfId="22474"/>
    <cellStyle name="_Table_Modelo 301108 FINAL - Alta Floresta 3 2 2 2 2 3" xfId="24834"/>
    <cellStyle name="_Table_Modelo 301108 FINAL - Alta Floresta 3 2 2 2 3" xfId="22473"/>
    <cellStyle name="_Table_Modelo 301108 FINAL - Alta Floresta 3 2 2 2 4" xfId="24835"/>
    <cellStyle name="_Table_Modelo 301108 FINAL - Alta Floresta 3 2 2 3" xfId="6677"/>
    <cellStyle name="_Table_Modelo 301108 FINAL - Alta Floresta 3 2 2 3 2" xfId="6678"/>
    <cellStyle name="_Table_Modelo 301108 FINAL - Alta Floresta 3 2 2 3 2 2" xfId="22476"/>
    <cellStyle name="_Table_Modelo 301108 FINAL - Alta Floresta 3 2 2 3 2 3" xfId="24832"/>
    <cellStyle name="_Table_Modelo 301108 FINAL - Alta Floresta 3 2 2 3 3" xfId="6679"/>
    <cellStyle name="_Table_Modelo 301108 FINAL - Alta Floresta 3 2 2 3 3 2" xfId="22477"/>
    <cellStyle name="_Table_Modelo 301108 FINAL - Alta Floresta 3 2 2 3 3 3" xfId="24831"/>
    <cellStyle name="_Table_Modelo 301108 FINAL - Alta Floresta 3 2 2 3 4" xfId="22475"/>
    <cellStyle name="_Table_Modelo 301108 FINAL - Alta Floresta 3 2 2 3 5" xfId="24833"/>
    <cellStyle name="_Table_Modelo 301108 FINAL - Alta Floresta 3 2 2 4" xfId="20796"/>
    <cellStyle name="_Table_Modelo 301108 FINAL - Alta Floresta 3 2 2 5" xfId="20331"/>
    <cellStyle name="_Table_Modelo 301108 FINAL - Alta Floresta 3 2 3" xfId="4885"/>
    <cellStyle name="_Table_Modelo 301108 FINAL - Alta Floresta 3 2 3 2" xfId="6680"/>
    <cellStyle name="_Table_Modelo 301108 FINAL - Alta Floresta 3 2 3 2 2" xfId="6681"/>
    <cellStyle name="_Table_Modelo 301108 FINAL - Alta Floresta 3 2 3 2 2 2" xfId="22479"/>
    <cellStyle name="_Table_Modelo 301108 FINAL - Alta Floresta 3 2 3 2 2 3" xfId="21017"/>
    <cellStyle name="_Table_Modelo 301108 FINAL - Alta Floresta 3 2 3 2 3" xfId="22478"/>
    <cellStyle name="_Table_Modelo 301108 FINAL - Alta Floresta 3 2 3 2 4" xfId="24830"/>
    <cellStyle name="_Table_Modelo 301108 FINAL - Alta Floresta 3 2 3 3" xfId="6682"/>
    <cellStyle name="_Table_Modelo 301108 FINAL - Alta Floresta 3 2 3 3 2" xfId="6683"/>
    <cellStyle name="_Table_Modelo 301108 FINAL - Alta Floresta 3 2 3 3 2 2" xfId="22481"/>
    <cellStyle name="_Table_Modelo 301108 FINAL - Alta Floresta 3 2 3 3 2 3" xfId="24828"/>
    <cellStyle name="_Table_Modelo 301108 FINAL - Alta Floresta 3 2 3 3 3" xfId="6684"/>
    <cellStyle name="_Table_Modelo 301108 FINAL - Alta Floresta 3 2 3 3 3 2" xfId="22482"/>
    <cellStyle name="_Table_Modelo 301108 FINAL - Alta Floresta 3 2 3 3 3 3" xfId="24827"/>
    <cellStyle name="_Table_Modelo 301108 FINAL - Alta Floresta 3 2 3 3 4" xfId="22480"/>
    <cellStyle name="_Table_Modelo 301108 FINAL - Alta Floresta 3 2 3 3 5" xfId="24829"/>
    <cellStyle name="_Table_Modelo 301108 FINAL - Alta Floresta 3 2 3 4" xfId="20797"/>
    <cellStyle name="_Table_Modelo 301108 FINAL - Alta Floresta 3 2 3 5" xfId="26670"/>
    <cellStyle name="_Table_Modelo 301108 FINAL - Alta Floresta 3 2 4" xfId="4886"/>
    <cellStyle name="_Table_Modelo 301108 FINAL - Alta Floresta 3 2 4 2" xfId="6685"/>
    <cellStyle name="_Table_Modelo 301108 FINAL - Alta Floresta 3 2 4 2 2" xfId="6686"/>
    <cellStyle name="_Table_Modelo 301108 FINAL - Alta Floresta 3 2 4 2 2 2" xfId="22484"/>
    <cellStyle name="_Table_Modelo 301108 FINAL - Alta Floresta 3 2 4 2 2 3" xfId="24825"/>
    <cellStyle name="_Table_Modelo 301108 FINAL - Alta Floresta 3 2 4 2 3" xfId="6687"/>
    <cellStyle name="_Table_Modelo 301108 FINAL - Alta Floresta 3 2 4 2 3 2" xfId="22485"/>
    <cellStyle name="_Table_Modelo 301108 FINAL - Alta Floresta 3 2 4 2 3 3" xfId="24824"/>
    <cellStyle name="_Table_Modelo 301108 FINAL - Alta Floresta 3 2 4 2 4" xfId="22483"/>
    <cellStyle name="_Table_Modelo 301108 FINAL - Alta Floresta 3 2 4 2 5" xfId="24826"/>
    <cellStyle name="_Table_Modelo 301108 FINAL - Alta Floresta 3 2 4 3" xfId="6688"/>
    <cellStyle name="_Table_Modelo 301108 FINAL - Alta Floresta 3 2 4 3 2" xfId="6689"/>
    <cellStyle name="_Table_Modelo 301108 FINAL - Alta Floresta 3 2 4 3 2 2" xfId="22487"/>
    <cellStyle name="_Table_Modelo 301108 FINAL - Alta Floresta 3 2 4 3 2 3" xfId="24822"/>
    <cellStyle name="_Table_Modelo 301108 FINAL - Alta Floresta 3 2 4 3 3" xfId="22486"/>
    <cellStyle name="_Table_Modelo 301108 FINAL - Alta Floresta 3 2 4 3 4" xfId="24823"/>
    <cellStyle name="_Table_Modelo 301108 FINAL - Alta Floresta 3 2 4 4" xfId="20798"/>
    <cellStyle name="_Table_Modelo 301108 FINAL - Alta Floresta 3 2 4 5" xfId="26669"/>
    <cellStyle name="_Table_Modelo 301108 FINAL - Alta Floresta 3 2 5" xfId="6690"/>
    <cellStyle name="_Table_Modelo 301108 FINAL - Alta Floresta 3 2 5 2" xfId="6691"/>
    <cellStyle name="_Table_Modelo 301108 FINAL - Alta Floresta 3 2 5 2 2" xfId="22489"/>
    <cellStyle name="_Table_Modelo 301108 FINAL - Alta Floresta 3 2 5 2 3" xfId="24820"/>
    <cellStyle name="_Table_Modelo 301108 FINAL - Alta Floresta 3 2 5 3" xfId="6692"/>
    <cellStyle name="_Table_Modelo 301108 FINAL - Alta Floresta 3 2 5 3 2" xfId="22490"/>
    <cellStyle name="_Table_Modelo 301108 FINAL - Alta Floresta 3 2 5 3 3" xfId="24819"/>
    <cellStyle name="_Table_Modelo 301108 FINAL - Alta Floresta 3 2 5 4" xfId="22488"/>
    <cellStyle name="_Table_Modelo 301108 FINAL - Alta Floresta 3 2 5 5" xfId="24821"/>
    <cellStyle name="_Table_Modelo 301108 FINAL - Alta Floresta 3 2 6" xfId="6693"/>
    <cellStyle name="_Table_Modelo 301108 FINAL - Alta Floresta 3 2 6 2" xfId="6694"/>
    <cellStyle name="_Table_Modelo 301108 FINAL - Alta Floresta 3 2 6 2 2" xfId="22492"/>
    <cellStyle name="_Table_Modelo 301108 FINAL - Alta Floresta 3 2 6 2 3" xfId="24817"/>
    <cellStyle name="_Table_Modelo 301108 FINAL - Alta Floresta 3 2 6 3" xfId="22491"/>
    <cellStyle name="_Table_Modelo 301108 FINAL - Alta Floresta 3 2 6 4" xfId="24818"/>
    <cellStyle name="_Table_Modelo 301108 FINAL - Alta Floresta 3 2 7" xfId="20795"/>
    <cellStyle name="_Table_Modelo 301108 FINAL - Alta Floresta 3 2 8" xfId="26671"/>
    <cellStyle name="_Table_Modelo 301108 FINAL - Alta Floresta 3 3" xfId="4887"/>
    <cellStyle name="_Table_Modelo 301108 FINAL - Alta Floresta 3 3 2" xfId="6695"/>
    <cellStyle name="_Table_Modelo 301108 FINAL - Alta Floresta 3 3 2 2" xfId="6696"/>
    <cellStyle name="_Table_Modelo 301108 FINAL - Alta Floresta 3 3 2 2 2" xfId="22494"/>
    <cellStyle name="_Table_Modelo 301108 FINAL - Alta Floresta 3 3 2 2 3" xfId="20385"/>
    <cellStyle name="_Table_Modelo 301108 FINAL - Alta Floresta 3 3 2 3" xfId="22493"/>
    <cellStyle name="_Table_Modelo 301108 FINAL - Alta Floresta 3 3 2 4" xfId="24816"/>
    <cellStyle name="_Table_Modelo 301108 FINAL - Alta Floresta 3 3 3" xfId="6697"/>
    <cellStyle name="_Table_Modelo 301108 FINAL - Alta Floresta 3 3 3 2" xfId="6698"/>
    <cellStyle name="_Table_Modelo 301108 FINAL - Alta Floresta 3 3 3 2 2" xfId="22496"/>
    <cellStyle name="_Table_Modelo 301108 FINAL - Alta Floresta 3 3 3 2 3" xfId="24814"/>
    <cellStyle name="_Table_Modelo 301108 FINAL - Alta Floresta 3 3 3 3" xfId="6699"/>
    <cellStyle name="_Table_Modelo 301108 FINAL - Alta Floresta 3 3 3 3 2" xfId="22497"/>
    <cellStyle name="_Table_Modelo 301108 FINAL - Alta Floresta 3 3 3 3 3" xfId="24813"/>
    <cellStyle name="_Table_Modelo 301108 FINAL - Alta Floresta 3 3 3 4" xfId="22495"/>
    <cellStyle name="_Table_Modelo 301108 FINAL - Alta Floresta 3 3 3 5" xfId="24815"/>
    <cellStyle name="_Table_Modelo 301108 FINAL - Alta Floresta 3 3 4" xfId="20799"/>
    <cellStyle name="_Table_Modelo 301108 FINAL - Alta Floresta 3 3 5" xfId="26668"/>
    <cellStyle name="_Table_Modelo 301108 FINAL - Alta Floresta 3 4" xfId="4888"/>
    <cellStyle name="_Table_Modelo 301108 FINAL - Alta Floresta 3 4 2" xfId="6700"/>
    <cellStyle name="_Table_Modelo 301108 FINAL - Alta Floresta 3 4 2 2" xfId="6701"/>
    <cellStyle name="_Table_Modelo 301108 FINAL - Alta Floresta 3 4 2 2 2" xfId="22499"/>
    <cellStyle name="_Table_Modelo 301108 FINAL - Alta Floresta 3 4 2 2 3" xfId="24811"/>
    <cellStyle name="_Table_Modelo 301108 FINAL - Alta Floresta 3 4 2 3" xfId="6702"/>
    <cellStyle name="_Table_Modelo 301108 FINAL - Alta Floresta 3 4 2 3 2" xfId="22500"/>
    <cellStyle name="_Table_Modelo 301108 FINAL - Alta Floresta 3 4 2 3 3" xfId="24810"/>
    <cellStyle name="_Table_Modelo 301108 FINAL - Alta Floresta 3 4 2 4" xfId="22498"/>
    <cellStyle name="_Table_Modelo 301108 FINAL - Alta Floresta 3 4 2 5" xfId="24812"/>
    <cellStyle name="_Table_Modelo 301108 FINAL - Alta Floresta 3 4 3" xfId="6703"/>
    <cellStyle name="_Table_Modelo 301108 FINAL - Alta Floresta 3 4 3 2" xfId="6704"/>
    <cellStyle name="_Table_Modelo 301108 FINAL - Alta Floresta 3 4 3 2 2" xfId="22502"/>
    <cellStyle name="_Table_Modelo 301108 FINAL - Alta Floresta 3 4 3 2 3" xfId="24808"/>
    <cellStyle name="_Table_Modelo 301108 FINAL - Alta Floresta 3 4 3 3" xfId="22501"/>
    <cellStyle name="_Table_Modelo 301108 FINAL - Alta Floresta 3 4 3 4" xfId="24809"/>
    <cellStyle name="_Table_Modelo 301108 FINAL - Alta Floresta 3 4 4" xfId="20800"/>
    <cellStyle name="_Table_Modelo 301108 FINAL - Alta Floresta 3 4 5" xfId="26667"/>
    <cellStyle name="_Table_Modelo 301108 FINAL - Alta Floresta 3 5" xfId="6705"/>
    <cellStyle name="_Table_Modelo 301108 FINAL - Alta Floresta 3 5 2" xfId="6706"/>
    <cellStyle name="_Table_Modelo 301108 FINAL - Alta Floresta 3 5 2 2" xfId="22504"/>
    <cellStyle name="_Table_Modelo 301108 FINAL - Alta Floresta 3 5 2 3" xfId="24806"/>
    <cellStyle name="_Table_Modelo 301108 FINAL - Alta Floresta 3 5 3" xfId="6707"/>
    <cellStyle name="_Table_Modelo 301108 FINAL - Alta Floresta 3 5 3 2" xfId="22505"/>
    <cellStyle name="_Table_Modelo 301108 FINAL - Alta Floresta 3 5 3 3" xfId="24805"/>
    <cellStyle name="_Table_Modelo 301108 FINAL - Alta Floresta 3 5 4" xfId="22503"/>
    <cellStyle name="_Table_Modelo 301108 FINAL - Alta Floresta 3 5 5" xfId="24807"/>
    <cellStyle name="_Table_Modelo 301108 FINAL - Alta Floresta 3 6" xfId="6708"/>
    <cellStyle name="_Table_Modelo 301108 FINAL - Alta Floresta 3 6 2" xfId="6709"/>
    <cellStyle name="_Table_Modelo 301108 FINAL - Alta Floresta 3 6 2 2" xfId="22507"/>
    <cellStyle name="_Table_Modelo 301108 FINAL - Alta Floresta 3 6 2 3" xfId="24803"/>
    <cellStyle name="_Table_Modelo 301108 FINAL - Alta Floresta 3 6 3" xfId="22506"/>
    <cellStyle name="_Table_Modelo 301108 FINAL - Alta Floresta 3 6 4" xfId="24804"/>
    <cellStyle name="_Table_Modelo 301108 FINAL - Alta Floresta 3 7" xfId="18512"/>
    <cellStyle name="_Table_Modelo 301108 FINAL - Alta Floresta 3 8" xfId="30675"/>
    <cellStyle name="_Table_Modelo 301108 FINAL - Alta Floresta 4" xfId="4889"/>
    <cellStyle name="_Table_Modelo 301108 FINAL - Alta Floresta 4 2" xfId="4890"/>
    <cellStyle name="_Table_Modelo 301108 FINAL - Alta Floresta 4 2 2" xfId="6710"/>
    <cellStyle name="_Table_Modelo 301108 FINAL - Alta Floresta 4 2 2 2" xfId="6711"/>
    <cellStyle name="_Table_Modelo 301108 FINAL - Alta Floresta 4 2 2 2 2" xfId="22509"/>
    <cellStyle name="_Table_Modelo 301108 FINAL - Alta Floresta 4 2 2 2 3" xfId="20453"/>
    <cellStyle name="_Table_Modelo 301108 FINAL - Alta Floresta 4 2 2 3" xfId="22508"/>
    <cellStyle name="_Table_Modelo 301108 FINAL - Alta Floresta 4 2 2 4" xfId="24802"/>
    <cellStyle name="_Table_Modelo 301108 FINAL - Alta Floresta 4 2 3" xfId="6712"/>
    <cellStyle name="_Table_Modelo 301108 FINAL - Alta Floresta 4 2 3 2" xfId="6713"/>
    <cellStyle name="_Table_Modelo 301108 FINAL - Alta Floresta 4 2 3 2 2" xfId="22511"/>
    <cellStyle name="_Table_Modelo 301108 FINAL - Alta Floresta 4 2 3 2 3" xfId="24801"/>
    <cellStyle name="_Table_Modelo 301108 FINAL - Alta Floresta 4 2 3 3" xfId="6714"/>
    <cellStyle name="_Table_Modelo 301108 FINAL - Alta Floresta 4 2 3 3 2" xfId="22512"/>
    <cellStyle name="_Table_Modelo 301108 FINAL - Alta Floresta 4 2 3 3 3" xfId="24800"/>
    <cellStyle name="_Table_Modelo 301108 FINAL - Alta Floresta 4 2 3 4" xfId="22510"/>
    <cellStyle name="_Table_Modelo 301108 FINAL - Alta Floresta 4 2 3 5" xfId="19278"/>
    <cellStyle name="_Table_Modelo 301108 FINAL - Alta Floresta 4 2 4" xfId="20802"/>
    <cellStyle name="_Table_Modelo 301108 FINAL - Alta Floresta 4 2 5" xfId="26665"/>
    <cellStyle name="_Table_Modelo 301108 FINAL - Alta Floresta 4 3" xfId="4891"/>
    <cellStyle name="_Table_Modelo 301108 FINAL - Alta Floresta 4 3 2" xfId="6715"/>
    <cellStyle name="_Table_Modelo 301108 FINAL - Alta Floresta 4 3 2 2" xfId="6716"/>
    <cellStyle name="_Table_Modelo 301108 FINAL - Alta Floresta 4 3 2 2 2" xfId="22514"/>
    <cellStyle name="_Table_Modelo 301108 FINAL - Alta Floresta 4 3 2 2 3" xfId="24798"/>
    <cellStyle name="_Table_Modelo 301108 FINAL - Alta Floresta 4 3 2 3" xfId="22513"/>
    <cellStyle name="_Table_Modelo 301108 FINAL - Alta Floresta 4 3 2 4" xfId="24799"/>
    <cellStyle name="_Table_Modelo 301108 FINAL - Alta Floresta 4 3 3" xfId="6717"/>
    <cellStyle name="_Table_Modelo 301108 FINAL - Alta Floresta 4 3 3 2" xfId="6718"/>
    <cellStyle name="_Table_Modelo 301108 FINAL - Alta Floresta 4 3 3 2 2" xfId="22516"/>
    <cellStyle name="_Table_Modelo 301108 FINAL - Alta Floresta 4 3 3 2 3" xfId="24796"/>
    <cellStyle name="_Table_Modelo 301108 FINAL - Alta Floresta 4 3 3 3" xfId="6719"/>
    <cellStyle name="_Table_Modelo 301108 FINAL - Alta Floresta 4 3 3 3 2" xfId="22517"/>
    <cellStyle name="_Table_Modelo 301108 FINAL - Alta Floresta 4 3 3 3 3" xfId="24795"/>
    <cellStyle name="_Table_Modelo 301108 FINAL - Alta Floresta 4 3 3 4" xfId="22515"/>
    <cellStyle name="_Table_Modelo 301108 FINAL - Alta Floresta 4 3 3 5" xfId="24797"/>
    <cellStyle name="_Table_Modelo 301108 FINAL - Alta Floresta 4 3 4" xfId="20803"/>
    <cellStyle name="_Table_Modelo 301108 FINAL - Alta Floresta 4 3 5" xfId="26664"/>
    <cellStyle name="_Table_Modelo 301108 FINAL - Alta Floresta 4 4" xfId="4892"/>
    <cellStyle name="_Table_Modelo 301108 FINAL - Alta Floresta 4 4 2" xfId="6720"/>
    <cellStyle name="_Table_Modelo 301108 FINAL - Alta Floresta 4 4 2 2" xfId="6721"/>
    <cellStyle name="_Table_Modelo 301108 FINAL - Alta Floresta 4 4 2 2 2" xfId="22519"/>
    <cellStyle name="_Table_Modelo 301108 FINAL - Alta Floresta 4 4 2 2 3" xfId="24793"/>
    <cellStyle name="_Table_Modelo 301108 FINAL - Alta Floresta 4 4 2 3" xfId="6722"/>
    <cellStyle name="_Table_Modelo 301108 FINAL - Alta Floresta 4 4 2 3 2" xfId="22520"/>
    <cellStyle name="_Table_Modelo 301108 FINAL - Alta Floresta 4 4 2 3 3" xfId="24792"/>
    <cellStyle name="_Table_Modelo 301108 FINAL - Alta Floresta 4 4 2 4" xfId="22518"/>
    <cellStyle name="_Table_Modelo 301108 FINAL - Alta Floresta 4 4 2 5" xfId="24794"/>
    <cellStyle name="_Table_Modelo 301108 FINAL - Alta Floresta 4 4 3" xfId="6723"/>
    <cellStyle name="_Table_Modelo 301108 FINAL - Alta Floresta 4 4 3 2" xfId="6724"/>
    <cellStyle name="_Table_Modelo 301108 FINAL - Alta Floresta 4 4 3 2 2" xfId="22522"/>
    <cellStyle name="_Table_Modelo 301108 FINAL - Alta Floresta 4 4 3 2 3" xfId="24790"/>
    <cellStyle name="_Table_Modelo 301108 FINAL - Alta Floresta 4 4 3 3" xfId="22521"/>
    <cellStyle name="_Table_Modelo 301108 FINAL - Alta Floresta 4 4 3 4" xfId="24791"/>
    <cellStyle name="_Table_Modelo 301108 FINAL - Alta Floresta 4 4 4" xfId="20804"/>
    <cellStyle name="_Table_Modelo 301108 FINAL - Alta Floresta 4 4 5" xfId="26663"/>
    <cellStyle name="_Table_Modelo 301108 FINAL - Alta Floresta 4 5" xfId="6725"/>
    <cellStyle name="_Table_Modelo 301108 FINAL - Alta Floresta 4 5 2" xfId="6726"/>
    <cellStyle name="_Table_Modelo 301108 FINAL - Alta Floresta 4 5 2 2" xfId="22524"/>
    <cellStyle name="_Table_Modelo 301108 FINAL - Alta Floresta 4 5 2 3" xfId="24788"/>
    <cellStyle name="_Table_Modelo 301108 FINAL - Alta Floresta 4 5 3" xfId="6727"/>
    <cellStyle name="_Table_Modelo 301108 FINAL - Alta Floresta 4 5 3 2" xfId="22525"/>
    <cellStyle name="_Table_Modelo 301108 FINAL - Alta Floresta 4 5 3 3" xfId="24787"/>
    <cellStyle name="_Table_Modelo 301108 FINAL - Alta Floresta 4 5 4" xfId="22523"/>
    <cellStyle name="_Table_Modelo 301108 FINAL - Alta Floresta 4 5 5" xfId="24789"/>
    <cellStyle name="_Table_Modelo 301108 FINAL - Alta Floresta 4 6" xfId="6728"/>
    <cellStyle name="_Table_Modelo 301108 FINAL - Alta Floresta 4 6 2" xfId="6729"/>
    <cellStyle name="_Table_Modelo 301108 FINAL - Alta Floresta 4 6 2 2" xfId="22527"/>
    <cellStyle name="_Table_Modelo 301108 FINAL - Alta Floresta 4 6 2 3" xfId="24785"/>
    <cellStyle name="_Table_Modelo 301108 FINAL - Alta Floresta 4 6 3" xfId="22526"/>
    <cellStyle name="_Table_Modelo 301108 FINAL - Alta Floresta 4 6 4" xfId="24786"/>
    <cellStyle name="_Table_Modelo 301108 FINAL - Alta Floresta 4 7" xfId="20801"/>
    <cellStyle name="_Table_Modelo 301108 FINAL - Alta Floresta 4 8" xfId="26666"/>
    <cellStyle name="_Table_Modelo 301108 FINAL - Alta Floresta 5" xfId="4893"/>
    <cellStyle name="_Table_Modelo 301108 FINAL - Alta Floresta 5 2" xfId="6730"/>
    <cellStyle name="_Table_Modelo 301108 FINAL - Alta Floresta 5 2 2" xfId="6731"/>
    <cellStyle name="_Table_Modelo 301108 FINAL - Alta Floresta 5 2 2 2" xfId="22529"/>
    <cellStyle name="_Table_Modelo 301108 FINAL - Alta Floresta 5 2 2 3" xfId="24783"/>
    <cellStyle name="_Table_Modelo 301108 FINAL - Alta Floresta 5 2 3" xfId="22528"/>
    <cellStyle name="_Table_Modelo 301108 FINAL - Alta Floresta 5 2 4" xfId="24784"/>
    <cellStyle name="_Table_Modelo 301108 FINAL - Alta Floresta 5 3" xfId="6732"/>
    <cellStyle name="_Table_Modelo 301108 FINAL - Alta Floresta 5 3 2" xfId="6733"/>
    <cellStyle name="_Table_Modelo 301108 FINAL - Alta Floresta 5 3 2 2" xfId="22531"/>
    <cellStyle name="_Table_Modelo 301108 FINAL - Alta Floresta 5 3 2 3" xfId="24782"/>
    <cellStyle name="_Table_Modelo 301108 FINAL - Alta Floresta 5 3 3" xfId="6734"/>
    <cellStyle name="_Table_Modelo 301108 FINAL - Alta Floresta 5 3 3 2" xfId="22532"/>
    <cellStyle name="_Table_Modelo 301108 FINAL - Alta Floresta 5 3 3 3" xfId="24781"/>
    <cellStyle name="_Table_Modelo 301108 FINAL - Alta Floresta 5 3 4" xfId="22530"/>
    <cellStyle name="_Table_Modelo 301108 FINAL - Alta Floresta 5 3 5" xfId="21016"/>
    <cellStyle name="_Table_Modelo 301108 FINAL - Alta Floresta 5 4" xfId="20805"/>
    <cellStyle name="_Table_Modelo 301108 FINAL - Alta Floresta 5 5" xfId="26662"/>
    <cellStyle name="_Table_Modelo 301108 FINAL - Alta Floresta 6" xfId="4894"/>
    <cellStyle name="_Table_Modelo 301108 FINAL - Alta Floresta 6 2" xfId="6735"/>
    <cellStyle name="_Table_Modelo 301108 FINAL - Alta Floresta 6 2 2" xfId="6736"/>
    <cellStyle name="_Table_Modelo 301108 FINAL - Alta Floresta 6 2 2 2" xfId="22534"/>
    <cellStyle name="_Table_Modelo 301108 FINAL - Alta Floresta 6 2 2 3" xfId="24779"/>
    <cellStyle name="_Table_Modelo 301108 FINAL - Alta Floresta 6 2 3" xfId="6737"/>
    <cellStyle name="_Table_Modelo 301108 FINAL - Alta Floresta 6 2 3 2" xfId="22535"/>
    <cellStyle name="_Table_Modelo 301108 FINAL - Alta Floresta 6 2 3 3" xfId="24778"/>
    <cellStyle name="_Table_Modelo 301108 FINAL - Alta Floresta 6 2 4" xfId="22533"/>
    <cellStyle name="_Table_Modelo 301108 FINAL - Alta Floresta 6 2 5" xfId="24780"/>
    <cellStyle name="_Table_Modelo 301108 FINAL - Alta Floresta 6 3" xfId="6738"/>
    <cellStyle name="_Table_Modelo 301108 FINAL - Alta Floresta 6 3 2" xfId="6739"/>
    <cellStyle name="_Table_Modelo 301108 FINAL - Alta Floresta 6 3 2 2" xfId="22537"/>
    <cellStyle name="_Table_Modelo 301108 FINAL - Alta Floresta 6 3 2 3" xfId="24776"/>
    <cellStyle name="_Table_Modelo 301108 FINAL - Alta Floresta 6 3 3" xfId="22536"/>
    <cellStyle name="_Table_Modelo 301108 FINAL - Alta Floresta 6 3 4" xfId="24777"/>
    <cellStyle name="_Table_Modelo 301108 FINAL - Alta Floresta 6 4" xfId="20806"/>
    <cellStyle name="_Table_Modelo 301108 FINAL - Alta Floresta 6 5" xfId="26661"/>
    <cellStyle name="_Table_Modelo 301108 FINAL - Alta Floresta 7" xfId="6740"/>
    <cellStyle name="_Table_Modelo 301108 FINAL - Alta Floresta 7 2" xfId="6741"/>
    <cellStyle name="_Table_Modelo 301108 FINAL - Alta Floresta 7 2 2" xfId="22539"/>
    <cellStyle name="_Table_Modelo 301108 FINAL - Alta Floresta 7 2 3" xfId="24774"/>
    <cellStyle name="_Table_Modelo 301108 FINAL - Alta Floresta 7 3" xfId="6742"/>
    <cellStyle name="_Table_Modelo 301108 FINAL - Alta Floresta 7 3 2" xfId="22540"/>
    <cellStyle name="_Table_Modelo 301108 FINAL - Alta Floresta 7 3 3" xfId="24773"/>
    <cellStyle name="_Table_Modelo 301108 FINAL - Alta Floresta 7 4" xfId="22538"/>
    <cellStyle name="_Table_Modelo 301108 FINAL - Alta Floresta 7 5" xfId="24775"/>
    <cellStyle name="_Table_Modelo 301108 FINAL - Alta Floresta 8" xfId="6743"/>
    <cellStyle name="_Table_Modelo 301108 FINAL - Alta Floresta 8 2" xfId="6744"/>
    <cellStyle name="_Table_Modelo 301108 FINAL - Alta Floresta 8 2 2" xfId="22542"/>
    <cellStyle name="_Table_Modelo 301108 FINAL - Alta Floresta 8 2 3" xfId="24771"/>
    <cellStyle name="_Table_Modelo 301108 FINAL - Alta Floresta 8 3" xfId="22541"/>
    <cellStyle name="_Table_Modelo 301108 FINAL - Alta Floresta 8 4" xfId="24772"/>
    <cellStyle name="_Table_Modelo 301108 FINAL - Alta Floresta 9" xfId="18510"/>
    <cellStyle name="_Table_Modelo 301108 FINAL - Pontes e Lacerda" xfId="824"/>
    <cellStyle name="_Table_Modelo 301108 FINAL - Pontes e Lacerda 10" xfId="30674"/>
    <cellStyle name="_Table_Modelo 301108 FINAL - Pontes e Lacerda 2" xfId="825"/>
    <cellStyle name="_Table_Modelo 301108 FINAL - Pontes e Lacerda 2 2" xfId="4895"/>
    <cellStyle name="_Table_Modelo 301108 FINAL - Pontes e Lacerda 2 2 2" xfId="4896"/>
    <cellStyle name="_Table_Modelo 301108 FINAL - Pontes e Lacerda 2 2 2 2" xfId="6745"/>
    <cellStyle name="_Table_Modelo 301108 FINAL - Pontes e Lacerda 2 2 2 2 2" xfId="6746"/>
    <cellStyle name="_Table_Modelo 301108 FINAL - Pontes e Lacerda 2 2 2 2 2 2" xfId="22544"/>
    <cellStyle name="_Table_Modelo 301108 FINAL - Pontes e Lacerda 2 2 2 2 2 3" xfId="24769"/>
    <cellStyle name="_Table_Modelo 301108 FINAL - Pontes e Lacerda 2 2 2 2 3" xfId="22543"/>
    <cellStyle name="_Table_Modelo 301108 FINAL - Pontes e Lacerda 2 2 2 2 4" xfId="24770"/>
    <cellStyle name="_Table_Modelo 301108 FINAL - Pontes e Lacerda 2 2 2 3" xfId="6747"/>
    <cellStyle name="_Table_Modelo 301108 FINAL - Pontes e Lacerda 2 2 2 3 2" xfId="6748"/>
    <cellStyle name="_Table_Modelo 301108 FINAL - Pontes e Lacerda 2 2 2 3 2 2" xfId="22546"/>
    <cellStyle name="_Table_Modelo 301108 FINAL - Pontes e Lacerda 2 2 2 3 2 3" xfId="24768"/>
    <cellStyle name="_Table_Modelo 301108 FINAL - Pontes e Lacerda 2 2 2 3 3" xfId="6749"/>
    <cellStyle name="_Table_Modelo 301108 FINAL - Pontes e Lacerda 2 2 2 3 3 2" xfId="22547"/>
    <cellStyle name="_Table_Modelo 301108 FINAL - Pontes e Lacerda 2 2 2 3 3 3" xfId="24767"/>
    <cellStyle name="_Table_Modelo 301108 FINAL - Pontes e Lacerda 2 2 2 3 4" xfId="22545"/>
    <cellStyle name="_Table_Modelo 301108 FINAL - Pontes e Lacerda 2 2 2 3 5" xfId="20378"/>
    <cellStyle name="_Table_Modelo 301108 FINAL - Pontes e Lacerda 2 2 2 4" xfId="20808"/>
    <cellStyle name="_Table_Modelo 301108 FINAL - Pontes e Lacerda 2 2 2 5" xfId="26659"/>
    <cellStyle name="_Table_Modelo 301108 FINAL - Pontes e Lacerda 2 2 3" xfId="4897"/>
    <cellStyle name="_Table_Modelo 301108 FINAL - Pontes e Lacerda 2 2 3 2" xfId="6750"/>
    <cellStyle name="_Table_Modelo 301108 FINAL - Pontes e Lacerda 2 2 3 2 2" xfId="6751"/>
    <cellStyle name="_Table_Modelo 301108 FINAL - Pontes e Lacerda 2 2 3 2 2 2" xfId="22549"/>
    <cellStyle name="_Table_Modelo 301108 FINAL - Pontes e Lacerda 2 2 3 2 2 3" xfId="24765"/>
    <cellStyle name="_Table_Modelo 301108 FINAL - Pontes e Lacerda 2 2 3 2 3" xfId="22548"/>
    <cellStyle name="_Table_Modelo 301108 FINAL - Pontes e Lacerda 2 2 3 2 4" xfId="24766"/>
    <cellStyle name="_Table_Modelo 301108 FINAL - Pontes e Lacerda 2 2 3 3" xfId="6752"/>
    <cellStyle name="_Table_Modelo 301108 FINAL - Pontes e Lacerda 2 2 3 3 2" xfId="6753"/>
    <cellStyle name="_Table_Modelo 301108 FINAL - Pontes e Lacerda 2 2 3 3 2 2" xfId="22551"/>
    <cellStyle name="_Table_Modelo 301108 FINAL - Pontes e Lacerda 2 2 3 3 2 3" xfId="24763"/>
    <cellStyle name="_Table_Modelo 301108 FINAL - Pontes e Lacerda 2 2 3 3 3" xfId="6754"/>
    <cellStyle name="_Table_Modelo 301108 FINAL - Pontes e Lacerda 2 2 3 3 3 2" xfId="22552"/>
    <cellStyle name="_Table_Modelo 301108 FINAL - Pontes e Lacerda 2 2 3 3 3 3" xfId="24762"/>
    <cellStyle name="_Table_Modelo 301108 FINAL - Pontes e Lacerda 2 2 3 3 4" xfId="22550"/>
    <cellStyle name="_Table_Modelo 301108 FINAL - Pontes e Lacerda 2 2 3 3 5" xfId="24764"/>
    <cellStyle name="_Table_Modelo 301108 FINAL - Pontes e Lacerda 2 2 3 4" xfId="20809"/>
    <cellStyle name="_Table_Modelo 301108 FINAL - Pontes e Lacerda 2 2 3 5" xfId="26658"/>
    <cellStyle name="_Table_Modelo 301108 FINAL - Pontes e Lacerda 2 2 4" xfId="4898"/>
    <cellStyle name="_Table_Modelo 301108 FINAL - Pontes e Lacerda 2 2 4 2" xfId="6755"/>
    <cellStyle name="_Table_Modelo 301108 FINAL - Pontes e Lacerda 2 2 4 2 2" xfId="6756"/>
    <cellStyle name="_Table_Modelo 301108 FINAL - Pontes e Lacerda 2 2 4 2 2 2" xfId="22554"/>
    <cellStyle name="_Table_Modelo 301108 FINAL - Pontes e Lacerda 2 2 4 2 2 3" xfId="24760"/>
    <cellStyle name="_Table_Modelo 301108 FINAL - Pontes e Lacerda 2 2 4 2 3" xfId="6757"/>
    <cellStyle name="_Table_Modelo 301108 FINAL - Pontes e Lacerda 2 2 4 2 3 2" xfId="22555"/>
    <cellStyle name="_Table_Modelo 301108 FINAL - Pontes e Lacerda 2 2 4 2 3 3" xfId="24759"/>
    <cellStyle name="_Table_Modelo 301108 FINAL - Pontes e Lacerda 2 2 4 2 4" xfId="22553"/>
    <cellStyle name="_Table_Modelo 301108 FINAL - Pontes e Lacerda 2 2 4 2 5" xfId="24761"/>
    <cellStyle name="_Table_Modelo 301108 FINAL - Pontes e Lacerda 2 2 4 3" xfId="6758"/>
    <cellStyle name="_Table_Modelo 301108 FINAL - Pontes e Lacerda 2 2 4 3 2" xfId="6759"/>
    <cellStyle name="_Table_Modelo 301108 FINAL - Pontes e Lacerda 2 2 4 3 2 2" xfId="22557"/>
    <cellStyle name="_Table_Modelo 301108 FINAL - Pontes e Lacerda 2 2 4 3 2 3" xfId="24757"/>
    <cellStyle name="_Table_Modelo 301108 FINAL - Pontes e Lacerda 2 2 4 3 3" xfId="22556"/>
    <cellStyle name="_Table_Modelo 301108 FINAL - Pontes e Lacerda 2 2 4 3 4" xfId="24758"/>
    <cellStyle name="_Table_Modelo 301108 FINAL - Pontes e Lacerda 2 2 4 4" xfId="20810"/>
    <cellStyle name="_Table_Modelo 301108 FINAL - Pontes e Lacerda 2 2 4 5" xfId="26657"/>
    <cellStyle name="_Table_Modelo 301108 FINAL - Pontes e Lacerda 2 2 5" xfId="6760"/>
    <cellStyle name="_Table_Modelo 301108 FINAL - Pontes e Lacerda 2 2 5 2" xfId="6761"/>
    <cellStyle name="_Table_Modelo 301108 FINAL - Pontes e Lacerda 2 2 5 2 2" xfId="22559"/>
    <cellStyle name="_Table_Modelo 301108 FINAL - Pontes e Lacerda 2 2 5 2 3" xfId="24755"/>
    <cellStyle name="_Table_Modelo 301108 FINAL - Pontes e Lacerda 2 2 5 3" xfId="6762"/>
    <cellStyle name="_Table_Modelo 301108 FINAL - Pontes e Lacerda 2 2 5 3 2" xfId="22560"/>
    <cellStyle name="_Table_Modelo 301108 FINAL - Pontes e Lacerda 2 2 5 3 3" xfId="20364"/>
    <cellStyle name="_Table_Modelo 301108 FINAL - Pontes e Lacerda 2 2 5 4" xfId="22558"/>
    <cellStyle name="_Table_Modelo 301108 FINAL - Pontes e Lacerda 2 2 5 5" xfId="24756"/>
    <cellStyle name="_Table_Modelo 301108 FINAL - Pontes e Lacerda 2 2 6" xfId="6763"/>
    <cellStyle name="_Table_Modelo 301108 FINAL - Pontes e Lacerda 2 2 6 2" xfId="6764"/>
    <cellStyle name="_Table_Modelo 301108 FINAL - Pontes e Lacerda 2 2 6 2 2" xfId="22562"/>
    <cellStyle name="_Table_Modelo 301108 FINAL - Pontes e Lacerda 2 2 6 2 3" xfId="19276"/>
    <cellStyle name="_Table_Modelo 301108 FINAL - Pontes e Lacerda 2 2 6 3" xfId="22561"/>
    <cellStyle name="_Table_Modelo 301108 FINAL - Pontes e Lacerda 2 2 6 4" xfId="19277"/>
    <cellStyle name="_Table_Modelo 301108 FINAL - Pontes e Lacerda 2 2 7" xfId="20807"/>
    <cellStyle name="_Table_Modelo 301108 FINAL - Pontes e Lacerda 2 2 8" xfId="26660"/>
    <cellStyle name="_Table_Modelo 301108 FINAL - Pontes e Lacerda 2 3" xfId="4899"/>
    <cellStyle name="_Table_Modelo 301108 FINAL - Pontes e Lacerda 2 3 2" xfId="6765"/>
    <cellStyle name="_Table_Modelo 301108 FINAL - Pontes e Lacerda 2 3 2 2" xfId="6766"/>
    <cellStyle name="_Table_Modelo 301108 FINAL - Pontes e Lacerda 2 3 2 2 2" xfId="22564"/>
    <cellStyle name="_Table_Modelo 301108 FINAL - Pontes e Lacerda 2 3 2 2 3" xfId="19274"/>
    <cellStyle name="_Table_Modelo 301108 FINAL - Pontes e Lacerda 2 3 2 3" xfId="22563"/>
    <cellStyle name="_Table_Modelo 301108 FINAL - Pontes e Lacerda 2 3 2 4" xfId="19275"/>
    <cellStyle name="_Table_Modelo 301108 FINAL - Pontes e Lacerda 2 3 3" xfId="6767"/>
    <cellStyle name="_Table_Modelo 301108 FINAL - Pontes e Lacerda 2 3 3 2" xfId="6768"/>
    <cellStyle name="_Table_Modelo 301108 FINAL - Pontes e Lacerda 2 3 3 2 2" xfId="22566"/>
    <cellStyle name="_Table_Modelo 301108 FINAL - Pontes e Lacerda 2 3 3 2 3" xfId="24754"/>
    <cellStyle name="_Table_Modelo 301108 FINAL - Pontes e Lacerda 2 3 3 3" xfId="6769"/>
    <cellStyle name="_Table_Modelo 301108 FINAL - Pontes e Lacerda 2 3 3 3 2" xfId="22567"/>
    <cellStyle name="_Table_Modelo 301108 FINAL - Pontes e Lacerda 2 3 3 3 3" xfId="24753"/>
    <cellStyle name="_Table_Modelo 301108 FINAL - Pontes e Lacerda 2 3 3 4" xfId="22565"/>
    <cellStyle name="_Table_Modelo 301108 FINAL - Pontes e Lacerda 2 3 3 5" xfId="17931"/>
    <cellStyle name="_Table_Modelo 301108 FINAL - Pontes e Lacerda 2 3 4" xfId="20811"/>
    <cellStyle name="_Table_Modelo 301108 FINAL - Pontes e Lacerda 2 3 5" xfId="26656"/>
    <cellStyle name="_Table_Modelo 301108 FINAL - Pontes e Lacerda 2 4" xfId="4900"/>
    <cellStyle name="_Table_Modelo 301108 FINAL - Pontes e Lacerda 2 4 2" xfId="6770"/>
    <cellStyle name="_Table_Modelo 301108 FINAL - Pontes e Lacerda 2 4 2 2" xfId="6771"/>
    <cellStyle name="_Table_Modelo 301108 FINAL - Pontes e Lacerda 2 4 2 2 2" xfId="22569"/>
    <cellStyle name="_Table_Modelo 301108 FINAL - Pontes e Lacerda 2 4 2 2 3" xfId="24751"/>
    <cellStyle name="_Table_Modelo 301108 FINAL - Pontes e Lacerda 2 4 2 3" xfId="6772"/>
    <cellStyle name="_Table_Modelo 301108 FINAL - Pontes e Lacerda 2 4 2 3 2" xfId="22570"/>
    <cellStyle name="_Table_Modelo 301108 FINAL - Pontes e Lacerda 2 4 2 3 3" xfId="24750"/>
    <cellStyle name="_Table_Modelo 301108 FINAL - Pontes e Lacerda 2 4 2 4" xfId="22568"/>
    <cellStyle name="_Table_Modelo 301108 FINAL - Pontes e Lacerda 2 4 2 5" xfId="24752"/>
    <cellStyle name="_Table_Modelo 301108 FINAL - Pontes e Lacerda 2 4 3" xfId="6773"/>
    <cellStyle name="_Table_Modelo 301108 FINAL - Pontes e Lacerda 2 4 3 2" xfId="6774"/>
    <cellStyle name="_Table_Modelo 301108 FINAL - Pontes e Lacerda 2 4 3 2 2" xfId="22572"/>
    <cellStyle name="_Table_Modelo 301108 FINAL - Pontes e Lacerda 2 4 3 2 3" xfId="24748"/>
    <cellStyle name="_Table_Modelo 301108 FINAL - Pontes e Lacerda 2 4 3 3" xfId="22571"/>
    <cellStyle name="_Table_Modelo 301108 FINAL - Pontes e Lacerda 2 4 3 4" xfId="24749"/>
    <cellStyle name="_Table_Modelo 301108 FINAL - Pontes e Lacerda 2 4 4" xfId="20812"/>
    <cellStyle name="_Table_Modelo 301108 FINAL - Pontes e Lacerda 2 4 5" xfId="26655"/>
    <cellStyle name="_Table_Modelo 301108 FINAL - Pontes e Lacerda 2 5" xfId="6775"/>
    <cellStyle name="_Table_Modelo 301108 FINAL - Pontes e Lacerda 2 5 2" xfId="6776"/>
    <cellStyle name="_Table_Modelo 301108 FINAL - Pontes e Lacerda 2 5 2 2" xfId="22574"/>
    <cellStyle name="_Table_Modelo 301108 FINAL - Pontes e Lacerda 2 5 2 3" xfId="24746"/>
    <cellStyle name="_Table_Modelo 301108 FINAL - Pontes e Lacerda 2 5 3" xfId="6777"/>
    <cellStyle name="_Table_Modelo 301108 FINAL - Pontes e Lacerda 2 5 3 2" xfId="22575"/>
    <cellStyle name="_Table_Modelo 301108 FINAL - Pontes e Lacerda 2 5 3 3" xfId="24745"/>
    <cellStyle name="_Table_Modelo 301108 FINAL - Pontes e Lacerda 2 5 4" xfId="22573"/>
    <cellStyle name="_Table_Modelo 301108 FINAL - Pontes e Lacerda 2 5 5" xfId="24747"/>
    <cellStyle name="_Table_Modelo 301108 FINAL - Pontes e Lacerda 2 6" xfId="6778"/>
    <cellStyle name="_Table_Modelo 301108 FINAL - Pontes e Lacerda 2 6 2" xfId="6779"/>
    <cellStyle name="_Table_Modelo 301108 FINAL - Pontes e Lacerda 2 6 2 2" xfId="22577"/>
    <cellStyle name="_Table_Modelo 301108 FINAL - Pontes e Lacerda 2 6 2 3" xfId="24743"/>
    <cellStyle name="_Table_Modelo 301108 FINAL - Pontes e Lacerda 2 6 3" xfId="22576"/>
    <cellStyle name="_Table_Modelo 301108 FINAL - Pontes e Lacerda 2 6 4" xfId="24744"/>
    <cellStyle name="_Table_Modelo 301108 FINAL - Pontes e Lacerda 2 7" xfId="18514"/>
    <cellStyle name="_Table_Modelo 301108 FINAL - Pontes e Lacerda 2 8" xfId="30673"/>
    <cellStyle name="_Table_Modelo 301108 FINAL - Pontes e Lacerda 3" xfId="826"/>
    <cellStyle name="_Table_Modelo 301108 FINAL - Pontes e Lacerda 3 2" xfId="4901"/>
    <cellStyle name="_Table_Modelo 301108 FINAL - Pontes e Lacerda 3 2 2" xfId="4902"/>
    <cellStyle name="_Table_Modelo 301108 FINAL - Pontes e Lacerda 3 2 2 2" xfId="6780"/>
    <cellStyle name="_Table_Modelo 301108 FINAL - Pontes e Lacerda 3 2 2 2 2" xfId="6781"/>
    <cellStyle name="_Table_Modelo 301108 FINAL - Pontes e Lacerda 3 2 2 2 2 2" xfId="22579"/>
    <cellStyle name="_Table_Modelo 301108 FINAL - Pontes e Lacerda 3 2 2 2 2 3" xfId="24741"/>
    <cellStyle name="_Table_Modelo 301108 FINAL - Pontes e Lacerda 3 2 2 2 3" xfId="22578"/>
    <cellStyle name="_Table_Modelo 301108 FINAL - Pontes e Lacerda 3 2 2 2 4" xfId="24742"/>
    <cellStyle name="_Table_Modelo 301108 FINAL - Pontes e Lacerda 3 2 2 3" xfId="6782"/>
    <cellStyle name="_Table_Modelo 301108 FINAL - Pontes e Lacerda 3 2 2 3 2" xfId="6783"/>
    <cellStyle name="_Table_Modelo 301108 FINAL - Pontes e Lacerda 3 2 2 3 2 2" xfId="22581"/>
    <cellStyle name="_Table_Modelo 301108 FINAL - Pontes e Lacerda 3 2 2 3 2 3" xfId="24739"/>
    <cellStyle name="_Table_Modelo 301108 FINAL - Pontes e Lacerda 3 2 2 3 3" xfId="6784"/>
    <cellStyle name="_Table_Modelo 301108 FINAL - Pontes e Lacerda 3 2 2 3 3 2" xfId="22582"/>
    <cellStyle name="_Table_Modelo 301108 FINAL - Pontes e Lacerda 3 2 2 3 3 3" xfId="24738"/>
    <cellStyle name="_Table_Modelo 301108 FINAL - Pontes e Lacerda 3 2 2 3 4" xfId="22580"/>
    <cellStyle name="_Table_Modelo 301108 FINAL - Pontes e Lacerda 3 2 2 3 5" xfId="24740"/>
    <cellStyle name="_Table_Modelo 301108 FINAL - Pontes e Lacerda 3 2 2 4" xfId="20814"/>
    <cellStyle name="_Table_Modelo 301108 FINAL - Pontes e Lacerda 3 2 2 5" xfId="26653"/>
    <cellStyle name="_Table_Modelo 301108 FINAL - Pontes e Lacerda 3 2 3" xfId="4903"/>
    <cellStyle name="_Table_Modelo 301108 FINAL - Pontes e Lacerda 3 2 3 2" xfId="6785"/>
    <cellStyle name="_Table_Modelo 301108 FINAL - Pontes e Lacerda 3 2 3 2 2" xfId="6786"/>
    <cellStyle name="_Table_Modelo 301108 FINAL - Pontes e Lacerda 3 2 3 2 2 2" xfId="22584"/>
    <cellStyle name="_Table_Modelo 301108 FINAL - Pontes e Lacerda 3 2 3 2 2 3" xfId="24736"/>
    <cellStyle name="_Table_Modelo 301108 FINAL - Pontes e Lacerda 3 2 3 2 3" xfId="22583"/>
    <cellStyle name="_Table_Modelo 301108 FINAL - Pontes e Lacerda 3 2 3 2 4" xfId="24737"/>
    <cellStyle name="_Table_Modelo 301108 FINAL - Pontes e Lacerda 3 2 3 3" xfId="6787"/>
    <cellStyle name="_Table_Modelo 301108 FINAL - Pontes e Lacerda 3 2 3 3 2" xfId="6788"/>
    <cellStyle name="_Table_Modelo 301108 FINAL - Pontes e Lacerda 3 2 3 3 2 2" xfId="22586"/>
    <cellStyle name="_Table_Modelo 301108 FINAL - Pontes e Lacerda 3 2 3 3 2 3" xfId="24735"/>
    <cellStyle name="_Table_Modelo 301108 FINAL - Pontes e Lacerda 3 2 3 3 3" xfId="6789"/>
    <cellStyle name="_Table_Modelo 301108 FINAL - Pontes e Lacerda 3 2 3 3 3 2" xfId="22587"/>
    <cellStyle name="_Table_Modelo 301108 FINAL - Pontes e Lacerda 3 2 3 3 3 3" xfId="24734"/>
    <cellStyle name="_Table_Modelo 301108 FINAL - Pontes e Lacerda 3 2 3 3 4" xfId="22585"/>
    <cellStyle name="_Table_Modelo 301108 FINAL - Pontes e Lacerda 3 2 3 3 5" xfId="21015"/>
    <cellStyle name="_Table_Modelo 301108 FINAL - Pontes e Lacerda 3 2 3 4" xfId="20815"/>
    <cellStyle name="_Table_Modelo 301108 FINAL - Pontes e Lacerda 3 2 3 5" xfId="26652"/>
    <cellStyle name="_Table_Modelo 301108 FINAL - Pontes e Lacerda 3 2 4" xfId="4904"/>
    <cellStyle name="_Table_Modelo 301108 FINAL - Pontes e Lacerda 3 2 4 2" xfId="6790"/>
    <cellStyle name="_Table_Modelo 301108 FINAL - Pontes e Lacerda 3 2 4 2 2" xfId="6791"/>
    <cellStyle name="_Table_Modelo 301108 FINAL - Pontes e Lacerda 3 2 4 2 2 2" xfId="22589"/>
    <cellStyle name="_Table_Modelo 301108 FINAL - Pontes e Lacerda 3 2 4 2 2 3" xfId="24732"/>
    <cellStyle name="_Table_Modelo 301108 FINAL - Pontes e Lacerda 3 2 4 2 3" xfId="6792"/>
    <cellStyle name="_Table_Modelo 301108 FINAL - Pontes e Lacerda 3 2 4 2 3 2" xfId="22590"/>
    <cellStyle name="_Table_Modelo 301108 FINAL - Pontes e Lacerda 3 2 4 2 3 3" xfId="24731"/>
    <cellStyle name="_Table_Modelo 301108 FINAL - Pontes e Lacerda 3 2 4 2 4" xfId="22588"/>
    <cellStyle name="_Table_Modelo 301108 FINAL - Pontes e Lacerda 3 2 4 2 5" xfId="24733"/>
    <cellStyle name="_Table_Modelo 301108 FINAL - Pontes e Lacerda 3 2 4 3" xfId="6793"/>
    <cellStyle name="_Table_Modelo 301108 FINAL - Pontes e Lacerda 3 2 4 3 2" xfId="6794"/>
    <cellStyle name="_Table_Modelo 301108 FINAL - Pontes e Lacerda 3 2 4 3 2 2" xfId="22592"/>
    <cellStyle name="_Table_Modelo 301108 FINAL - Pontes e Lacerda 3 2 4 3 2 3" xfId="24729"/>
    <cellStyle name="_Table_Modelo 301108 FINAL - Pontes e Lacerda 3 2 4 3 3" xfId="22591"/>
    <cellStyle name="_Table_Modelo 301108 FINAL - Pontes e Lacerda 3 2 4 3 4" xfId="24730"/>
    <cellStyle name="_Table_Modelo 301108 FINAL - Pontes e Lacerda 3 2 4 4" xfId="20816"/>
    <cellStyle name="_Table_Modelo 301108 FINAL - Pontes e Lacerda 3 2 4 5" xfId="21099"/>
    <cellStyle name="_Table_Modelo 301108 FINAL - Pontes e Lacerda 3 2 5" xfId="6795"/>
    <cellStyle name="_Table_Modelo 301108 FINAL - Pontes e Lacerda 3 2 5 2" xfId="6796"/>
    <cellStyle name="_Table_Modelo 301108 FINAL - Pontes e Lacerda 3 2 5 2 2" xfId="22594"/>
    <cellStyle name="_Table_Modelo 301108 FINAL - Pontes e Lacerda 3 2 5 2 3" xfId="24727"/>
    <cellStyle name="_Table_Modelo 301108 FINAL - Pontes e Lacerda 3 2 5 3" xfId="6797"/>
    <cellStyle name="_Table_Modelo 301108 FINAL - Pontes e Lacerda 3 2 5 3 2" xfId="22595"/>
    <cellStyle name="_Table_Modelo 301108 FINAL - Pontes e Lacerda 3 2 5 3 3" xfId="24726"/>
    <cellStyle name="_Table_Modelo 301108 FINAL - Pontes e Lacerda 3 2 5 4" xfId="22593"/>
    <cellStyle name="_Table_Modelo 301108 FINAL - Pontes e Lacerda 3 2 5 5" xfId="24728"/>
    <cellStyle name="_Table_Modelo 301108 FINAL - Pontes e Lacerda 3 2 6" xfId="6798"/>
    <cellStyle name="_Table_Modelo 301108 FINAL - Pontes e Lacerda 3 2 6 2" xfId="6799"/>
    <cellStyle name="_Table_Modelo 301108 FINAL - Pontes e Lacerda 3 2 6 2 2" xfId="22597"/>
    <cellStyle name="_Table_Modelo 301108 FINAL - Pontes e Lacerda 3 2 6 2 3" xfId="24724"/>
    <cellStyle name="_Table_Modelo 301108 FINAL - Pontes e Lacerda 3 2 6 3" xfId="22596"/>
    <cellStyle name="_Table_Modelo 301108 FINAL - Pontes e Lacerda 3 2 6 4" xfId="24725"/>
    <cellStyle name="_Table_Modelo 301108 FINAL - Pontes e Lacerda 3 2 7" xfId="20813"/>
    <cellStyle name="_Table_Modelo 301108 FINAL - Pontes e Lacerda 3 2 8" xfId="26654"/>
    <cellStyle name="_Table_Modelo 301108 FINAL - Pontes e Lacerda 3 3" xfId="4905"/>
    <cellStyle name="_Table_Modelo 301108 FINAL - Pontes e Lacerda 3 3 2" xfId="6800"/>
    <cellStyle name="_Table_Modelo 301108 FINAL - Pontes e Lacerda 3 3 2 2" xfId="6801"/>
    <cellStyle name="_Table_Modelo 301108 FINAL - Pontes e Lacerda 3 3 2 2 2" xfId="22599"/>
    <cellStyle name="_Table_Modelo 301108 FINAL - Pontes e Lacerda 3 3 2 2 3" xfId="24722"/>
    <cellStyle name="_Table_Modelo 301108 FINAL - Pontes e Lacerda 3 3 2 3" xfId="22598"/>
    <cellStyle name="_Table_Modelo 301108 FINAL - Pontes e Lacerda 3 3 2 4" xfId="24723"/>
    <cellStyle name="_Table_Modelo 301108 FINAL - Pontes e Lacerda 3 3 3" xfId="6802"/>
    <cellStyle name="_Table_Modelo 301108 FINAL - Pontes e Lacerda 3 3 3 2" xfId="6803"/>
    <cellStyle name="_Table_Modelo 301108 FINAL - Pontes e Lacerda 3 3 3 2 2" xfId="22601"/>
    <cellStyle name="_Table_Modelo 301108 FINAL - Pontes e Lacerda 3 3 3 2 3" xfId="24721"/>
    <cellStyle name="_Table_Modelo 301108 FINAL - Pontes e Lacerda 3 3 3 3" xfId="6804"/>
    <cellStyle name="_Table_Modelo 301108 FINAL - Pontes e Lacerda 3 3 3 3 2" xfId="22602"/>
    <cellStyle name="_Table_Modelo 301108 FINAL - Pontes e Lacerda 3 3 3 3 3" xfId="24720"/>
    <cellStyle name="_Table_Modelo 301108 FINAL - Pontes e Lacerda 3 3 3 4" xfId="22600"/>
    <cellStyle name="_Table_Modelo 301108 FINAL - Pontes e Lacerda 3 3 3 5" xfId="20326"/>
    <cellStyle name="_Table_Modelo 301108 FINAL - Pontes e Lacerda 3 3 4" xfId="20817"/>
    <cellStyle name="_Table_Modelo 301108 FINAL - Pontes e Lacerda 3 3 5" xfId="26651"/>
    <cellStyle name="_Table_Modelo 301108 FINAL - Pontes e Lacerda 3 4" xfId="4906"/>
    <cellStyle name="_Table_Modelo 301108 FINAL - Pontes e Lacerda 3 4 2" xfId="6805"/>
    <cellStyle name="_Table_Modelo 301108 FINAL - Pontes e Lacerda 3 4 2 2" xfId="6806"/>
    <cellStyle name="_Table_Modelo 301108 FINAL - Pontes e Lacerda 3 4 2 2 2" xfId="22604"/>
    <cellStyle name="_Table_Modelo 301108 FINAL - Pontes e Lacerda 3 4 2 2 3" xfId="24718"/>
    <cellStyle name="_Table_Modelo 301108 FINAL - Pontes e Lacerda 3 4 2 3" xfId="6807"/>
    <cellStyle name="_Table_Modelo 301108 FINAL - Pontes e Lacerda 3 4 2 3 2" xfId="22605"/>
    <cellStyle name="_Table_Modelo 301108 FINAL - Pontes e Lacerda 3 4 2 3 3" xfId="24717"/>
    <cellStyle name="_Table_Modelo 301108 FINAL - Pontes e Lacerda 3 4 2 4" xfId="22603"/>
    <cellStyle name="_Table_Modelo 301108 FINAL - Pontes e Lacerda 3 4 2 5" xfId="24719"/>
    <cellStyle name="_Table_Modelo 301108 FINAL - Pontes e Lacerda 3 4 3" xfId="6808"/>
    <cellStyle name="_Table_Modelo 301108 FINAL - Pontes e Lacerda 3 4 3 2" xfId="6809"/>
    <cellStyle name="_Table_Modelo 301108 FINAL - Pontes e Lacerda 3 4 3 2 2" xfId="22607"/>
    <cellStyle name="_Table_Modelo 301108 FINAL - Pontes e Lacerda 3 4 3 2 3" xfId="24715"/>
    <cellStyle name="_Table_Modelo 301108 FINAL - Pontes e Lacerda 3 4 3 3" xfId="22606"/>
    <cellStyle name="_Table_Modelo 301108 FINAL - Pontes e Lacerda 3 4 3 4" xfId="24716"/>
    <cellStyle name="_Table_Modelo 301108 FINAL - Pontes e Lacerda 3 4 4" xfId="20818"/>
    <cellStyle name="_Table_Modelo 301108 FINAL - Pontes e Lacerda 3 4 5" xfId="26650"/>
    <cellStyle name="_Table_Modelo 301108 FINAL - Pontes e Lacerda 3 5" xfId="6810"/>
    <cellStyle name="_Table_Modelo 301108 FINAL - Pontes e Lacerda 3 5 2" xfId="6811"/>
    <cellStyle name="_Table_Modelo 301108 FINAL - Pontes e Lacerda 3 5 2 2" xfId="22609"/>
    <cellStyle name="_Table_Modelo 301108 FINAL - Pontes e Lacerda 3 5 2 3" xfId="24713"/>
    <cellStyle name="_Table_Modelo 301108 FINAL - Pontes e Lacerda 3 5 3" xfId="6812"/>
    <cellStyle name="_Table_Modelo 301108 FINAL - Pontes e Lacerda 3 5 3 2" xfId="22610"/>
    <cellStyle name="_Table_Modelo 301108 FINAL - Pontes e Lacerda 3 5 3 3" xfId="24712"/>
    <cellStyle name="_Table_Modelo 301108 FINAL - Pontes e Lacerda 3 5 4" xfId="22608"/>
    <cellStyle name="_Table_Modelo 301108 FINAL - Pontes e Lacerda 3 5 5" xfId="24714"/>
    <cellStyle name="_Table_Modelo 301108 FINAL - Pontes e Lacerda 3 6" xfId="6813"/>
    <cellStyle name="_Table_Modelo 301108 FINAL - Pontes e Lacerda 3 6 2" xfId="6814"/>
    <cellStyle name="_Table_Modelo 301108 FINAL - Pontes e Lacerda 3 6 2 2" xfId="22612"/>
    <cellStyle name="_Table_Modelo 301108 FINAL - Pontes e Lacerda 3 6 2 3" xfId="24710"/>
    <cellStyle name="_Table_Modelo 301108 FINAL - Pontes e Lacerda 3 6 3" xfId="22611"/>
    <cellStyle name="_Table_Modelo 301108 FINAL - Pontes e Lacerda 3 6 4" xfId="24711"/>
    <cellStyle name="_Table_Modelo 301108 FINAL - Pontes e Lacerda 3 7" xfId="18515"/>
    <cellStyle name="_Table_Modelo 301108 FINAL - Pontes e Lacerda 3 8" xfId="30672"/>
    <cellStyle name="_Table_Modelo 301108 FINAL - Pontes e Lacerda 4" xfId="4907"/>
    <cellStyle name="_Table_Modelo 301108 FINAL - Pontes e Lacerda 4 2" xfId="4908"/>
    <cellStyle name="_Table_Modelo 301108 FINAL - Pontes e Lacerda 4 2 2" xfId="6815"/>
    <cellStyle name="_Table_Modelo 301108 FINAL - Pontes e Lacerda 4 2 2 2" xfId="6816"/>
    <cellStyle name="_Table_Modelo 301108 FINAL - Pontes e Lacerda 4 2 2 2 2" xfId="22614"/>
    <cellStyle name="_Table_Modelo 301108 FINAL - Pontes e Lacerda 4 2 2 2 3" xfId="24708"/>
    <cellStyle name="_Table_Modelo 301108 FINAL - Pontes e Lacerda 4 2 2 3" xfId="22613"/>
    <cellStyle name="_Table_Modelo 301108 FINAL - Pontes e Lacerda 4 2 2 4" xfId="24709"/>
    <cellStyle name="_Table_Modelo 301108 FINAL - Pontes e Lacerda 4 2 3" xfId="6817"/>
    <cellStyle name="_Table_Modelo 301108 FINAL - Pontes e Lacerda 4 2 3 2" xfId="6818"/>
    <cellStyle name="_Table_Modelo 301108 FINAL - Pontes e Lacerda 4 2 3 2 2" xfId="22616"/>
    <cellStyle name="_Table_Modelo 301108 FINAL - Pontes e Lacerda 4 2 3 2 3" xfId="24707"/>
    <cellStyle name="_Table_Modelo 301108 FINAL - Pontes e Lacerda 4 2 3 3" xfId="6819"/>
    <cellStyle name="_Table_Modelo 301108 FINAL - Pontes e Lacerda 4 2 3 3 2" xfId="22617"/>
    <cellStyle name="_Table_Modelo 301108 FINAL - Pontes e Lacerda 4 2 3 3 3" xfId="24706"/>
    <cellStyle name="_Table_Modelo 301108 FINAL - Pontes e Lacerda 4 2 3 4" xfId="22615"/>
    <cellStyle name="_Table_Modelo 301108 FINAL - Pontes e Lacerda 4 2 3 5" xfId="20366"/>
    <cellStyle name="_Table_Modelo 301108 FINAL - Pontes e Lacerda 4 2 4" xfId="20820"/>
    <cellStyle name="_Table_Modelo 301108 FINAL - Pontes e Lacerda 4 2 5" xfId="26648"/>
    <cellStyle name="_Table_Modelo 301108 FINAL - Pontes e Lacerda 4 3" xfId="4909"/>
    <cellStyle name="_Table_Modelo 301108 FINAL - Pontes e Lacerda 4 3 2" xfId="6820"/>
    <cellStyle name="_Table_Modelo 301108 FINAL - Pontes e Lacerda 4 3 2 2" xfId="6821"/>
    <cellStyle name="_Table_Modelo 301108 FINAL - Pontes e Lacerda 4 3 2 2 2" xfId="22619"/>
    <cellStyle name="_Table_Modelo 301108 FINAL - Pontes e Lacerda 4 3 2 2 3" xfId="24704"/>
    <cellStyle name="_Table_Modelo 301108 FINAL - Pontes e Lacerda 4 3 2 3" xfId="22618"/>
    <cellStyle name="_Table_Modelo 301108 FINAL - Pontes e Lacerda 4 3 2 4" xfId="24705"/>
    <cellStyle name="_Table_Modelo 301108 FINAL - Pontes e Lacerda 4 3 3" xfId="6822"/>
    <cellStyle name="_Table_Modelo 301108 FINAL - Pontes e Lacerda 4 3 3 2" xfId="6823"/>
    <cellStyle name="_Table_Modelo 301108 FINAL - Pontes e Lacerda 4 3 3 2 2" xfId="22621"/>
    <cellStyle name="_Table_Modelo 301108 FINAL - Pontes e Lacerda 4 3 3 2 3" xfId="24702"/>
    <cellStyle name="_Table_Modelo 301108 FINAL - Pontes e Lacerda 4 3 3 3" xfId="6824"/>
    <cellStyle name="_Table_Modelo 301108 FINAL - Pontes e Lacerda 4 3 3 3 2" xfId="22622"/>
    <cellStyle name="_Table_Modelo 301108 FINAL - Pontes e Lacerda 4 3 3 3 3" xfId="24701"/>
    <cellStyle name="_Table_Modelo 301108 FINAL - Pontes e Lacerda 4 3 3 4" xfId="22620"/>
    <cellStyle name="_Table_Modelo 301108 FINAL - Pontes e Lacerda 4 3 3 5" xfId="24703"/>
    <cellStyle name="_Table_Modelo 301108 FINAL - Pontes e Lacerda 4 3 4" xfId="20821"/>
    <cellStyle name="_Table_Modelo 301108 FINAL - Pontes e Lacerda 4 3 5" xfId="26647"/>
    <cellStyle name="_Table_Modelo 301108 FINAL - Pontes e Lacerda 4 4" xfId="4910"/>
    <cellStyle name="_Table_Modelo 301108 FINAL - Pontes e Lacerda 4 4 2" xfId="6825"/>
    <cellStyle name="_Table_Modelo 301108 FINAL - Pontes e Lacerda 4 4 2 2" xfId="6826"/>
    <cellStyle name="_Table_Modelo 301108 FINAL - Pontes e Lacerda 4 4 2 2 2" xfId="22624"/>
    <cellStyle name="_Table_Modelo 301108 FINAL - Pontes e Lacerda 4 4 2 2 3" xfId="24699"/>
    <cellStyle name="_Table_Modelo 301108 FINAL - Pontes e Lacerda 4 4 2 3" xfId="6827"/>
    <cellStyle name="_Table_Modelo 301108 FINAL - Pontes e Lacerda 4 4 2 3 2" xfId="22625"/>
    <cellStyle name="_Table_Modelo 301108 FINAL - Pontes e Lacerda 4 4 2 3 3" xfId="24698"/>
    <cellStyle name="_Table_Modelo 301108 FINAL - Pontes e Lacerda 4 4 2 4" xfId="22623"/>
    <cellStyle name="_Table_Modelo 301108 FINAL - Pontes e Lacerda 4 4 2 5" xfId="24700"/>
    <cellStyle name="_Table_Modelo 301108 FINAL - Pontes e Lacerda 4 4 3" xfId="6828"/>
    <cellStyle name="_Table_Modelo 301108 FINAL - Pontes e Lacerda 4 4 3 2" xfId="6829"/>
    <cellStyle name="_Table_Modelo 301108 FINAL - Pontes e Lacerda 4 4 3 2 2" xfId="22627"/>
    <cellStyle name="_Table_Modelo 301108 FINAL - Pontes e Lacerda 4 4 3 2 3" xfId="24696"/>
    <cellStyle name="_Table_Modelo 301108 FINAL - Pontes e Lacerda 4 4 3 3" xfId="22626"/>
    <cellStyle name="_Table_Modelo 301108 FINAL - Pontes e Lacerda 4 4 3 4" xfId="24697"/>
    <cellStyle name="_Table_Modelo 301108 FINAL - Pontes e Lacerda 4 4 4" xfId="20822"/>
    <cellStyle name="_Table_Modelo 301108 FINAL - Pontes e Lacerda 4 4 5" xfId="26646"/>
    <cellStyle name="_Table_Modelo 301108 FINAL - Pontes e Lacerda 4 5" xfId="6830"/>
    <cellStyle name="_Table_Modelo 301108 FINAL - Pontes e Lacerda 4 5 2" xfId="6831"/>
    <cellStyle name="_Table_Modelo 301108 FINAL - Pontes e Lacerda 4 5 2 2" xfId="22629"/>
    <cellStyle name="_Table_Modelo 301108 FINAL - Pontes e Lacerda 4 5 2 3" xfId="24694"/>
    <cellStyle name="_Table_Modelo 301108 FINAL - Pontes e Lacerda 4 5 3" xfId="6832"/>
    <cellStyle name="_Table_Modelo 301108 FINAL - Pontes e Lacerda 4 5 3 2" xfId="22630"/>
    <cellStyle name="_Table_Modelo 301108 FINAL - Pontes e Lacerda 4 5 3 3" xfId="24693"/>
    <cellStyle name="_Table_Modelo 301108 FINAL - Pontes e Lacerda 4 5 4" xfId="22628"/>
    <cellStyle name="_Table_Modelo 301108 FINAL - Pontes e Lacerda 4 5 5" xfId="24695"/>
    <cellStyle name="_Table_Modelo 301108 FINAL - Pontes e Lacerda 4 6" xfId="6833"/>
    <cellStyle name="_Table_Modelo 301108 FINAL - Pontes e Lacerda 4 6 2" xfId="6834"/>
    <cellStyle name="_Table_Modelo 301108 FINAL - Pontes e Lacerda 4 6 2 2" xfId="22632"/>
    <cellStyle name="_Table_Modelo 301108 FINAL - Pontes e Lacerda 4 6 2 3" xfId="24691"/>
    <cellStyle name="_Table_Modelo 301108 FINAL - Pontes e Lacerda 4 6 3" xfId="22631"/>
    <cellStyle name="_Table_Modelo 301108 FINAL - Pontes e Lacerda 4 6 4" xfId="24692"/>
    <cellStyle name="_Table_Modelo 301108 FINAL - Pontes e Lacerda 4 7" xfId="20819"/>
    <cellStyle name="_Table_Modelo 301108 FINAL - Pontes e Lacerda 4 8" xfId="26649"/>
    <cellStyle name="_Table_Modelo 301108 FINAL - Pontes e Lacerda 5" xfId="4911"/>
    <cellStyle name="_Table_Modelo 301108 FINAL - Pontes e Lacerda 5 2" xfId="6835"/>
    <cellStyle name="_Table_Modelo 301108 FINAL - Pontes e Lacerda 5 2 2" xfId="6836"/>
    <cellStyle name="_Table_Modelo 301108 FINAL - Pontes e Lacerda 5 2 2 2" xfId="22634"/>
    <cellStyle name="_Table_Modelo 301108 FINAL - Pontes e Lacerda 5 2 2 3" xfId="24689"/>
    <cellStyle name="_Table_Modelo 301108 FINAL - Pontes e Lacerda 5 2 3" xfId="22633"/>
    <cellStyle name="_Table_Modelo 301108 FINAL - Pontes e Lacerda 5 2 4" xfId="24690"/>
    <cellStyle name="_Table_Modelo 301108 FINAL - Pontes e Lacerda 5 3" xfId="6837"/>
    <cellStyle name="_Table_Modelo 301108 FINAL - Pontes e Lacerda 5 3 2" xfId="6838"/>
    <cellStyle name="_Table_Modelo 301108 FINAL - Pontes e Lacerda 5 3 2 2" xfId="22636"/>
    <cellStyle name="_Table_Modelo 301108 FINAL - Pontes e Lacerda 5 3 2 3" xfId="24688"/>
    <cellStyle name="_Table_Modelo 301108 FINAL - Pontes e Lacerda 5 3 3" xfId="6839"/>
    <cellStyle name="_Table_Modelo 301108 FINAL - Pontes e Lacerda 5 3 3 2" xfId="22637"/>
    <cellStyle name="_Table_Modelo 301108 FINAL - Pontes e Lacerda 5 3 3 3" xfId="24687"/>
    <cellStyle name="_Table_Modelo 301108 FINAL - Pontes e Lacerda 5 3 4" xfId="22635"/>
    <cellStyle name="_Table_Modelo 301108 FINAL - Pontes e Lacerda 5 3 5" xfId="21014"/>
    <cellStyle name="_Table_Modelo 301108 FINAL - Pontes e Lacerda 5 4" xfId="20823"/>
    <cellStyle name="_Table_Modelo 301108 FINAL - Pontes e Lacerda 5 5" xfId="26645"/>
    <cellStyle name="_Table_Modelo 301108 FINAL - Pontes e Lacerda 6" xfId="4912"/>
    <cellStyle name="_Table_Modelo 301108 FINAL - Pontes e Lacerda 6 2" xfId="6840"/>
    <cellStyle name="_Table_Modelo 301108 FINAL - Pontes e Lacerda 6 2 2" xfId="6841"/>
    <cellStyle name="_Table_Modelo 301108 FINAL - Pontes e Lacerda 6 2 2 2" xfId="22639"/>
    <cellStyle name="_Table_Modelo 301108 FINAL - Pontes e Lacerda 6 2 2 3" xfId="24685"/>
    <cellStyle name="_Table_Modelo 301108 FINAL - Pontes e Lacerda 6 2 3" xfId="6842"/>
    <cellStyle name="_Table_Modelo 301108 FINAL - Pontes e Lacerda 6 2 3 2" xfId="22640"/>
    <cellStyle name="_Table_Modelo 301108 FINAL - Pontes e Lacerda 6 2 3 3" xfId="24684"/>
    <cellStyle name="_Table_Modelo 301108 FINAL - Pontes e Lacerda 6 2 4" xfId="22638"/>
    <cellStyle name="_Table_Modelo 301108 FINAL - Pontes e Lacerda 6 2 5" xfId="24686"/>
    <cellStyle name="_Table_Modelo 301108 FINAL - Pontes e Lacerda 6 3" xfId="6843"/>
    <cellStyle name="_Table_Modelo 301108 FINAL - Pontes e Lacerda 6 3 2" xfId="6844"/>
    <cellStyle name="_Table_Modelo 301108 FINAL - Pontes e Lacerda 6 3 2 2" xfId="22642"/>
    <cellStyle name="_Table_Modelo 301108 FINAL - Pontes e Lacerda 6 3 2 3" xfId="24682"/>
    <cellStyle name="_Table_Modelo 301108 FINAL - Pontes e Lacerda 6 3 3" xfId="22641"/>
    <cellStyle name="_Table_Modelo 301108 FINAL - Pontes e Lacerda 6 3 4" xfId="24683"/>
    <cellStyle name="_Table_Modelo 301108 FINAL - Pontes e Lacerda 6 4" xfId="20824"/>
    <cellStyle name="_Table_Modelo 301108 FINAL - Pontes e Lacerda 6 5" xfId="26644"/>
    <cellStyle name="_Table_Modelo 301108 FINAL - Pontes e Lacerda 7" xfId="6845"/>
    <cellStyle name="_Table_Modelo 301108 FINAL - Pontes e Lacerda 7 2" xfId="6846"/>
    <cellStyle name="_Table_Modelo 301108 FINAL - Pontes e Lacerda 7 2 2" xfId="22644"/>
    <cellStyle name="_Table_Modelo 301108 FINAL - Pontes e Lacerda 7 2 3" xfId="24680"/>
    <cellStyle name="_Table_Modelo 301108 FINAL - Pontes e Lacerda 7 3" xfId="6847"/>
    <cellStyle name="_Table_Modelo 301108 FINAL - Pontes e Lacerda 7 3 2" xfId="22645"/>
    <cellStyle name="_Table_Modelo 301108 FINAL - Pontes e Lacerda 7 3 3" xfId="24679"/>
    <cellStyle name="_Table_Modelo 301108 FINAL - Pontes e Lacerda 7 4" xfId="22643"/>
    <cellStyle name="_Table_Modelo 301108 FINAL - Pontes e Lacerda 7 5" xfId="24681"/>
    <cellStyle name="_Table_Modelo 301108 FINAL - Pontes e Lacerda 8" xfId="6848"/>
    <cellStyle name="_Table_Modelo 301108 FINAL - Pontes e Lacerda 8 2" xfId="6849"/>
    <cellStyle name="_Table_Modelo 301108 FINAL - Pontes e Lacerda 8 2 2" xfId="22647"/>
    <cellStyle name="_Table_Modelo 301108 FINAL - Pontes e Lacerda 8 2 3" xfId="24677"/>
    <cellStyle name="_Table_Modelo 301108 FINAL - Pontes e Lacerda 8 3" xfId="22646"/>
    <cellStyle name="_Table_Modelo 301108 FINAL - Pontes e Lacerda 8 4" xfId="24678"/>
    <cellStyle name="_Table_Modelo 301108 FINAL - Pontes e Lacerda 9" xfId="18513"/>
    <cellStyle name="_Table_Modelo_Mairinque_v2.2" xfId="827"/>
    <cellStyle name="_Table_Modelo_Mairinque_v2.2 10" xfId="30671"/>
    <cellStyle name="_Table_Modelo_Mairinque_v2.2 2" xfId="828"/>
    <cellStyle name="_Table_Modelo_Mairinque_v2.2 2 2" xfId="4913"/>
    <cellStyle name="_Table_Modelo_Mairinque_v2.2 2 2 2" xfId="4914"/>
    <cellStyle name="_Table_Modelo_Mairinque_v2.2 2 2 2 2" xfId="6850"/>
    <cellStyle name="_Table_Modelo_Mairinque_v2.2 2 2 2 2 2" xfId="6851"/>
    <cellStyle name="_Table_Modelo_Mairinque_v2.2 2 2 2 2 2 2" xfId="22649"/>
    <cellStyle name="_Table_Modelo_Mairinque_v2.2 2 2 2 2 2 3" xfId="24675"/>
    <cellStyle name="_Table_Modelo_Mairinque_v2.2 2 2 2 2 3" xfId="22648"/>
    <cellStyle name="_Table_Modelo_Mairinque_v2.2 2 2 2 2 4" xfId="24676"/>
    <cellStyle name="_Table_Modelo_Mairinque_v2.2 2 2 2 3" xfId="6852"/>
    <cellStyle name="_Table_Modelo_Mairinque_v2.2 2 2 2 3 2" xfId="6853"/>
    <cellStyle name="_Table_Modelo_Mairinque_v2.2 2 2 2 3 2 2" xfId="22651"/>
    <cellStyle name="_Table_Modelo_Mairinque_v2.2 2 2 2 3 2 3" xfId="24674"/>
    <cellStyle name="_Table_Modelo_Mairinque_v2.2 2 2 2 3 3" xfId="6854"/>
    <cellStyle name="_Table_Modelo_Mairinque_v2.2 2 2 2 3 3 2" xfId="22652"/>
    <cellStyle name="_Table_Modelo_Mairinque_v2.2 2 2 2 3 3 3" xfId="24673"/>
    <cellStyle name="_Table_Modelo_Mairinque_v2.2 2 2 2 3 4" xfId="22650"/>
    <cellStyle name="_Table_Modelo_Mairinque_v2.2 2 2 2 3 5" xfId="20109"/>
    <cellStyle name="_Table_Modelo_Mairinque_v2.2 2 2 2 4" xfId="20826"/>
    <cellStyle name="_Table_Modelo_Mairinque_v2.2 2 2 2 5" xfId="26642"/>
    <cellStyle name="_Table_Modelo_Mairinque_v2.2 2 2 3" xfId="4915"/>
    <cellStyle name="_Table_Modelo_Mairinque_v2.2 2 2 3 2" xfId="6855"/>
    <cellStyle name="_Table_Modelo_Mairinque_v2.2 2 2 3 2 2" xfId="6856"/>
    <cellStyle name="_Table_Modelo_Mairinque_v2.2 2 2 3 2 2 2" xfId="22654"/>
    <cellStyle name="_Table_Modelo_Mairinque_v2.2 2 2 3 2 2 3" xfId="24671"/>
    <cellStyle name="_Table_Modelo_Mairinque_v2.2 2 2 3 2 3" xfId="22653"/>
    <cellStyle name="_Table_Modelo_Mairinque_v2.2 2 2 3 2 4" xfId="24672"/>
    <cellStyle name="_Table_Modelo_Mairinque_v2.2 2 2 3 3" xfId="6857"/>
    <cellStyle name="_Table_Modelo_Mairinque_v2.2 2 2 3 3 2" xfId="6858"/>
    <cellStyle name="_Table_Modelo_Mairinque_v2.2 2 2 3 3 2 2" xfId="22656"/>
    <cellStyle name="_Table_Modelo_Mairinque_v2.2 2 2 3 3 2 3" xfId="24669"/>
    <cellStyle name="_Table_Modelo_Mairinque_v2.2 2 2 3 3 3" xfId="6859"/>
    <cellStyle name="_Table_Modelo_Mairinque_v2.2 2 2 3 3 3 2" xfId="22657"/>
    <cellStyle name="_Table_Modelo_Mairinque_v2.2 2 2 3 3 3 3" xfId="24668"/>
    <cellStyle name="_Table_Modelo_Mairinque_v2.2 2 2 3 3 4" xfId="22655"/>
    <cellStyle name="_Table_Modelo_Mairinque_v2.2 2 2 3 3 5" xfId="24670"/>
    <cellStyle name="_Table_Modelo_Mairinque_v2.2 2 2 3 4" xfId="20827"/>
    <cellStyle name="_Table_Modelo_Mairinque_v2.2 2 2 3 5" xfId="26641"/>
    <cellStyle name="_Table_Modelo_Mairinque_v2.2 2 2 4" xfId="4916"/>
    <cellStyle name="_Table_Modelo_Mairinque_v2.2 2 2 4 2" xfId="6860"/>
    <cellStyle name="_Table_Modelo_Mairinque_v2.2 2 2 4 2 2" xfId="6861"/>
    <cellStyle name="_Table_Modelo_Mairinque_v2.2 2 2 4 2 2 2" xfId="22659"/>
    <cellStyle name="_Table_Modelo_Mairinque_v2.2 2 2 4 2 2 3" xfId="24666"/>
    <cellStyle name="_Table_Modelo_Mairinque_v2.2 2 2 4 2 3" xfId="6862"/>
    <cellStyle name="_Table_Modelo_Mairinque_v2.2 2 2 4 2 3 2" xfId="22660"/>
    <cellStyle name="_Table_Modelo_Mairinque_v2.2 2 2 4 2 3 3" xfId="24665"/>
    <cellStyle name="_Table_Modelo_Mairinque_v2.2 2 2 4 2 4" xfId="22658"/>
    <cellStyle name="_Table_Modelo_Mairinque_v2.2 2 2 4 2 5" xfId="24667"/>
    <cellStyle name="_Table_Modelo_Mairinque_v2.2 2 2 4 3" xfId="6863"/>
    <cellStyle name="_Table_Modelo_Mairinque_v2.2 2 2 4 3 2" xfId="6864"/>
    <cellStyle name="_Table_Modelo_Mairinque_v2.2 2 2 4 3 2 2" xfId="22662"/>
    <cellStyle name="_Table_Modelo_Mairinque_v2.2 2 2 4 3 2 3" xfId="24663"/>
    <cellStyle name="_Table_Modelo_Mairinque_v2.2 2 2 4 3 3" xfId="22661"/>
    <cellStyle name="_Table_Modelo_Mairinque_v2.2 2 2 4 3 4" xfId="24664"/>
    <cellStyle name="_Table_Modelo_Mairinque_v2.2 2 2 4 4" xfId="20828"/>
    <cellStyle name="_Table_Modelo_Mairinque_v2.2 2 2 4 5" xfId="26640"/>
    <cellStyle name="_Table_Modelo_Mairinque_v2.2 2 2 5" xfId="6865"/>
    <cellStyle name="_Table_Modelo_Mairinque_v2.2 2 2 5 2" xfId="6866"/>
    <cellStyle name="_Table_Modelo_Mairinque_v2.2 2 2 5 2 2" xfId="22664"/>
    <cellStyle name="_Table_Modelo_Mairinque_v2.2 2 2 5 2 3" xfId="24661"/>
    <cellStyle name="_Table_Modelo_Mairinque_v2.2 2 2 5 3" xfId="6867"/>
    <cellStyle name="_Table_Modelo_Mairinque_v2.2 2 2 5 3 2" xfId="22665"/>
    <cellStyle name="_Table_Modelo_Mairinque_v2.2 2 2 5 3 3" xfId="20535"/>
    <cellStyle name="_Table_Modelo_Mairinque_v2.2 2 2 5 4" xfId="22663"/>
    <cellStyle name="_Table_Modelo_Mairinque_v2.2 2 2 5 5" xfId="24662"/>
    <cellStyle name="_Table_Modelo_Mairinque_v2.2 2 2 6" xfId="6868"/>
    <cellStyle name="_Table_Modelo_Mairinque_v2.2 2 2 6 2" xfId="6869"/>
    <cellStyle name="_Table_Modelo_Mairinque_v2.2 2 2 6 2 2" xfId="22667"/>
    <cellStyle name="_Table_Modelo_Mairinque_v2.2 2 2 6 2 3" xfId="24660"/>
    <cellStyle name="_Table_Modelo_Mairinque_v2.2 2 2 6 3" xfId="22666"/>
    <cellStyle name="_Table_Modelo_Mairinque_v2.2 2 2 6 4" xfId="19273"/>
    <cellStyle name="_Table_Modelo_Mairinque_v2.2 2 2 7" xfId="20825"/>
    <cellStyle name="_Table_Modelo_Mairinque_v2.2 2 2 8" xfId="26643"/>
    <cellStyle name="_Table_Modelo_Mairinque_v2.2 2 3" xfId="4917"/>
    <cellStyle name="_Table_Modelo_Mairinque_v2.2 2 3 2" xfId="6870"/>
    <cellStyle name="_Table_Modelo_Mairinque_v2.2 2 3 2 2" xfId="6871"/>
    <cellStyle name="_Table_Modelo_Mairinque_v2.2 2 3 2 2 2" xfId="22669"/>
    <cellStyle name="_Table_Modelo_Mairinque_v2.2 2 3 2 2 3" xfId="24658"/>
    <cellStyle name="_Table_Modelo_Mairinque_v2.2 2 3 2 3" xfId="22668"/>
    <cellStyle name="_Table_Modelo_Mairinque_v2.2 2 3 2 4" xfId="24659"/>
    <cellStyle name="_Table_Modelo_Mairinque_v2.2 2 3 3" xfId="6872"/>
    <cellStyle name="_Table_Modelo_Mairinque_v2.2 2 3 3 2" xfId="6873"/>
    <cellStyle name="_Table_Modelo_Mairinque_v2.2 2 3 3 2 2" xfId="22671"/>
    <cellStyle name="_Table_Modelo_Mairinque_v2.2 2 3 3 2 3" xfId="24656"/>
    <cellStyle name="_Table_Modelo_Mairinque_v2.2 2 3 3 3" xfId="6874"/>
    <cellStyle name="_Table_Modelo_Mairinque_v2.2 2 3 3 3 2" xfId="22672"/>
    <cellStyle name="_Table_Modelo_Mairinque_v2.2 2 3 3 3 3" xfId="24655"/>
    <cellStyle name="_Table_Modelo_Mairinque_v2.2 2 3 3 4" xfId="22670"/>
    <cellStyle name="_Table_Modelo_Mairinque_v2.2 2 3 3 5" xfId="24657"/>
    <cellStyle name="_Table_Modelo_Mairinque_v2.2 2 3 4" xfId="20829"/>
    <cellStyle name="_Table_Modelo_Mairinque_v2.2 2 3 5" xfId="26639"/>
    <cellStyle name="_Table_Modelo_Mairinque_v2.2 2 4" xfId="4918"/>
    <cellStyle name="_Table_Modelo_Mairinque_v2.2 2 4 2" xfId="6875"/>
    <cellStyle name="_Table_Modelo_Mairinque_v2.2 2 4 2 2" xfId="6876"/>
    <cellStyle name="_Table_Modelo_Mairinque_v2.2 2 4 2 2 2" xfId="22674"/>
    <cellStyle name="_Table_Modelo_Mairinque_v2.2 2 4 2 2 3" xfId="24653"/>
    <cellStyle name="_Table_Modelo_Mairinque_v2.2 2 4 2 3" xfId="6877"/>
    <cellStyle name="_Table_Modelo_Mairinque_v2.2 2 4 2 3 2" xfId="22675"/>
    <cellStyle name="_Table_Modelo_Mairinque_v2.2 2 4 2 3 3" xfId="24652"/>
    <cellStyle name="_Table_Modelo_Mairinque_v2.2 2 4 2 4" xfId="22673"/>
    <cellStyle name="_Table_Modelo_Mairinque_v2.2 2 4 2 5" xfId="24654"/>
    <cellStyle name="_Table_Modelo_Mairinque_v2.2 2 4 3" xfId="6878"/>
    <cellStyle name="_Table_Modelo_Mairinque_v2.2 2 4 3 2" xfId="6879"/>
    <cellStyle name="_Table_Modelo_Mairinque_v2.2 2 4 3 2 2" xfId="22677"/>
    <cellStyle name="_Table_Modelo_Mairinque_v2.2 2 4 3 2 3" xfId="24650"/>
    <cellStyle name="_Table_Modelo_Mairinque_v2.2 2 4 3 3" xfId="22676"/>
    <cellStyle name="_Table_Modelo_Mairinque_v2.2 2 4 3 4" xfId="24651"/>
    <cellStyle name="_Table_Modelo_Mairinque_v2.2 2 4 4" xfId="20830"/>
    <cellStyle name="_Table_Modelo_Mairinque_v2.2 2 4 5" xfId="26638"/>
    <cellStyle name="_Table_Modelo_Mairinque_v2.2 2 5" xfId="6880"/>
    <cellStyle name="_Table_Modelo_Mairinque_v2.2 2 5 2" xfId="6881"/>
    <cellStyle name="_Table_Modelo_Mairinque_v2.2 2 5 2 2" xfId="22679"/>
    <cellStyle name="_Table_Modelo_Mairinque_v2.2 2 5 2 3" xfId="24648"/>
    <cellStyle name="_Table_Modelo_Mairinque_v2.2 2 5 3" xfId="6882"/>
    <cellStyle name="_Table_Modelo_Mairinque_v2.2 2 5 3 2" xfId="22680"/>
    <cellStyle name="_Table_Modelo_Mairinque_v2.2 2 5 3 3" xfId="24647"/>
    <cellStyle name="_Table_Modelo_Mairinque_v2.2 2 5 4" xfId="22678"/>
    <cellStyle name="_Table_Modelo_Mairinque_v2.2 2 5 5" xfId="24649"/>
    <cellStyle name="_Table_Modelo_Mairinque_v2.2 2 6" xfId="6883"/>
    <cellStyle name="_Table_Modelo_Mairinque_v2.2 2 6 2" xfId="6884"/>
    <cellStyle name="_Table_Modelo_Mairinque_v2.2 2 6 2 2" xfId="22682"/>
    <cellStyle name="_Table_Modelo_Mairinque_v2.2 2 6 2 3" xfId="24645"/>
    <cellStyle name="_Table_Modelo_Mairinque_v2.2 2 6 3" xfId="22681"/>
    <cellStyle name="_Table_Modelo_Mairinque_v2.2 2 6 4" xfId="24646"/>
    <cellStyle name="_Table_Modelo_Mairinque_v2.2 2 7" xfId="18517"/>
    <cellStyle name="_Table_Modelo_Mairinque_v2.2 2 8" xfId="30670"/>
    <cellStyle name="_Table_Modelo_Mairinque_v2.2 3" xfId="829"/>
    <cellStyle name="_Table_Modelo_Mairinque_v2.2 3 2" xfId="4919"/>
    <cellStyle name="_Table_Modelo_Mairinque_v2.2 3 2 2" xfId="4920"/>
    <cellStyle name="_Table_Modelo_Mairinque_v2.2 3 2 2 2" xfId="6885"/>
    <cellStyle name="_Table_Modelo_Mairinque_v2.2 3 2 2 2 2" xfId="6886"/>
    <cellStyle name="_Table_Modelo_Mairinque_v2.2 3 2 2 2 2 2" xfId="22684"/>
    <cellStyle name="_Table_Modelo_Mairinque_v2.2 3 2 2 2 2 3" xfId="24643"/>
    <cellStyle name="_Table_Modelo_Mairinque_v2.2 3 2 2 2 3" xfId="22683"/>
    <cellStyle name="_Table_Modelo_Mairinque_v2.2 3 2 2 2 4" xfId="24644"/>
    <cellStyle name="_Table_Modelo_Mairinque_v2.2 3 2 2 3" xfId="6887"/>
    <cellStyle name="_Table_Modelo_Mairinque_v2.2 3 2 2 3 2" xfId="6888"/>
    <cellStyle name="_Table_Modelo_Mairinque_v2.2 3 2 2 3 2 2" xfId="22686"/>
    <cellStyle name="_Table_Modelo_Mairinque_v2.2 3 2 2 3 2 3" xfId="21013"/>
    <cellStyle name="_Table_Modelo_Mairinque_v2.2 3 2 2 3 3" xfId="6889"/>
    <cellStyle name="_Table_Modelo_Mairinque_v2.2 3 2 2 3 3 2" xfId="22687"/>
    <cellStyle name="_Table_Modelo_Mairinque_v2.2 3 2 2 3 3 3" xfId="24641"/>
    <cellStyle name="_Table_Modelo_Mairinque_v2.2 3 2 2 3 4" xfId="22685"/>
    <cellStyle name="_Table_Modelo_Mairinque_v2.2 3 2 2 3 5" xfId="24642"/>
    <cellStyle name="_Table_Modelo_Mairinque_v2.2 3 2 2 4" xfId="20832"/>
    <cellStyle name="_Table_Modelo_Mairinque_v2.2 3 2 2 5" xfId="26637"/>
    <cellStyle name="_Table_Modelo_Mairinque_v2.2 3 2 3" xfId="4921"/>
    <cellStyle name="_Table_Modelo_Mairinque_v2.2 3 2 3 2" xfId="6890"/>
    <cellStyle name="_Table_Modelo_Mairinque_v2.2 3 2 3 2 2" xfId="6891"/>
    <cellStyle name="_Table_Modelo_Mairinque_v2.2 3 2 3 2 2 2" xfId="22689"/>
    <cellStyle name="_Table_Modelo_Mairinque_v2.2 3 2 3 2 2 3" xfId="24639"/>
    <cellStyle name="_Table_Modelo_Mairinque_v2.2 3 2 3 2 3" xfId="22688"/>
    <cellStyle name="_Table_Modelo_Mairinque_v2.2 3 2 3 2 4" xfId="24640"/>
    <cellStyle name="_Table_Modelo_Mairinque_v2.2 3 2 3 3" xfId="6892"/>
    <cellStyle name="_Table_Modelo_Mairinque_v2.2 3 2 3 3 2" xfId="6893"/>
    <cellStyle name="_Table_Modelo_Mairinque_v2.2 3 2 3 3 2 2" xfId="22691"/>
    <cellStyle name="_Table_Modelo_Mairinque_v2.2 3 2 3 3 2 3" xfId="24637"/>
    <cellStyle name="_Table_Modelo_Mairinque_v2.2 3 2 3 3 3" xfId="6894"/>
    <cellStyle name="_Table_Modelo_Mairinque_v2.2 3 2 3 3 3 2" xfId="22692"/>
    <cellStyle name="_Table_Modelo_Mairinque_v2.2 3 2 3 3 3 3" xfId="24636"/>
    <cellStyle name="_Table_Modelo_Mairinque_v2.2 3 2 3 3 4" xfId="22690"/>
    <cellStyle name="_Table_Modelo_Mairinque_v2.2 3 2 3 3 5" xfId="24638"/>
    <cellStyle name="_Table_Modelo_Mairinque_v2.2 3 2 3 4" xfId="20833"/>
    <cellStyle name="_Table_Modelo_Mairinque_v2.2 3 2 3 5" xfId="26636"/>
    <cellStyle name="_Table_Modelo_Mairinque_v2.2 3 2 4" xfId="4922"/>
    <cellStyle name="_Table_Modelo_Mairinque_v2.2 3 2 4 2" xfId="6895"/>
    <cellStyle name="_Table_Modelo_Mairinque_v2.2 3 2 4 2 2" xfId="6896"/>
    <cellStyle name="_Table_Modelo_Mairinque_v2.2 3 2 4 2 2 2" xfId="22694"/>
    <cellStyle name="_Table_Modelo_Mairinque_v2.2 3 2 4 2 2 3" xfId="24634"/>
    <cellStyle name="_Table_Modelo_Mairinque_v2.2 3 2 4 2 3" xfId="6897"/>
    <cellStyle name="_Table_Modelo_Mairinque_v2.2 3 2 4 2 3 2" xfId="22695"/>
    <cellStyle name="_Table_Modelo_Mairinque_v2.2 3 2 4 2 3 3" xfId="24633"/>
    <cellStyle name="_Table_Modelo_Mairinque_v2.2 3 2 4 2 4" xfId="22693"/>
    <cellStyle name="_Table_Modelo_Mairinque_v2.2 3 2 4 2 5" xfId="24635"/>
    <cellStyle name="_Table_Modelo_Mairinque_v2.2 3 2 4 3" xfId="6898"/>
    <cellStyle name="_Table_Modelo_Mairinque_v2.2 3 2 4 3 2" xfId="6899"/>
    <cellStyle name="_Table_Modelo_Mairinque_v2.2 3 2 4 3 2 2" xfId="22697"/>
    <cellStyle name="_Table_Modelo_Mairinque_v2.2 3 2 4 3 2 3" xfId="24631"/>
    <cellStyle name="_Table_Modelo_Mairinque_v2.2 3 2 4 3 3" xfId="22696"/>
    <cellStyle name="_Table_Modelo_Mairinque_v2.2 3 2 4 3 4" xfId="24632"/>
    <cellStyle name="_Table_Modelo_Mairinque_v2.2 3 2 4 4" xfId="20834"/>
    <cellStyle name="_Table_Modelo_Mairinque_v2.2 3 2 4 5" xfId="26635"/>
    <cellStyle name="_Table_Modelo_Mairinque_v2.2 3 2 5" xfId="6900"/>
    <cellStyle name="_Table_Modelo_Mairinque_v2.2 3 2 5 2" xfId="6901"/>
    <cellStyle name="_Table_Modelo_Mairinque_v2.2 3 2 5 2 2" xfId="22699"/>
    <cellStyle name="_Table_Modelo_Mairinque_v2.2 3 2 5 2 3" xfId="24629"/>
    <cellStyle name="_Table_Modelo_Mairinque_v2.2 3 2 5 3" xfId="6902"/>
    <cellStyle name="_Table_Modelo_Mairinque_v2.2 3 2 5 3 2" xfId="22700"/>
    <cellStyle name="_Table_Modelo_Mairinque_v2.2 3 2 5 3 3" xfId="24628"/>
    <cellStyle name="_Table_Modelo_Mairinque_v2.2 3 2 5 4" xfId="22698"/>
    <cellStyle name="_Table_Modelo_Mairinque_v2.2 3 2 5 5" xfId="24630"/>
    <cellStyle name="_Table_Modelo_Mairinque_v2.2 3 2 6" xfId="6903"/>
    <cellStyle name="_Table_Modelo_Mairinque_v2.2 3 2 6 2" xfId="6904"/>
    <cellStyle name="_Table_Modelo_Mairinque_v2.2 3 2 6 2 2" xfId="22702"/>
    <cellStyle name="_Table_Modelo_Mairinque_v2.2 3 2 6 2 3" xfId="24627"/>
    <cellStyle name="_Table_Modelo_Mairinque_v2.2 3 2 6 3" xfId="22701"/>
    <cellStyle name="_Table_Modelo_Mairinque_v2.2 3 2 6 4" xfId="20327"/>
    <cellStyle name="_Table_Modelo_Mairinque_v2.2 3 2 7" xfId="20831"/>
    <cellStyle name="_Table_Modelo_Mairinque_v2.2 3 2 8" xfId="20439"/>
    <cellStyle name="_Table_Modelo_Mairinque_v2.2 3 3" xfId="4923"/>
    <cellStyle name="_Table_Modelo_Mairinque_v2.2 3 3 2" xfId="6905"/>
    <cellStyle name="_Table_Modelo_Mairinque_v2.2 3 3 2 2" xfId="6906"/>
    <cellStyle name="_Table_Modelo_Mairinque_v2.2 3 3 2 2 2" xfId="22704"/>
    <cellStyle name="_Table_Modelo_Mairinque_v2.2 3 3 2 2 3" xfId="24625"/>
    <cellStyle name="_Table_Modelo_Mairinque_v2.2 3 3 2 3" xfId="22703"/>
    <cellStyle name="_Table_Modelo_Mairinque_v2.2 3 3 2 4" xfId="24626"/>
    <cellStyle name="_Table_Modelo_Mairinque_v2.2 3 3 3" xfId="6907"/>
    <cellStyle name="_Table_Modelo_Mairinque_v2.2 3 3 3 2" xfId="6908"/>
    <cellStyle name="_Table_Modelo_Mairinque_v2.2 3 3 3 2 2" xfId="22706"/>
    <cellStyle name="_Table_Modelo_Mairinque_v2.2 3 3 3 2 3" xfId="24623"/>
    <cellStyle name="_Table_Modelo_Mairinque_v2.2 3 3 3 3" xfId="6909"/>
    <cellStyle name="_Table_Modelo_Mairinque_v2.2 3 3 3 3 2" xfId="22707"/>
    <cellStyle name="_Table_Modelo_Mairinque_v2.2 3 3 3 3 3" xfId="24622"/>
    <cellStyle name="_Table_Modelo_Mairinque_v2.2 3 3 3 4" xfId="22705"/>
    <cellStyle name="_Table_Modelo_Mairinque_v2.2 3 3 3 5" xfId="24624"/>
    <cellStyle name="_Table_Modelo_Mairinque_v2.2 3 3 4" xfId="20835"/>
    <cellStyle name="_Table_Modelo_Mairinque_v2.2 3 3 5" xfId="26634"/>
    <cellStyle name="_Table_Modelo_Mairinque_v2.2 3 4" xfId="4924"/>
    <cellStyle name="_Table_Modelo_Mairinque_v2.2 3 4 2" xfId="6910"/>
    <cellStyle name="_Table_Modelo_Mairinque_v2.2 3 4 2 2" xfId="6911"/>
    <cellStyle name="_Table_Modelo_Mairinque_v2.2 3 4 2 2 2" xfId="22709"/>
    <cellStyle name="_Table_Modelo_Mairinque_v2.2 3 4 2 2 3" xfId="24620"/>
    <cellStyle name="_Table_Modelo_Mairinque_v2.2 3 4 2 3" xfId="6912"/>
    <cellStyle name="_Table_Modelo_Mairinque_v2.2 3 4 2 3 2" xfId="22710"/>
    <cellStyle name="_Table_Modelo_Mairinque_v2.2 3 4 2 3 3" xfId="24619"/>
    <cellStyle name="_Table_Modelo_Mairinque_v2.2 3 4 2 4" xfId="22708"/>
    <cellStyle name="_Table_Modelo_Mairinque_v2.2 3 4 2 5" xfId="24621"/>
    <cellStyle name="_Table_Modelo_Mairinque_v2.2 3 4 3" xfId="6913"/>
    <cellStyle name="_Table_Modelo_Mairinque_v2.2 3 4 3 2" xfId="6914"/>
    <cellStyle name="_Table_Modelo_Mairinque_v2.2 3 4 3 2 2" xfId="22712"/>
    <cellStyle name="_Table_Modelo_Mairinque_v2.2 3 4 3 2 3" xfId="24617"/>
    <cellStyle name="_Table_Modelo_Mairinque_v2.2 3 4 3 3" xfId="22711"/>
    <cellStyle name="_Table_Modelo_Mairinque_v2.2 3 4 3 4" xfId="24618"/>
    <cellStyle name="_Table_Modelo_Mairinque_v2.2 3 4 4" xfId="20836"/>
    <cellStyle name="_Table_Modelo_Mairinque_v2.2 3 4 5" xfId="26633"/>
    <cellStyle name="_Table_Modelo_Mairinque_v2.2 3 5" xfId="6915"/>
    <cellStyle name="_Table_Modelo_Mairinque_v2.2 3 5 2" xfId="6916"/>
    <cellStyle name="_Table_Modelo_Mairinque_v2.2 3 5 2 2" xfId="22714"/>
    <cellStyle name="_Table_Modelo_Mairinque_v2.2 3 5 2 3" xfId="24615"/>
    <cellStyle name="_Table_Modelo_Mairinque_v2.2 3 5 3" xfId="6917"/>
    <cellStyle name="_Table_Modelo_Mairinque_v2.2 3 5 3 2" xfId="22715"/>
    <cellStyle name="_Table_Modelo_Mairinque_v2.2 3 5 3 3" xfId="24614"/>
    <cellStyle name="_Table_Modelo_Mairinque_v2.2 3 5 4" xfId="22713"/>
    <cellStyle name="_Table_Modelo_Mairinque_v2.2 3 5 5" xfId="24616"/>
    <cellStyle name="_Table_Modelo_Mairinque_v2.2 3 6" xfId="6918"/>
    <cellStyle name="_Table_Modelo_Mairinque_v2.2 3 6 2" xfId="6919"/>
    <cellStyle name="_Table_Modelo_Mairinque_v2.2 3 6 2 2" xfId="22717"/>
    <cellStyle name="_Table_Modelo_Mairinque_v2.2 3 6 2 3" xfId="19272"/>
    <cellStyle name="_Table_Modelo_Mairinque_v2.2 3 6 3" xfId="22716"/>
    <cellStyle name="_Table_Modelo_Mairinque_v2.2 3 6 4" xfId="20537"/>
    <cellStyle name="_Table_Modelo_Mairinque_v2.2 3 7" xfId="18518"/>
    <cellStyle name="_Table_Modelo_Mairinque_v2.2 3 8" xfId="30669"/>
    <cellStyle name="_Table_Modelo_Mairinque_v2.2 4" xfId="4925"/>
    <cellStyle name="_Table_Modelo_Mairinque_v2.2 4 2" xfId="4926"/>
    <cellStyle name="_Table_Modelo_Mairinque_v2.2 4 2 2" xfId="6920"/>
    <cellStyle name="_Table_Modelo_Mairinque_v2.2 4 2 2 2" xfId="6921"/>
    <cellStyle name="_Table_Modelo_Mairinque_v2.2 4 2 2 2 2" xfId="22719"/>
    <cellStyle name="_Table_Modelo_Mairinque_v2.2 4 2 2 2 3" xfId="24613"/>
    <cellStyle name="_Table_Modelo_Mairinque_v2.2 4 2 2 3" xfId="22718"/>
    <cellStyle name="_Table_Modelo_Mairinque_v2.2 4 2 2 4" xfId="19271"/>
    <cellStyle name="_Table_Modelo_Mairinque_v2.2 4 2 3" xfId="6922"/>
    <cellStyle name="_Table_Modelo_Mairinque_v2.2 4 2 3 2" xfId="6923"/>
    <cellStyle name="_Table_Modelo_Mairinque_v2.2 4 2 3 2 2" xfId="22721"/>
    <cellStyle name="_Table_Modelo_Mairinque_v2.2 4 2 3 2 3" xfId="24611"/>
    <cellStyle name="_Table_Modelo_Mairinque_v2.2 4 2 3 3" xfId="6924"/>
    <cellStyle name="_Table_Modelo_Mairinque_v2.2 4 2 3 3 2" xfId="22722"/>
    <cellStyle name="_Table_Modelo_Mairinque_v2.2 4 2 3 3 3" xfId="24610"/>
    <cellStyle name="_Table_Modelo_Mairinque_v2.2 4 2 3 4" xfId="22720"/>
    <cellStyle name="_Table_Modelo_Mairinque_v2.2 4 2 3 5" xfId="24612"/>
    <cellStyle name="_Table_Modelo_Mairinque_v2.2 4 2 4" xfId="20838"/>
    <cellStyle name="_Table_Modelo_Mairinque_v2.2 4 2 5" xfId="26631"/>
    <cellStyle name="_Table_Modelo_Mairinque_v2.2 4 3" xfId="4927"/>
    <cellStyle name="_Table_Modelo_Mairinque_v2.2 4 3 2" xfId="6925"/>
    <cellStyle name="_Table_Modelo_Mairinque_v2.2 4 3 2 2" xfId="6926"/>
    <cellStyle name="_Table_Modelo_Mairinque_v2.2 4 3 2 2 2" xfId="22724"/>
    <cellStyle name="_Table_Modelo_Mairinque_v2.2 4 3 2 2 3" xfId="24608"/>
    <cellStyle name="_Table_Modelo_Mairinque_v2.2 4 3 2 3" xfId="22723"/>
    <cellStyle name="_Table_Modelo_Mairinque_v2.2 4 3 2 4" xfId="24609"/>
    <cellStyle name="_Table_Modelo_Mairinque_v2.2 4 3 3" xfId="6927"/>
    <cellStyle name="_Table_Modelo_Mairinque_v2.2 4 3 3 2" xfId="6928"/>
    <cellStyle name="_Table_Modelo_Mairinque_v2.2 4 3 3 2 2" xfId="22726"/>
    <cellStyle name="_Table_Modelo_Mairinque_v2.2 4 3 3 2 3" xfId="24606"/>
    <cellStyle name="_Table_Modelo_Mairinque_v2.2 4 3 3 3" xfId="6929"/>
    <cellStyle name="_Table_Modelo_Mairinque_v2.2 4 3 3 3 2" xfId="22727"/>
    <cellStyle name="_Table_Modelo_Mairinque_v2.2 4 3 3 3 3" xfId="24605"/>
    <cellStyle name="_Table_Modelo_Mairinque_v2.2 4 3 3 4" xfId="22725"/>
    <cellStyle name="_Table_Modelo_Mairinque_v2.2 4 3 3 5" xfId="24607"/>
    <cellStyle name="_Table_Modelo_Mairinque_v2.2 4 3 4" xfId="20839"/>
    <cellStyle name="_Table_Modelo_Mairinque_v2.2 4 3 5" xfId="26630"/>
    <cellStyle name="_Table_Modelo_Mairinque_v2.2 4 4" xfId="4928"/>
    <cellStyle name="_Table_Modelo_Mairinque_v2.2 4 4 2" xfId="6930"/>
    <cellStyle name="_Table_Modelo_Mairinque_v2.2 4 4 2 2" xfId="6931"/>
    <cellStyle name="_Table_Modelo_Mairinque_v2.2 4 4 2 2 2" xfId="22729"/>
    <cellStyle name="_Table_Modelo_Mairinque_v2.2 4 4 2 2 3" xfId="24603"/>
    <cellStyle name="_Table_Modelo_Mairinque_v2.2 4 4 2 3" xfId="6932"/>
    <cellStyle name="_Table_Modelo_Mairinque_v2.2 4 4 2 3 2" xfId="22730"/>
    <cellStyle name="_Table_Modelo_Mairinque_v2.2 4 4 2 3 3" xfId="24602"/>
    <cellStyle name="_Table_Modelo_Mairinque_v2.2 4 4 2 4" xfId="22728"/>
    <cellStyle name="_Table_Modelo_Mairinque_v2.2 4 4 2 5" xfId="24604"/>
    <cellStyle name="_Table_Modelo_Mairinque_v2.2 4 4 3" xfId="6933"/>
    <cellStyle name="_Table_Modelo_Mairinque_v2.2 4 4 3 2" xfId="6934"/>
    <cellStyle name="_Table_Modelo_Mairinque_v2.2 4 4 3 2 2" xfId="22732"/>
    <cellStyle name="_Table_Modelo_Mairinque_v2.2 4 4 3 2 3" xfId="24600"/>
    <cellStyle name="_Table_Modelo_Mairinque_v2.2 4 4 3 3" xfId="22731"/>
    <cellStyle name="_Table_Modelo_Mairinque_v2.2 4 4 3 4" xfId="24601"/>
    <cellStyle name="_Table_Modelo_Mairinque_v2.2 4 4 4" xfId="20840"/>
    <cellStyle name="_Table_Modelo_Mairinque_v2.2 4 4 5" xfId="26629"/>
    <cellStyle name="_Table_Modelo_Mairinque_v2.2 4 5" xfId="6935"/>
    <cellStyle name="_Table_Modelo_Mairinque_v2.2 4 5 2" xfId="6936"/>
    <cellStyle name="_Table_Modelo_Mairinque_v2.2 4 5 2 2" xfId="22734"/>
    <cellStyle name="_Table_Modelo_Mairinque_v2.2 4 5 2 3" xfId="24598"/>
    <cellStyle name="_Table_Modelo_Mairinque_v2.2 4 5 3" xfId="6937"/>
    <cellStyle name="_Table_Modelo_Mairinque_v2.2 4 5 3 2" xfId="22735"/>
    <cellStyle name="_Table_Modelo_Mairinque_v2.2 4 5 3 3" xfId="24597"/>
    <cellStyle name="_Table_Modelo_Mairinque_v2.2 4 5 4" xfId="22733"/>
    <cellStyle name="_Table_Modelo_Mairinque_v2.2 4 5 5" xfId="24599"/>
    <cellStyle name="_Table_Modelo_Mairinque_v2.2 4 6" xfId="6938"/>
    <cellStyle name="_Table_Modelo_Mairinque_v2.2 4 6 2" xfId="6939"/>
    <cellStyle name="_Table_Modelo_Mairinque_v2.2 4 6 2 2" xfId="22737"/>
    <cellStyle name="_Table_Modelo_Mairinque_v2.2 4 6 2 3" xfId="21012"/>
    <cellStyle name="_Table_Modelo_Mairinque_v2.2 4 6 3" xfId="22736"/>
    <cellStyle name="_Table_Modelo_Mairinque_v2.2 4 6 4" xfId="24596"/>
    <cellStyle name="_Table_Modelo_Mairinque_v2.2 4 7" xfId="20837"/>
    <cellStyle name="_Table_Modelo_Mairinque_v2.2 4 8" xfId="26632"/>
    <cellStyle name="_Table_Modelo_Mairinque_v2.2 5" xfId="4929"/>
    <cellStyle name="_Table_Modelo_Mairinque_v2.2 5 2" xfId="6940"/>
    <cellStyle name="_Table_Modelo_Mairinque_v2.2 5 2 2" xfId="6941"/>
    <cellStyle name="_Table_Modelo_Mairinque_v2.2 5 2 2 2" xfId="22739"/>
    <cellStyle name="_Table_Modelo_Mairinque_v2.2 5 2 2 3" xfId="24594"/>
    <cellStyle name="_Table_Modelo_Mairinque_v2.2 5 2 3" xfId="22738"/>
    <cellStyle name="_Table_Modelo_Mairinque_v2.2 5 2 4" xfId="24595"/>
    <cellStyle name="_Table_Modelo_Mairinque_v2.2 5 3" xfId="6942"/>
    <cellStyle name="_Table_Modelo_Mairinque_v2.2 5 3 2" xfId="6943"/>
    <cellStyle name="_Table_Modelo_Mairinque_v2.2 5 3 2 2" xfId="22741"/>
    <cellStyle name="_Table_Modelo_Mairinque_v2.2 5 3 2 3" xfId="24592"/>
    <cellStyle name="_Table_Modelo_Mairinque_v2.2 5 3 3" xfId="6944"/>
    <cellStyle name="_Table_Modelo_Mairinque_v2.2 5 3 3 2" xfId="22742"/>
    <cellStyle name="_Table_Modelo_Mairinque_v2.2 5 3 3 3" xfId="24591"/>
    <cellStyle name="_Table_Modelo_Mairinque_v2.2 5 3 4" xfId="22740"/>
    <cellStyle name="_Table_Modelo_Mairinque_v2.2 5 3 5" xfId="24593"/>
    <cellStyle name="_Table_Modelo_Mairinque_v2.2 5 4" xfId="20841"/>
    <cellStyle name="_Table_Modelo_Mairinque_v2.2 5 5" xfId="26628"/>
    <cellStyle name="_Table_Modelo_Mairinque_v2.2 6" xfId="4930"/>
    <cellStyle name="_Table_Modelo_Mairinque_v2.2 6 2" xfId="6945"/>
    <cellStyle name="_Table_Modelo_Mairinque_v2.2 6 2 2" xfId="6946"/>
    <cellStyle name="_Table_Modelo_Mairinque_v2.2 6 2 2 2" xfId="22744"/>
    <cellStyle name="_Table_Modelo_Mairinque_v2.2 6 2 2 3" xfId="24589"/>
    <cellStyle name="_Table_Modelo_Mairinque_v2.2 6 2 3" xfId="6947"/>
    <cellStyle name="_Table_Modelo_Mairinque_v2.2 6 2 3 2" xfId="22745"/>
    <cellStyle name="_Table_Modelo_Mairinque_v2.2 6 2 3 3" xfId="24588"/>
    <cellStyle name="_Table_Modelo_Mairinque_v2.2 6 2 4" xfId="22743"/>
    <cellStyle name="_Table_Modelo_Mairinque_v2.2 6 2 5" xfId="24590"/>
    <cellStyle name="_Table_Modelo_Mairinque_v2.2 6 3" xfId="6948"/>
    <cellStyle name="_Table_Modelo_Mairinque_v2.2 6 3 2" xfId="6949"/>
    <cellStyle name="_Table_Modelo_Mairinque_v2.2 6 3 2 2" xfId="22747"/>
    <cellStyle name="_Table_Modelo_Mairinque_v2.2 6 3 2 3" xfId="24586"/>
    <cellStyle name="_Table_Modelo_Mairinque_v2.2 6 3 3" xfId="22746"/>
    <cellStyle name="_Table_Modelo_Mairinque_v2.2 6 3 4" xfId="24587"/>
    <cellStyle name="_Table_Modelo_Mairinque_v2.2 6 4" xfId="20842"/>
    <cellStyle name="_Table_Modelo_Mairinque_v2.2 6 5" xfId="26627"/>
    <cellStyle name="_Table_Modelo_Mairinque_v2.2 7" xfId="6950"/>
    <cellStyle name="_Table_Modelo_Mairinque_v2.2 7 2" xfId="6951"/>
    <cellStyle name="_Table_Modelo_Mairinque_v2.2 7 2 2" xfId="22749"/>
    <cellStyle name="_Table_Modelo_Mairinque_v2.2 7 2 3" xfId="24584"/>
    <cellStyle name="_Table_Modelo_Mairinque_v2.2 7 3" xfId="6952"/>
    <cellStyle name="_Table_Modelo_Mairinque_v2.2 7 3 2" xfId="22750"/>
    <cellStyle name="_Table_Modelo_Mairinque_v2.2 7 3 3" xfId="24583"/>
    <cellStyle name="_Table_Modelo_Mairinque_v2.2 7 4" xfId="22748"/>
    <cellStyle name="_Table_Modelo_Mairinque_v2.2 7 5" xfId="24585"/>
    <cellStyle name="_Table_Modelo_Mairinque_v2.2 8" xfId="6953"/>
    <cellStyle name="_Table_Modelo_Mairinque_v2.2 8 2" xfId="6954"/>
    <cellStyle name="_Table_Modelo_Mairinque_v2.2 8 2 2" xfId="22752"/>
    <cellStyle name="_Table_Modelo_Mairinque_v2.2 8 2 3" xfId="20323"/>
    <cellStyle name="_Table_Modelo_Mairinque_v2.2 8 3" xfId="22751"/>
    <cellStyle name="_Table_Modelo_Mairinque_v2.2 8 4" xfId="24582"/>
    <cellStyle name="_Table_Modelo_Mairinque_v2.2 9" xfId="18516"/>
    <cellStyle name="_Table_Multiplos_transação_atualizado" xfId="830"/>
    <cellStyle name="_Table_Multiplos_transação_atualizado 10" xfId="30668"/>
    <cellStyle name="_Table_Multiplos_transação_atualizado 2" xfId="831"/>
    <cellStyle name="_Table_Multiplos_transação_atualizado 2 2" xfId="4931"/>
    <cellStyle name="_Table_Multiplos_transação_atualizado 2 2 2" xfId="4932"/>
    <cellStyle name="_Table_Multiplos_transação_atualizado 2 2 2 2" xfId="6955"/>
    <cellStyle name="_Table_Multiplos_transação_atualizado 2 2 2 2 2" xfId="6956"/>
    <cellStyle name="_Table_Multiplos_transação_atualizado 2 2 2 2 2 2" xfId="22754"/>
    <cellStyle name="_Table_Multiplos_transação_atualizado 2 2 2 2 2 3" xfId="24580"/>
    <cellStyle name="_Table_Multiplos_transação_atualizado 2 2 2 2 3" xfId="22753"/>
    <cellStyle name="_Table_Multiplos_transação_atualizado 2 2 2 2 4" xfId="24581"/>
    <cellStyle name="_Table_Multiplos_transação_atualizado 2 2 2 3" xfId="6957"/>
    <cellStyle name="_Table_Multiplos_transação_atualizado 2 2 2 3 2" xfId="6958"/>
    <cellStyle name="_Table_Multiplos_transação_atualizado 2 2 2 3 2 2" xfId="22756"/>
    <cellStyle name="_Table_Multiplos_transação_atualizado 2 2 2 3 2 3" xfId="24578"/>
    <cellStyle name="_Table_Multiplos_transação_atualizado 2 2 2 3 3" xfId="6959"/>
    <cellStyle name="_Table_Multiplos_transação_atualizado 2 2 2 3 3 2" xfId="22757"/>
    <cellStyle name="_Table_Multiplos_transação_atualizado 2 2 2 3 3 3" xfId="24577"/>
    <cellStyle name="_Table_Multiplos_transação_atualizado 2 2 2 3 4" xfId="22755"/>
    <cellStyle name="_Table_Multiplos_transação_atualizado 2 2 2 3 5" xfId="24579"/>
    <cellStyle name="_Table_Multiplos_transação_atualizado 2 2 2 4" xfId="20844"/>
    <cellStyle name="_Table_Multiplos_transação_atualizado 2 2 2 5" xfId="26625"/>
    <cellStyle name="_Table_Multiplos_transação_atualizado 2 2 3" xfId="4933"/>
    <cellStyle name="_Table_Multiplos_transação_atualizado 2 2 3 2" xfId="6960"/>
    <cellStyle name="_Table_Multiplos_transação_atualizado 2 2 3 2 2" xfId="6961"/>
    <cellStyle name="_Table_Multiplos_transação_atualizado 2 2 3 2 2 2" xfId="22759"/>
    <cellStyle name="_Table_Multiplos_transação_atualizado 2 2 3 2 2 3" xfId="24575"/>
    <cellStyle name="_Table_Multiplos_transação_atualizado 2 2 3 2 3" xfId="22758"/>
    <cellStyle name="_Table_Multiplos_transação_atualizado 2 2 3 2 4" xfId="24576"/>
    <cellStyle name="_Table_Multiplos_transação_atualizado 2 2 3 3" xfId="6962"/>
    <cellStyle name="_Table_Multiplos_transação_atualizado 2 2 3 3 2" xfId="6963"/>
    <cellStyle name="_Table_Multiplos_transação_atualizado 2 2 3 3 2 2" xfId="22761"/>
    <cellStyle name="_Table_Multiplos_transação_atualizado 2 2 3 3 2 3" xfId="24573"/>
    <cellStyle name="_Table_Multiplos_transação_atualizado 2 2 3 3 3" xfId="6964"/>
    <cellStyle name="_Table_Multiplos_transação_atualizado 2 2 3 3 3 2" xfId="22762"/>
    <cellStyle name="_Table_Multiplos_transação_atualizado 2 2 3 3 3 3" xfId="24572"/>
    <cellStyle name="_Table_Multiplos_transação_atualizado 2 2 3 3 4" xfId="22760"/>
    <cellStyle name="_Table_Multiplos_transação_atualizado 2 2 3 3 5" xfId="24574"/>
    <cellStyle name="_Table_Multiplos_transação_atualizado 2 2 3 4" xfId="20845"/>
    <cellStyle name="_Table_Multiplos_transação_atualizado 2 2 3 5" xfId="26624"/>
    <cellStyle name="_Table_Multiplos_transação_atualizado 2 2 4" xfId="4934"/>
    <cellStyle name="_Table_Multiplos_transação_atualizado 2 2 4 2" xfId="6965"/>
    <cellStyle name="_Table_Multiplos_transação_atualizado 2 2 4 2 2" xfId="6966"/>
    <cellStyle name="_Table_Multiplos_transação_atualizado 2 2 4 2 2 2" xfId="22764"/>
    <cellStyle name="_Table_Multiplos_transação_atualizado 2 2 4 2 2 3" xfId="24570"/>
    <cellStyle name="_Table_Multiplos_transação_atualizado 2 2 4 2 3" xfId="6967"/>
    <cellStyle name="_Table_Multiplos_transação_atualizado 2 2 4 2 3 2" xfId="22765"/>
    <cellStyle name="_Table_Multiplos_transação_atualizado 2 2 4 2 3 3" xfId="24569"/>
    <cellStyle name="_Table_Multiplos_transação_atualizado 2 2 4 2 4" xfId="22763"/>
    <cellStyle name="_Table_Multiplos_transação_atualizado 2 2 4 2 5" xfId="24571"/>
    <cellStyle name="_Table_Multiplos_transação_atualizado 2 2 4 3" xfId="6968"/>
    <cellStyle name="_Table_Multiplos_transação_atualizado 2 2 4 3 2" xfId="6969"/>
    <cellStyle name="_Table_Multiplos_transação_atualizado 2 2 4 3 2 2" xfId="22767"/>
    <cellStyle name="_Table_Multiplos_transação_atualizado 2 2 4 3 2 3" xfId="20368"/>
    <cellStyle name="_Table_Multiplos_transação_atualizado 2 2 4 3 3" xfId="22766"/>
    <cellStyle name="_Table_Multiplos_transação_atualizado 2 2 4 3 4" xfId="24568"/>
    <cellStyle name="_Table_Multiplos_transação_atualizado 2 2 4 4" xfId="20846"/>
    <cellStyle name="_Table_Multiplos_transação_atualizado 2 2 4 5" xfId="20330"/>
    <cellStyle name="_Table_Multiplos_transação_atualizado 2 2 5" xfId="6970"/>
    <cellStyle name="_Table_Multiplos_transação_atualizado 2 2 5 2" xfId="6971"/>
    <cellStyle name="_Table_Multiplos_transação_atualizado 2 2 5 2 2" xfId="22769"/>
    <cellStyle name="_Table_Multiplos_transação_atualizado 2 2 5 2 3" xfId="24566"/>
    <cellStyle name="_Table_Multiplos_transação_atualizado 2 2 5 3" xfId="6972"/>
    <cellStyle name="_Table_Multiplos_transação_atualizado 2 2 5 3 2" xfId="22770"/>
    <cellStyle name="_Table_Multiplos_transação_atualizado 2 2 5 3 3" xfId="24565"/>
    <cellStyle name="_Table_Multiplos_transação_atualizado 2 2 5 4" xfId="22768"/>
    <cellStyle name="_Table_Multiplos_transação_atualizado 2 2 5 5" xfId="24567"/>
    <cellStyle name="_Table_Multiplos_transação_atualizado 2 2 6" xfId="6973"/>
    <cellStyle name="_Table_Multiplos_transação_atualizado 2 2 6 2" xfId="6974"/>
    <cellStyle name="_Table_Multiplos_transação_atualizado 2 2 6 2 2" xfId="22772"/>
    <cellStyle name="_Table_Multiplos_transação_atualizado 2 2 6 2 3" xfId="24563"/>
    <cellStyle name="_Table_Multiplos_transação_atualizado 2 2 6 3" xfId="22771"/>
    <cellStyle name="_Table_Multiplos_transação_atualizado 2 2 6 4" xfId="24564"/>
    <cellStyle name="_Table_Multiplos_transação_atualizado 2 2 7" xfId="20843"/>
    <cellStyle name="_Table_Multiplos_transação_atualizado 2 2 8" xfId="26626"/>
    <cellStyle name="_Table_Multiplos_transação_atualizado 2 3" xfId="4935"/>
    <cellStyle name="_Table_Multiplos_transação_atualizado 2 3 2" xfId="6975"/>
    <cellStyle name="_Table_Multiplos_transação_atualizado 2 3 2 2" xfId="6976"/>
    <cellStyle name="_Table_Multiplos_transação_atualizado 2 3 2 2 2" xfId="22774"/>
    <cellStyle name="_Table_Multiplos_transação_atualizado 2 3 2 2 3" xfId="24561"/>
    <cellStyle name="_Table_Multiplos_transação_atualizado 2 3 2 3" xfId="22773"/>
    <cellStyle name="_Table_Multiplos_transação_atualizado 2 3 2 4" xfId="24562"/>
    <cellStyle name="_Table_Multiplos_transação_atualizado 2 3 3" xfId="6977"/>
    <cellStyle name="_Table_Multiplos_transação_atualizado 2 3 3 2" xfId="6978"/>
    <cellStyle name="_Table_Multiplos_transação_atualizado 2 3 3 2 2" xfId="22776"/>
    <cellStyle name="_Table_Multiplos_transação_atualizado 2 3 3 2 3" xfId="24559"/>
    <cellStyle name="_Table_Multiplos_transação_atualizado 2 3 3 3" xfId="6979"/>
    <cellStyle name="_Table_Multiplos_transação_atualizado 2 3 3 3 2" xfId="22777"/>
    <cellStyle name="_Table_Multiplos_transação_atualizado 2 3 3 3 3" xfId="24558"/>
    <cellStyle name="_Table_Multiplos_transação_atualizado 2 3 3 4" xfId="22775"/>
    <cellStyle name="_Table_Multiplos_transação_atualizado 2 3 3 5" xfId="24560"/>
    <cellStyle name="_Table_Multiplos_transação_atualizado 2 3 4" xfId="20847"/>
    <cellStyle name="_Table_Multiplos_transação_atualizado 2 3 5" xfId="19817"/>
    <cellStyle name="_Table_Multiplos_transação_atualizado 2 4" xfId="4936"/>
    <cellStyle name="_Table_Multiplos_transação_atualizado 2 4 2" xfId="6980"/>
    <cellStyle name="_Table_Multiplos_transação_atualizado 2 4 2 2" xfId="6981"/>
    <cellStyle name="_Table_Multiplos_transação_atualizado 2 4 2 2 2" xfId="22779"/>
    <cellStyle name="_Table_Multiplos_transação_atualizado 2 4 2 2 3" xfId="24556"/>
    <cellStyle name="_Table_Multiplos_transação_atualizado 2 4 2 3" xfId="6982"/>
    <cellStyle name="_Table_Multiplos_transação_atualizado 2 4 2 3 2" xfId="22780"/>
    <cellStyle name="_Table_Multiplos_transação_atualizado 2 4 2 3 3" xfId="24555"/>
    <cellStyle name="_Table_Multiplos_transação_atualizado 2 4 2 4" xfId="22778"/>
    <cellStyle name="_Table_Multiplos_transação_atualizado 2 4 2 5" xfId="24557"/>
    <cellStyle name="_Table_Multiplos_transação_atualizado 2 4 3" xfId="6983"/>
    <cellStyle name="_Table_Multiplos_transação_atualizado 2 4 3 2" xfId="6984"/>
    <cellStyle name="_Table_Multiplos_transação_atualizado 2 4 3 2 2" xfId="22782"/>
    <cellStyle name="_Table_Multiplos_transação_atualizado 2 4 3 2 3" xfId="24553"/>
    <cellStyle name="_Table_Multiplos_transação_atualizado 2 4 3 3" xfId="22781"/>
    <cellStyle name="_Table_Multiplos_transação_atualizado 2 4 3 4" xfId="24554"/>
    <cellStyle name="_Table_Multiplos_transação_atualizado 2 4 4" xfId="20848"/>
    <cellStyle name="_Table_Multiplos_transação_atualizado 2 4 5" xfId="19816"/>
    <cellStyle name="_Table_Multiplos_transação_atualizado 2 5" xfId="6985"/>
    <cellStyle name="_Table_Multiplos_transação_atualizado 2 5 2" xfId="6986"/>
    <cellStyle name="_Table_Multiplos_transação_atualizado 2 5 2 2" xfId="22784"/>
    <cellStyle name="_Table_Multiplos_transação_atualizado 2 5 2 3" xfId="24551"/>
    <cellStyle name="_Table_Multiplos_transação_atualizado 2 5 3" xfId="6987"/>
    <cellStyle name="_Table_Multiplos_transação_atualizado 2 5 3 2" xfId="22785"/>
    <cellStyle name="_Table_Multiplos_transação_atualizado 2 5 3 3" xfId="24550"/>
    <cellStyle name="_Table_Multiplos_transação_atualizado 2 5 4" xfId="22783"/>
    <cellStyle name="_Table_Multiplos_transação_atualizado 2 5 5" xfId="24552"/>
    <cellStyle name="_Table_Multiplos_transação_atualizado 2 6" xfId="6988"/>
    <cellStyle name="_Table_Multiplos_transação_atualizado 2 6 2" xfId="6989"/>
    <cellStyle name="_Table_Multiplos_transação_atualizado 2 6 2 2" xfId="22787"/>
    <cellStyle name="_Table_Multiplos_transação_atualizado 2 6 2 3" xfId="21011"/>
    <cellStyle name="_Table_Multiplos_transação_atualizado 2 6 3" xfId="22786"/>
    <cellStyle name="_Table_Multiplos_transação_atualizado 2 6 4" xfId="24549"/>
    <cellStyle name="_Table_Multiplos_transação_atualizado 2 7" xfId="18520"/>
    <cellStyle name="_Table_Multiplos_transação_atualizado 2 8" xfId="30667"/>
    <cellStyle name="_Table_Multiplos_transação_atualizado 3" xfId="832"/>
    <cellStyle name="_Table_Multiplos_transação_atualizado 3 2" xfId="4937"/>
    <cellStyle name="_Table_Multiplos_transação_atualizado 3 2 2" xfId="4938"/>
    <cellStyle name="_Table_Multiplos_transação_atualizado 3 2 2 2" xfId="6990"/>
    <cellStyle name="_Table_Multiplos_transação_atualizado 3 2 2 2 2" xfId="6991"/>
    <cellStyle name="_Table_Multiplos_transação_atualizado 3 2 2 2 2 2" xfId="22789"/>
    <cellStyle name="_Table_Multiplos_transação_atualizado 3 2 2 2 2 3" xfId="24547"/>
    <cellStyle name="_Table_Multiplos_transação_atualizado 3 2 2 2 3" xfId="22788"/>
    <cellStyle name="_Table_Multiplos_transação_atualizado 3 2 2 2 4" xfId="24548"/>
    <cellStyle name="_Table_Multiplos_transação_atualizado 3 2 2 3" xfId="6992"/>
    <cellStyle name="_Table_Multiplos_transação_atualizado 3 2 2 3 2" xfId="6993"/>
    <cellStyle name="_Table_Multiplos_transação_atualizado 3 2 2 3 2 2" xfId="22791"/>
    <cellStyle name="_Table_Multiplos_transação_atualizado 3 2 2 3 2 3" xfId="24545"/>
    <cellStyle name="_Table_Multiplos_transação_atualizado 3 2 2 3 3" xfId="6994"/>
    <cellStyle name="_Table_Multiplos_transação_atualizado 3 2 2 3 3 2" xfId="22792"/>
    <cellStyle name="_Table_Multiplos_transação_atualizado 3 2 2 3 3 3" xfId="24544"/>
    <cellStyle name="_Table_Multiplos_transação_atualizado 3 2 2 3 4" xfId="22790"/>
    <cellStyle name="_Table_Multiplos_transação_atualizado 3 2 2 3 5" xfId="24546"/>
    <cellStyle name="_Table_Multiplos_transação_atualizado 3 2 2 4" xfId="20850"/>
    <cellStyle name="_Table_Multiplos_transação_atualizado 3 2 2 5" xfId="26622"/>
    <cellStyle name="_Table_Multiplos_transação_atualizado 3 2 3" xfId="4939"/>
    <cellStyle name="_Table_Multiplos_transação_atualizado 3 2 3 2" xfId="6995"/>
    <cellStyle name="_Table_Multiplos_transação_atualizado 3 2 3 2 2" xfId="6996"/>
    <cellStyle name="_Table_Multiplos_transação_atualizado 3 2 3 2 2 2" xfId="22794"/>
    <cellStyle name="_Table_Multiplos_transação_atualizado 3 2 3 2 2 3" xfId="24542"/>
    <cellStyle name="_Table_Multiplos_transação_atualizado 3 2 3 2 3" xfId="22793"/>
    <cellStyle name="_Table_Multiplos_transação_atualizado 3 2 3 2 4" xfId="24543"/>
    <cellStyle name="_Table_Multiplos_transação_atualizado 3 2 3 3" xfId="6997"/>
    <cellStyle name="_Table_Multiplos_transação_atualizado 3 2 3 3 2" xfId="6998"/>
    <cellStyle name="_Table_Multiplos_transação_atualizado 3 2 3 3 2 2" xfId="22796"/>
    <cellStyle name="_Table_Multiplos_transação_atualizado 3 2 3 3 2 3" xfId="24540"/>
    <cellStyle name="_Table_Multiplos_transação_atualizado 3 2 3 3 3" xfId="6999"/>
    <cellStyle name="_Table_Multiplos_transação_atualizado 3 2 3 3 3 2" xfId="22797"/>
    <cellStyle name="_Table_Multiplos_transação_atualizado 3 2 3 3 3 3" xfId="24539"/>
    <cellStyle name="_Table_Multiplos_transação_atualizado 3 2 3 3 4" xfId="22795"/>
    <cellStyle name="_Table_Multiplos_transação_atualizado 3 2 3 3 5" xfId="24541"/>
    <cellStyle name="_Table_Multiplos_transação_atualizado 3 2 3 4" xfId="20851"/>
    <cellStyle name="_Table_Multiplos_transação_atualizado 3 2 3 5" xfId="26621"/>
    <cellStyle name="_Table_Multiplos_transação_atualizado 3 2 4" xfId="4940"/>
    <cellStyle name="_Table_Multiplos_transação_atualizado 3 2 4 2" xfId="7000"/>
    <cellStyle name="_Table_Multiplos_transação_atualizado 3 2 4 2 2" xfId="7001"/>
    <cellStyle name="_Table_Multiplos_transação_atualizado 3 2 4 2 2 2" xfId="22799"/>
    <cellStyle name="_Table_Multiplos_transação_atualizado 3 2 4 2 2 3" xfId="24537"/>
    <cellStyle name="_Table_Multiplos_transação_atualizado 3 2 4 2 3" xfId="7002"/>
    <cellStyle name="_Table_Multiplos_transação_atualizado 3 2 4 2 3 2" xfId="22800"/>
    <cellStyle name="_Table_Multiplos_transação_atualizado 3 2 4 2 3 3" xfId="24536"/>
    <cellStyle name="_Table_Multiplos_transação_atualizado 3 2 4 2 4" xfId="22798"/>
    <cellStyle name="_Table_Multiplos_transação_atualizado 3 2 4 2 5" xfId="24538"/>
    <cellStyle name="_Table_Multiplos_transação_atualizado 3 2 4 3" xfId="7003"/>
    <cellStyle name="_Table_Multiplos_transação_atualizado 3 2 4 3 2" xfId="7004"/>
    <cellStyle name="_Table_Multiplos_transação_atualizado 3 2 4 3 2 2" xfId="22802"/>
    <cellStyle name="_Table_Multiplos_transação_atualizado 3 2 4 3 2 3" xfId="20325"/>
    <cellStyle name="_Table_Multiplos_transação_atualizado 3 2 4 3 3" xfId="22801"/>
    <cellStyle name="_Table_Multiplos_transação_atualizado 3 2 4 3 4" xfId="24535"/>
    <cellStyle name="_Table_Multiplos_transação_atualizado 3 2 4 4" xfId="20852"/>
    <cellStyle name="_Table_Multiplos_transação_atualizado 3 2 4 5" xfId="26620"/>
    <cellStyle name="_Table_Multiplos_transação_atualizado 3 2 5" xfId="7005"/>
    <cellStyle name="_Table_Multiplos_transação_atualizado 3 2 5 2" xfId="7006"/>
    <cellStyle name="_Table_Multiplos_transação_atualizado 3 2 5 2 2" xfId="22804"/>
    <cellStyle name="_Table_Multiplos_transação_atualizado 3 2 5 2 3" xfId="24533"/>
    <cellStyle name="_Table_Multiplos_transação_atualizado 3 2 5 3" xfId="7007"/>
    <cellStyle name="_Table_Multiplos_transação_atualizado 3 2 5 3 2" xfId="22805"/>
    <cellStyle name="_Table_Multiplos_transação_atualizado 3 2 5 3 3" xfId="24532"/>
    <cellStyle name="_Table_Multiplos_transação_atualizado 3 2 5 4" xfId="22803"/>
    <cellStyle name="_Table_Multiplos_transação_atualizado 3 2 5 5" xfId="24534"/>
    <cellStyle name="_Table_Multiplos_transação_atualizado 3 2 6" xfId="7008"/>
    <cellStyle name="_Table_Multiplos_transação_atualizado 3 2 6 2" xfId="7009"/>
    <cellStyle name="_Table_Multiplos_transação_atualizado 3 2 6 2 2" xfId="22807"/>
    <cellStyle name="_Table_Multiplos_transação_atualizado 3 2 6 2 3" xfId="24530"/>
    <cellStyle name="_Table_Multiplos_transação_atualizado 3 2 6 3" xfId="22806"/>
    <cellStyle name="_Table_Multiplos_transação_atualizado 3 2 6 4" xfId="24531"/>
    <cellStyle name="_Table_Multiplos_transação_atualizado 3 2 7" xfId="20849"/>
    <cellStyle name="_Table_Multiplos_transação_atualizado 3 2 8" xfId="26623"/>
    <cellStyle name="_Table_Multiplos_transação_atualizado 3 3" xfId="4941"/>
    <cellStyle name="_Table_Multiplos_transação_atualizado 3 3 2" xfId="7010"/>
    <cellStyle name="_Table_Multiplos_transação_atualizado 3 3 2 2" xfId="7011"/>
    <cellStyle name="_Table_Multiplos_transação_atualizado 3 3 2 2 2" xfId="22809"/>
    <cellStyle name="_Table_Multiplos_transação_atualizado 3 3 2 2 3" xfId="24528"/>
    <cellStyle name="_Table_Multiplos_transação_atualizado 3 3 2 3" xfId="22808"/>
    <cellStyle name="_Table_Multiplos_transação_atualizado 3 3 2 4" xfId="24529"/>
    <cellStyle name="_Table_Multiplos_transação_atualizado 3 3 3" xfId="7012"/>
    <cellStyle name="_Table_Multiplos_transação_atualizado 3 3 3 2" xfId="7013"/>
    <cellStyle name="_Table_Multiplos_transação_atualizado 3 3 3 2 2" xfId="22811"/>
    <cellStyle name="_Table_Multiplos_transação_atualizado 3 3 3 2 3" xfId="24526"/>
    <cellStyle name="_Table_Multiplos_transação_atualizado 3 3 3 3" xfId="7014"/>
    <cellStyle name="_Table_Multiplos_transação_atualizado 3 3 3 3 2" xfId="22812"/>
    <cellStyle name="_Table_Multiplos_transação_atualizado 3 3 3 3 3" xfId="24525"/>
    <cellStyle name="_Table_Multiplos_transação_atualizado 3 3 3 4" xfId="22810"/>
    <cellStyle name="_Table_Multiplos_transação_atualizado 3 3 3 5" xfId="24527"/>
    <cellStyle name="_Table_Multiplos_transação_atualizado 3 3 4" xfId="20853"/>
    <cellStyle name="_Table_Multiplos_transação_atualizado 3 3 5" xfId="26619"/>
    <cellStyle name="_Table_Multiplos_transação_atualizado 3 4" xfId="4942"/>
    <cellStyle name="_Table_Multiplos_transação_atualizado 3 4 2" xfId="7015"/>
    <cellStyle name="_Table_Multiplos_transação_atualizado 3 4 2 2" xfId="7016"/>
    <cellStyle name="_Table_Multiplos_transação_atualizado 3 4 2 2 2" xfId="22814"/>
    <cellStyle name="_Table_Multiplos_transação_atualizado 3 4 2 2 3" xfId="24523"/>
    <cellStyle name="_Table_Multiplos_transação_atualizado 3 4 2 3" xfId="7017"/>
    <cellStyle name="_Table_Multiplos_transação_atualizado 3 4 2 3 2" xfId="22815"/>
    <cellStyle name="_Table_Multiplos_transação_atualizado 3 4 2 3 3" xfId="24522"/>
    <cellStyle name="_Table_Multiplos_transação_atualizado 3 4 2 4" xfId="22813"/>
    <cellStyle name="_Table_Multiplos_transação_atualizado 3 4 2 5" xfId="24524"/>
    <cellStyle name="_Table_Multiplos_transação_atualizado 3 4 3" xfId="7018"/>
    <cellStyle name="_Table_Multiplos_transação_atualizado 3 4 3 2" xfId="7019"/>
    <cellStyle name="_Table_Multiplos_transação_atualizado 3 4 3 2 2" xfId="22817"/>
    <cellStyle name="_Table_Multiplos_transação_atualizado 3 4 3 2 3" xfId="20536"/>
    <cellStyle name="_Table_Multiplos_transação_atualizado 3 4 3 3" xfId="22816"/>
    <cellStyle name="_Table_Multiplos_transação_atualizado 3 4 3 4" xfId="24521"/>
    <cellStyle name="_Table_Multiplos_transação_atualizado 3 4 4" xfId="20854"/>
    <cellStyle name="_Table_Multiplos_transação_atualizado 3 4 5" xfId="26618"/>
    <cellStyle name="_Table_Multiplos_transação_atualizado 3 5" xfId="7020"/>
    <cellStyle name="_Table_Multiplos_transação_atualizado 3 5 2" xfId="7021"/>
    <cellStyle name="_Table_Multiplos_transação_atualizado 3 5 2 2" xfId="22819"/>
    <cellStyle name="_Table_Multiplos_transação_atualizado 3 5 2 3" xfId="24520"/>
    <cellStyle name="_Table_Multiplos_transação_atualizado 3 5 3" xfId="7022"/>
    <cellStyle name="_Table_Multiplos_transação_atualizado 3 5 3 2" xfId="22820"/>
    <cellStyle name="_Table_Multiplos_transação_atualizado 3 5 3 3" xfId="24519"/>
    <cellStyle name="_Table_Multiplos_transação_atualizado 3 5 4" xfId="22818"/>
    <cellStyle name="_Table_Multiplos_transação_atualizado 3 5 5" xfId="19270"/>
    <cellStyle name="_Table_Multiplos_transação_atualizado 3 6" xfId="7023"/>
    <cellStyle name="_Table_Multiplos_transação_atualizado 3 6 2" xfId="7024"/>
    <cellStyle name="_Table_Multiplos_transação_atualizado 3 6 2 2" xfId="22822"/>
    <cellStyle name="_Table_Multiplos_transação_atualizado 3 6 2 3" xfId="24517"/>
    <cellStyle name="_Table_Multiplos_transação_atualizado 3 6 3" xfId="22821"/>
    <cellStyle name="_Table_Multiplos_transação_atualizado 3 6 4" xfId="24518"/>
    <cellStyle name="_Table_Multiplos_transação_atualizado 3 7" xfId="18521"/>
    <cellStyle name="_Table_Multiplos_transação_atualizado 3 8" xfId="30666"/>
    <cellStyle name="_Table_Multiplos_transação_atualizado 4" xfId="4943"/>
    <cellStyle name="_Table_Multiplos_transação_atualizado 4 2" xfId="4944"/>
    <cellStyle name="_Table_Multiplos_transação_atualizado 4 2 2" xfId="7025"/>
    <cellStyle name="_Table_Multiplos_transação_atualizado 4 2 2 2" xfId="7026"/>
    <cellStyle name="_Table_Multiplos_transação_atualizado 4 2 2 2 2" xfId="22824"/>
    <cellStyle name="_Table_Multiplos_transação_atualizado 4 2 2 2 3" xfId="24515"/>
    <cellStyle name="_Table_Multiplos_transação_atualizado 4 2 2 3" xfId="22823"/>
    <cellStyle name="_Table_Multiplos_transação_atualizado 4 2 2 4" xfId="24516"/>
    <cellStyle name="_Table_Multiplos_transação_atualizado 4 2 3" xfId="7027"/>
    <cellStyle name="_Table_Multiplos_transação_atualizado 4 2 3 2" xfId="7028"/>
    <cellStyle name="_Table_Multiplos_transação_atualizado 4 2 3 2 2" xfId="22826"/>
    <cellStyle name="_Table_Multiplos_transação_atualizado 4 2 3 2 3" xfId="24513"/>
    <cellStyle name="_Table_Multiplos_transação_atualizado 4 2 3 3" xfId="7029"/>
    <cellStyle name="_Table_Multiplos_transação_atualizado 4 2 3 3 2" xfId="22827"/>
    <cellStyle name="_Table_Multiplos_transação_atualizado 4 2 3 3 3" xfId="24512"/>
    <cellStyle name="_Table_Multiplos_transação_atualizado 4 2 3 4" xfId="22825"/>
    <cellStyle name="_Table_Multiplos_transação_atualizado 4 2 3 5" xfId="24514"/>
    <cellStyle name="_Table_Multiplos_transação_atualizado 4 2 4" xfId="20856"/>
    <cellStyle name="_Table_Multiplos_transação_atualizado 4 2 5" xfId="26616"/>
    <cellStyle name="_Table_Multiplos_transação_atualizado 4 3" xfId="4945"/>
    <cellStyle name="_Table_Multiplos_transação_atualizado 4 3 2" xfId="7030"/>
    <cellStyle name="_Table_Multiplos_transação_atualizado 4 3 2 2" xfId="7031"/>
    <cellStyle name="_Table_Multiplos_transação_atualizado 4 3 2 2 2" xfId="22829"/>
    <cellStyle name="_Table_Multiplos_transação_atualizado 4 3 2 2 3" xfId="24510"/>
    <cellStyle name="_Table_Multiplos_transação_atualizado 4 3 2 3" xfId="22828"/>
    <cellStyle name="_Table_Multiplos_transação_atualizado 4 3 2 4" xfId="24511"/>
    <cellStyle name="_Table_Multiplos_transação_atualizado 4 3 3" xfId="7032"/>
    <cellStyle name="_Table_Multiplos_transação_atualizado 4 3 3 2" xfId="7033"/>
    <cellStyle name="_Table_Multiplos_transação_atualizado 4 3 3 2 2" xfId="22831"/>
    <cellStyle name="_Table_Multiplos_transação_atualizado 4 3 3 2 3" xfId="24508"/>
    <cellStyle name="_Table_Multiplos_transação_atualizado 4 3 3 3" xfId="7034"/>
    <cellStyle name="_Table_Multiplos_transação_atualizado 4 3 3 3 2" xfId="22832"/>
    <cellStyle name="_Table_Multiplos_transação_atualizado 4 3 3 3 3" xfId="24507"/>
    <cellStyle name="_Table_Multiplos_transação_atualizado 4 3 3 4" xfId="22830"/>
    <cellStyle name="_Table_Multiplos_transação_atualizado 4 3 3 5" xfId="24509"/>
    <cellStyle name="_Table_Multiplos_transação_atualizado 4 3 4" xfId="20857"/>
    <cellStyle name="_Table_Multiplos_transação_atualizado 4 3 5" xfId="26615"/>
    <cellStyle name="_Table_Multiplos_transação_atualizado 4 4" xfId="4946"/>
    <cellStyle name="_Table_Multiplos_transação_atualizado 4 4 2" xfId="7035"/>
    <cellStyle name="_Table_Multiplos_transação_atualizado 4 4 2 2" xfId="7036"/>
    <cellStyle name="_Table_Multiplos_transação_atualizado 4 4 2 2 2" xfId="22834"/>
    <cellStyle name="_Table_Multiplos_transação_atualizado 4 4 2 2 3" xfId="24505"/>
    <cellStyle name="_Table_Multiplos_transação_atualizado 4 4 2 3" xfId="7037"/>
    <cellStyle name="_Table_Multiplos_transação_atualizado 4 4 2 3 2" xfId="22835"/>
    <cellStyle name="_Table_Multiplos_transação_atualizado 4 4 2 3 3" xfId="24504"/>
    <cellStyle name="_Table_Multiplos_transação_atualizado 4 4 2 4" xfId="22833"/>
    <cellStyle name="_Table_Multiplos_transação_atualizado 4 4 2 5" xfId="24506"/>
    <cellStyle name="_Table_Multiplos_transação_atualizado 4 4 3" xfId="7038"/>
    <cellStyle name="_Table_Multiplos_transação_atualizado 4 4 3 2" xfId="7039"/>
    <cellStyle name="_Table_Multiplos_transação_atualizado 4 4 3 2 2" xfId="22837"/>
    <cellStyle name="_Table_Multiplos_transação_atualizado 4 4 3 2 3" xfId="24502"/>
    <cellStyle name="_Table_Multiplos_transação_atualizado 4 4 3 3" xfId="22836"/>
    <cellStyle name="_Table_Multiplos_transação_atualizado 4 4 3 4" xfId="24503"/>
    <cellStyle name="_Table_Multiplos_transação_atualizado 4 4 4" xfId="20858"/>
    <cellStyle name="_Table_Multiplos_transação_atualizado 4 4 5" xfId="26614"/>
    <cellStyle name="_Table_Multiplos_transação_atualizado 4 5" xfId="7040"/>
    <cellStyle name="_Table_Multiplos_transação_atualizado 4 5 2" xfId="7041"/>
    <cellStyle name="_Table_Multiplos_transação_atualizado 4 5 2 2" xfId="22839"/>
    <cellStyle name="_Table_Multiplos_transação_atualizado 4 5 2 3" xfId="24501"/>
    <cellStyle name="_Table_Multiplos_transação_atualizado 4 5 3" xfId="7042"/>
    <cellStyle name="_Table_Multiplos_transação_atualizado 4 5 3 2" xfId="22840"/>
    <cellStyle name="_Table_Multiplos_transação_atualizado 4 5 3 3" xfId="24500"/>
    <cellStyle name="_Table_Multiplos_transação_atualizado 4 5 4" xfId="22838"/>
    <cellStyle name="_Table_Multiplos_transação_atualizado 4 5 5" xfId="21010"/>
    <cellStyle name="_Table_Multiplos_transação_atualizado 4 6" xfId="7043"/>
    <cellStyle name="_Table_Multiplos_transação_atualizado 4 6 2" xfId="7044"/>
    <cellStyle name="_Table_Multiplos_transação_atualizado 4 6 2 2" xfId="22842"/>
    <cellStyle name="_Table_Multiplos_transação_atualizado 4 6 2 3" xfId="24498"/>
    <cellStyle name="_Table_Multiplos_transação_atualizado 4 6 3" xfId="22841"/>
    <cellStyle name="_Table_Multiplos_transação_atualizado 4 6 4" xfId="24499"/>
    <cellStyle name="_Table_Multiplos_transação_atualizado 4 7" xfId="20855"/>
    <cellStyle name="_Table_Multiplos_transação_atualizado 4 8" xfId="26617"/>
    <cellStyle name="_Table_Multiplos_transação_atualizado 5" xfId="4947"/>
    <cellStyle name="_Table_Multiplos_transação_atualizado 5 2" xfId="7045"/>
    <cellStyle name="_Table_Multiplos_transação_atualizado 5 2 2" xfId="7046"/>
    <cellStyle name="_Table_Multiplos_transação_atualizado 5 2 2 2" xfId="22844"/>
    <cellStyle name="_Table_Multiplos_transação_atualizado 5 2 2 3" xfId="24496"/>
    <cellStyle name="_Table_Multiplos_transação_atualizado 5 2 3" xfId="22843"/>
    <cellStyle name="_Table_Multiplos_transação_atualizado 5 2 4" xfId="24497"/>
    <cellStyle name="_Table_Multiplos_transação_atualizado 5 3" xfId="7047"/>
    <cellStyle name="_Table_Multiplos_transação_atualizado 5 3 2" xfId="7048"/>
    <cellStyle name="_Table_Multiplos_transação_atualizado 5 3 2 2" xfId="22846"/>
    <cellStyle name="_Table_Multiplos_transação_atualizado 5 3 2 3" xfId="24494"/>
    <cellStyle name="_Table_Multiplos_transação_atualizado 5 3 3" xfId="7049"/>
    <cellStyle name="_Table_Multiplos_transação_atualizado 5 3 3 2" xfId="22847"/>
    <cellStyle name="_Table_Multiplos_transação_atualizado 5 3 3 3" xfId="24493"/>
    <cellStyle name="_Table_Multiplos_transação_atualizado 5 3 4" xfId="22845"/>
    <cellStyle name="_Table_Multiplos_transação_atualizado 5 3 5" xfId="24495"/>
    <cellStyle name="_Table_Multiplos_transação_atualizado 5 4" xfId="20859"/>
    <cellStyle name="_Table_Multiplos_transação_atualizado 5 5" xfId="26613"/>
    <cellStyle name="_Table_Multiplos_transação_atualizado 6" xfId="4948"/>
    <cellStyle name="_Table_Multiplos_transação_atualizado 6 2" xfId="7050"/>
    <cellStyle name="_Table_Multiplos_transação_atualizado 6 2 2" xfId="7051"/>
    <cellStyle name="_Table_Multiplos_transação_atualizado 6 2 2 2" xfId="22849"/>
    <cellStyle name="_Table_Multiplos_transação_atualizado 6 2 2 3" xfId="24491"/>
    <cellStyle name="_Table_Multiplos_transação_atualizado 6 2 3" xfId="7052"/>
    <cellStyle name="_Table_Multiplos_transação_atualizado 6 2 3 2" xfId="22850"/>
    <cellStyle name="_Table_Multiplos_transação_atualizado 6 2 3 3" xfId="24490"/>
    <cellStyle name="_Table_Multiplos_transação_atualizado 6 2 4" xfId="22848"/>
    <cellStyle name="_Table_Multiplos_transação_atualizado 6 2 5" xfId="24492"/>
    <cellStyle name="_Table_Multiplos_transação_atualizado 6 3" xfId="7053"/>
    <cellStyle name="_Table_Multiplos_transação_atualizado 6 3 2" xfId="7054"/>
    <cellStyle name="_Table_Multiplos_transação_atualizado 6 3 2 2" xfId="22852"/>
    <cellStyle name="_Table_Multiplos_transação_atualizado 6 3 2 3" xfId="24488"/>
    <cellStyle name="_Table_Multiplos_transação_atualizado 6 3 3" xfId="22851"/>
    <cellStyle name="_Table_Multiplos_transação_atualizado 6 3 4" xfId="24489"/>
    <cellStyle name="_Table_Multiplos_transação_atualizado 6 4" xfId="20860"/>
    <cellStyle name="_Table_Multiplos_transação_atualizado 6 5" xfId="26612"/>
    <cellStyle name="_Table_Multiplos_transação_atualizado 7" xfId="7055"/>
    <cellStyle name="_Table_Multiplos_transação_atualizado 7 2" xfId="7056"/>
    <cellStyle name="_Table_Multiplos_transação_atualizado 7 2 2" xfId="22854"/>
    <cellStyle name="_Table_Multiplos_transação_atualizado 7 2 3" xfId="24487"/>
    <cellStyle name="_Table_Multiplos_transação_atualizado 7 3" xfId="7057"/>
    <cellStyle name="_Table_Multiplos_transação_atualizado 7 3 2" xfId="22855"/>
    <cellStyle name="_Table_Multiplos_transação_atualizado 7 3 3" xfId="24486"/>
    <cellStyle name="_Table_Multiplos_transação_atualizado 7 4" xfId="22853"/>
    <cellStyle name="_Table_Multiplos_transação_atualizado 7 5" xfId="20324"/>
    <cellStyle name="_Table_Multiplos_transação_atualizado 8" xfId="7058"/>
    <cellStyle name="_Table_Multiplos_transação_atualizado 8 2" xfId="7059"/>
    <cellStyle name="_Table_Multiplos_transação_atualizado 8 2 2" xfId="22857"/>
    <cellStyle name="_Table_Multiplos_transação_atualizado 8 2 3" xfId="24484"/>
    <cellStyle name="_Table_Multiplos_transação_atualizado 8 3" xfId="22856"/>
    <cellStyle name="_Table_Multiplos_transação_atualizado 8 4" xfId="24485"/>
    <cellStyle name="_Table_Multiplos_transação_atualizado 9" xfId="18519"/>
    <cellStyle name="_Table_Multiplos_v2" xfId="833"/>
    <cellStyle name="_Table_Multiplos_v2 10" xfId="30665"/>
    <cellStyle name="_Table_Multiplos_v2 2" xfId="834"/>
    <cellStyle name="_Table_Multiplos_v2 2 2" xfId="4949"/>
    <cellStyle name="_Table_Multiplos_v2 2 2 2" xfId="4950"/>
    <cellStyle name="_Table_Multiplos_v2 2 2 2 2" xfId="7060"/>
    <cellStyle name="_Table_Multiplos_v2 2 2 2 2 2" xfId="7061"/>
    <cellStyle name="_Table_Multiplos_v2 2 2 2 2 2 2" xfId="22859"/>
    <cellStyle name="_Table_Multiplos_v2 2 2 2 2 2 3" xfId="24482"/>
    <cellStyle name="_Table_Multiplos_v2 2 2 2 2 3" xfId="22858"/>
    <cellStyle name="_Table_Multiplos_v2 2 2 2 2 4" xfId="24483"/>
    <cellStyle name="_Table_Multiplos_v2 2 2 2 3" xfId="7062"/>
    <cellStyle name="_Table_Multiplos_v2 2 2 2 3 2" xfId="7063"/>
    <cellStyle name="_Table_Multiplos_v2 2 2 2 3 2 2" xfId="22861"/>
    <cellStyle name="_Table_Multiplos_v2 2 2 2 3 2 3" xfId="24480"/>
    <cellStyle name="_Table_Multiplos_v2 2 2 2 3 3" xfId="7064"/>
    <cellStyle name="_Table_Multiplos_v2 2 2 2 3 3 2" xfId="22862"/>
    <cellStyle name="_Table_Multiplos_v2 2 2 2 3 3 3" xfId="24479"/>
    <cellStyle name="_Table_Multiplos_v2 2 2 2 3 4" xfId="22860"/>
    <cellStyle name="_Table_Multiplos_v2 2 2 2 3 5" xfId="24481"/>
    <cellStyle name="_Table_Multiplos_v2 2 2 2 4" xfId="20862"/>
    <cellStyle name="_Table_Multiplos_v2 2 2 2 5" xfId="26610"/>
    <cellStyle name="_Table_Multiplos_v2 2 2 3" xfId="4951"/>
    <cellStyle name="_Table_Multiplos_v2 2 2 3 2" xfId="7065"/>
    <cellStyle name="_Table_Multiplos_v2 2 2 3 2 2" xfId="7066"/>
    <cellStyle name="_Table_Multiplos_v2 2 2 3 2 2 2" xfId="22864"/>
    <cellStyle name="_Table_Multiplos_v2 2 2 3 2 2 3" xfId="24477"/>
    <cellStyle name="_Table_Multiplos_v2 2 2 3 2 3" xfId="22863"/>
    <cellStyle name="_Table_Multiplos_v2 2 2 3 2 4" xfId="24478"/>
    <cellStyle name="_Table_Multiplos_v2 2 2 3 3" xfId="7067"/>
    <cellStyle name="_Table_Multiplos_v2 2 2 3 3 2" xfId="7068"/>
    <cellStyle name="_Table_Multiplos_v2 2 2 3 3 2 2" xfId="22866"/>
    <cellStyle name="_Table_Multiplos_v2 2 2 3 3 2 3" xfId="24475"/>
    <cellStyle name="_Table_Multiplos_v2 2 2 3 3 3" xfId="7069"/>
    <cellStyle name="_Table_Multiplos_v2 2 2 3 3 3 2" xfId="22867"/>
    <cellStyle name="_Table_Multiplos_v2 2 2 3 3 3 3" xfId="24474"/>
    <cellStyle name="_Table_Multiplos_v2 2 2 3 3 4" xfId="22865"/>
    <cellStyle name="_Table_Multiplos_v2 2 2 3 3 5" xfId="24476"/>
    <cellStyle name="_Table_Multiplos_v2 2 2 3 4" xfId="20863"/>
    <cellStyle name="_Table_Multiplos_v2 2 2 3 5" xfId="26609"/>
    <cellStyle name="_Table_Multiplos_v2 2 2 4" xfId="4952"/>
    <cellStyle name="_Table_Multiplos_v2 2 2 4 2" xfId="7070"/>
    <cellStyle name="_Table_Multiplos_v2 2 2 4 2 2" xfId="7071"/>
    <cellStyle name="_Table_Multiplos_v2 2 2 4 2 2 2" xfId="22869"/>
    <cellStyle name="_Table_Multiplos_v2 2 2 4 2 2 3" xfId="19269"/>
    <cellStyle name="_Table_Multiplos_v2 2 2 4 2 3" xfId="7072"/>
    <cellStyle name="_Table_Multiplos_v2 2 2 4 2 3 2" xfId="22870"/>
    <cellStyle name="_Table_Multiplos_v2 2 2 4 2 3 3" xfId="19268"/>
    <cellStyle name="_Table_Multiplos_v2 2 2 4 2 4" xfId="22868"/>
    <cellStyle name="_Table_Multiplos_v2 2 2 4 2 5" xfId="20367"/>
    <cellStyle name="_Table_Multiplos_v2 2 2 4 3" xfId="7073"/>
    <cellStyle name="_Table_Multiplos_v2 2 2 4 3 2" xfId="7074"/>
    <cellStyle name="_Table_Multiplos_v2 2 2 4 3 2 2" xfId="22872"/>
    <cellStyle name="_Table_Multiplos_v2 2 2 4 3 2 3" xfId="19267"/>
    <cellStyle name="_Table_Multiplos_v2 2 2 4 3 3" xfId="22871"/>
    <cellStyle name="_Table_Multiplos_v2 2 2 4 3 4" xfId="24473"/>
    <cellStyle name="_Table_Multiplos_v2 2 2 4 4" xfId="20864"/>
    <cellStyle name="_Table_Multiplos_v2 2 2 4 5" xfId="26608"/>
    <cellStyle name="_Table_Multiplos_v2 2 2 5" xfId="7075"/>
    <cellStyle name="_Table_Multiplos_v2 2 2 5 2" xfId="7076"/>
    <cellStyle name="_Table_Multiplos_v2 2 2 5 2 2" xfId="22874"/>
    <cellStyle name="_Table_Multiplos_v2 2 2 5 2 3" xfId="19264"/>
    <cellStyle name="_Table_Multiplos_v2 2 2 5 3" xfId="7077"/>
    <cellStyle name="_Table_Multiplos_v2 2 2 5 3 2" xfId="22875"/>
    <cellStyle name="_Table_Multiplos_v2 2 2 5 3 3" xfId="19263"/>
    <cellStyle name="_Table_Multiplos_v2 2 2 5 4" xfId="22873"/>
    <cellStyle name="_Table_Multiplos_v2 2 2 5 5" xfId="19265"/>
    <cellStyle name="_Table_Multiplos_v2 2 2 6" xfId="7078"/>
    <cellStyle name="_Table_Multiplos_v2 2 2 6 2" xfId="7079"/>
    <cellStyle name="_Table_Multiplos_v2 2 2 6 2 2" xfId="22877"/>
    <cellStyle name="_Table_Multiplos_v2 2 2 6 2 3" xfId="19261"/>
    <cellStyle name="_Table_Multiplos_v2 2 2 6 3" xfId="22876"/>
    <cellStyle name="_Table_Multiplos_v2 2 2 6 4" xfId="19262"/>
    <cellStyle name="_Table_Multiplos_v2 2 2 7" xfId="20861"/>
    <cellStyle name="_Table_Multiplos_v2 2 2 8" xfId="26611"/>
    <cellStyle name="_Table_Multiplos_v2 2 3" xfId="4953"/>
    <cellStyle name="_Table_Multiplos_v2 2 3 2" xfId="7080"/>
    <cellStyle name="_Table_Multiplos_v2 2 3 2 2" xfId="7081"/>
    <cellStyle name="_Table_Multiplos_v2 2 3 2 2 2" xfId="22879"/>
    <cellStyle name="_Table_Multiplos_v2 2 3 2 2 3" xfId="19259"/>
    <cellStyle name="_Table_Multiplos_v2 2 3 2 3" xfId="22878"/>
    <cellStyle name="_Table_Multiplos_v2 2 3 2 4" xfId="19260"/>
    <cellStyle name="_Table_Multiplos_v2 2 3 3" xfId="7082"/>
    <cellStyle name="_Table_Multiplos_v2 2 3 3 2" xfId="7083"/>
    <cellStyle name="_Table_Multiplos_v2 2 3 3 2 2" xfId="22881"/>
    <cellStyle name="_Table_Multiplos_v2 2 3 3 2 3" xfId="19257"/>
    <cellStyle name="_Table_Multiplos_v2 2 3 3 3" xfId="7084"/>
    <cellStyle name="_Table_Multiplos_v2 2 3 3 3 2" xfId="22882"/>
    <cellStyle name="_Table_Multiplos_v2 2 3 3 3 3" xfId="19256"/>
    <cellStyle name="_Table_Multiplos_v2 2 3 3 4" xfId="22880"/>
    <cellStyle name="_Table_Multiplos_v2 2 3 3 5" xfId="19258"/>
    <cellStyle name="_Table_Multiplos_v2 2 3 4" xfId="20865"/>
    <cellStyle name="_Table_Multiplos_v2 2 3 5" xfId="26607"/>
    <cellStyle name="_Table_Multiplos_v2 2 4" xfId="4954"/>
    <cellStyle name="_Table_Multiplos_v2 2 4 2" xfId="7085"/>
    <cellStyle name="_Table_Multiplos_v2 2 4 2 2" xfId="7086"/>
    <cellStyle name="_Table_Multiplos_v2 2 4 2 2 2" xfId="22884"/>
    <cellStyle name="_Table_Multiplos_v2 2 4 2 2 3" xfId="19249"/>
    <cellStyle name="_Table_Multiplos_v2 2 4 2 3" xfId="7087"/>
    <cellStyle name="_Table_Multiplos_v2 2 4 2 3 2" xfId="22885"/>
    <cellStyle name="_Table_Multiplos_v2 2 4 2 3 3" xfId="19248"/>
    <cellStyle name="_Table_Multiplos_v2 2 4 2 4" xfId="22883"/>
    <cellStyle name="_Table_Multiplos_v2 2 4 2 5" xfId="19250"/>
    <cellStyle name="_Table_Multiplos_v2 2 4 3" xfId="7088"/>
    <cellStyle name="_Table_Multiplos_v2 2 4 3 2" xfId="7089"/>
    <cellStyle name="_Table_Multiplos_v2 2 4 3 2 2" xfId="22887"/>
    <cellStyle name="_Table_Multiplos_v2 2 4 3 2 3" xfId="19246"/>
    <cellStyle name="_Table_Multiplos_v2 2 4 3 3" xfId="22886"/>
    <cellStyle name="_Table_Multiplos_v2 2 4 3 4" xfId="19247"/>
    <cellStyle name="_Table_Multiplos_v2 2 4 4" xfId="20866"/>
    <cellStyle name="_Table_Multiplos_v2 2 4 5" xfId="26606"/>
    <cellStyle name="_Table_Multiplos_v2 2 5" xfId="7090"/>
    <cellStyle name="_Table_Multiplos_v2 2 5 2" xfId="7091"/>
    <cellStyle name="_Table_Multiplos_v2 2 5 2 2" xfId="22889"/>
    <cellStyle name="_Table_Multiplos_v2 2 5 2 3" xfId="19244"/>
    <cellStyle name="_Table_Multiplos_v2 2 5 3" xfId="7092"/>
    <cellStyle name="_Table_Multiplos_v2 2 5 3 2" xfId="22890"/>
    <cellStyle name="_Table_Multiplos_v2 2 5 3 3" xfId="19243"/>
    <cellStyle name="_Table_Multiplos_v2 2 5 4" xfId="22888"/>
    <cellStyle name="_Table_Multiplos_v2 2 5 5" xfId="19245"/>
    <cellStyle name="_Table_Multiplos_v2 2 6" xfId="7093"/>
    <cellStyle name="_Table_Multiplos_v2 2 6 2" xfId="7094"/>
    <cellStyle name="_Table_Multiplos_v2 2 6 2 2" xfId="22892"/>
    <cellStyle name="_Table_Multiplos_v2 2 6 2 3" xfId="19241"/>
    <cellStyle name="_Table_Multiplos_v2 2 6 3" xfId="22891"/>
    <cellStyle name="_Table_Multiplos_v2 2 6 4" xfId="19242"/>
    <cellStyle name="_Table_Multiplos_v2 2 7" xfId="18523"/>
    <cellStyle name="_Table_Multiplos_v2 2 8" xfId="30664"/>
    <cellStyle name="_Table_Multiplos_v2 3" xfId="835"/>
    <cellStyle name="_Table_Multiplos_v2 3 2" xfId="4955"/>
    <cellStyle name="_Table_Multiplos_v2 3 2 2" xfId="4956"/>
    <cellStyle name="_Table_Multiplos_v2 3 2 2 2" xfId="7095"/>
    <cellStyle name="_Table_Multiplos_v2 3 2 2 2 2" xfId="7096"/>
    <cellStyle name="_Table_Multiplos_v2 3 2 2 2 2 2" xfId="22894"/>
    <cellStyle name="_Table_Multiplos_v2 3 2 2 2 2 3" xfId="19239"/>
    <cellStyle name="_Table_Multiplos_v2 3 2 2 2 3" xfId="22893"/>
    <cellStyle name="_Table_Multiplos_v2 3 2 2 2 4" xfId="19240"/>
    <cellStyle name="_Table_Multiplos_v2 3 2 2 3" xfId="7097"/>
    <cellStyle name="_Table_Multiplos_v2 3 2 2 3 2" xfId="7098"/>
    <cellStyle name="_Table_Multiplos_v2 3 2 2 3 2 2" xfId="22896"/>
    <cellStyle name="_Table_Multiplos_v2 3 2 2 3 2 3" xfId="19236"/>
    <cellStyle name="_Table_Multiplos_v2 3 2 2 3 3" xfId="7099"/>
    <cellStyle name="_Table_Multiplos_v2 3 2 2 3 3 2" xfId="22897"/>
    <cellStyle name="_Table_Multiplos_v2 3 2 2 3 3 3" xfId="19235"/>
    <cellStyle name="_Table_Multiplos_v2 3 2 2 3 4" xfId="22895"/>
    <cellStyle name="_Table_Multiplos_v2 3 2 2 3 5" xfId="19238"/>
    <cellStyle name="_Table_Multiplos_v2 3 2 2 4" xfId="20868"/>
    <cellStyle name="_Table_Multiplos_v2 3 2 2 5" xfId="21098"/>
    <cellStyle name="_Table_Multiplos_v2 3 2 3" xfId="4957"/>
    <cellStyle name="_Table_Multiplos_v2 3 2 3 2" xfId="7100"/>
    <cellStyle name="_Table_Multiplos_v2 3 2 3 2 2" xfId="7101"/>
    <cellStyle name="_Table_Multiplos_v2 3 2 3 2 2 2" xfId="22899"/>
    <cellStyle name="_Table_Multiplos_v2 3 2 3 2 2 3" xfId="19233"/>
    <cellStyle name="_Table_Multiplos_v2 3 2 3 2 3" xfId="22898"/>
    <cellStyle name="_Table_Multiplos_v2 3 2 3 2 4" xfId="19234"/>
    <cellStyle name="_Table_Multiplos_v2 3 2 3 3" xfId="7102"/>
    <cellStyle name="_Table_Multiplos_v2 3 2 3 3 2" xfId="7103"/>
    <cellStyle name="_Table_Multiplos_v2 3 2 3 3 2 2" xfId="22901"/>
    <cellStyle name="_Table_Multiplos_v2 3 2 3 3 2 3" xfId="19231"/>
    <cellStyle name="_Table_Multiplos_v2 3 2 3 3 3" xfId="7104"/>
    <cellStyle name="_Table_Multiplos_v2 3 2 3 3 3 2" xfId="22902"/>
    <cellStyle name="_Table_Multiplos_v2 3 2 3 3 3 3" xfId="19230"/>
    <cellStyle name="_Table_Multiplos_v2 3 2 3 3 4" xfId="22900"/>
    <cellStyle name="_Table_Multiplos_v2 3 2 3 3 5" xfId="19232"/>
    <cellStyle name="_Table_Multiplos_v2 3 2 3 4" xfId="20869"/>
    <cellStyle name="_Table_Multiplos_v2 3 2 3 5" xfId="26604"/>
    <cellStyle name="_Table_Multiplos_v2 3 2 4" xfId="4958"/>
    <cellStyle name="_Table_Multiplos_v2 3 2 4 2" xfId="7105"/>
    <cellStyle name="_Table_Multiplos_v2 3 2 4 2 2" xfId="7106"/>
    <cellStyle name="_Table_Multiplos_v2 3 2 4 2 2 2" xfId="22904"/>
    <cellStyle name="_Table_Multiplos_v2 3 2 4 2 2 3" xfId="19228"/>
    <cellStyle name="_Table_Multiplos_v2 3 2 4 2 3" xfId="7107"/>
    <cellStyle name="_Table_Multiplos_v2 3 2 4 2 3 2" xfId="22905"/>
    <cellStyle name="_Table_Multiplos_v2 3 2 4 2 3 3" xfId="19227"/>
    <cellStyle name="_Table_Multiplos_v2 3 2 4 2 4" xfId="22903"/>
    <cellStyle name="_Table_Multiplos_v2 3 2 4 2 5" xfId="19229"/>
    <cellStyle name="_Table_Multiplos_v2 3 2 4 3" xfId="7108"/>
    <cellStyle name="_Table_Multiplos_v2 3 2 4 3 2" xfId="7109"/>
    <cellStyle name="_Table_Multiplos_v2 3 2 4 3 2 2" xfId="22907"/>
    <cellStyle name="_Table_Multiplos_v2 3 2 4 3 2 3" xfId="19225"/>
    <cellStyle name="_Table_Multiplos_v2 3 2 4 3 3" xfId="22906"/>
    <cellStyle name="_Table_Multiplos_v2 3 2 4 3 4" xfId="19226"/>
    <cellStyle name="_Table_Multiplos_v2 3 2 4 4" xfId="20870"/>
    <cellStyle name="_Table_Multiplos_v2 3 2 4 5" xfId="26603"/>
    <cellStyle name="_Table_Multiplos_v2 3 2 5" xfId="7110"/>
    <cellStyle name="_Table_Multiplos_v2 3 2 5 2" xfId="7111"/>
    <cellStyle name="_Table_Multiplos_v2 3 2 5 2 2" xfId="22909"/>
    <cellStyle name="_Table_Multiplos_v2 3 2 5 2 3" xfId="19223"/>
    <cellStyle name="_Table_Multiplos_v2 3 2 5 3" xfId="7112"/>
    <cellStyle name="_Table_Multiplos_v2 3 2 5 3 2" xfId="22910"/>
    <cellStyle name="_Table_Multiplos_v2 3 2 5 3 3" xfId="19222"/>
    <cellStyle name="_Table_Multiplos_v2 3 2 5 4" xfId="22908"/>
    <cellStyle name="_Table_Multiplos_v2 3 2 5 5" xfId="19224"/>
    <cellStyle name="_Table_Multiplos_v2 3 2 6" xfId="7113"/>
    <cellStyle name="_Table_Multiplos_v2 3 2 6 2" xfId="7114"/>
    <cellStyle name="_Table_Multiplos_v2 3 2 6 2 2" xfId="22912"/>
    <cellStyle name="_Table_Multiplos_v2 3 2 6 2 3" xfId="19220"/>
    <cellStyle name="_Table_Multiplos_v2 3 2 6 3" xfId="22911"/>
    <cellStyle name="_Table_Multiplos_v2 3 2 6 4" xfId="19221"/>
    <cellStyle name="_Table_Multiplos_v2 3 2 7" xfId="20867"/>
    <cellStyle name="_Table_Multiplos_v2 3 2 8" xfId="26605"/>
    <cellStyle name="_Table_Multiplos_v2 3 3" xfId="4959"/>
    <cellStyle name="_Table_Multiplos_v2 3 3 2" xfId="7115"/>
    <cellStyle name="_Table_Multiplos_v2 3 3 2 2" xfId="7116"/>
    <cellStyle name="_Table_Multiplos_v2 3 3 2 2 2" xfId="22914"/>
    <cellStyle name="_Table_Multiplos_v2 3 3 2 2 3" xfId="19218"/>
    <cellStyle name="_Table_Multiplos_v2 3 3 2 3" xfId="22913"/>
    <cellStyle name="_Table_Multiplos_v2 3 3 2 4" xfId="19219"/>
    <cellStyle name="_Table_Multiplos_v2 3 3 3" xfId="7117"/>
    <cellStyle name="_Table_Multiplos_v2 3 3 3 2" xfId="7118"/>
    <cellStyle name="_Table_Multiplos_v2 3 3 3 2 2" xfId="22916"/>
    <cellStyle name="_Table_Multiplos_v2 3 3 3 2 3" xfId="19216"/>
    <cellStyle name="_Table_Multiplos_v2 3 3 3 3" xfId="7119"/>
    <cellStyle name="_Table_Multiplos_v2 3 3 3 3 2" xfId="22917"/>
    <cellStyle name="_Table_Multiplos_v2 3 3 3 3 3" xfId="17929"/>
    <cellStyle name="_Table_Multiplos_v2 3 3 3 4" xfId="22915"/>
    <cellStyle name="_Table_Multiplos_v2 3 3 3 5" xfId="19217"/>
    <cellStyle name="_Table_Multiplos_v2 3 3 4" xfId="20871"/>
    <cellStyle name="_Table_Multiplos_v2 3 3 5" xfId="26602"/>
    <cellStyle name="_Table_Multiplos_v2 3 4" xfId="4960"/>
    <cellStyle name="_Table_Multiplos_v2 3 4 2" xfId="7120"/>
    <cellStyle name="_Table_Multiplos_v2 3 4 2 2" xfId="7121"/>
    <cellStyle name="_Table_Multiplos_v2 3 4 2 2 2" xfId="22919"/>
    <cellStyle name="_Table_Multiplos_v2 3 4 2 2 3" xfId="24339"/>
    <cellStyle name="_Table_Multiplos_v2 3 4 2 3" xfId="7122"/>
    <cellStyle name="_Table_Multiplos_v2 3 4 2 3 2" xfId="22920"/>
    <cellStyle name="_Table_Multiplos_v2 3 4 2 3 3" xfId="24338"/>
    <cellStyle name="_Table_Multiplos_v2 3 4 2 4" xfId="22918"/>
    <cellStyle name="_Table_Multiplos_v2 3 4 2 5" xfId="19215"/>
    <cellStyle name="_Table_Multiplos_v2 3 4 3" xfId="7123"/>
    <cellStyle name="_Table_Multiplos_v2 3 4 3 2" xfId="7124"/>
    <cellStyle name="_Table_Multiplos_v2 3 4 3 2 2" xfId="22922"/>
    <cellStyle name="_Table_Multiplos_v2 3 4 3 2 3" xfId="24336"/>
    <cellStyle name="_Table_Multiplos_v2 3 4 3 3" xfId="22921"/>
    <cellStyle name="_Table_Multiplos_v2 3 4 3 4" xfId="24337"/>
    <cellStyle name="_Table_Multiplos_v2 3 4 4" xfId="20872"/>
    <cellStyle name="_Table_Multiplos_v2 3 4 5" xfId="26601"/>
    <cellStyle name="_Table_Multiplos_v2 3 5" xfId="7125"/>
    <cellStyle name="_Table_Multiplos_v2 3 5 2" xfId="7126"/>
    <cellStyle name="_Table_Multiplos_v2 3 5 2 2" xfId="22924"/>
    <cellStyle name="_Table_Multiplos_v2 3 5 2 3" xfId="24334"/>
    <cellStyle name="_Table_Multiplos_v2 3 5 3" xfId="7127"/>
    <cellStyle name="_Table_Multiplos_v2 3 5 3 2" xfId="22925"/>
    <cellStyle name="_Table_Multiplos_v2 3 5 3 3" xfId="24333"/>
    <cellStyle name="_Table_Multiplos_v2 3 5 4" xfId="22923"/>
    <cellStyle name="_Table_Multiplos_v2 3 5 5" xfId="24335"/>
    <cellStyle name="_Table_Multiplos_v2 3 6" xfId="7128"/>
    <cellStyle name="_Table_Multiplos_v2 3 6 2" xfId="7129"/>
    <cellStyle name="_Table_Multiplos_v2 3 6 2 2" xfId="22927"/>
    <cellStyle name="_Table_Multiplos_v2 3 6 2 3" xfId="24331"/>
    <cellStyle name="_Table_Multiplos_v2 3 6 3" xfId="22926"/>
    <cellStyle name="_Table_Multiplos_v2 3 6 4" xfId="24332"/>
    <cellStyle name="_Table_Multiplos_v2 3 7" xfId="18524"/>
    <cellStyle name="_Table_Multiplos_v2 3 8" xfId="30663"/>
    <cellStyle name="_Table_Multiplos_v2 4" xfId="4961"/>
    <cellStyle name="_Table_Multiplos_v2 4 2" xfId="4962"/>
    <cellStyle name="_Table_Multiplos_v2 4 2 2" xfId="7130"/>
    <cellStyle name="_Table_Multiplos_v2 4 2 2 2" xfId="7131"/>
    <cellStyle name="_Table_Multiplos_v2 4 2 2 2 2" xfId="22929"/>
    <cellStyle name="_Table_Multiplos_v2 4 2 2 2 3" xfId="24329"/>
    <cellStyle name="_Table_Multiplos_v2 4 2 2 3" xfId="22928"/>
    <cellStyle name="_Table_Multiplos_v2 4 2 2 4" xfId="24330"/>
    <cellStyle name="_Table_Multiplos_v2 4 2 3" xfId="7132"/>
    <cellStyle name="_Table_Multiplos_v2 4 2 3 2" xfId="7133"/>
    <cellStyle name="_Table_Multiplos_v2 4 2 3 2 2" xfId="22931"/>
    <cellStyle name="_Table_Multiplos_v2 4 2 3 2 3" xfId="24327"/>
    <cellStyle name="_Table_Multiplos_v2 4 2 3 3" xfId="7134"/>
    <cellStyle name="_Table_Multiplos_v2 4 2 3 3 2" xfId="22932"/>
    <cellStyle name="_Table_Multiplos_v2 4 2 3 3 3" xfId="24326"/>
    <cellStyle name="_Table_Multiplos_v2 4 2 3 4" xfId="22930"/>
    <cellStyle name="_Table_Multiplos_v2 4 2 3 5" xfId="24328"/>
    <cellStyle name="_Table_Multiplos_v2 4 2 4" xfId="20874"/>
    <cellStyle name="_Table_Multiplos_v2 4 2 5" xfId="26599"/>
    <cellStyle name="_Table_Multiplos_v2 4 3" xfId="4963"/>
    <cellStyle name="_Table_Multiplos_v2 4 3 2" xfId="7135"/>
    <cellStyle name="_Table_Multiplos_v2 4 3 2 2" xfId="7136"/>
    <cellStyle name="_Table_Multiplos_v2 4 3 2 2 2" xfId="22934"/>
    <cellStyle name="_Table_Multiplos_v2 4 3 2 2 3" xfId="24324"/>
    <cellStyle name="_Table_Multiplos_v2 4 3 2 3" xfId="22933"/>
    <cellStyle name="_Table_Multiplos_v2 4 3 2 4" xfId="24325"/>
    <cellStyle name="_Table_Multiplos_v2 4 3 3" xfId="7137"/>
    <cellStyle name="_Table_Multiplos_v2 4 3 3 2" xfId="7138"/>
    <cellStyle name="_Table_Multiplos_v2 4 3 3 2 2" xfId="22936"/>
    <cellStyle name="_Table_Multiplos_v2 4 3 3 2 3" xfId="24322"/>
    <cellStyle name="_Table_Multiplos_v2 4 3 3 3" xfId="7139"/>
    <cellStyle name="_Table_Multiplos_v2 4 3 3 3 2" xfId="22937"/>
    <cellStyle name="_Table_Multiplos_v2 4 3 3 3 3" xfId="24321"/>
    <cellStyle name="_Table_Multiplos_v2 4 3 3 4" xfId="22935"/>
    <cellStyle name="_Table_Multiplos_v2 4 3 3 5" xfId="24323"/>
    <cellStyle name="_Table_Multiplos_v2 4 3 4" xfId="20875"/>
    <cellStyle name="_Table_Multiplos_v2 4 3 5" xfId="26598"/>
    <cellStyle name="_Table_Multiplos_v2 4 4" xfId="4964"/>
    <cellStyle name="_Table_Multiplos_v2 4 4 2" xfId="7140"/>
    <cellStyle name="_Table_Multiplos_v2 4 4 2 2" xfId="7141"/>
    <cellStyle name="_Table_Multiplos_v2 4 4 2 2 2" xfId="22939"/>
    <cellStyle name="_Table_Multiplos_v2 4 4 2 2 3" xfId="24319"/>
    <cellStyle name="_Table_Multiplos_v2 4 4 2 3" xfId="7142"/>
    <cellStyle name="_Table_Multiplos_v2 4 4 2 3 2" xfId="22940"/>
    <cellStyle name="_Table_Multiplos_v2 4 4 2 3 3" xfId="24318"/>
    <cellStyle name="_Table_Multiplos_v2 4 4 2 4" xfId="22938"/>
    <cellStyle name="_Table_Multiplos_v2 4 4 2 5" xfId="24320"/>
    <cellStyle name="_Table_Multiplos_v2 4 4 3" xfId="7143"/>
    <cellStyle name="_Table_Multiplos_v2 4 4 3 2" xfId="7144"/>
    <cellStyle name="_Table_Multiplos_v2 4 4 3 2 2" xfId="22942"/>
    <cellStyle name="_Table_Multiplos_v2 4 4 3 2 3" xfId="24317"/>
    <cellStyle name="_Table_Multiplos_v2 4 4 3 3" xfId="22941"/>
    <cellStyle name="_Table_Multiplos_v2 4 4 3 4" xfId="20989"/>
    <cellStyle name="_Table_Multiplos_v2 4 4 4" xfId="20876"/>
    <cellStyle name="_Table_Multiplos_v2 4 4 5" xfId="26597"/>
    <cellStyle name="_Table_Multiplos_v2 4 5" xfId="7145"/>
    <cellStyle name="_Table_Multiplos_v2 4 5 2" xfId="7146"/>
    <cellStyle name="_Table_Multiplos_v2 4 5 2 2" xfId="22944"/>
    <cellStyle name="_Table_Multiplos_v2 4 5 2 3" xfId="24315"/>
    <cellStyle name="_Table_Multiplos_v2 4 5 3" xfId="7147"/>
    <cellStyle name="_Table_Multiplos_v2 4 5 3 2" xfId="22945"/>
    <cellStyle name="_Table_Multiplos_v2 4 5 3 3" xfId="24314"/>
    <cellStyle name="_Table_Multiplos_v2 4 5 4" xfId="22943"/>
    <cellStyle name="_Table_Multiplos_v2 4 5 5" xfId="24316"/>
    <cellStyle name="_Table_Multiplos_v2 4 6" xfId="7148"/>
    <cellStyle name="_Table_Multiplos_v2 4 6 2" xfId="7149"/>
    <cellStyle name="_Table_Multiplos_v2 4 6 2 2" xfId="22947"/>
    <cellStyle name="_Table_Multiplos_v2 4 6 2 3" xfId="24312"/>
    <cellStyle name="_Table_Multiplos_v2 4 6 3" xfId="22946"/>
    <cellStyle name="_Table_Multiplos_v2 4 6 4" xfId="24313"/>
    <cellStyle name="_Table_Multiplos_v2 4 7" xfId="20873"/>
    <cellStyle name="_Table_Multiplos_v2 4 8" xfId="26600"/>
    <cellStyle name="_Table_Multiplos_v2 5" xfId="4965"/>
    <cellStyle name="_Table_Multiplos_v2 5 2" xfId="7150"/>
    <cellStyle name="_Table_Multiplos_v2 5 2 2" xfId="7151"/>
    <cellStyle name="_Table_Multiplos_v2 5 2 2 2" xfId="22949"/>
    <cellStyle name="_Table_Multiplos_v2 5 2 2 3" xfId="24310"/>
    <cellStyle name="_Table_Multiplos_v2 5 2 3" xfId="22948"/>
    <cellStyle name="_Table_Multiplos_v2 5 2 4" xfId="24311"/>
    <cellStyle name="_Table_Multiplos_v2 5 3" xfId="7152"/>
    <cellStyle name="_Table_Multiplos_v2 5 3 2" xfId="7153"/>
    <cellStyle name="_Table_Multiplos_v2 5 3 2 2" xfId="22951"/>
    <cellStyle name="_Table_Multiplos_v2 5 3 2 3" xfId="24308"/>
    <cellStyle name="_Table_Multiplos_v2 5 3 3" xfId="7154"/>
    <cellStyle name="_Table_Multiplos_v2 5 3 3 2" xfId="22952"/>
    <cellStyle name="_Table_Multiplos_v2 5 3 3 3" xfId="24307"/>
    <cellStyle name="_Table_Multiplos_v2 5 3 4" xfId="22950"/>
    <cellStyle name="_Table_Multiplos_v2 5 3 5" xfId="24309"/>
    <cellStyle name="_Table_Multiplos_v2 5 4" xfId="20877"/>
    <cellStyle name="_Table_Multiplos_v2 5 5" xfId="26596"/>
    <cellStyle name="_Table_Multiplos_v2 6" xfId="4966"/>
    <cellStyle name="_Table_Multiplos_v2 6 2" xfId="7155"/>
    <cellStyle name="_Table_Multiplos_v2 6 2 2" xfId="7156"/>
    <cellStyle name="_Table_Multiplos_v2 6 2 2 2" xfId="22954"/>
    <cellStyle name="_Table_Multiplos_v2 6 2 2 3" xfId="24305"/>
    <cellStyle name="_Table_Multiplos_v2 6 2 3" xfId="7157"/>
    <cellStyle name="_Table_Multiplos_v2 6 2 3 2" xfId="22955"/>
    <cellStyle name="_Table_Multiplos_v2 6 2 3 3" xfId="24304"/>
    <cellStyle name="_Table_Multiplos_v2 6 2 4" xfId="22953"/>
    <cellStyle name="_Table_Multiplos_v2 6 2 5" xfId="24306"/>
    <cellStyle name="_Table_Multiplos_v2 6 3" xfId="7158"/>
    <cellStyle name="_Table_Multiplos_v2 6 3 2" xfId="7159"/>
    <cellStyle name="_Table_Multiplos_v2 6 3 2 2" xfId="22957"/>
    <cellStyle name="_Table_Multiplos_v2 6 3 2 3" xfId="24303"/>
    <cellStyle name="_Table_Multiplos_v2 6 3 3" xfId="22956"/>
    <cellStyle name="_Table_Multiplos_v2 6 3 4" xfId="20322"/>
    <cellStyle name="_Table_Multiplos_v2 6 4" xfId="20878"/>
    <cellStyle name="_Table_Multiplos_v2 6 5" xfId="26595"/>
    <cellStyle name="_Table_Multiplos_v2 7" xfId="7160"/>
    <cellStyle name="_Table_Multiplos_v2 7 2" xfId="7161"/>
    <cellStyle name="_Table_Multiplos_v2 7 2 2" xfId="22959"/>
    <cellStyle name="_Table_Multiplos_v2 7 2 3" xfId="24301"/>
    <cellStyle name="_Table_Multiplos_v2 7 3" xfId="7162"/>
    <cellStyle name="_Table_Multiplos_v2 7 3 2" xfId="22960"/>
    <cellStyle name="_Table_Multiplos_v2 7 3 3" xfId="24300"/>
    <cellStyle name="_Table_Multiplos_v2 7 4" xfId="22958"/>
    <cellStyle name="_Table_Multiplos_v2 7 5" xfId="24302"/>
    <cellStyle name="_Table_Multiplos_v2 8" xfId="7163"/>
    <cellStyle name="_Table_Multiplos_v2 8 2" xfId="7164"/>
    <cellStyle name="_Table_Multiplos_v2 8 2 2" xfId="22962"/>
    <cellStyle name="_Table_Multiplos_v2 8 2 3" xfId="24298"/>
    <cellStyle name="_Table_Multiplos_v2 8 3" xfId="22961"/>
    <cellStyle name="_Table_Multiplos_v2 8 4" xfId="24299"/>
    <cellStyle name="_Table_Multiplos_v2 9" xfId="18522"/>
    <cellStyle name="_TableHead" xfId="836"/>
    <cellStyle name="_TableHead 10" xfId="4102"/>
    <cellStyle name="_TableHead 11" xfId="4562"/>
    <cellStyle name="_TableHead 12" xfId="4222"/>
    <cellStyle name="_TableHead 13" xfId="4209"/>
    <cellStyle name="_TableHead 14" xfId="4408"/>
    <cellStyle name="_TableHead 15" xfId="4549"/>
    <cellStyle name="_TableHead 16" xfId="4097"/>
    <cellStyle name="_TableHead 17" xfId="4570"/>
    <cellStyle name="_TableHead 18" xfId="4100"/>
    <cellStyle name="_TableHead 19" xfId="4085"/>
    <cellStyle name="_TableHead 2" xfId="4149"/>
    <cellStyle name="_TableHead 2 2" xfId="4967"/>
    <cellStyle name="_TableHead 2 2 2" xfId="7165"/>
    <cellStyle name="_TableHead 2 2 2 2" xfId="7166"/>
    <cellStyle name="_TableHead 2 2 3" xfId="7167"/>
    <cellStyle name="_TableHead 2 3" xfId="4968"/>
    <cellStyle name="_TableHead 2 3 2" xfId="7168"/>
    <cellStyle name="_TableHead 2 3 2 2" xfId="7169"/>
    <cellStyle name="_TableHead 2 3 3" xfId="7170"/>
    <cellStyle name="_TableHead 2 4" xfId="7171"/>
    <cellStyle name="_TableHead 2 4 2" xfId="7172"/>
    <cellStyle name="_TableHead 2 5" xfId="7173"/>
    <cellStyle name="_TableHead 20" xfId="4494"/>
    <cellStyle name="_TableHead 21" xfId="4508"/>
    <cellStyle name="_TableHead 22" xfId="4172"/>
    <cellStyle name="_TableHead 23" xfId="4544"/>
    <cellStyle name="_TableHead 24" xfId="4451"/>
    <cellStyle name="_TableHead 25" xfId="4660"/>
    <cellStyle name="_TableHead 3" xfId="4482"/>
    <cellStyle name="_TableHead 3 2" xfId="7174"/>
    <cellStyle name="_TableHead 3 2 2" xfId="7175"/>
    <cellStyle name="_TableHead 3 3" xfId="7176"/>
    <cellStyle name="_TableHead 4" xfId="4183"/>
    <cellStyle name="_TableHead 4 2" xfId="7177"/>
    <cellStyle name="_TableHead 4 2 2" xfId="7178"/>
    <cellStyle name="_TableHead 4 3" xfId="7179"/>
    <cellStyle name="_TableHead 5" xfId="4546"/>
    <cellStyle name="_TableHead 5 2" xfId="7180"/>
    <cellStyle name="_TableHead 6" xfId="4529"/>
    <cellStyle name="_TableHead 7" xfId="4090"/>
    <cellStyle name="_TableHead 8" xfId="4495"/>
    <cellStyle name="_TableHead 9" xfId="4212"/>
    <cellStyle name="_TableHead_Book2" xfId="837"/>
    <cellStyle name="_TableHead_Book2 10" xfId="4099"/>
    <cellStyle name="_TableHead_Book2 11" xfId="4561"/>
    <cellStyle name="_TableHead_Book2 12" xfId="4500"/>
    <cellStyle name="_TableHead_Book2 13" xfId="4092"/>
    <cellStyle name="_TableHead_Book2 14" xfId="4194"/>
    <cellStyle name="_TableHead_Book2 15" xfId="4431"/>
    <cellStyle name="_TableHead_Book2 16" xfId="4094"/>
    <cellStyle name="_TableHead_Book2 17" xfId="4082"/>
    <cellStyle name="_TableHead_Book2 18" xfId="4499"/>
    <cellStyle name="_TableHead_Book2 19" xfId="4070"/>
    <cellStyle name="_TableHead_Book2 2" xfId="4150"/>
    <cellStyle name="_TableHead_Book2 2 2" xfId="4969"/>
    <cellStyle name="_TableHead_Book2 2 2 2" xfId="7181"/>
    <cellStyle name="_TableHead_Book2 2 2 2 2" xfId="7182"/>
    <cellStyle name="_TableHead_Book2 2 2 3" xfId="7183"/>
    <cellStyle name="_TableHead_Book2 2 3" xfId="4970"/>
    <cellStyle name="_TableHead_Book2 2 3 2" xfId="7184"/>
    <cellStyle name="_TableHead_Book2 2 3 2 2" xfId="7185"/>
    <cellStyle name="_TableHead_Book2 2 3 3" xfId="7186"/>
    <cellStyle name="_TableHead_Book2 2 4" xfId="7187"/>
    <cellStyle name="_TableHead_Book2 2 4 2" xfId="7188"/>
    <cellStyle name="_TableHead_Book2 2 5" xfId="7189"/>
    <cellStyle name="_TableHead_Book2 20" xfId="4217"/>
    <cellStyle name="_TableHead_Book2 21" xfId="4540"/>
    <cellStyle name="_TableHead_Book2 22" xfId="4432"/>
    <cellStyle name="_TableHead_Book2 23" xfId="4394"/>
    <cellStyle name="_TableHead_Book2 24" xfId="4389"/>
    <cellStyle name="_TableHead_Book2 25" xfId="4558"/>
    <cellStyle name="_TableHead_Book2 3" xfId="4481"/>
    <cellStyle name="_TableHead_Book2 3 2" xfId="7190"/>
    <cellStyle name="_TableHead_Book2 3 2 2" xfId="7191"/>
    <cellStyle name="_TableHead_Book2 3 3" xfId="7192"/>
    <cellStyle name="_TableHead_Book2 4" xfId="4184"/>
    <cellStyle name="_TableHead_Book2 4 2" xfId="7193"/>
    <cellStyle name="_TableHead_Book2 4 2 2" xfId="7194"/>
    <cellStyle name="_TableHead_Book2 4 3" xfId="7195"/>
    <cellStyle name="_TableHead_Book2 5" xfId="4569"/>
    <cellStyle name="_TableHead_Book2 5 2" xfId="7196"/>
    <cellStyle name="_TableHead_Book2 6" xfId="4430"/>
    <cellStyle name="_TableHead_Book2 7" xfId="4504"/>
    <cellStyle name="_TableHead_Book2 8" xfId="4599"/>
    <cellStyle name="_TableHead_Book2 9" xfId="4605"/>
    <cellStyle name="_TableHead_Modelo 021208 FINAL - Colíder_v2" xfId="838"/>
    <cellStyle name="_TableHead_Modelo 021208 FINAL - Colíder_v2 10" xfId="4221"/>
    <cellStyle name="_TableHead_Modelo 021208 FINAL - Colíder_v2 11" xfId="4434"/>
    <cellStyle name="_TableHead_Modelo 021208 FINAL - Colíder_v2 12" xfId="4224"/>
    <cellStyle name="_TableHead_Modelo 021208 FINAL - Colíder_v2 13" xfId="4399"/>
    <cellStyle name="_TableHead_Modelo 021208 FINAL - Colíder_v2 14" xfId="4541"/>
    <cellStyle name="_TableHead_Modelo 021208 FINAL - Colíder_v2 15" xfId="4455"/>
    <cellStyle name="_TableHead_Modelo 021208 FINAL - Colíder_v2 16" xfId="4171"/>
    <cellStyle name="_TableHead_Modelo 021208 FINAL - Colíder_v2 17" xfId="4211"/>
    <cellStyle name="_TableHead_Modelo 021208 FINAL - Colíder_v2 18" xfId="4104"/>
    <cellStyle name="_TableHead_Modelo 021208 FINAL - Colíder_v2 19" xfId="4120"/>
    <cellStyle name="_TableHead_Modelo 021208 FINAL - Colíder_v2 2" xfId="4151"/>
    <cellStyle name="_TableHead_Modelo 021208 FINAL - Colíder_v2 2 2" xfId="4971"/>
    <cellStyle name="_TableHead_Modelo 021208 FINAL - Colíder_v2 2 2 2" xfId="7197"/>
    <cellStyle name="_TableHead_Modelo 021208 FINAL - Colíder_v2 2 2 2 2" xfId="7198"/>
    <cellStyle name="_TableHead_Modelo 021208 FINAL - Colíder_v2 2 2 3" xfId="7199"/>
    <cellStyle name="_TableHead_Modelo 021208 FINAL - Colíder_v2 2 3" xfId="4972"/>
    <cellStyle name="_TableHead_Modelo 021208 FINAL - Colíder_v2 2 3 2" xfId="7200"/>
    <cellStyle name="_TableHead_Modelo 021208 FINAL - Colíder_v2 2 3 2 2" xfId="7201"/>
    <cellStyle name="_TableHead_Modelo 021208 FINAL - Colíder_v2 2 3 3" xfId="7202"/>
    <cellStyle name="_TableHead_Modelo 021208 FINAL - Colíder_v2 2 4" xfId="7203"/>
    <cellStyle name="_TableHead_Modelo 021208 FINAL - Colíder_v2 2 4 2" xfId="7204"/>
    <cellStyle name="_TableHead_Modelo 021208 FINAL - Colíder_v2 2 5" xfId="7205"/>
    <cellStyle name="_TableHead_Modelo 021208 FINAL - Colíder_v2 20" xfId="4441"/>
    <cellStyle name="_TableHead_Modelo 021208 FINAL - Colíder_v2 21" xfId="4631"/>
    <cellStyle name="_TableHead_Modelo 021208 FINAL - Colíder_v2 22" xfId="4490"/>
    <cellStyle name="_TableHead_Modelo 021208 FINAL - Colíder_v2 23" xfId="4417"/>
    <cellStyle name="_TableHead_Modelo 021208 FINAL - Colíder_v2 24" xfId="3959"/>
    <cellStyle name="_TableHead_Modelo 021208 FINAL - Colíder_v2 25" xfId="4642"/>
    <cellStyle name="_TableHead_Modelo 021208 FINAL - Colíder_v2 3" xfId="4480"/>
    <cellStyle name="_TableHead_Modelo 021208 FINAL - Colíder_v2 3 2" xfId="7206"/>
    <cellStyle name="_TableHead_Modelo 021208 FINAL - Colíder_v2 3 2 2" xfId="7207"/>
    <cellStyle name="_TableHead_Modelo 021208 FINAL - Colíder_v2 3 3" xfId="7208"/>
    <cellStyle name="_TableHead_Modelo 021208 FINAL - Colíder_v2 4" xfId="4556"/>
    <cellStyle name="_TableHead_Modelo 021208 FINAL - Colíder_v2 4 2" xfId="7209"/>
    <cellStyle name="_TableHead_Modelo 021208 FINAL - Colíder_v2 4 2 2" xfId="7210"/>
    <cellStyle name="_TableHead_Modelo 021208 FINAL - Colíder_v2 4 3" xfId="7211"/>
    <cellStyle name="_TableHead_Modelo 021208 FINAL - Colíder_v2 5" xfId="4523"/>
    <cellStyle name="_TableHead_Modelo 021208 FINAL - Colíder_v2 5 2" xfId="7212"/>
    <cellStyle name="_TableHead_Modelo 021208 FINAL - Colíder_v2 6" xfId="4594"/>
    <cellStyle name="_TableHead_Modelo 021208 FINAL - Colíder_v2 7" xfId="4079"/>
    <cellStyle name="_TableHead_Modelo 021208 FINAL - Colíder_v2 8" xfId="4416"/>
    <cellStyle name="_TableHead_Modelo 021208 FINAL - Colíder_v2 9" xfId="4213"/>
    <cellStyle name="_TableHead_Modelo 281108 FINAL - Comodoro" xfId="839"/>
    <cellStyle name="_TableHead_Modelo 281108 FINAL - Comodoro 10" xfId="4612"/>
    <cellStyle name="_TableHead_Modelo 281108 FINAL - Comodoro 11" xfId="4461"/>
    <cellStyle name="_TableHead_Modelo 281108 FINAL - Comodoro 12" xfId="4076"/>
    <cellStyle name="_TableHead_Modelo 281108 FINAL - Comodoro 13" xfId="4620"/>
    <cellStyle name="_TableHead_Modelo 281108 FINAL - Comodoro 14" xfId="4229"/>
    <cellStyle name="_TableHead_Modelo 281108 FINAL - Comodoro 15" xfId="4091"/>
    <cellStyle name="_TableHead_Modelo 281108 FINAL - Comodoro 16" xfId="4637"/>
    <cellStyle name="_TableHead_Modelo 281108 FINAL - Comodoro 17" xfId="4554"/>
    <cellStyle name="_TableHead_Modelo 281108 FINAL - Comodoro 18" xfId="4398"/>
    <cellStyle name="_TableHead_Modelo 281108 FINAL - Comodoro 19" xfId="4574"/>
    <cellStyle name="_TableHead_Modelo 281108 FINAL - Comodoro 2" xfId="4152"/>
    <cellStyle name="_TableHead_Modelo 281108 FINAL - Comodoro 2 2" xfId="4973"/>
    <cellStyle name="_TableHead_Modelo 281108 FINAL - Comodoro 2 2 2" xfId="7213"/>
    <cellStyle name="_TableHead_Modelo 281108 FINAL - Comodoro 2 2 2 2" xfId="7214"/>
    <cellStyle name="_TableHead_Modelo 281108 FINAL - Comodoro 2 2 3" xfId="7215"/>
    <cellStyle name="_TableHead_Modelo 281108 FINAL - Comodoro 2 3" xfId="4974"/>
    <cellStyle name="_TableHead_Modelo 281108 FINAL - Comodoro 2 3 2" xfId="7216"/>
    <cellStyle name="_TableHead_Modelo 281108 FINAL - Comodoro 2 3 2 2" xfId="7217"/>
    <cellStyle name="_TableHead_Modelo 281108 FINAL - Comodoro 2 3 3" xfId="7218"/>
    <cellStyle name="_TableHead_Modelo 281108 FINAL - Comodoro 2 4" xfId="7219"/>
    <cellStyle name="_TableHead_Modelo 281108 FINAL - Comodoro 2 4 2" xfId="7220"/>
    <cellStyle name="_TableHead_Modelo 281108 FINAL - Comodoro 2 5" xfId="7221"/>
    <cellStyle name="_TableHead_Modelo 281108 FINAL - Comodoro 20" xfId="4648"/>
    <cellStyle name="_TableHead_Modelo 281108 FINAL - Comodoro 21" xfId="4449"/>
    <cellStyle name="_TableHead_Modelo 281108 FINAL - Comodoro 22" xfId="4129"/>
    <cellStyle name="_TableHead_Modelo 281108 FINAL - Comodoro 23" xfId="4403"/>
    <cellStyle name="_TableHead_Modelo 281108 FINAL - Comodoro 24" xfId="4664"/>
    <cellStyle name="_TableHead_Modelo 281108 FINAL - Comodoro 25" xfId="4659"/>
    <cellStyle name="_TableHead_Modelo 281108 FINAL - Comodoro 3" xfId="4479"/>
    <cellStyle name="_TableHead_Modelo 281108 FINAL - Comodoro 3 2" xfId="7222"/>
    <cellStyle name="_TableHead_Modelo 281108 FINAL - Comodoro 3 2 2" xfId="7223"/>
    <cellStyle name="_TableHead_Modelo 281108 FINAL - Comodoro 3 3" xfId="7224"/>
    <cellStyle name="_TableHead_Modelo 281108 FINAL - Comodoro 4" xfId="4185"/>
    <cellStyle name="_TableHead_Modelo 281108 FINAL - Comodoro 4 2" xfId="7225"/>
    <cellStyle name="_TableHead_Modelo 281108 FINAL - Comodoro 4 2 2" xfId="7226"/>
    <cellStyle name="_TableHead_Modelo 281108 FINAL - Comodoro 4 3" xfId="7227"/>
    <cellStyle name="_TableHead_Modelo 281108 FINAL - Comodoro 5" xfId="4448"/>
    <cellStyle name="_TableHead_Modelo 281108 FINAL - Comodoro 5 2" xfId="7228"/>
    <cellStyle name="_TableHead_Modelo 281108 FINAL - Comodoro 6" xfId="4525"/>
    <cellStyle name="_TableHead_Modelo 281108 FINAL - Comodoro 7" xfId="4124"/>
    <cellStyle name="_TableHead_Modelo 281108 FINAL - Comodoro 8" xfId="4551"/>
    <cellStyle name="_TableHead_Modelo 281108 FINAL - Comodoro 9" xfId="4471"/>
    <cellStyle name="_TableHead_Modelo 301108 FINAL - Alta Floresta" xfId="840"/>
    <cellStyle name="_TableHead_Modelo 301108 FINAL - Alta Floresta 10" xfId="4195"/>
    <cellStyle name="_TableHead_Modelo 301108 FINAL - Alta Floresta 11" xfId="4406"/>
    <cellStyle name="_TableHead_Modelo 301108 FINAL - Alta Floresta 12" xfId="4519"/>
    <cellStyle name="_TableHead_Modelo 301108 FINAL - Alta Floresta 13" xfId="4598"/>
    <cellStyle name="_TableHead_Modelo 301108 FINAL - Alta Floresta 14" xfId="4459"/>
    <cellStyle name="_TableHead_Modelo 301108 FINAL - Alta Floresta 15" xfId="4474"/>
    <cellStyle name="_TableHead_Modelo 301108 FINAL - Alta Floresta 16" xfId="4407"/>
    <cellStyle name="_TableHead_Modelo 301108 FINAL - Alta Floresta 17" xfId="4119"/>
    <cellStyle name="_TableHead_Modelo 301108 FINAL - Alta Floresta 18" xfId="4437"/>
    <cellStyle name="_TableHead_Modelo 301108 FINAL - Alta Floresta 19" xfId="4177"/>
    <cellStyle name="_TableHead_Modelo 301108 FINAL - Alta Floresta 2" xfId="4153"/>
    <cellStyle name="_TableHead_Modelo 301108 FINAL - Alta Floresta 2 2" xfId="4975"/>
    <cellStyle name="_TableHead_Modelo 301108 FINAL - Alta Floresta 2 2 2" xfId="7229"/>
    <cellStyle name="_TableHead_Modelo 301108 FINAL - Alta Floresta 2 2 2 2" xfId="7230"/>
    <cellStyle name="_TableHead_Modelo 301108 FINAL - Alta Floresta 2 2 3" xfId="7231"/>
    <cellStyle name="_TableHead_Modelo 301108 FINAL - Alta Floresta 2 3" xfId="4976"/>
    <cellStyle name="_TableHead_Modelo 301108 FINAL - Alta Floresta 2 3 2" xfId="7232"/>
    <cellStyle name="_TableHead_Modelo 301108 FINAL - Alta Floresta 2 3 2 2" xfId="7233"/>
    <cellStyle name="_TableHead_Modelo 301108 FINAL - Alta Floresta 2 3 3" xfId="7234"/>
    <cellStyle name="_TableHead_Modelo 301108 FINAL - Alta Floresta 2 4" xfId="7235"/>
    <cellStyle name="_TableHead_Modelo 301108 FINAL - Alta Floresta 2 4 2" xfId="7236"/>
    <cellStyle name="_TableHead_Modelo 301108 FINAL - Alta Floresta 2 5" xfId="7237"/>
    <cellStyle name="_TableHead_Modelo 301108 FINAL - Alta Floresta 20" xfId="4392"/>
    <cellStyle name="_TableHead_Modelo 301108 FINAL - Alta Floresta 21" xfId="4553"/>
    <cellStyle name="_TableHead_Modelo 301108 FINAL - Alta Floresta 22" xfId="4080"/>
    <cellStyle name="_TableHead_Modelo 301108 FINAL - Alta Floresta 23" xfId="4062"/>
    <cellStyle name="_TableHead_Modelo 301108 FINAL - Alta Floresta 24" xfId="4087"/>
    <cellStyle name="_TableHead_Modelo 301108 FINAL - Alta Floresta 25" xfId="4235"/>
    <cellStyle name="_TableHead_Modelo 301108 FINAL - Alta Floresta 3" xfId="4478"/>
    <cellStyle name="_TableHead_Modelo 301108 FINAL - Alta Floresta 3 2" xfId="7238"/>
    <cellStyle name="_TableHead_Modelo 301108 FINAL - Alta Floresta 3 2 2" xfId="7239"/>
    <cellStyle name="_TableHead_Modelo 301108 FINAL - Alta Floresta 3 3" xfId="7240"/>
    <cellStyle name="_TableHead_Modelo 301108 FINAL - Alta Floresta 4" xfId="4186"/>
    <cellStyle name="_TableHead_Modelo 301108 FINAL - Alta Floresta 4 2" xfId="7241"/>
    <cellStyle name="_TableHead_Modelo 301108 FINAL - Alta Floresta 4 2 2" xfId="7242"/>
    <cellStyle name="_TableHead_Modelo 301108 FINAL - Alta Floresta 4 3" xfId="7243"/>
    <cellStyle name="_TableHead_Modelo 301108 FINAL - Alta Floresta 5" xfId="4447"/>
    <cellStyle name="_TableHead_Modelo 301108 FINAL - Alta Floresta 5 2" xfId="7244"/>
    <cellStyle name="_TableHead_Modelo 301108 FINAL - Alta Floresta 6" xfId="4142"/>
    <cellStyle name="_TableHead_Modelo 301108 FINAL - Alta Floresta 7" xfId="4512"/>
    <cellStyle name="_TableHead_Modelo 301108 FINAL - Alta Floresta 8" xfId="4527"/>
    <cellStyle name="_TableHead_Modelo 301108 FINAL - Alta Floresta 9" xfId="4167"/>
    <cellStyle name="_TableHead_Modelo_Mairinque_v2.2" xfId="841"/>
    <cellStyle name="_TableHead_Modelo_Mairinque_v2.2 10" xfId="4200"/>
    <cellStyle name="_TableHead_Modelo_Mairinque_v2.2 11" xfId="4405"/>
    <cellStyle name="_TableHead_Modelo_Mairinque_v2.2 12" xfId="4438"/>
    <cellStyle name="_TableHead_Modelo_Mairinque_v2.2 13" xfId="4526"/>
    <cellStyle name="_TableHead_Modelo_Mairinque_v2.2 14" xfId="4145"/>
    <cellStyle name="_TableHead_Modelo_Mairinque_v2.2 15" xfId="4518"/>
    <cellStyle name="_TableHead_Modelo_Mairinque_v2.2 16" xfId="4473"/>
    <cellStyle name="_TableHead_Modelo_Mairinque_v2.2 17" xfId="4625"/>
    <cellStyle name="_TableHead_Modelo_Mairinque_v2.2 18" xfId="4632"/>
    <cellStyle name="_TableHead_Modelo_Mairinque_v2.2 19" xfId="4419"/>
    <cellStyle name="_TableHead_Modelo_Mairinque_v2.2 2" xfId="4154"/>
    <cellStyle name="_TableHead_Modelo_Mairinque_v2.2 2 2" xfId="4977"/>
    <cellStyle name="_TableHead_Modelo_Mairinque_v2.2 2 2 2" xfId="7245"/>
    <cellStyle name="_TableHead_Modelo_Mairinque_v2.2 2 2 2 2" xfId="7246"/>
    <cellStyle name="_TableHead_Modelo_Mairinque_v2.2 2 2 3" xfId="7247"/>
    <cellStyle name="_TableHead_Modelo_Mairinque_v2.2 2 3" xfId="4978"/>
    <cellStyle name="_TableHead_Modelo_Mairinque_v2.2 2 3 2" xfId="7248"/>
    <cellStyle name="_TableHead_Modelo_Mairinque_v2.2 2 3 2 2" xfId="7249"/>
    <cellStyle name="_TableHead_Modelo_Mairinque_v2.2 2 3 3" xfId="7250"/>
    <cellStyle name="_TableHead_Modelo_Mairinque_v2.2 2 4" xfId="7251"/>
    <cellStyle name="_TableHead_Modelo_Mairinque_v2.2 2 4 2" xfId="7252"/>
    <cellStyle name="_TableHead_Modelo_Mairinque_v2.2 2 5" xfId="7253"/>
    <cellStyle name="_TableHead_Modelo_Mairinque_v2.2 20" xfId="4071"/>
    <cellStyle name="_TableHead_Modelo_Mairinque_v2.2 21" xfId="4491"/>
    <cellStyle name="_TableHead_Modelo_Mairinque_v2.2 22" xfId="4433"/>
    <cellStyle name="_TableHead_Modelo_Mairinque_v2.2 23" xfId="4137"/>
    <cellStyle name="_TableHead_Modelo_Mairinque_v2.2 24" xfId="4166"/>
    <cellStyle name="_TableHead_Modelo_Mairinque_v2.2 25" xfId="4057"/>
    <cellStyle name="_TableHead_Modelo_Mairinque_v2.2 3" xfId="4477"/>
    <cellStyle name="_TableHead_Modelo_Mairinque_v2.2 3 2" xfId="7254"/>
    <cellStyle name="_TableHead_Modelo_Mairinque_v2.2 3 2 2" xfId="7255"/>
    <cellStyle name="_TableHead_Modelo_Mairinque_v2.2 3 3" xfId="7256"/>
    <cellStyle name="_TableHead_Modelo_Mairinque_v2.2 4" xfId="4068"/>
    <cellStyle name="_TableHead_Modelo_Mairinque_v2.2 4 2" xfId="7257"/>
    <cellStyle name="_TableHead_Modelo_Mairinque_v2.2 4 2 2" xfId="7258"/>
    <cellStyle name="_TableHead_Modelo_Mairinque_v2.2 4 3" xfId="7259"/>
    <cellStyle name="_TableHead_Modelo_Mairinque_v2.2 5" xfId="4446"/>
    <cellStyle name="_TableHead_Modelo_Mairinque_v2.2 5 2" xfId="7260"/>
    <cellStyle name="_TableHead_Modelo_Mairinque_v2.2 6" xfId="4429"/>
    <cellStyle name="_TableHead_Modelo_Mairinque_v2.2 7" xfId="4207"/>
    <cellStyle name="_TableHead_Modelo_Mairinque_v2.2 8" xfId="4179"/>
    <cellStyle name="_TableHead_Modelo_Mairinque_v2.2 9" xfId="4465"/>
    <cellStyle name="_TableHead_Multiplos_transação_atualizado" xfId="842"/>
    <cellStyle name="_TableHead_Multiplos_transação_atualizado 10" xfId="4509"/>
    <cellStyle name="_TableHead_Multiplos_transação_atualizado 11" xfId="4524"/>
    <cellStyle name="_TableHead_Multiplos_transação_atualizado 12" xfId="4501"/>
    <cellStyle name="_TableHead_Multiplos_transação_atualizado 13" xfId="4190"/>
    <cellStyle name="_TableHead_Multiplos_transação_atualizado 14" xfId="4116"/>
    <cellStyle name="_TableHead_Multiplos_transação_atualizado 15" xfId="4163"/>
    <cellStyle name="_TableHead_Multiplos_transação_atualizado 16" xfId="4469"/>
    <cellStyle name="_TableHead_Multiplos_transação_atualizado 17" xfId="4225"/>
    <cellStyle name="_TableHead_Multiplos_transação_atualizado 18" xfId="4095"/>
    <cellStyle name="_TableHead_Multiplos_transação_atualizado 19" xfId="4113"/>
    <cellStyle name="_TableHead_Multiplos_transação_atualizado 2" xfId="4155"/>
    <cellStyle name="_TableHead_Multiplos_transação_atualizado 2 2" xfId="4979"/>
    <cellStyle name="_TableHead_Multiplos_transação_atualizado 2 2 2" xfId="7261"/>
    <cellStyle name="_TableHead_Multiplos_transação_atualizado 2 2 2 2" xfId="7262"/>
    <cellStyle name="_TableHead_Multiplos_transação_atualizado 2 2 3" xfId="7263"/>
    <cellStyle name="_TableHead_Multiplos_transação_atualizado 2 3" xfId="4980"/>
    <cellStyle name="_TableHead_Multiplos_transação_atualizado 2 3 2" xfId="7264"/>
    <cellStyle name="_TableHead_Multiplos_transação_atualizado 2 3 2 2" xfId="7265"/>
    <cellStyle name="_TableHead_Multiplos_transação_atualizado 2 3 3" xfId="7266"/>
    <cellStyle name="_TableHead_Multiplos_transação_atualizado 2 4" xfId="7267"/>
    <cellStyle name="_TableHead_Multiplos_transação_atualizado 2 4 2" xfId="7268"/>
    <cellStyle name="_TableHead_Multiplos_transação_atualizado 2 5" xfId="7269"/>
    <cellStyle name="_TableHead_Multiplos_transação_atualizado 20" xfId="4487"/>
    <cellStyle name="_TableHead_Multiplos_transação_atualizado 21" xfId="4585"/>
    <cellStyle name="_TableHead_Multiplos_transação_atualizado 22" xfId="4093"/>
    <cellStyle name="_TableHead_Multiplos_transação_atualizado 23" xfId="4537"/>
    <cellStyle name="_TableHead_Multiplos_transação_atualizado 24" xfId="4380"/>
    <cellStyle name="_TableHead_Multiplos_transação_atualizado 25" xfId="4247"/>
    <cellStyle name="_TableHead_Multiplos_transação_atualizado 3" xfId="4476"/>
    <cellStyle name="_TableHead_Multiplos_transação_atualizado 3 2" xfId="7270"/>
    <cellStyle name="_TableHead_Multiplos_transação_atualizado 3 2 2" xfId="7271"/>
    <cellStyle name="_TableHead_Multiplos_transação_atualizado 3 3" xfId="7272"/>
    <cellStyle name="_TableHead_Multiplos_transação_atualizado 4" xfId="4088"/>
    <cellStyle name="_TableHead_Multiplos_transação_atualizado 4 2" xfId="7273"/>
    <cellStyle name="_TableHead_Multiplos_transação_atualizado 4 2 2" xfId="7274"/>
    <cellStyle name="_TableHead_Multiplos_transação_atualizado 4 3" xfId="7275"/>
    <cellStyle name="_TableHead_Multiplos_transação_atualizado 5" xfId="4445"/>
    <cellStyle name="_TableHead_Multiplos_transação_atualizado 5 2" xfId="7276"/>
    <cellStyle name="_TableHead_Multiplos_transação_atualizado 6" xfId="4109"/>
    <cellStyle name="_TableHead_Multiplos_transação_atualizado 7" xfId="4208"/>
    <cellStyle name="_TableHead_Multiplos_transação_atualizado 8" xfId="4453"/>
    <cellStyle name="_TableHead_Multiplos_transação_atualizado 9" xfId="4201"/>
    <cellStyle name="_TableHead_Multiplos_v2" xfId="843"/>
    <cellStyle name="_TableHead_Multiplos_v2 10" xfId="4436"/>
    <cellStyle name="_TableHead_Multiplos_v2 11" xfId="4415"/>
    <cellStyle name="_TableHead_Multiplos_v2 12" xfId="4123"/>
    <cellStyle name="_TableHead_Multiplos_v2 13" xfId="4143"/>
    <cellStyle name="_TableHead_Multiplos_v2 14" xfId="4182"/>
    <cellStyle name="_TableHead_Multiplos_v2 15" xfId="4148"/>
    <cellStyle name="_TableHead_Multiplos_v2 16" xfId="4114"/>
    <cellStyle name="_TableHead_Multiplos_v2 17" xfId="4170"/>
    <cellStyle name="_TableHead_Multiplos_v2 18" xfId="4386"/>
    <cellStyle name="_TableHead_Multiplos_v2 19" xfId="4072"/>
    <cellStyle name="_TableHead_Multiplos_v2 2" xfId="4156"/>
    <cellStyle name="_TableHead_Multiplos_v2 2 2" xfId="4981"/>
    <cellStyle name="_TableHead_Multiplos_v2 2 2 2" xfId="7277"/>
    <cellStyle name="_TableHead_Multiplos_v2 2 2 2 2" xfId="7278"/>
    <cellStyle name="_TableHead_Multiplos_v2 2 2 3" xfId="7279"/>
    <cellStyle name="_TableHead_Multiplos_v2 2 3" xfId="4982"/>
    <cellStyle name="_TableHead_Multiplos_v2 2 3 2" xfId="7280"/>
    <cellStyle name="_TableHead_Multiplos_v2 2 3 2 2" xfId="7281"/>
    <cellStyle name="_TableHead_Multiplos_v2 2 3 3" xfId="7282"/>
    <cellStyle name="_TableHead_Multiplos_v2 2 4" xfId="7283"/>
    <cellStyle name="_TableHead_Multiplos_v2 2 4 2" xfId="7284"/>
    <cellStyle name="_TableHead_Multiplos_v2 2 5" xfId="7285"/>
    <cellStyle name="_TableHead_Multiplos_v2 20" xfId="4228"/>
    <cellStyle name="_TableHead_Multiplos_v2 21" xfId="4196"/>
    <cellStyle name="_TableHead_Multiplos_v2 22" xfId="4427"/>
    <cellStyle name="_TableHead_Multiplos_v2 23" xfId="4456"/>
    <cellStyle name="_TableHead_Multiplos_v2 24" xfId="4393"/>
    <cellStyle name="_TableHead_Multiplos_v2 25" xfId="4096"/>
    <cellStyle name="_TableHead_Multiplos_v2 3" xfId="4059"/>
    <cellStyle name="_TableHead_Multiplos_v2 3 2" xfId="7286"/>
    <cellStyle name="_TableHead_Multiplos_v2 3 2 2" xfId="7287"/>
    <cellStyle name="_TableHead_Multiplos_v2 3 3" xfId="7288"/>
    <cellStyle name="_TableHead_Multiplos_v2 4" xfId="4187"/>
    <cellStyle name="_TableHead_Multiplos_v2 4 2" xfId="7289"/>
    <cellStyle name="_TableHead_Multiplos_v2 4 2 2" xfId="7290"/>
    <cellStyle name="_TableHead_Multiplos_v2 4 3" xfId="7291"/>
    <cellStyle name="_TableHead_Multiplos_v2 5" xfId="4542"/>
    <cellStyle name="_TableHead_Multiplos_v2 5 2" xfId="7292"/>
    <cellStyle name="_TableHead_Multiplos_v2 6" xfId="4428"/>
    <cellStyle name="_TableHead_Multiplos_v2 7" xfId="4174"/>
    <cellStyle name="_TableHead_Multiplos_v2 8" xfId="4511"/>
    <cellStyle name="_TableHead_Multiplos_v2 9" xfId="4496"/>
    <cellStyle name="_TableRowHead" xfId="844"/>
    <cellStyle name="_TableRowHead_Book2" xfId="845"/>
    <cellStyle name="_TableRowHead_Modelo 021208 FINAL - Colíder_v2" xfId="846"/>
    <cellStyle name="_TableRowHead_Modelo 281108 FINAL - Comodoro" xfId="847"/>
    <cellStyle name="_TableRowHead_Modelo 301108 FINAL - Alta Floresta" xfId="848"/>
    <cellStyle name="_TableRowHead_Modelo_Mairinque_v2.2" xfId="849"/>
    <cellStyle name="_TableRowHead_Multiplos_transação_atualizado" xfId="850"/>
    <cellStyle name="_TableRowHead_Multiplos_v2" xfId="851"/>
    <cellStyle name="_TableSuperHead" xfId="852"/>
    <cellStyle name="_TableSuperHead_Book2" xfId="853"/>
    <cellStyle name="_TableSuperHead_Modelo_Mairinque_v2.2" xfId="854"/>
    <cellStyle name="_TableSuperHead_Multiplos_transação_atualizado" xfId="855"/>
    <cellStyle name="_TableSuperHead_Multiplos_v2" xfId="856"/>
    <cellStyle name="_U.0412.HZ-reviewed" xfId="857"/>
    <cellStyle name="_Valuation of Assembled Workforce" xfId="858"/>
    <cellStyle name="_Valuation of Assembled Workforce_18.06.07" xfId="859"/>
    <cellStyle name="_Valuation of Assembled Workforce_18.06.07_1900" xfId="860"/>
    <cellStyle name="_הוון מימון (2)" xfId="861"/>
    <cellStyle name="_הוצאות הנפקה (2)" xfId="862"/>
    <cellStyle name="_הפחתת הוצאות נדחות (2)" xfId="863"/>
    <cellStyle name="_נכסים בלתי מוחשיים" xfId="864"/>
    <cellStyle name="_רווחי אקווטי" xfId="865"/>
    <cellStyle name="{Comma [0]}" xfId="866"/>
    <cellStyle name="{Comma}" xfId="867"/>
    <cellStyle name="{Date}" xfId="868"/>
    <cellStyle name="{Month}" xfId="869"/>
    <cellStyle name="{Percent}" xfId="870"/>
    <cellStyle name="{Thousand [0]}" xfId="871"/>
    <cellStyle name="{Thousand}" xfId="872"/>
    <cellStyle name="{Z'0000(1 dec)}" xfId="873"/>
    <cellStyle name="{Z'0000(4 dec)}" xfId="874"/>
    <cellStyle name="£ BP" xfId="875"/>
    <cellStyle name="£ BP 2" xfId="876"/>
    <cellStyle name="£ BP 3" xfId="877"/>
    <cellStyle name="¤d¤À¦ì [0]" xfId="878"/>
    <cellStyle name="¤d¤À¦ì [0] 2" xfId="7293"/>
    <cellStyle name="¤d¤À¦ì [0] 2 2" xfId="23075"/>
    <cellStyle name="¤d¤À¦ì [0] 3" xfId="18559"/>
    <cellStyle name="¥ JY" xfId="879"/>
    <cellStyle name="¥ JY 2" xfId="880"/>
    <cellStyle name="¥ JY 3" xfId="881"/>
    <cellStyle name="¥Vn¥VC¥Vp[¥V¥A¥V¡°¥VN" xfId="882"/>
    <cellStyle name="+" xfId="883"/>
    <cellStyle name="+ 10" xfId="7294"/>
    <cellStyle name="+ 10 2" xfId="19201"/>
    <cellStyle name="+ 11" xfId="7295"/>
    <cellStyle name="+ 11 2" xfId="19200"/>
    <cellStyle name="+ 12" xfId="30662"/>
    <cellStyle name="+ 2" xfId="884"/>
    <cellStyle name="+ 2 10" xfId="30661"/>
    <cellStyle name="+ 2 2" xfId="4547"/>
    <cellStyle name="+ 2 2 2" xfId="7296"/>
    <cellStyle name="+ 2 2 2 2" xfId="7297"/>
    <cellStyle name="+ 2 2 2 2 2" xfId="19198"/>
    <cellStyle name="+ 2 2 2 3" xfId="7298"/>
    <cellStyle name="+ 2 2 2 3 2" xfId="19197"/>
    <cellStyle name="+ 2 2 2 4" xfId="19199"/>
    <cellStyle name="+ 2 2 3" xfId="7299"/>
    <cellStyle name="+ 2 2 3 2" xfId="7300"/>
    <cellStyle name="+ 2 2 3 2 2" xfId="19195"/>
    <cellStyle name="+ 2 2 3 3" xfId="7301"/>
    <cellStyle name="+ 2 2 3 3 2" xfId="20957"/>
    <cellStyle name="+ 2 2 3 4" xfId="19196"/>
    <cellStyle name="+ 2 2 4" xfId="7302"/>
    <cellStyle name="+ 2 2 4 2" xfId="7303"/>
    <cellStyle name="+ 2 2 4 2 2" xfId="19193"/>
    <cellStyle name="+ 2 2 4 3" xfId="7304"/>
    <cellStyle name="+ 2 2 4 3 2" xfId="19192"/>
    <cellStyle name="+ 2 2 4 4" xfId="19194"/>
    <cellStyle name="+ 2 2 5" xfId="7305"/>
    <cellStyle name="+ 2 2 5 2" xfId="7306"/>
    <cellStyle name="+ 2 2 5 2 2" xfId="19190"/>
    <cellStyle name="+ 2 2 5 3" xfId="7307"/>
    <cellStyle name="+ 2 2 5 3 2" xfId="23723"/>
    <cellStyle name="+ 2 2 5 4" xfId="19191"/>
    <cellStyle name="+ 2 2 6" xfId="7308"/>
    <cellStyle name="+ 2 2 6 2" xfId="7309"/>
    <cellStyle name="+ 2 2 6 2 2" xfId="23721"/>
    <cellStyle name="+ 2 2 6 3" xfId="7310"/>
    <cellStyle name="+ 2 2 6 3 2" xfId="23720"/>
    <cellStyle name="+ 2 2 6 4" xfId="23722"/>
    <cellStyle name="+ 2 2 7" xfId="7311"/>
    <cellStyle name="+ 2 2 7 2" xfId="20956"/>
    <cellStyle name="+ 2 2 8" xfId="7312"/>
    <cellStyle name="+ 2 2 8 2" xfId="20955"/>
    <cellStyle name="+ 2 2 9" xfId="27045"/>
    <cellStyle name="+ 2 3" xfId="4485"/>
    <cellStyle name="+ 2 3 2" xfId="7313"/>
    <cellStyle name="+ 2 3 2 2" xfId="7314"/>
    <cellStyle name="+ 2 3 2 2 2" xfId="19189"/>
    <cellStyle name="+ 2 3 2 3" xfId="7315"/>
    <cellStyle name="+ 2 3 2 3 2" xfId="20953"/>
    <cellStyle name="+ 2 3 2 4" xfId="20954"/>
    <cellStyle name="+ 2 3 3" xfId="7316"/>
    <cellStyle name="+ 2 3 3 2" xfId="7317"/>
    <cellStyle name="+ 2 3 3 2 2" xfId="20952"/>
    <cellStyle name="+ 2 3 3 3" xfId="7318"/>
    <cellStyle name="+ 2 3 3 3 2" xfId="19187"/>
    <cellStyle name="+ 2 3 3 4" xfId="19188"/>
    <cellStyle name="+ 2 3 4" xfId="7319"/>
    <cellStyle name="+ 2 3 4 2" xfId="7320"/>
    <cellStyle name="+ 2 3 4 2 2" xfId="19184"/>
    <cellStyle name="+ 2 3 4 3" xfId="7321"/>
    <cellStyle name="+ 2 3 4 3 2" xfId="19183"/>
    <cellStyle name="+ 2 3 4 4" xfId="19185"/>
    <cellStyle name="+ 2 3 5" xfId="7322"/>
    <cellStyle name="+ 2 3 5 2" xfId="7323"/>
    <cellStyle name="+ 2 3 5 2 2" xfId="19181"/>
    <cellStyle name="+ 2 3 5 3" xfId="7324"/>
    <cellStyle name="+ 2 3 5 3 2" xfId="19180"/>
    <cellStyle name="+ 2 3 5 4" xfId="19182"/>
    <cellStyle name="+ 2 3 6" xfId="7325"/>
    <cellStyle name="+ 2 3 6 2" xfId="7326"/>
    <cellStyle name="+ 2 3 6 2 2" xfId="20284"/>
    <cellStyle name="+ 2 3 6 3" xfId="7327"/>
    <cellStyle name="+ 2 3 6 3 2" xfId="20312"/>
    <cellStyle name="+ 2 3 6 4" xfId="20314"/>
    <cellStyle name="+ 2 3 7" xfId="7328"/>
    <cellStyle name="+ 2 3 7 2" xfId="20266"/>
    <cellStyle name="+ 2 3 8" xfId="7329"/>
    <cellStyle name="+ 2 3 8 2" xfId="23697"/>
    <cellStyle name="+ 2 3 9" xfId="21120"/>
    <cellStyle name="+ 2 4" xfId="4983"/>
    <cellStyle name="+ 2 4 2" xfId="7330"/>
    <cellStyle name="+ 2 4 2 2" xfId="7331"/>
    <cellStyle name="+ 2 4 2 2 2" xfId="23696"/>
    <cellStyle name="+ 2 4 2 3" xfId="7332"/>
    <cellStyle name="+ 2 4 2 3 2" xfId="23695"/>
    <cellStyle name="+ 2 4 2 4" xfId="20374"/>
    <cellStyle name="+ 2 4 3" xfId="7333"/>
    <cellStyle name="+ 2 4 3 2" xfId="7334"/>
    <cellStyle name="+ 2 4 3 2 2" xfId="20309"/>
    <cellStyle name="+ 2 4 3 3" xfId="7335"/>
    <cellStyle name="+ 2 4 3 3 2" xfId="23693"/>
    <cellStyle name="+ 2 4 3 4" xfId="23694"/>
    <cellStyle name="+ 2 4 4" xfId="7336"/>
    <cellStyle name="+ 2 4 4 2" xfId="7337"/>
    <cellStyle name="+ 2 4 4 2 2" xfId="23691"/>
    <cellStyle name="+ 2 4 4 3" xfId="7338"/>
    <cellStyle name="+ 2 4 4 3 2" xfId="20376"/>
    <cellStyle name="+ 2 4 4 4" xfId="23692"/>
    <cellStyle name="+ 2 4 5" xfId="7339"/>
    <cellStyle name="+ 2 4 5 2" xfId="7340"/>
    <cellStyle name="+ 2 4 5 2 2" xfId="20349"/>
    <cellStyle name="+ 2 4 5 3" xfId="7341"/>
    <cellStyle name="+ 2 4 5 3 2" xfId="20350"/>
    <cellStyle name="+ 2 4 5 4" xfId="20559"/>
    <cellStyle name="+ 2 4 6" xfId="7342"/>
    <cellStyle name="+ 2 4 6 2" xfId="7343"/>
    <cellStyle name="+ 2 4 6 2 2" xfId="20369"/>
    <cellStyle name="+ 2 4 6 3" xfId="7344"/>
    <cellStyle name="+ 2 4 6 3 2" xfId="20558"/>
    <cellStyle name="+ 2 4 6 4" xfId="20310"/>
    <cellStyle name="+ 2 4 7" xfId="7345"/>
    <cellStyle name="+ 2 4 7 2" xfId="23690"/>
    <cellStyle name="+ 2 4 8" xfId="7346"/>
    <cellStyle name="+ 2 4 8 2" xfId="23689"/>
    <cellStyle name="+ 2 4 9" xfId="26594"/>
    <cellStyle name="+ 2 5" xfId="7347"/>
    <cellStyle name="+ 2 5 2" xfId="7348"/>
    <cellStyle name="+ 2 5 2 2" xfId="23687"/>
    <cellStyle name="+ 2 5 3" xfId="7349"/>
    <cellStyle name="+ 2 5 3 2" xfId="23686"/>
    <cellStyle name="+ 2 5 4" xfId="23688"/>
    <cellStyle name="+ 2 6" xfId="7350"/>
    <cellStyle name="+ 2 6 2" xfId="7351"/>
    <cellStyle name="+ 2 6 2 2" xfId="20948"/>
    <cellStyle name="+ 2 6 3" xfId="7352"/>
    <cellStyle name="+ 2 6 3 2" xfId="23684"/>
    <cellStyle name="+ 2 6 4" xfId="23685"/>
    <cellStyle name="+ 2 7" xfId="7353"/>
    <cellStyle name="+ 2 7 2" xfId="7354"/>
    <cellStyle name="+ 2 7 2 2" xfId="23682"/>
    <cellStyle name="+ 2 7 3" xfId="7355"/>
    <cellStyle name="+ 2 7 3 2" xfId="20947"/>
    <cellStyle name="+ 2 7 4" xfId="23683"/>
    <cellStyle name="+ 2 8" xfId="7356"/>
    <cellStyle name="+ 2 8 2" xfId="20308"/>
    <cellStyle name="+ 2 9" xfId="7357"/>
    <cellStyle name="+ 2 9 2" xfId="20470"/>
    <cellStyle name="+ 3" xfId="885"/>
    <cellStyle name="+ 3 10" xfId="30660"/>
    <cellStyle name="+ 3 2" xfId="4425"/>
    <cellStyle name="+ 3 2 2" xfId="7358"/>
    <cellStyle name="+ 3 2 2 2" xfId="7359"/>
    <cellStyle name="+ 3 2 2 2 2" xfId="20442"/>
    <cellStyle name="+ 3 2 2 3" xfId="7360"/>
    <cellStyle name="+ 3 2 2 3 2" xfId="20317"/>
    <cellStyle name="+ 3 2 2 4" xfId="20505"/>
    <cellStyle name="+ 3 2 3" xfId="7361"/>
    <cellStyle name="+ 3 2 3 2" xfId="7362"/>
    <cellStyle name="+ 3 2 3 2 2" xfId="20520"/>
    <cellStyle name="+ 3 2 3 3" xfId="7363"/>
    <cellStyle name="+ 3 2 3 3 2" xfId="20371"/>
    <cellStyle name="+ 3 2 3 4" xfId="20373"/>
    <cellStyle name="+ 3 2 4" xfId="7364"/>
    <cellStyle name="+ 3 2 4 2" xfId="7365"/>
    <cellStyle name="+ 3 2 4 2 2" xfId="20372"/>
    <cellStyle name="+ 3 2 4 3" xfId="7366"/>
    <cellStyle name="+ 3 2 4 3 2" xfId="20315"/>
    <cellStyle name="+ 3 2 4 4" xfId="20316"/>
    <cellStyle name="+ 3 2 5" xfId="7367"/>
    <cellStyle name="+ 3 2 5 2" xfId="7368"/>
    <cellStyle name="+ 3 2 5 2 2" xfId="20928"/>
    <cellStyle name="+ 3 2 5 3" xfId="7369"/>
    <cellStyle name="+ 3 2 5 3 2" xfId="19169"/>
    <cellStyle name="+ 3 2 5 4" xfId="19179"/>
    <cellStyle name="+ 3 2 6" xfId="7370"/>
    <cellStyle name="+ 3 2 6 2" xfId="7371"/>
    <cellStyle name="+ 3 2 6 2 2" xfId="19167"/>
    <cellStyle name="+ 3 2 6 3" xfId="7372"/>
    <cellStyle name="+ 3 2 6 3 2" xfId="19166"/>
    <cellStyle name="+ 3 2 6 4" xfId="19168"/>
    <cellStyle name="+ 3 2 7" xfId="7373"/>
    <cellStyle name="+ 3 2 7 2" xfId="19165"/>
    <cellStyle name="+ 3 2 8" xfId="7374"/>
    <cellStyle name="+ 3 2 8 2" xfId="19162"/>
    <cellStyle name="+ 3 2 9" xfId="27077"/>
    <cellStyle name="+ 3 3" xfId="4412"/>
    <cellStyle name="+ 3 3 2" xfId="7375"/>
    <cellStyle name="+ 3 3 2 2" xfId="7376"/>
    <cellStyle name="+ 3 3 2 2 2" xfId="19159"/>
    <cellStyle name="+ 3 3 2 3" xfId="7377"/>
    <cellStyle name="+ 3 3 2 3 2" xfId="19158"/>
    <cellStyle name="+ 3 3 2 4" xfId="19160"/>
    <cellStyle name="+ 3 3 3" xfId="7378"/>
    <cellStyle name="+ 3 3 3 2" xfId="7379"/>
    <cellStyle name="+ 3 3 3 2 2" xfId="19156"/>
    <cellStyle name="+ 3 3 3 3" xfId="7380"/>
    <cellStyle name="+ 3 3 3 3 2" xfId="19155"/>
    <cellStyle name="+ 3 3 3 4" xfId="19157"/>
    <cellStyle name="+ 3 3 4" xfId="7381"/>
    <cellStyle name="+ 3 3 4 2" xfId="7382"/>
    <cellStyle name="+ 3 3 4 2 2" xfId="19153"/>
    <cellStyle name="+ 3 3 4 3" xfId="7383"/>
    <cellStyle name="+ 3 3 4 3 2" xfId="19152"/>
    <cellStyle name="+ 3 3 4 4" xfId="19154"/>
    <cellStyle name="+ 3 3 5" xfId="7384"/>
    <cellStyle name="+ 3 3 5 2" xfId="7385"/>
    <cellStyle name="+ 3 3 5 2 2" xfId="19150"/>
    <cellStyle name="+ 3 3 5 3" xfId="7386"/>
    <cellStyle name="+ 3 3 5 3 2" xfId="19149"/>
    <cellStyle name="+ 3 3 5 4" xfId="19151"/>
    <cellStyle name="+ 3 3 6" xfId="7387"/>
    <cellStyle name="+ 3 3 6 2" xfId="7388"/>
    <cellStyle name="+ 3 3 6 2 2" xfId="19147"/>
    <cellStyle name="+ 3 3 6 3" xfId="7389"/>
    <cellStyle name="+ 3 3 6 3 2" xfId="19145"/>
    <cellStyle name="+ 3 3 6 4" xfId="19148"/>
    <cellStyle name="+ 3 3 7" xfId="7390"/>
    <cellStyle name="+ 3 3 7 2" xfId="19144"/>
    <cellStyle name="+ 3 3 8" xfId="7391"/>
    <cellStyle name="+ 3 3 8 2" xfId="19143"/>
    <cellStyle name="+ 3 3 9" xfId="27084"/>
    <cellStyle name="+ 3 4" xfId="4984"/>
    <cellStyle name="+ 3 4 2" xfId="7392"/>
    <cellStyle name="+ 3 4 2 2" xfId="7393"/>
    <cellStyle name="+ 3 4 2 2 2" xfId="19141"/>
    <cellStyle name="+ 3 4 2 3" xfId="7394"/>
    <cellStyle name="+ 3 4 2 3 2" xfId="20918"/>
    <cellStyle name="+ 3 4 2 4" xfId="19142"/>
    <cellStyle name="+ 3 4 3" xfId="7395"/>
    <cellStyle name="+ 3 4 3 2" xfId="7396"/>
    <cellStyle name="+ 3 4 3 2 2" xfId="19139"/>
    <cellStyle name="+ 3 4 3 3" xfId="7397"/>
    <cellStyle name="+ 3 4 3 3 2" xfId="19138"/>
    <cellStyle name="+ 3 4 3 4" xfId="19140"/>
    <cellStyle name="+ 3 4 4" xfId="7398"/>
    <cellStyle name="+ 3 4 4 2" xfId="7399"/>
    <cellStyle name="+ 3 4 4 2 2" xfId="19136"/>
    <cellStyle name="+ 3 4 4 3" xfId="7400"/>
    <cellStyle name="+ 3 4 4 3 2" xfId="19135"/>
    <cellStyle name="+ 3 4 4 4" xfId="19137"/>
    <cellStyle name="+ 3 4 5" xfId="7401"/>
    <cellStyle name="+ 3 4 5 2" xfId="7402"/>
    <cellStyle name="+ 3 4 5 2 2" xfId="19133"/>
    <cellStyle name="+ 3 4 5 3" xfId="7403"/>
    <cellStyle name="+ 3 4 5 3 2" xfId="19132"/>
    <cellStyle name="+ 3 4 5 4" xfId="19134"/>
    <cellStyle name="+ 3 4 6" xfId="7404"/>
    <cellStyle name="+ 3 4 6 2" xfId="7405"/>
    <cellStyle name="+ 3 4 6 2 2" xfId="19130"/>
    <cellStyle name="+ 3 4 6 3" xfId="7406"/>
    <cellStyle name="+ 3 4 6 3 2" xfId="19129"/>
    <cellStyle name="+ 3 4 6 4" xfId="19131"/>
    <cellStyle name="+ 3 4 7" xfId="7407"/>
    <cellStyle name="+ 3 4 7 2" xfId="19128"/>
    <cellStyle name="+ 3 4 8" xfId="7408"/>
    <cellStyle name="+ 3 4 8 2" xfId="19127"/>
    <cellStyle name="+ 3 4 9" xfId="26593"/>
    <cellStyle name="+ 3 5" xfId="7409"/>
    <cellStyle name="+ 3 5 2" xfId="7410"/>
    <cellStyle name="+ 3 5 2 2" xfId="19125"/>
    <cellStyle name="+ 3 5 3" xfId="7411"/>
    <cellStyle name="+ 3 5 3 2" xfId="19124"/>
    <cellStyle name="+ 3 5 4" xfId="19126"/>
    <cellStyle name="+ 3 6" xfId="7412"/>
    <cellStyle name="+ 3 6 2" xfId="7413"/>
    <cellStyle name="+ 3 6 2 2" xfId="19122"/>
    <cellStyle name="+ 3 6 3" xfId="7414"/>
    <cellStyle name="+ 3 6 3 2" xfId="19121"/>
    <cellStyle name="+ 3 6 4" xfId="19123"/>
    <cellStyle name="+ 3 7" xfId="7415"/>
    <cellStyle name="+ 3 7 2" xfId="7416"/>
    <cellStyle name="+ 3 7 2 2" xfId="23481"/>
    <cellStyle name="+ 3 7 3" xfId="7417"/>
    <cellStyle name="+ 3 7 3 2" xfId="23480"/>
    <cellStyle name="+ 3 7 4" xfId="19120"/>
    <cellStyle name="+ 3 8" xfId="7418"/>
    <cellStyle name="+ 3 8 2" xfId="20086"/>
    <cellStyle name="+ 3 9" xfId="7419"/>
    <cellStyle name="+ 3 9 2" xfId="19116"/>
    <cellStyle name="+ 4" xfId="4067"/>
    <cellStyle name="+ 4 2" xfId="7420"/>
    <cellStyle name="+ 4 2 2" xfId="7421"/>
    <cellStyle name="+ 4 2 2 2" xfId="19115"/>
    <cellStyle name="+ 4 2 3" xfId="7422"/>
    <cellStyle name="+ 4 2 3 2" xfId="19114"/>
    <cellStyle name="+ 4 2 4" xfId="20911"/>
    <cellStyle name="+ 4 3" xfId="7423"/>
    <cellStyle name="+ 4 3 2" xfId="7424"/>
    <cellStyle name="+ 4 3 2 2" xfId="19112"/>
    <cellStyle name="+ 4 3 3" xfId="7425"/>
    <cellStyle name="+ 4 3 3 2" xfId="19109"/>
    <cellStyle name="+ 4 3 4" xfId="19113"/>
    <cellStyle name="+ 4 4" xfId="7426"/>
    <cellStyle name="+ 4 4 2" xfId="7427"/>
    <cellStyle name="+ 4 4 2 2" xfId="19107"/>
    <cellStyle name="+ 4 4 3" xfId="7428"/>
    <cellStyle name="+ 4 4 3 2" xfId="19105"/>
    <cellStyle name="+ 4 4 4" xfId="19108"/>
    <cellStyle name="+ 4 5" xfId="7429"/>
    <cellStyle name="+ 4 5 2" xfId="7430"/>
    <cellStyle name="+ 4 5 2 2" xfId="19103"/>
    <cellStyle name="+ 4 5 3" xfId="7431"/>
    <cellStyle name="+ 4 5 3 2" xfId="19102"/>
    <cellStyle name="+ 4 5 4" xfId="19104"/>
    <cellStyle name="+ 4 6" xfId="7432"/>
    <cellStyle name="+ 4 6 2" xfId="7433"/>
    <cellStyle name="+ 4 6 2 2" xfId="19100"/>
    <cellStyle name="+ 4 6 3" xfId="7434"/>
    <cellStyle name="+ 4 6 3 2" xfId="19099"/>
    <cellStyle name="+ 4 6 4" xfId="19101"/>
    <cellStyle name="+ 4 7" xfId="7435"/>
    <cellStyle name="+ 4 7 2" xfId="19098"/>
    <cellStyle name="+ 4 8" xfId="7436"/>
    <cellStyle name="+ 4 8 2" xfId="19097"/>
    <cellStyle name="+ 4 9" xfId="19867"/>
    <cellStyle name="+ 5" xfId="4550"/>
    <cellStyle name="+ 5 2" xfId="7437"/>
    <cellStyle name="+ 5 2 2" xfId="7438"/>
    <cellStyle name="+ 5 2 2 2" xfId="19096"/>
    <cellStyle name="+ 5 2 3" xfId="7439"/>
    <cellStyle name="+ 5 2 3 2" xfId="19095"/>
    <cellStyle name="+ 5 2 4" xfId="17953"/>
    <cellStyle name="+ 5 3" xfId="7440"/>
    <cellStyle name="+ 5 3 2" xfId="7441"/>
    <cellStyle name="+ 5 3 2 2" xfId="19093"/>
    <cellStyle name="+ 5 3 3" xfId="7442"/>
    <cellStyle name="+ 5 3 3 2" xfId="19092"/>
    <cellStyle name="+ 5 3 4" xfId="19094"/>
    <cellStyle name="+ 5 4" xfId="7443"/>
    <cellStyle name="+ 5 4 2" xfId="7444"/>
    <cellStyle name="+ 5 4 2 2" xfId="19090"/>
    <cellStyle name="+ 5 4 3" xfId="7445"/>
    <cellStyle name="+ 5 4 3 2" xfId="19089"/>
    <cellStyle name="+ 5 4 4" xfId="19091"/>
    <cellStyle name="+ 5 5" xfId="7446"/>
    <cellStyle name="+ 5 5 2" xfId="7447"/>
    <cellStyle name="+ 5 5 2 2" xfId="19088"/>
    <cellStyle name="+ 5 5 3" xfId="7448"/>
    <cellStyle name="+ 5 5 3 2" xfId="19087"/>
    <cellStyle name="+ 5 5 4" xfId="17950"/>
    <cellStyle name="+ 5 6" xfId="7449"/>
    <cellStyle name="+ 5 6 2" xfId="7450"/>
    <cellStyle name="+ 5 6 2 2" xfId="19085"/>
    <cellStyle name="+ 5 6 3" xfId="7451"/>
    <cellStyle name="+ 5 6 3 2" xfId="19084"/>
    <cellStyle name="+ 5 6 4" xfId="19086"/>
    <cellStyle name="+ 5 7" xfId="7452"/>
    <cellStyle name="+ 5 7 2" xfId="19083"/>
    <cellStyle name="+ 5 8" xfId="7453"/>
    <cellStyle name="+ 5 8 2" xfId="19082"/>
    <cellStyle name="+ 5 9" xfId="27043"/>
    <cellStyle name="+ 6" xfId="4985"/>
    <cellStyle name="+ 6 2" xfId="7454"/>
    <cellStyle name="+ 6 2 2" xfId="7455"/>
    <cellStyle name="+ 6 2 2 2" xfId="17946"/>
    <cellStyle name="+ 6 2 3" xfId="7456"/>
    <cellStyle name="+ 6 2 3 2" xfId="19080"/>
    <cellStyle name="+ 6 2 4" xfId="19081"/>
    <cellStyle name="+ 6 3" xfId="7457"/>
    <cellStyle name="+ 6 3 2" xfId="7458"/>
    <cellStyle name="+ 6 3 2 2" xfId="19078"/>
    <cellStyle name="+ 6 3 3" xfId="7459"/>
    <cellStyle name="+ 6 3 3 2" xfId="19077"/>
    <cellStyle name="+ 6 3 4" xfId="19079"/>
    <cellStyle name="+ 6 4" xfId="7460"/>
    <cellStyle name="+ 6 4 2" xfId="7461"/>
    <cellStyle name="+ 6 4 2 2" xfId="19075"/>
    <cellStyle name="+ 6 4 3" xfId="7462"/>
    <cellStyle name="+ 6 4 3 2" xfId="19074"/>
    <cellStyle name="+ 6 4 4" xfId="19076"/>
    <cellStyle name="+ 6 5" xfId="7463"/>
    <cellStyle name="+ 6 5 2" xfId="7464"/>
    <cellStyle name="+ 6 5 2 2" xfId="17943"/>
    <cellStyle name="+ 6 5 3" xfId="7465"/>
    <cellStyle name="+ 6 5 3 2" xfId="19072"/>
    <cellStyle name="+ 6 5 4" xfId="19073"/>
    <cellStyle name="+ 6 6" xfId="7466"/>
    <cellStyle name="+ 6 6 2" xfId="7467"/>
    <cellStyle name="+ 6 6 2 2" xfId="19070"/>
    <cellStyle name="+ 6 6 3" xfId="7468"/>
    <cellStyle name="+ 6 6 3 2" xfId="19069"/>
    <cellStyle name="+ 6 6 4" xfId="19071"/>
    <cellStyle name="+ 6 7" xfId="7469"/>
    <cellStyle name="+ 6 7 2" xfId="19068"/>
    <cellStyle name="+ 6 8" xfId="7470"/>
    <cellStyle name="+ 6 8 2" xfId="19067"/>
    <cellStyle name="+ 6 9" xfId="26592"/>
    <cellStyle name="+ 7" xfId="7471"/>
    <cellStyle name="+ 7 2" xfId="7472"/>
    <cellStyle name="+ 7 2 2" xfId="19065"/>
    <cellStyle name="+ 7 3" xfId="7473"/>
    <cellStyle name="+ 7 3 2" xfId="17940"/>
    <cellStyle name="+ 7 4" xfId="19066"/>
    <cellStyle name="+ 8" xfId="7474"/>
    <cellStyle name="+ 8 2" xfId="7475"/>
    <cellStyle name="+ 8 2 2" xfId="19063"/>
    <cellStyle name="+ 8 3" xfId="7476"/>
    <cellStyle name="+ 8 3 2" xfId="19062"/>
    <cellStyle name="+ 8 4" xfId="19064"/>
    <cellStyle name="+ 9" xfId="7477"/>
    <cellStyle name="+ 9 2" xfId="7478"/>
    <cellStyle name="+ 9 2 2" xfId="19060"/>
    <cellStyle name="+ 9 3" xfId="7479"/>
    <cellStyle name="+ 9 3 2" xfId="19059"/>
    <cellStyle name="+ 9 4" xfId="19061"/>
    <cellStyle name="=C:\WINNT\SYSTEM32\COMMAND.COM" xfId="886"/>
    <cellStyle name="=C:\WINNT\SYSTEM32\COMMAND.COM 2" xfId="887"/>
    <cellStyle name="=C:\WINNT\SYSTEM32\COMMAND.COM 3" xfId="888"/>
    <cellStyle name="=C:\WINNT35\SYSTEM32\COMMAND.COM" xfId="413"/>
    <cellStyle name="=C:\WINNT35\SYSTEM32\COMMAND.COM 2" xfId="889"/>
    <cellStyle name="=C:\WINNT35\SYSTEM32\COMMAND.COM 2 2" xfId="890"/>
    <cellStyle name="=C:\WINNT35\SYSTEM32\COMMAND.COM 2 3" xfId="891"/>
    <cellStyle name="=C:\WINNT35\SYSTEM32\COMMAND.COM 3" xfId="892"/>
    <cellStyle name="┼" xfId="893"/>
    <cellStyle name="¶W³sµ²" xfId="894"/>
    <cellStyle name="_x0002_" xfId="895"/>
    <cellStyle name="\¦ÏÝÌnCp[N" xfId="896"/>
    <cellStyle name="nCp[N" xfId="897"/>
    <cellStyle name="0" xfId="898"/>
    <cellStyle name="0%" xfId="899"/>
    <cellStyle name="0,0_x000d__x000a_NA_x000d__x000a_" xfId="900"/>
    <cellStyle name="0.0" xfId="901"/>
    <cellStyle name="0.0%" xfId="902"/>
    <cellStyle name="0.00" xfId="903"/>
    <cellStyle name="0.00%" xfId="904"/>
    <cellStyle name="0_Big graph_Page 1f" xfId="905"/>
    <cellStyle name="0_Sub B" xfId="906"/>
    <cellStyle name="0_Sub B_1_Page 1f" xfId="907"/>
    <cellStyle name="01" xfId="908"/>
    <cellStyle name="01 2" xfId="4986"/>
    <cellStyle name="06" xfId="909"/>
    <cellStyle name="06 F" xfId="910"/>
    <cellStyle name="07" xfId="911"/>
    <cellStyle name="07 F" xfId="912"/>
    <cellStyle name="08" xfId="913"/>
    <cellStyle name="08 10" xfId="30659"/>
    <cellStyle name="08 2" xfId="914"/>
    <cellStyle name="08 2 2" xfId="4161"/>
    <cellStyle name="08 2 2 2" xfId="7480"/>
    <cellStyle name="08 2 2 2 2" xfId="7481"/>
    <cellStyle name="08 2 2 2 2 2" xfId="19057"/>
    <cellStyle name="08 2 2 2 3" xfId="7482"/>
    <cellStyle name="08 2 2 2 3 2" xfId="17937"/>
    <cellStyle name="08 2 2 2 4" xfId="19058"/>
    <cellStyle name="08 2 2 3" xfId="7483"/>
    <cellStyle name="08 2 2 3 2" xfId="7484"/>
    <cellStyle name="08 2 2 3 2 2" xfId="19055"/>
    <cellStyle name="08 2 2 3 3" xfId="7485"/>
    <cellStyle name="08 2 2 3 3 2" xfId="19054"/>
    <cellStyle name="08 2 2 3 4" xfId="19056"/>
    <cellStyle name="08 2 2 4" xfId="7486"/>
    <cellStyle name="08 2 2 4 2" xfId="19053"/>
    <cellStyle name="08 2 2 5" xfId="7487"/>
    <cellStyle name="08 2 2 5 2" xfId="19052"/>
    <cellStyle name="08 2 2 6" xfId="27363"/>
    <cellStyle name="08 2 3" xfId="4442"/>
    <cellStyle name="08 2 3 2" xfId="7488"/>
    <cellStyle name="08 2 3 2 2" xfId="7489"/>
    <cellStyle name="08 2 3 2 2 2" xfId="19050"/>
    <cellStyle name="08 2 3 2 3" xfId="7490"/>
    <cellStyle name="08 2 3 2 3 2" xfId="19049"/>
    <cellStyle name="08 2 3 2 4" xfId="19051"/>
    <cellStyle name="08 2 3 3" xfId="7491"/>
    <cellStyle name="08 2 3 3 2" xfId="7492"/>
    <cellStyle name="08 2 3 3 2 2" xfId="19047"/>
    <cellStyle name="08 2 3 3 3" xfId="7493"/>
    <cellStyle name="08 2 3 3 3 2" xfId="19046"/>
    <cellStyle name="08 2 3 3 4" xfId="19048"/>
    <cellStyle name="08 2 3 4" xfId="7494"/>
    <cellStyle name="08 2 3 4 2" xfId="19045"/>
    <cellStyle name="08 2 3 5" xfId="7495"/>
    <cellStyle name="08 2 3 5 2" xfId="19044"/>
    <cellStyle name="08 2 3 6" xfId="27073"/>
    <cellStyle name="08 2 4" xfId="4987"/>
    <cellStyle name="08 2 4 2" xfId="7496"/>
    <cellStyle name="08 2 4 2 2" xfId="7497"/>
    <cellStyle name="08 2 4 2 2 2" xfId="19042"/>
    <cellStyle name="08 2 4 2 3" xfId="7498"/>
    <cellStyle name="08 2 4 2 3 2" xfId="19041"/>
    <cellStyle name="08 2 4 2 4" xfId="19043"/>
    <cellStyle name="08 2 4 3" xfId="7499"/>
    <cellStyle name="08 2 4 3 2" xfId="7500"/>
    <cellStyle name="08 2 4 3 2 2" xfId="19039"/>
    <cellStyle name="08 2 4 3 3" xfId="7501"/>
    <cellStyle name="08 2 4 3 3 2" xfId="19038"/>
    <cellStyle name="08 2 4 3 4" xfId="19040"/>
    <cellStyle name="08 2 4 4" xfId="7502"/>
    <cellStyle name="08 2 4 4 2" xfId="19037"/>
    <cellStyle name="08 2 4 5" xfId="7503"/>
    <cellStyle name="08 2 4 5 2" xfId="19036"/>
    <cellStyle name="08 2 4 6" xfId="26591"/>
    <cellStyle name="08 2 5" xfId="7504"/>
    <cellStyle name="08 2 5 2" xfId="7505"/>
    <cellStyle name="08 2 5 2 2" xfId="19034"/>
    <cellStyle name="08 2 5 3" xfId="7506"/>
    <cellStyle name="08 2 5 3 2" xfId="19033"/>
    <cellStyle name="08 2 5 4" xfId="19035"/>
    <cellStyle name="08 2 6" xfId="7507"/>
    <cellStyle name="08 2 6 2" xfId="19031"/>
    <cellStyle name="08 2 7" xfId="7508"/>
    <cellStyle name="08 2 7 2" xfId="19030"/>
    <cellStyle name="08 2 8" xfId="30658"/>
    <cellStyle name="08 3" xfId="915"/>
    <cellStyle name="08 3 2" xfId="4397"/>
    <cellStyle name="08 3 2 2" xfId="7509"/>
    <cellStyle name="08 3 2 2 2" xfId="7510"/>
    <cellStyle name="08 3 2 2 2 2" xfId="19028"/>
    <cellStyle name="08 3 2 2 3" xfId="7511"/>
    <cellStyle name="08 3 2 2 3 2" xfId="19027"/>
    <cellStyle name="08 3 2 2 4" xfId="19029"/>
    <cellStyle name="08 3 2 3" xfId="7512"/>
    <cellStyle name="08 3 2 3 2" xfId="7513"/>
    <cellStyle name="08 3 2 3 2 2" xfId="18041"/>
    <cellStyle name="08 3 2 3 3" xfId="7514"/>
    <cellStyle name="08 3 2 3 3 2" xfId="19026"/>
    <cellStyle name="08 3 2 3 4" xfId="18143"/>
    <cellStyle name="08 3 2 4" xfId="7515"/>
    <cellStyle name="08 3 2 4 2" xfId="19025"/>
    <cellStyle name="08 3 2 5" xfId="7516"/>
    <cellStyle name="08 3 2 5 2" xfId="19024"/>
    <cellStyle name="08 3 2 6" xfId="27090"/>
    <cellStyle name="08 3 3" xfId="4472"/>
    <cellStyle name="08 3 3 2" xfId="7517"/>
    <cellStyle name="08 3 3 2 2" xfId="7518"/>
    <cellStyle name="08 3 3 2 2 2" xfId="18132"/>
    <cellStyle name="08 3 3 2 3" xfId="7519"/>
    <cellStyle name="08 3 3 2 3 2" xfId="18031"/>
    <cellStyle name="08 3 3 2 4" xfId="19023"/>
    <cellStyle name="08 3 3 3" xfId="7520"/>
    <cellStyle name="08 3 3 3 2" xfId="7521"/>
    <cellStyle name="08 3 3 3 2 2" xfId="19021"/>
    <cellStyle name="08 3 3 3 3" xfId="7522"/>
    <cellStyle name="08 3 3 3 3 2" xfId="19020"/>
    <cellStyle name="08 3 3 3 4" xfId="19022"/>
    <cellStyle name="08 3 3 4" xfId="7523"/>
    <cellStyle name="08 3 3 4 2" xfId="19019"/>
    <cellStyle name="08 3 3 5" xfId="7524"/>
    <cellStyle name="08 3 3 5 2" xfId="18122"/>
    <cellStyle name="08 3 3 6" xfId="27064"/>
    <cellStyle name="08 3 4" xfId="4988"/>
    <cellStyle name="08 3 4 2" xfId="7525"/>
    <cellStyle name="08 3 4 2 2" xfId="7526"/>
    <cellStyle name="08 3 4 2 2 2" xfId="19018"/>
    <cellStyle name="08 3 4 2 3" xfId="7527"/>
    <cellStyle name="08 3 4 2 3 2" xfId="19017"/>
    <cellStyle name="08 3 4 2 4" xfId="18021"/>
    <cellStyle name="08 3 4 3" xfId="7528"/>
    <cellStyle name="08 3 4 3 2" xfId="7529"/>
    <cellStyle name="08 3 4 3 2 2" xfId="19015"/>
    <cellStyle name="08 3 4 3 3" xfId="7530"/>
    <cellStyle name="08 3 4 3 3 2" xfId="18109"/>
    <cellStyle name="08 3 4 3 4" xfId="19016"/>
    <cellStyle name="08 3 4 4" xfId="7531"/>
    <cellStyle name="08 3 4 4 2" xfId="18009"/>
    <cellStyle name="08 3 4 5" xfId="7532"/>
    <cellStyle name="08 3 4 5 2" xfId="19014"/>
    <cellStyle name="08 3 4 6" xfId="26590"/>
    <cellStyle name="08 3 5" xfId="7533"/>
    <cellStyle name="08 3 5 2" xfId="7534"/>
    <cellStyle name="08 3 5 2 2" xfId="19012"/>
    <cellStyle name="08 3 5 3" xfId="7535"/>
    <cellStyle name="08 3 5 3 2" xfId="19011"/>
    <cellStyle name="08 3 5 4" xfId="19013"/>
    <cellStyle name="08 3 6" xfId="7536"/>
    <cellStyle name="08 3 6 2" xfId="19010"/>
    <cellStyle name="08 3 7" xfId="7537"/>
    <cellStyle name="08 3 7 2" xfId="18097"/>
    <cellStyle name="08 3 8" xfId="30657"/>
    <cellStyle name="08 4" xfId="4539"/>
    <cellStyle name="08 4 2" xfId="7538"/>
    <cellStyle name="08 4 2 2" xfId="7539"/>
    <cellStyle name="08 4 2 2 2" xfId="19009"/>
    <cellStyle name="08 4 2 3" xfId="7540"/>
    <cellStyle name="08 4 2 3 2" xfId="19008"/>
    <cellStyle name="08 4 2 4" xfId="17997"/>
    <cellStyle name="08 4 3" xfId="7541"/>
    <cellStyle name="08 4 3 2" xfId="7542"/>
    <cellStyle name="08 4 3 2 2" xfId="19006"/>
    <cellStyle name="08 4 3 3" xfId="7543"/>
    <cellStyle name="08 4 3 3 2" xfId="18082"/>
    <cellStyle name="08 4 3 4" xfId="19007"/>
    <cellStyle name="08 4 4" xfId="7544"/>
    <cellStyle name="08 4 4 2" xfId="17984"/>
    <cellStyle name="08 4 5" xfId="7545"/>
    <cellStyle name="08 4 5 2" xfId="19005"/>
    <cellStyle name="08 4 6" xfId="27047"/>
    <cellStyle name="08 5" xfId="4402"/>
    <cellStyle name="08 5 2" xfId="7546"/>
    <cellStyle name="08 5 2 2" xfId="7547"/>
    <cellStyle name="08 5 2 2 2" xfId="19003"/>
    <cellStyle name="08 5 2 3" xfId="7548"/>
    <cellStyle name="08 5 2 3 2" xfId="19002"/>
    <cellStyle name="08 5 2 4" xfId="19004"/>
    <cellStyle name="08 5 3" xfId="7549"/>
    <cellStyle name="08 5 3 2" xfId="7550"/>
    <cellStyle name="08 5 3 2 2" xfId="17973"/>
    <cellStyle name="08 5 3 3" xfId="7551"/>
    <cellStyle name="08 5 3 3 2" xfId="19001"/>
    <cellStyle name="08 5 3 4" xfId="18071"/>
    <cellStyle name="08 5 4" xfId="7552"/>
    <cellStyle name="08 5 4 2" xfId="19000"/>
    <cellStyle name="08 5 5" xfId="7553"/>
    <cellStyle name="08 5 5 2" xfId="18999"/>
    <cellStyle name="08 5 6" xfId="27088"/>
    <cellStyle name="08 6" xfId="4989"/>
    <cellStyle name="08 6 2" xfId="7554"/>
    <cellStyle name="08 6 2 2" xfId="7555"/>
    <cellStyle name="08 6 2 2 2" xfId="18061"/>
    <cellStyle name="08 6 2 3" xfId="7556"/>
    <cellStyle name="08 6 2 3 2" xfId="17963"/>
    <cellStyle name="08 6 2 4" xfId="18998"/>
    <cellStyle name="08 6 3" xfId="7557"/>
    <cellStyle name="08 6 3 2" xfId="7558"/>
    <cellStyle name="08 6 3 2 2" xfId="18996"/>
    <cellStyle name="08 6 3 3" xfId="7559"/>
    <cellStyle name="08 6 3 3 2" xfId="18051"/>
    <cellStyle name="08 6 3 4" xfId="18997"/>
    <cellStyle name="08 6 4" xfId="7560"/>
    <cellStyle name="08 6 4 2" xfId="17952"/>
    <cellStyle name="08 6 5" xfId="7561"/>
    <cellStyle name="08 6 5 2" xfId="18995"/>
    <cellStyle name="08 6 6" xfId="26589"/>
    <cellStyle name="08 7" xfId="7562"/>
    <cellStyle name="08 7 2" xfId="7563"/>
    <cellStyle name="08 7 2 2" xfId="18993"/>
    <cellStyle name="08 7 3" xfId="7564"/>
    <cellStyle name="08 7 3 2" xfId="18992"/>
    <cellStyle name="08 7 4" xfId="18994"/>
    <cellStyle name="08 8" xfId="7565"/>
    <cellStyle name="08 8 2" xfId="18142"/>
    <cellStyle name="08 9" xfId="7566"/>
    <cellStyle name="08 9 2" xfId="18040"/>
    <cellStyle name="08 F" xfId="916"/>
    <cellStyle name="08 FK" xfId="917"/>
    <cellStyle name="08 K" xfId="918"/>
    <cellStyle name="09" xfId="919"/>
    <cellStyle name="09 F" xfId="920"/>
    <cellStyle name="09 FK" xfId="921"/>
    <cellStyle name="09 FS" xfId="922"/>
    <cellStyle name="09 FS 2" xfId="4990"/>
    <cellStyle name="09 FS 2 2" xfId="4991"/>
    <cellStyle name="09 FS 3" xfId="4992"/>
    <cellStyle name="09 FS 3 2" xfId="7567"/>
    <cellStyle name="09 FS 3 2 2" xfId="7568"/>
    <cellStyle name="09 FS 3 3" xfId="7569"/>
    <cellStyle name="09 FS 3 3 2" xfId="7570"/>
    <cellStyle name="09 FU" xfId="923"/>
    <cellStyle name="1" xfId="924"/>
    <cellStyle name="-1" xfId="925"/>
    <cellStyle name="-1 2" xfId="4993"/>
    <cellStyle name="-1 2 2" xfId="4994"/>
    <cellStyle name="-1 2 2 2" xfId="7571"/>
    <cellStyle name="-1 2 2 2 2" xfId="7572"/>
    <cellStyle name="-1 2 2 2 2 2" xfId="23343"/>
    <cellStyle name="-1 2 2 2 2 3" xfId="18030"/>
    <cellStyle name="-1 2 2 2 3" xfId="7573"/>
    <cellStyle name="-1 2 2 2 3 2" xfId="23344"/>
    <cellStyle name="-1 2 2 2 3 3" xfId="18991"/>
    <cellStyle name="-1 2 2 2 4" xfId="23342"/>
    <cellStyle name="-1 2 2 2 5" xfId="18131"/>
    <cellStyle name="-1 2 2 3" xfId="7574"/>
    <cellStyle name="-1 2 2 3 2" xfId="7575"/>
    <cellStyle name="-1 2 2 3 2 2" xfId="23346"/>
    <cellStyle name="-1 2 2 3 2 3" xfId="18989"/>
    <cellStyle name="-1 2 2 3 3" xfId="23345"/>
    <cellStyle name="-1 2 2 3 4" xfId="18990"/>
    <cellStyle name="-1 2 2 4" xfId="7576"/>
    <cellStyle name="-1 2 2 4 2" xfId="23347"/>
    <cellStyle name="-1 2 2 4 3" xfId="18988"/>
    <cellStyle name="-1 2 2 5" xfId="20901"/>
    <cellStyle name="-1 2 2 6" xfId="26587"/>
    <cellStyle name="-1 2 3" xfId="7577"/>
    <cellStyle name="-1 2 3 2" xfId="7578"/>
    <cellStyle name="-1 2 3 2 2" xfId="23349"/>
    <cellStyle name="-1 2 3 2 3" xfId="18020"/>
    <cellStyle name="-1 2 3 3" xfId="7579"/>
    <cellStyle name="-1 2 3 3 2" xfId="23350"/>
    <cellStyle name="-1 2 3 3 3" xfId="18987"/>
    <cellStyle name="-1 2 3 4" xfId="23348"/>
    <cellStyle name="-1 2 3 5" xfId="18121"/>
    <cellStyle name="-1 2 4" xfId="7580"/>
    <cellStyle name="-1 2 4 2" xfId="7581"/>
    <cellStyle name="-1 2 4 2 2" xfId="23352"/>
    <cellStyle name="-1 2 4 2 3" xfId="18985"/>
    <cellStyle name="-1 2 4 3" xfId="23351"/>
    <cellStyle name="-1 2 4 4" xfId="18986"/>
    <cellStyle name="-1 2 5" xfId="7582"/>
    <cellStyle name="-1 2 5 2" xfId="23353"/>
    <cellStyle name="-1 2 5 3" xfId="18984"/>
    <cellStyle name="-1 2 6" xfId="20900"/>
    <cellStyle name="-1 2 7" xfId="26588"/>
    <cellStyle name="-1 3" xfId="4995"/>
    <cellStyle name="-1 3 2" xfId="7583"/>
    <cellStyle name="-1 3 2 2" xfId="7584"/>
    <cellStyle name="-1 3 2 2 2" xfId="23355"/>
    <cellStyle name="-1 3 2 2 3" xfId="18008"/>
    <cellStyle name="-1 3 2 3" xfId="7585"/>
    <cellStyle name="-1 3 2 3 2" xfId="23356"/>
    <cellStyle name="-1 3 2 3 3" xfId="18983"/>
    <cellStyle name="-1 3 2 4" xfId="23354"/>
    <cellStyle name="-1 3 2 5" xfId="18108"/>
    <cellStyle name="-1 3 3" xfId="7586"/>
    <cellStyle name="-1 3 3 2" xfId="23357"/>
    <cellStyle name="-1 3 3 3" xfId="18982"/>
    <cellStyle name="-1 3 4" xfId="20902"/>
    <cellStyle name="-1 3 5" xfId="26586"/>
    <cellStyle name="-1 4" xfId="7587"/>
    <cellStyle name="-1 4 2" xfId="7588"/>
    <cellStyle name="-1 4 2 2" xfId="23359"/>
    <cellStyle name="-1 4 2 3" xfId="18980"/>
    <cellStyle name="-1 4 3" xfId="7589"/>
    <cellStyle name="-1 4 3 2" xfId="23360"/>
    <cellStyle name="-1 4 3 3" xfId="18979"/>
    <cellStyle name="-1 4 4" xfId="23358"/>
    <cellStyle name="-1 4 5" xfId="18981"/>
    <cellStyle name="-1 5" xfId="7590"/>
    <cellStyle name="-1 5 2" xfId="7591"/>
    <cellStyle name="-1 5 2 2" xfId="23362"/>
    <cellStyle name="-1 5 2 3" xfId="17996"/>
    <cellStyle name="-1 5 3" xfId="23361"/>
    <cellStyle name="-1 5 4" xfId="18096"/>
    <cellStyle name="-1 6" xfId="7592"/>
    <cellStyle name="-1 6 2" xfId="23363"/>
    <cellStyle name="-1 6 3" xfId="18978"/>
    <cellStyle name="-1 7" xfId="18597"/>
    <cellStyle name="-1 8" xfId="30656"/>
    <cellStyle name="1.000/(1,000)" xfId="926"/>
    <cellStyle name="1_Balances de escisión" xfId="927"/>
    <cellStyle name="1_Balances de escisión_01 Análisis Comparables" xfId="928"/>
    <cellStyle name="1_Databook library PPART" xfId="929"/>
    <cellStyle name="10" xfId="930"/>
    <cellStyle name="10 F" xfId="931"/>
    <cellStyle name="10 FK" xfId="932"/>
    <cellStyle name="10 FU" xfId="933"/>
    <cellStyle name="1000/- %" xfId="934"/>
    <cellStyle name="1000/- % 2" xfId="4996"/>
    <cellStyle name="10Text" xfId="935"/>
    <cellStyle name="11" xfId="936"/>
    <cellStyle name="11 F" xfId="937"/>
    <cellStyle name="11 FK" xfId="938"/>
    <cellStyle name="11 FU" xfId="939"/>
    <cellStyle name="12" xfId="940"/>
    <cellStyle name="12 F" xfId="941"/>
    <cellStyle name="12 FK" xfId="942"/>
    <cellStyle name="12 FU" xfId="943"/>
    <cellStyle name="12Text" xfId="944"/>
    <cellStyle name="14 F" xfId="945"/>
    <cellStyle name="14 FK" xfId="946"/>
    <cellStyle name="14 FU" xfId="947"/>
    <cellStyle name="14Text" xfId="948"/>
    <cellStyle name="16 F" xfId="949"/>
    <cellStyle name="16 FK" xfId="950"/>
    <cellStyle name="16 FU" xfId="951"/>
    <cellStyle name="18 F" xfId="952"/>
    <cellStyle name="18 FK" xfId="953"/>
    <cellStyle name="18 FU" xfId="954"/>
    <cellStyle name="18Text" xfId="955"/>
    <cellStyle name="2" xfId="956"/>
    <cellStyle name="2 Decimal Places" xfId="957"/>
    <cellStyle name="20% - Accent1 2" xfId="958"/>
    <cellStyle name="20% - Accent1 2 2" xfId="959"/>
    <cellStyle name="20% - Accent1 2 2 2" xfId="960"/>
    <cellStyle name="20% - Accent1 3" xfId="961"/>
    <cellStyle name="20% - Accent2 2" xfId="962"/>
    <cellStyle name="20% - Accent2 2 2" xfId="963"/>
    <cellStyle name="20% - Accent2 2 2 2" xfId="964"/>
    <cellStyle name="20% - Accent2 3" xfId="965"/>
    <cellStyle name="20% - Accent3 2" xfId="966"/>
    <cellStyle name="20% - Accent3 2 2" xfId="967"/>
    <cellStyle name="20% - Accent3 2 2 2" xfId="968"/>
    <cellStyle name="20% - Accent3 3" xfId="969"/>
    <cellStyle name="20% - Accent4 2" xfId="970"/>
    <cellStyle name="20% - Accent4 2 2" xfId="971"/>
    <cellStyle name="20% - Accent4 2 2 2" xfId="972"/>
    <cellStyle name="20% - Accent4 3" xfId="973"/>
    <cellStyle name="20% - Accent5 2" xfId="974"/>
    <cellStyle name="20% - Accent5 2 2" xfId="975"/>
    <cellStyle name="20% - Accent5 2 2 2" xfId="976"/>
    <cellStyle name="20% - Accent5 3" xfId="977"/>
    <cellStyle name="20% - Accent6 2" xfId="978"/>
    <cellStyle name="20% - Accent6 2 2" xfId="979"/>
    <cellStyle name="20% - Accent6 2 2 2" xfId="980"/>
    <cellStyle name="20% - Accent6 3" xfId="981"/>
    <cellStyle name="20% - Ênfase1" xfId="982"/>
    <cellStyle name="20% - Ênfase2" xfId="983"/>
    <cellStyle name="20% - Ênfase3" xfId="984"/>
    <cellStyle name="20% - Ênfase4" xfId="985"/>
    <cellStyle name="20% - Ênfase5" xfId="986"/>
    <cellStyle name="20% - Ênfase6" xfId="987"/>
    <cellStyle name="20% - Énfasis1" xfId="41" builtinId="30" customBuiltin="1"/>
    <cellStyle name="20% - Énfasis1 10" xfId="233"/>
    <cellStyle name="20% - Énfasis1 10 2" xfId="988"/>
    <cellStyle name="20% - Énfasis1 10 3" xfId="989"/>
    <cellStyle name="20% - Énfasis1 2" xfId="74"/>
    <cellStyle name="20% - Énfasis1 2 2" xfId="254"/>
    <cellStyle name="20% - Énfasis1 2 2 2" xfId="990"/>
    <cellStyle name="20% - Énfasis1 2 2 3" xfId="991"/>
    <cellStyle name="20% - Énfasis1 2 3" xfId="992"/>
    <cellStyle name="20% - Énfasis1 2 4" xfId="993"/>
    <cellStyle name="20% - Énfasis1 3" xfId="92"/>
    <cellStyle name="20% - Énfasis1 3 2" xfId="272"/>
    <cellStyle name="20% - Énfasis1 3 2 2" xfId="994"/>
    <cellStyle name="20% - Énfasis1 3 2 3" xfId="995"/>
    <cellStyle name="20% - Énfasis1 3 3" xfId="996"/>
    <cellStyle name="20% - Énfasis1 3 4" xfId="997"/>
    <cellStyle name="20% - Énfasis1 4" xfId="115"/>
    <cellStyle name="20% - Énfasis1 4 2" xfId="290"/>
    <cellStyle name="20% - Énfasis1 4 2 2" xfId="998"/>
    <cellStyle name="20% - Énfasis1 4 2 3" xfId="999"/>
    <cellStyle name="20% - Énfasis1 4 3" xfId="1000"/>
    <cellStyle name="20% - Énfasis1 4 4" xfId="1001"/>
    <cellStyle name="20% - Énfasis1 5" xfId="141"/>
    <cellStyle name="20% - Énfasis1 5 2" xfId="315"/>
    <cellStyle name="20% - Énfasis1 5 2 2" xfId="1002"/>
    <cellStyle name="20% - Énfasis1 5 2 3" xfId="1003"/>
    <cellStyle name="20% - Énfasis1 5 3" xfId="1004"/>
    <cellStyle name="20% - Énfasis1 5 4" xfId="1005"/>
    <cellStyle name="20% - Énfasis1 5 5" xfId="1006"/>
    <cellStyle name="20% - Énfasis1 6" xfId="159"/>
    <cellStyle name="20% - Énfasis1 6 2" xfId="333"/>
    <cellStyle name="20% - Énfasis1 6 2 2" xfId="1007"/>
    <cellStyle name="20% - Énfasis1 6 2 3" xfId="1008"/>
    <cellStyle name="20% - Énfasis1 6 3" xfId="1009"/>
    <cellStyle name="20% - Énfasis1 6 4" xfId="1010"/>
    <cellStyle name="20% - Énfasis1 7" xfId="177"/>
    <cellStyle name="20% - Énfasis1 7 2" xfId="351"/>
    <cellStyle name="20% - Énfasis1 7 2 2" xfId="1011"/>
    <cellStyle name="20% - Énfasis1 7 2 3" xfId="1012"/>
    <cellStyle name="20% - Énfasis1 7 3" xfId="1013"/>
    <cellStyle name="20% - Énfasis1 7 4" xfId="1014"/>
    <cellStyle name="20% - Énfasis1 8" xfId="195"/>
    <cellStyle name="20% - Énfasis1 8 2" xfId="369"/>
    <cellStyle name="20% - Énfasis1 8 2 2" xfId="1015"/>
    <cellStyle name="20% - Énfasis1 8 2 3" xfId="1016"/>
    <cellStyle name="20% - Énfasis1 8 3" xfId="1017"/>
    <cellStyle name="20% - Énfasis1 8 4" xfId="1018"/>
    <cellStyle name="20% - Énfasis1 9" xfId="213"/>
    <cellStyle name="20% - Énfasis1 9 2" xfId="387"/>
    <cellStyle name="20% - Énfasis1 9 2 2" xfId="1019"/>
    <cellStyle name="20% - Énfasis1 9 2 3" xfId="1020"/>
    <cellStyle name="20% - Énfasis1 9 3" xfId="1021"/>
    <cellStyle name="20% - Énfasis1 9 4" xfId="1022"/>
    <cellStyle name="20% - Énfasis2" xfId="45" builtinId="34" customBuiltin="1"/>
    <cellStyle name="20% - Énfasis2 10" xfId="235"/>
    <cellStyle name="20% - Énfasis2 10 2" xfId="1023"/>
    <cellStyle name="20% - Énfasis2 10 3" xfId="1024"/>
    <cellStyle name="20% - Énfasis2 2" xfId="75"/>
    <cellStyle name="20% - Énfasis2 2 2" xfId="255"/>
    <cellStyle name="20% - Énfasis2 2 2 2" xfId="1025"/>
    <cellStyle name="20% - Énfasis2 2 2 3" xfId="1026"/>
    <cellStyle name="20% - Énfasis2 2 3" xfId="1027"/>
    <cellStyle name="20% - Énfasis2 2 4" xfId="1028"/>
    <cellStyle name="20% - Énfasis2 3" xfId="93"/>
    <cellStyle name="20% - Énfasis2 3 2" xfId="273"/>
    <cellStyle name="20% - Énfasis2 3 2 2" xfId="1029"/>
    <cellStyle name="20% - Énfasis2 3 2 3" xfId="1030"/>
    <cellStyle name="20% - Énfasis2 3 3" xfId="1031"/>
    <cellStyle name="20% - Énfasis2 3 4" xfId="1032"/>
    <cellStyle name="20% - Énfasis2 4" xfId="116"/>
    <cellStyle name="20% - Énfasis2 4 2" xfId="291"/>
    <cellStyle name="20% - Énfasis2 4 2 2" xfId="1033"/>
    <cellStyle name="20% - Énfasis2 4 2 3" xfId="1034"/>
    <cellStyle name="20% - Énfasis2 4 3" xfId="1035"/>
    <cellStyle name="20% - Énfasis2 4 4" xfId="1036"/>
    <cellStyle name="20% - Énfasis2 5" xfId="143"/>
    <cellStyle name="20% - Énfasis2 5 2" xfId="317"/>
    <cellStyle name="20% - Énfasis2 5 2 2" xfId="1037"/>
    <cellStyle name="20% - Énfasis2 5 2 3" xfId="1038"/>
    <cellStyle name="20% - Énfasis2 5 3" xfId="1039"/>
    <cellStyle name="20% - Énfasis2 5 4" xfId="1040"/>
    <cellStyle name="20% - Énfasis2 5 5" xfId="1041"/>
    <cellStyle name="20% - Énfasis2 6" xfId="161"/>
    <cellStyle name="20% - Énfasis2 6 2" xfId="335"/>
    <cellStyle name="20% - Énfasis2 6 2 2" xfId="1042"/>
    <cellStyle name="20% - Énfasis2 6 2 3" xfId="1043"/>
    <cellStyle name="20% - Énfasis2 6 3" xfId="1044"/>
    <cellStyle name="20% - Énfasis2 6 4" xfId="1045"/>
    <cellStyle name="20% - Énfasis2 7" xfId="179"/>
    <cellStyle name="20% - Énfasis2 7 2" xfId="353"/>
    <cellStyle name="20% - Énfasis2 7 2 2" xfId="1046"/>
    <cellStyle name="20% - Énfasis2 7 2 3" xfId="1047"/>
    <cellStyle name="20% - Énfasis2 7 3" xfId="1048"/>
    <cellStyle name="20% - Énfasis2 7 4" xfId="1049"/>
    <cellStyle name="20% - Énfasis2 8" xfId="197"/>
    <cellStyle name="20% - Énfasis2 8 2" xfId="371"/>
    <cellStyle name="20% - Énfasis2 8 2 2" xfId="1050"/>
    <cellStyle name="20% - Énfasis2 8 2 3" xfId="1051"/>
    <cellStyle name="20% - Énfasis2 8 3" xfId="1052"/>
    <cellStyle name="20% - Énfasis2 8 4" xfId="1053"/>
    <cellStyle name="20% - Énfasis2 9" xfId="215"/>
    <cellStyle name="20% - Énfasis2 9 2" xfId="389"/>
    <cellStyle name="20% - Énfasis2 9 2 2" xfId="1054"/>
    <cellStyle name="20% - Énfasis2 9 2 3" xfId="1055"/>
    <cellStyle name="20% - Énfasis2 9 3" xfId="1056"/>
    <cellStyle name="20% - Énfasis2 9 4" xfId="1057"/>
    <cellStyle name="20% - Énfasis3" xfId="49" builtinId="38" customBuiltin="1"/>
    <cellStyle name="20% - Énfasis3 10" xfId="237"/>
    <cellStyle name="20% - Énfasis3 10 2" xfId="1058"/>
    <cellStyle name="20% - Énfasis3 10 3" xfId="1059"/>
    <cellStyle name="20% - Énfasis3 2" xfId="76"/>
    <cellStyle name="20% - Énfasis3 2 2" xfId="256"/>
    <cellStyle name="20% - Énfasis3 2 2 2" xfId="1060"/>
    <cellStyle name="20% - Énfasis3 2 2 3" xfId="1061"/>
    <cellStyle name="20% - Énfasis3 2 3" xfId="1062"/>
    <cellStyle name="20% - Énfasis3 2 4" xfId="1063"/>
    <cellStyle name="20% - Énfasis3 3" xfId="94"/>
    <cellStyle name="20% - Énfasis3 3 2" xfId="274"/>
    <cellStyle name="20% - Énfasis3 3 2 2" xfId="1064"/>
    <cellStyle name="20% - Énfasis3 3 2 3" xfId="1065"/>
    <cellStyle name="20% - Énfasis3 3 3" xfId="1066"/>
    <cellStyle name="20% - Énfasis3 3 4" xfId="1067"/>
    <cellStyle name="20% - Énfasis3 4" xfId="117"/>
    <cellStyle name="20% - Énfasis3 4 2" xfId="292"/>
    <cellStyle name="20% - Énfasis3 4 2 2" xfId="1068"/>
    <cellStyle name="20% - Énfasis3 4 2 3" xfId="1069"/>
    <cellStyle name="20% - Énfasis3 4 3" xfId="1070"/>
    <cellStyle name="20% - Énfasis3 4 4" xfId="1071"/>
    <cellStyle name="20% - Énfasis3 5" xfId="145"/>
    <cellStyle name="20% - Énfasis3 5 2" xfId="319"/>
    <cellStyle name="20% - Énfasis3 5 2 2" xfId="1072"/>
    <cellStyle name="20% - Énfasis3 5 2 3" xfId="1073"/>
    <cellStyle name="20% - Énfasis3 5 3" xfId="1074"/>
    <cellStyle name="20% - Énfasis3 5 4" xfId="1075"/>
    <cellStyle name="20% - Énfasis3 5 5" xfId="1076"/>
    <cellStyle name="20% - Énfasis3 6" xfId="163"/>
    <cellStyle name="20% - Énfasis3 6 2" xfId="337"/>
    <cellStyle name="20% - Énfasis3 6 2 2" xfId="1077"/>
    <cellStyle name="20% - Énfasis3 6 2 3" xfId="1078"/>
    <cellStyle name="20% - Énfasis3 6 3" xfId="1079"/>
    <cellStyle name="20% - Énfasis3 6 4" xfId="1080"/>
    <cellStyle name="20% - Énfasis3 7" xfId="181"/>
    <cellStyle name="20% - Énfasis3 7 2" xfId="355"/>
    <cellStyle name="20% - Énfasis3 7 2 2" xfId="1081"/>
    <cellStyle name="20% - Énfasis3 7 2 3" xfId="1082"/>
    <cellStyle name="20% - Énfasis3 7 3" xfId="1083"/>
    <cellStyle name="20% - Énfasis3 7 4" xfId="1084"/>
    <cellStyle name="20% - Énfasis3 8" xfId="199"/>
    <cellStyle name="20% - Énfasis3 8 2" xfId="373"/>
    <cellStyle name="20% - Énfasis3 8 2 2" xfId="1085"/>
    <cellStyle name="20% - Énfasis3 8 2 3" xfId="1086"/>
    <cellStyle name="20% - Énfasis3 8 3" xfId="1087"/>
    <cellStyle name="20% - Énfasis3 8 4" xfId="1088"/>
    <cellStyle name="20% - Énfasis3 9" xfId="217"/>
    <cellStyle name="20% - Énfasis3 9 2" xfId="391"/>
    <cellStyle name="20% - Énfasis3 9 2 2" xfId="1089"/>
    <cellStyle name="20% - Énfasis3 9 2 3" xfId="1090"/>
    <cellStyle name="20% - Énfasis3 9 3" xfId="1091"/>
    <cellStyle name="20% - Énfasis3 9 4" xfId="1092"/>
    <cellStyle name="20% - Énfasis4" xfId="53" builtinId="42" customBuiltin="1"/>
    <cellStyle name="20% - Énfasis4 10" xfId="239"/>
    <cellStyle name="20% - Énfasis4 10 2" xfId="1093"/>
    <cellStyle name="20% - Énfasis4 10 3" xfId="1094"/>
    <cellStyle name="20% - Énfasis4 2" xfId="77"/>
    <cellStyle name="20% - Énfasis4 2 2" xfId="257"/>
    <cellStyle name="20% - Énfasis4 2 2 2" xfId="1095"/>
    <cellStyle name="20% - Énfasis4 2 2 3" xfId="1096"/>
    <cellStyle name="20% - Énfasis4 2 3" xfId="1097"/>
    <cellStyle name="20% - Énfasis4 2 4" xfId="1098"/>
    <cellStyle name="20% - Énfasis4 3" xfId="95"/>
    <cellStyle name="20% - Énfasis4 3 2" xfId="275"/>
    <cellStyle name="20% - Énfasis4 3 2 2" xfId="1099"/>
    <cellStyle name="20% - Énfasis4 3 2 3" xfId="1100"/>
    <cellStyle name="20% - Énfasis4 3 3" xfId="1101"/>
    <cellStyle name="20% - Énfasis4 3 4" xfId="1102"/>
    <cellStyle name="20% - Énfasis4 4" xfId="118"/>
    <cellStyle name="20% - Énfasis4 4 2" xfId="293"/>
    <cellStyle name="20% - Énfasis4 4 2 2" xfId="1103"/>
    <cellStyle name="20% - Énfasis4 4 2 3" xfId="1104"/>
    <cellStyle name="20% - Énfasis4 4 3" xfId="1105"/>
    <cellStyle name="20% - Énfasis4 4 4" xfId="1106"/>
    <cellStyle name="20% - Énfasis4 5" xfId="147"/>
    <cellStyle name="20% - Énfasis4 5 2" xfId="321"/>
    <cellStyle name="20% - Énfasis4 5 2 2" xfId="1107"/>
    <cellStyle name="20% - Énfasis4 5 2 3" xfId="1108"/>
    <cellStyle name="20% - Énfasis4 5 3" xfId="1109"/>
    <cellStyle name="20% - Énfasis4 5 4" xfId="1110"/>
    <cellStyle name="20% - Énfasis4 5 5" xfId="1111"/>
    <cellStyle name="20% - Énfasis4 6" xfId="165"/>
    <cellStyle name="20% - Énfasis4 6 2" xfId="339"/>
    <cellStyle name="20% - Énfasis4 6 2 2" xfId="1112"/>
    <cellStyle name="20% - Énfasis4 6 2 3" xfId="1113"/>
    <cellStyle name="20% - Énfasis4 6 3" xfId="1114"/>
    <cellStyle name="20% - Énfasis4 6 4" xfId="1115"/>
    <cellStyle name="20% - Énfasis4 7" xfId="183"/>
    <cellStyle name="20% - Énfasis4 7 2" xfId="357"/>
    <cellStyle name="20% - Énfasis4 7 2 2" xfId="1116"/>
    <cellStyle name="20% - Énfasis4 7 2 3" xfId="1117"/>
    <cellStyle name="20% - Énfasis4 7 3" xfId="1118"/>
    <cellStyle name="20% - Énfasis4 7 4" xfId="1119"/>
    <cellStyle name="20% - Énfasis4 8" xfId="201"/>
    <cellStyle name="20% - Énfasis4 8 2" xfId="375"/>
    <cellStyle name="20% - Énfasis4 8 2 2" xfId="1120"/>
    <cellStyle name="20% - Énfasis4 8 2 3" xfId="1121"/>
    <cellStyle name="20% - Énfasis4 8 3" xfId="1122"/>
    <cellStyle name="20% - Énfasis4 8 4" xfId="1123"/>
    <cellStyle name="20% - Énfasis4 9" xfId="219"/>
    <cellStyle name="20% - Énfasis4 9 2" xfId="393"/>
    <cellStyle name="20% - Énfasis4 9 2 2" xfId="1124"/>
    <cellStyle name="20% - Énfasis4 9 2 3" xfId="1125"/>
    <cellStyle name="20% - Énfasis4 9 3" xfId="1126"/>
    <cellStyle name="20% - Énfasis4 9 4" xfId="1127"/>
    <cellStyle name="20% - Énfasis5" xfId="57" builtinId="46" customBuiltin="1"/>
    <cellStyle name="20% - Énfasis5 10" xfId="241"/>
    <cellStyle name="20% - Énfasis5 10 2" xfId="1128"/>
    <cellStyle name="20% - Énfasis5 10 3" xfId="1129"/>
    <cellStyle name="20% - Énfasis5 2" xfId="78"/>
    <cellStyle name="20% - Énfasis5 2 2" xfId="258"/>
    <cellStyle name="20% - Énfasis5 2 2 2" xfId="1130"/>
    <cellStyle name="20% - Énfasis5 2 2 3" xfId="1131"/>
    <cellStyle name="20% - Énfasis5 2 3" xfId="1132"/>
    <cellStyle name="20% - Énfasis5 2 4" xfId="1133"/>
    <cellStyle name="20% - Énfasis5 3" xfId="96"/>
    <cellStyle name="20% - Énfasis5 3 2" xfId="276"/>
    <cellStyle name="20% - Énfasis5 3 2 2" xfId="1134"/>
    <cellStyle name="20% - Énfasis5 3 2 3" xfId="1135"/>
    <cellStyle name="20% - Énfasis5 3 3" xfId="1136"/>
    <cellStyle name="20% - Énfasis5 3 4" xfId="1137"/>
    <cellStyle name="20% - Énfasis5 4" xfId="119"/>
    <cellStyle name="20% - Énfasis5 4 2" xfId="294"/>
    <cellStyle name="20% - Énfasis5 4 2 2" xfId="1138"/>
    <cellStyle name="20% - Énfasis5 4 2 3" xfId="1139"/>
    <cellStyle name="20% - Énfasis5 4 3" xfId="1140"/>
    <cellStyle name="20% - Énfasis5 4 4" xfId="1141"/>
    <cellStyle name="20% - Énfasis5 5" xfId="149"/>
    <cellStyle name="20% - Énfasis5 5 2" xfId="323"/>
    <cellStyle name="20% - Énfasis5 5 2 2" xfId="1142"/>
    <cellStyle name="20% - Énfasis5 5 2 3" xfId="1143"/>
    <cellStyle name="20% - Énfasis5 5 3" xfId="1144"/>
    <cellStyle name="20% - Énfasis5 5 4" xfId="1145"/>
    <cellStyle name="20% - Énfasis5 5 5" xfId="1146"/>
    <cellStyle name="20% - Énfasis5 6" xfId="167"/>
    <cellStyle name="20% - Énfasis5 6 2" xfId="341"/>
    <cellStyle name="20% - Énfasis5 6 2 2" xfId="1147"/>
    <cellStyle name="20% - Énfasis5 6 2 3" xfId="1148"/>
    <cellStyle name="20% - Énfasis5 6 3" xfId="1149"/>
    <cellStyle name="20% - Énfasis5 6 4" xfId="1150"/>
    <cellStyle name="20% - Énfasis5 7" xfId="185"/>
    <cellStyle name="20% - Énfasis5 7 2" xfId="359"/>
    <cellStyle name="20% - Énfasis5 7 2 2" xfId="1151"/>
    <cellStyle name="20% - Énfasis5 7 2 3" xfId="1152"/>
    <cellStyle name="20% - Énfasis5 7 3" xfId="1153"/>
    <cellStyle name="20% - Énfasis5 7 4" xfId="1154"/>
    <cellStyle name="20% - Énfasis5 8" xfId="203"/>
    <cellStyle name="20% - Énfasis5 8 2" xfId="377"/>
    <cellStyle name="20% - Énfasis5 8 2 2" xfId="1155"/>
    <cellStyle name="20% - Énfasis5 8 2 3" xfId="1156"/>
    <cellStyle name="20% - Énfasis5 8 3" xfId="1157"/>
    <cellStyle name="20% - Énfasis5 8 4" xfId="1158"/>
    <cellStyle name="20% - Énfasis5 9" xfId="221"/>
    <cellStyle name="20% - Énfasis5 9 2" xfId="395"/>
    <cellStyle name="20% - Énfasis5 9 2 2" xfId="1159"/>
    <cellStyle name="20% - Énfasis5 9 2 3" xfId="1160"/>
    <cellStyle name="20% - Énfasis5 9 3" xfId="1161"/>
    <cellStyle name="20% - Énfasis5 9 4" xfId="1162"/>
    <cellStyle name="20% - Énfasis6" xfId="61" builtinId="50" customBuiltin="1"/>
    <cellStyle name="20% - Énfasis6 10" xfId="243"/>
    <cellStyle name="20% - Énfasis6 10 2" xfId="1163"/>
    <cellStyle name="20% - Énfasis6 10 3" xfId="1164"/>
    <cellStyle name="20% - Énfasis6 2" xfId="79"/>
    <cellStyle name="20% - Énfasis6 2 2" xfId="259"/>
    <cellStyle name="20% - Énfasis6 2 2 2" xfId="1165"/>
    <cellStyle name="20% - Énfasis6 2 2 3" xfId="1166"/>
    <cellStyle name="20% - Énfasis6 2 3" xfId="1167"/>
    <cellStyle name="20% - Énfasis6 2 4" xfId="1168"/>
    <cellStyle name="20% - Énfasis6 3" xfId="97"/>
    <cellStyle name="20% - Énfasis6 3 2" xfId="277"/>
    <cellStyle name="20% - Énfasis6 3 2 2" xfId="1169"/>
    <cellStyle name="20% - Énfasis6 3 2 3" xfId="1170"/>
    <cellStyle name="20% - Énfasis6 3 3" xfId="1171"/>
    <cellStyle name="20% - Énfasis6 3 4" xfId="1172"/>
    <cellStyle name="20% - Énfasis6 4" xfId="120"/>
    <cellStyle name="20% - Énfasis6 4 2" xfId="295"/>
    <cellStyle name="20% - Énfasis6 4 2 2" xfId="1173"/>
    <cellStyle name="20% - Énfasis6 4 2 3" xfId="1174"/>
    <cellStyle name="20% - Énfasis6 4 3" xfId="1175"/>
    <cellStyle name="20% - Énfasis6 4 4" xfId="1176"/>
    <cellStyle name="20% - Énfasis6 5" xfId="151"/>
    <cellStyle name="20% - Énfasis6 5 2" xfId="325"/>
    <cellStyle name="20% - Énfasis6 5 2 2" xfId="1177"/>
    <cellStyle name="20% - Énfasis6 5 2 3" xfId="1178"/>
    <cellStyle name="20% - Énfasis6 5 3" xfId="1179"/>
    <cellStyle name="20% - Énfasis6 5 4" xfId="1180"/>
    <cellStyle name="20% - Énfasis6 5 5" xfId="1181"/>
    <cellStyle name="20% - Énfasis6 6" xfId="169"/>
    <cellStyle name="20% - Énfasis6 6 2" xfId="343"/>
    <cellStyle name="20% - Énfasis6 6 2 2" xfId="1182"/>
    <cellStyle name="20% - Énfasis6 6 2 3" xfId="1183"/>
    <cellStyle name="20% - Énfasis6 6 3" xfId="1184"/>
    <cellStyle name="20% - Énfasis6 6 4" xfId="1185"/>
    <cellStyle name="20% - Énfasis6 7" xfId="187"/>
    <cellStyle name="20% - Énfasis6 7 2" xfId="361"/>
    <cellStyle name="20% - Énfasis6 7 2 2" xfId="1186"/>
    <cellStyle name="20% - Énfasis6 7 2 3" xfId="1187"/>
    <cellStyle name="20% - Énfasis6 7 3" xfId="1188"/>
    <cellStyle name="20% - Énfasis6 7 4" xfId="1189"/>
    <cellStyle name="20% - Énfasis6 8" xfId="205"/>
    <cellStyle name="20% - Énfasis6 8 2" xfId="379"/>
    <cellStyle name="20% - Énfasis6 8 2 2" xfId="1190"/>
    <cellStyle name="20% - Énfasis6 8 2 3" xfId="1191"/>
    <cellStyle name="20% - Énfasis6 8 3" xfId="1192"/>
    <cellStyle name="20% - Énfasis6 8 4" xfId="1193"/>
    <cellStyle name="20% - Énfasis6 9" xfId="223"/>
    <cellStyle name="20% - Énfasis6 9 2" xfId="397"/>
    <cellStyle name="20% - Énfasis6 9 2 2" xfId="1194"/>
    <cellStyle name="20% - Énfasis6 9 2 3" xfId="1195"/>
    <cellStyle name="20% - Énfasis6 9 3" xfId="1196"/>
    <cellStyle name="20% - Énfasis6 9 4" xfId="1197"/>
    <cellStyle name="24 F" xfId="1198"/>
    <cellStyle name="24 FK" xfId="1199"/>
    <cellStyle name="24 FU" xfId="1200"/>
    <cellStyle name="2x" xfId="1201"/>
    <cellStyle name="2x 2" xfId="1202"/>
    <cellStyle name="2x 2 2" xfId="4997"/>
    <cellStyle name="2x 2 2 2" xfId="7593"/>
    <cellStyle name="2x 2 2 2 2" xfId="7594"/>
    <cellStyle name="2x 2 2 2 2 2" xfId="23365"/>
    <cellStyle name="2x 2 2 2 2 3" xfId="18976"/>
    <cellStyle name="2x 2 2 2 3" xfId="7595"/>
    <cellStyle name="2x 2 2 2 3 2" xfId="23366"/>
    <cellStyle name="2x 2 2 2 3 3" xfId="18975"/>
    <cellStyle name="2x 2 2 2 4" xfId="23364"/>
    <cellStyle name="2x 2 2 2 5" xfId="18977"/>
    <cellStyle name="2x 2 2 3" xfId="20904"/>
    <cellStyle name="2x 2 2 4" xfId="26585"/>
    <cellStyle name="2x 2 3" xfId="4998"/>
    <cellStyle name="2x 2 3 2" xfId="7596"/>
    <cellStyle name="2x 2 3 2 2" xfId="7597"/>
    <cellStyle name="2x 2 3 2 2 2" xfId="23368"/>
    <cellStyle name="2x 2 3 2 2 3" xfId="17983"/>
    <cellStyle name="2x 2 3 2 3" xfId="7598"/>
    <cellStyle name="2x 2 3 2 3 2" xfId="23369"/>
    <cellStyle name="2x 2 3 2 3 3" xfId="18974"/>
    <cellStyle name="2x 2 3 2 4" xfId="23367"/>
    <cellStyle name="2x 2 3 2 5" xfId="18081"/>
    <cellStyle name="2x 2 3 3" xfId="20905"/>
    <cellStyle name="2x 2 3 4" xfId="26584"/>
    <cellStyle name="2x 2 4" xfId="7599"/>
    <cellStyle name="2x 2 4 2" xfId="7600"/>
    <cellStyle name="2x 2 4 2 2" xfId="23371"/>
    <cellStyle name="2x 2 4 2 3" xfId="18972"/>
    <cellStyle name="2x 2 4 3" xfId="7601"/>
    <cellStyle name="2x 2 4 3 2" xfId="23372"/>
    <cellStyle name="2x 2 4 3 3" xfId="18971"/>
    <cellStyle name="2x 2 4 4" xfId="23370"/>
    <cellStyle name="2x 2 4 5" xfId="18973"/>
    <cellStyle name="2x 2 5" xfId="7602"/>
    <cellStyle name="2x 2 5 2" xfId="7603"/>
    <cellStyle name="2x 2 5 2 2" xfId="23374"/>
    <cellStyle name="2x 2 5 2 3" xfId="17972"/>
    <cellStyle name="2x 2 5 3" xfId="23373"/>
    <cellStyle name="2x 2 5 4" xfId="18070"/>
    <cellStyle name="2x 2 6" xfId="18824"/>
    <cellStyle name="2x 2 7" xfId="30616"/>
    <cellStyle name="2x 3" xfId="1203"/>
    <cellStyle name="2x 3 2" xfId="4999"/>
    <cellStyle name="2x 3 2 2" xfId="7604"/>
    <cellStyle name="2x 3 2 2 2" xfId="7605"/>
    <cellStyle name="2x 3 2 2 2 2" xfId="23376"/>
    <cellStyle name="2x 3 2 2 2 3" xfId="18969"/>
    <cellStyle name="2x 3 2 2 3" xfId="7606"/>
    <cellStyle name="2x 3 2 2 3 2" xfId="23377"/>
    <cellStyle name="2x 3 2 2 3 3" xfId="18968"/>
    <cellStyle name="2x 3 2 2 4" xfId="23375"/>
    <cellStyle name="2x 3 2 2 5" xfId="18970"/>
    <cellStyle name="2x 3 2 3" xfId="20906"/>
    <cellStyle name="2x 3 2 4" xfId="26583"/>
    <cellStyle name="2x 3 3" xfId="5000"/>
    <cellStyle name="2x 3 3 2" xfId="7607"/>
    <cellStyle name="2x 3 3 2 2" xfId="7608"/>
    <cellStyle name="2x 3 3 2 2 2" xfId="23379"/>
    <cellStyle name="2x 3 3 2 2 3" xfId="18060"/>
    <cellStyle name="2x 3 3 2 3" xfId="7609"/>
    <cellStyle name="2x 3 3 2 3 2" xfId="23380"/>
    <cellStyle name="2x 3 3 2 3 3" xfId="17962"/>
    <cellStyle name="2x 3 3 2 4" xfId="23378"/>
    <cellStyle name="2x 3 3 2 5" xfId="18967"/>
    <cellStyle name="2x 3 3 3" xfId="20907"/>
    <cellStyle name="2x 3 3 4" xfId="26582"/>
    <cellStyle name="2x 3 4" xfId="7610"/>
    <cellStyle name="2x 3 4 2" xfId="7611"/>
    <cellStyle name="2x 3 4 2 2" xfId="23382"/>
    <cellStyle name="2x 3 4 2 3" xfId="18965"/>
    <cellStyle name="2x 3 4 3" xfId="7612"/>
    <cellStyle name="2x 3 4 3 2" xfId="23383"/>
    <cellStyle name="2x 3 4 3 3" xfId="18050"/>
    <cellStyle name="2x 3 4 4" xfId="23381"/>
    <cellStyle name="2x 3 4 5" xfId="18966"/>
    <cellStyle name="2x 3 5" xfId="7613"/>
    <cellStyle name="2x 3 5 2" xfId="7614"/>
    <cellStyle name="2x 3 5 2 2" xfId="23385"/>
    <cellStyle name="2x 3 5 2 3" xfId="18964"/>
    <cellStyle name="2x 3 5 3" xfId="23384"/>
    <cellStyle name="2x 3 5 4" xfId="17949"/>
    <cellStyle name="2x 3 6" xfId="18825"/>
    <cellStyle name="2x 3 7" xfId="30615"/>
    <cellStyle name="2x 4" xfId="5001"/>
    <cellStyle name="2x 4 2" xfId="7615"/>
    <cellStyle name="2x 4 2 2" xfId="7616"/>
    <cellStyle name="2x 4 2 2 2" xfId="23387"/>
    <cellStyle name="2x 4 2 2 3" xfId="18962"/>
    <cellStyle name="2x 4 2 3" xfId="7617"/>
    <cellStyle name="2x 4 2 3 2" xfId="23388"/>
    <cellStyle name="2x 4 2 3 3" xfId="18961"/>
    <cellStyle name="2x 4 2 4" xfId="23386"/>
    <cellStyle name="2x 4 2 5" xfId="18963"/>
    <cellStyle name="2x 4 3" xfId="20908"/>
    <cellStyle name="2x 4 4" xfId="26581"/>
    <cellStyle name="2x 5" xfId="5002"/>
    <cellStyle name="2x 5 2" xfId="7618"/>
    <cellStyle name="2x 5 2 2" xfId="7619"/>
    <cellStyle name="2x 5 2 2 2" xfId="23390"/>
    <cellStyle name="2x 5 2 2 3" xfId="18039"/>
    <cellStyle name="2x 5 2 3" xfId="7620"/>
    <cellStyle name="2x 5 2 3 2" xfId="23391"/>
    <cellStyle name="2x 5 2 3 3" xfId="18960"/>
    <cellStyle name="2x 5 2 4" xfId="23389"/>
    <cellStyle name="2x 5 2 5" xfId="18141"/>
    <cellStyle name="2x 5 3" xfId="20909"/>
    <cellStyle name="2x 5 4" xfId="26580"/>
    <cellStyle name="2x 6" xfId="7621"/>
    <cellStyle name="2x 6 2" xfId="7622"/>
    <cellStyle name="2x 6 2 2" xfId="23393"/>
    <cellStyle name="2x 6 2 3" xfId="18958"/>
    <cellStyle name="2x 6 3" xfId="7623"/>
    <cellStyle name="2x 6 3 2" xfId="23394"/>
    <cellStyle name="2x 6 3 3" xfId="18957"/>
    <cellStyle name="2x 6 4" xfId="23392"/>
    <cellStyle name="2x 6 5" xfId="18959"/>
    <cellStyle name="2x 7" xfId="7624"/>
    <cellStyle name="2x 7 2" xfId="7625"/>
    <cellStyle name="2x 7 2 2" xfId="23396"/>
    <cellStyle name="2x 7 2 3" xfId="18029"/>
    <cellStyle name="2x 7 3" xfId="23395"/>
    <cellStyle name="2x 7 4" xfId="18130"/>
    <cellStyle name="2x 8" xfId="18823"/>
    <cellStyle name="2x 9" xfId="30617"/>
    <cellStyle name="3" xfId="1204"/>
    <cellStyle name="3 10" xfId="7626"/>
    <cellStyle name="3 10 2" xfId="18956"/>
    <cellStyle name="3 11" xfId="7627"/>
    <cellStyle name="3 11 2" xfId="18955"/>
    <cellStyle name="3 12" xfId="30614"/>
    <cellStyle name="3 2" xfId="1205"/>
    <cellStyle name="3 2 10" xfId="30613"/>
    <cellStyle name="3 2 2" xfId="4604"/>
    <cellStyle name="3 2 2 2" xfId="7628"/>
    <cellStyle name="3 2 2 2 2" xfId="7629"/>
    <cellStyle name="3 2 2 2 2 2" xfId="18953"/>
    <cellStyle name="3 2 2 2 3" xfId="7630"/>
    <cellStyle name="3 2 2 2 3 2" xfId="18119"/>
    <cellStyle name="3 2 2 2 4" xfId="18954"/>
    <cellStyle name="3 2 2 3" xfId="7631"/>
    <cellStyle name="3 2 2 3 2" xfId="7632"/>
    <cellStyle name="3 2 2 3 2 2" xfId="18952"/>
    <cellStyle name="3 2 2 3 3" xfId="7633"/>
    <cellStyle name="3 2 2 3 3 2" xfId="18951"/>
    <cellStyle name="3 2 2 3 4" xfId="18018"/>
    <cellStyle name="3 2 2 4" xfId="7634"/>
    <cellStyle name="3 2 2 4 2" xfId="7635"/>
    <cellStyle name="3 2 2 4 2 2" xfId="18949"/>
    <cellStyle name="3 2 2 4 3" xfId="7636"/>
    <cellStyle name="3 2 2 4 3 2" xfId="18106"/>
    <cellStyle name="3 2 2 4 4" xfId="18950"/>
    <cellStyle name="3 2 2 5" xfId="7637"/>
    <cellStyle name="3 2 2 5 2" xfId="7638"/>
    <cellStyle name="3 2 2 5 2 2" xfId="18948"/>
    <cellStyle name="3 2 2 5 3" xfId="7639"/>
    <cellStyle name="3 2 2 5 3 2" xfId="18947"/>
    <cellStyle name="3 2 2 5 4" xfId="18006"/>
    <cellStyle name="3 2 2 6" xfId="7640"/>
    <cellStyle name="3 2 2 6 2" xfId="7641"/>
    <cellStyle name="3 2 2 6 2 2" xfId="18945"/>
    <cellStyle name="3 2 2 6 3" xfId="7642"/>
    <cellStyle name="3 2 2 6 3 2" xfId="18944"/>
    <cellStyle name="3 2 2 6 4" xfId="18946"/>
    <cellStyle name="3 2 2 7" xfId="7643"/>
    <cellStyle name="3 2 2 7 2" xfId="18094"/>
    <cellStyle name="3 2 2 8" xfId="7644"/>
    <cellStyle name="3 2 2 8 2" xfId="17994"/>
    <cellStyle name="3 2 2 9" xfId="19835"/>
    <cellStyle name="3 2 3" xfId="4516"/>
    <cellStyle name="3 2 3 2" xfId="7645"/>
    <cellStyle name="3 2 3 2 2" xfId="7646"/>
    <cellStyle name="3 2 3 2 2 2" xfId="18942"/>
    <cellStyle name="3 2 3 2 3" xfId="7647"/>
    <cellStyle name="3 2 3 2 3 2" xfId="18941"/>
    <cellStyle name="3 2 3 2 4" xfId="18943"/>
    <cellStyle name="3 2 3 3" xfId="7648"/>
    <cellStyle name="3 2 3 3 2" xfId="7649"/>
    <cellStyle name="3 2 3 3 2 2" xfId="18080"/>
    <cellStyle name="3 2 3 3 3" xfId="7650"/>
    <cellStyle name="3 2 3 3 3 2" xfId="17982"/>
    <cellStyle name="3 2 3 3 4" xfId="18940"/>
    <cellStyle name="3 2 3 4" xfId="7651"/>
    <cellStyle name="3 2 3 4 2" xfId="7652"/>
    <cellStyle name="3 2 3 4 2 2" xfId="18938"/>
    <cellStyle name="3 2 3 4 3" xfId="7653"/>
    <cellStyle name="3 2 3 4 3 2" xfId="18937"/>
    <cellStyle name="3 2 3 4 4" xfId="18939"/>
    <cellStyle name="3 2 3 5" xfId="7654"/>
    <cellStyle name="3 2 3 5 2" xfId="7655"/>
    <cellStyle name="3 2 3 5 2 2" xfId="18069"/>
    <cellStyle name="3 2 3 5 3" xfId="7656"/>
    <cellStyle name="3 2 3 5 3 2" xfId="17971"/>
    <cellStyle name="3 2 3 5 4" xfId="18936"/>
    <cellStyle name="3 2 3 6" xfId="7657"/>
    <cellStyle name="3 2 3 6 2" xfId="7658"/>
    <cellStyle name="3 2 3 6 2 2" xfId="18934"/>
    <cellStyle name="3 2 3 6 3" xfId="7659"/>
    <cellStyle name="3 2 3 6 3 2" xfId="18933"/>
    <cellStyle name="3 2 3 6 4" xfId="18935"/>
    <cellStyle name="3 2 3 7" xfId="7660"/>
    <cellStyle name="3 2 3 7 2" xfId="18932"/>
    <cellStyle name="3 2 3 8" xfId="7661"/>
    <cellStyle name="3 2 3 8 2" xfId="18059"/>
    <cellStyle name="3 2 3 9" xfId="27052"/>
    <cellStyle name="3 2 4" xfId="5003"/>
    <cellStyle name="3 2 4 2" xfId="7662"/>
    <cellStyle name="3 2 4 2 2" xfId="7663"/>
    <cellStyle name="3 2 4 2 2 2" xfId="18931"/>
    <cellStyle name="3 2 4 2 3" xfId="7664"/>
    <cellStyle name="3 2 4 2 3 2" xfId="18930"/>
    <cellStyle name="3 2 4 2 4" xfId="17961"/>
    <cellStyle name="3 2 4 3" xfId="7665"/>
    <cellStyle name="3 2 4 3 2" xfId="7666"/>
    <cellStyle name="3 2 4 3 2 2" xfId="17945"/>
    <cellStyle name="3 2 4 3 3" xfId="7667"/>
    <cellStyle name="3 2 4 3 3 2" xfId="18929"/>
    <cellStyle name="3 2 4 3 4" xfId="18048"/>
    <cellStyle name="3 2 4 4" xfId="7668"/>
    <cellStyle name="3 2 4 4 2" xfId="7669"/>
    <cellStyle name="3 2 4 4 2 2" xfId="18927"/>
    <cellStyle name="3 2 4 4 3" xfId="7670"/>
    <cellStyle name="3 2 4 4 3 2" xfId="18926"/>
    <cellStyle name="3 2 4 4 4" xfId="18928"/>
    <cellStyle name="3 2 4 5" xfId="7671"/>
    <cellStyle name="3 2 4 5 2" xfId="7672"/>
    <cellStyle name="3 2 4 5 2 2" xfId="18037"/>
    <cellStyle name="3 2 4 5 3" xfId="7673"/>
    <cellStyle name="3 2 4 5 3 2" xfId="18925"/>
    <cellStyle name="3 2 4 5 4" xfId="18139"/>
    <cellStyle name="3 2 4 6" xfId="7674"/>
    <cellStyle name="3 2 4 6 2" xfId="7675"/>
    <cellStyle name="3 2 4 6 2 2" xfId="18923"/>
    <cellStyle name="3 2 4 6 3" xfId="7676"/>
    <cellStyle name="3 2 4 6 3 2" xfId="18922"/>
    <cellStyle name="3 2 4 6 4" xfId="18924"/>
    <cellStyle name="3 2 4 7" xfId="7677"/>
    <cellStyle name="3 2 4 7 2" xfId="18128"/>
    <cellStyle name="3 2 4 8" xfId="7678"/>
    <cellStyle name="3 2 4 8 2" xfId="18027"/>
    <cellStyle name="3 2 4 9" xfId="26579"/>
    <cellStyle name="3 2 5" xfId="7679"/>
    <cellStyle name="3 2 5 2" xfId="7680"/>
    <cellStyle name="3 2 5 2 2" xfId="18920"/>
    <cellStyle name="3 2 5 3" xfId="7681"/>
    <cellStyle name="3 2 5 3 2" xfId="18919"/>
    <cellStyle name="3 2 5 4" xfId="18921"/>
    <cellStyle name="3 2 6" xfId="7682"/>
    <cellStyle name="3 2 6 2" xfId="7683"/>
    <cellStyle name="3 2 6 2 2" xfId="18117"/>
    <cellStyle name="3 2 6 3" xfId="7684"/>
    <cellStyle name="3 2 6 3 2" xfId="18016"/>
    <cellStyle name="3 2 6 4" xfId="18918"/>
    <cellStyle name="3 2 7" xfId="7685"/>
    <cellStyle name="3 2 7 2" xfId="7686"/>
    <cellStyle name="3 2 7 2 2" xfId="18916"/>
    <cellStyle name="3 2 7 3" xfId="7687"/>
    <cellStyle name="3 2 7 3 2" xfId="18915"/>
    <cellStyle name="3 2 7 4" xfId="18917"/>
    <cellStyle name="3 2 8" xfId="7688"/>
    <cellStyle name="3 2 8 2" xfId="18914"/>
    <cellStyle name="3 2 9" xfId="7689"/>
    <cellStyle name="3 2 9 2" xfId="18104"/>
    <cellStyle name="3 3" xfId="1206"/>
    <cellStyle name="3 3 10" xfId="30612"/>
    <cellStyle name="3 3 2" xfId="4103"/>
    <cellStyle name="3 3 2 2" xfId="7690"/>
    <cellStyle name="3 3 2 2 2" xfId="7691"/>
    <cellStyle name="3 3 2 2 2 2" xfId="18913"/>
    <cellStyle name="3 3 2 2 3" xfId="7692"/>
    <cellStyle name="3 3 2 2 3 2" xfId="18912"/>
    <cellStyle name="3 3 2 2 4" xfId="18004"/>
    <cellStyle name="3 3 2 3" xfId="7693"/>
    <cellStyle name="3 3 2 3 2" xfId="7694"/>
    <cellStyle name="3 3 2 3 2 2" xfId="18910"/>
    <cellStyle name="3 3 2 3 3" xfId="7695"/>
    <cellStyle name="3 3 2 3 3 2" xfId="18909"/>
    <cellStyle name="3 3 2 3 4" xfId="18911"/>
    <cellStyle name="3 3 2 4" xfId="7696"/>
    <cellStyle name="3 3 2 4 2" xfId="7697"/>
    <cellStyle name="3 3 2 4 2 2" xfId="17992"/>
    <cellStyle name="3 3 2 4 3" xfId="7698"/>
    <cellStyle name="3 3 2 4 3 2" xfId="18908"/>
    <cellStyle name="3 3 2 4 4" xfId="18092"/>
    <cellStyle name="3 3 2 5" xfId="7699"/>
    <cellStyle name="3 3 2 5 2" xfId="7700"/>
    <cellStyle name="3 3 2 5 2 2" xfId="18906"/>
    <cellStyle name="3 3 2 5 3" xfId="7701"/>
    <cellStyle name="3 3 2 5 3 2" xfId="18905"/>
    <cellStyle name="3 3 2 5 4" xfId="18907"/>
    <cellStyle name="3 3 2 6" xfId="7702"/>
    <cellStyle name="3 3 2 6 2" xfId="7703"/>
    <cellStyle name="3 3 2 6 2 2" xfId="17981"/>
    <cellStyle name="3 3 2 6 3" xfId="7704"/>
    <cellStyle name="3 3 2 6 3 2" xfId="18904"/>
    <cellStyle name="3 3 2 6 4" xfId="18079"/>
    <cellStyle name="3 3 2 7" xfId="7705"/>
    <cellStyle name="3 3 2 7 2" xfId="18903"/>
    <cellStyle name="3 3 2 8" xfId="7706"/>
    <cellStyle name="3 3 2 8 2" xfId="18902"/>
    <cellStyle name="3 3 2 9" xfId="27382"/>
    <cellStyle name="3 3 3" xfId="4230"/>
    <cellStyle name="3 3 3 2" xfId="7707"/>
    <cellStyle name="3 3 3 2 2" xfId="7708"/>
    <cellStyle name="3 3 3 2 2 2" xfId="18068"/>
    <cellStyle name="3 3 3 2 3" xfId="7709"/>
    <cellStyle name="3 3 3 2 3 2" xfId="17970"/>
    <cellStyle name="3 3 3 2 4" xfId="18901"/>
    <cellStyle name="3 3 3 3" xfId="7710"/>
    <cellStyle name="3 3 3 3 2" xfId="7711"/>
    <cellStyle name="3 3 3 3 2 2" xfId="18899"/>
    <cellStyle name="3 3 3 3 3" xfId="7712"/>
    <cellStyle name="3 3 3 3 3 2" xfId="18898"/>
    <cellStyle name="3 3 3 3 4" xfId="18900"/>
    <cellStyle name="3 3 3 4" xfId="7713"/>
    <cellStyle name="3 3 3 4 2" xfId="7714"/>
    <cellStyle name="3 3 3 4 2 2" xfId="18058"/>
    <cellStyle name="3 3 3 4 3" xfId="7715"/>
    <cellStyle name="3 3 3 4 3 2" xfId="17960"/>
    <cellStyle name="3 3 3 4 4" xfId="18897"/>
    <cellStyle name="3 3 3 5" xfId="7716"/>
    <cellStyle name="3 3 3 5 2" xfId="7717"/>
    <cellStyle name="3 3 3 5 2 2" xfId="18895"/>
    <cellStyle name="3 3 3 5 3" xfId="7718"/>
    <cellStyle name="3 3 3 5 3 2" xfId="18046"/>
    <cellStyle name="3 3 3 5 4" xfId="18896"/>
    <cellStyle name="3 3 3 6" xfId="7719"/>
    <cellStyle name="3 3 3 6 2" xfId="7720"/>
    <cellStyle name="3 3 3 6 2 2" xfId="18894"/>
    <cellStyle name="3 3 3 6 3" xfId="7721"/>
    <cellStyle name="3 3 3 6 3 2" xfId="18893"/>
    <cellStyle name="3 3 3 6 4" xfId="17942"/>
    <cellStyle name="3 3 3 7" xfId="7722"/>
    <cellStyle name="3 3 3 7 2" xfId="18892"/>
    <cellStyle name="3 3 3 8" xfId="7723"/>
    <cellStyle name="3 3 3 8 2" xfId="18891"/>
    <cellStyle name="3 3 3 9" xfId="27345"/>
    <cellStyle name="3 3 4" xfId="5004"/>
    <cellStyle name="3 3 4 2" xfId="7724"/>
    <cellStyle name="3 3 4 2 2" xfId="7725"/>
    <cellStyle name="3 3 4 2 2 2" xfId="18035"/>
    <cellStyle name="3 3 4 2 3" xfId="7726"/>
    <cellStyle name="3 3 4 2 3 2" xfId="18890"/>
    <cellStyle name="3 3 4 2 4" xfId="18137"/>
    <cellStyle name="3 3 4 3" xfId="7727"/>
    <cellStyle name="3 3 4 3 2" xfId="7728"/>
    <cellStyle name="3 3 4 3 2 2" xfId="18888"/>
    <cellStyle name="3 3 4 3 3" xfId="7729"/>
    <cellStyle name="3 3 4 3 3 2" xfId="18887"/>
    <cellStyle name="3 3 4 3 4" xfId="18889"/>
    <cellStyle name="3 3 4 4" xfId="7730"/>
    <cellStyle name="3 3 4 4 2" xfId="7731"/>
    <cellStyle name="3 3 4 4 2 2" xfId="18025"/>
    <cellStyle name="3 3 4 4 3" xfId="7732"/>
    <cellStyle name="3 3 4 4 3 2" xfId="18886"/>
    <cellStyle name="3 3 4 4 4" xfId="18126"/>
    <cellStyle name="3 3 4 5" xfId="7733"/>
    <cellStyle name="3 3 4 5 2" xfId="7734"/>
    <cellStyle name="3 3 4 5 2 2" xfId="18884"/>
    <cellStyle name="3 3 4 5 3" xfId="7735"/>
    <cellStyle name="3 3 4 5 3 2" xfId="18883"/>
    <cellStyle name="3 3 4 5 4" xfId="18885"/>
    <cellStyle name="3 3 4 6" xfId="7736"/>
    <cellStyle name="3 3 4 6 2" xfId="7737"/>
    <cellStyle name="3 3 4 6 2 2" xfId="18014"/>
    <cellStyle name="3 3 4 6 3" xfId="7738"/>
    <cellStyle name="3 3 4 6 3 2" xfId="18882"/>
    <cellStyle name="3 3 4 6 4" xfId="18115"/>
    <cellStyle name="3 3 4 7" xfId="7739"/>
    <cellStyle name="3 3 4 7 2" xfId="18881"/>
    <cellStyle name="3 3 4 8" xfId="7740"/>
    <cellStyle name="3 3 4 8 2" xfId="18880"/>
    <cellStyle name="3 3 4 9" xfId="26578"/>
    <cellStyle name="3 3 5" xfId="7741"/>
    <cellStyle name="3 3 5 2" xfId="7742"/>
    <cellStyle name="3 3 5 2 2" xfId="18102"/>
    <cellStyle name="3 3 5 3" xfId="7743"/>
    <cellStyle name="3 3 5 3 2" xfId="18002"/>
    <cellStyle name="3 3 5 4" xfId="18879"/>
    <cellStyle name="3 3 6" xfId="7744"/>
    <cellStyle name="3 3 6 2" xfId="7745"/>
    <cellStyle name="3 3 6 2 2" xfId="18877"/>
    <cellStyle name="3 3 6 3" xfId="7746"/>
    <cellStyle name="3 3 6 3 2" xfId="18876"/>
    <cellStyle name="3 3 6 4" xfId="18878"/>
    <cellStyle name="3 3 7" xfId="7747"/>
    <cellStyle name="3 3 7 2" xfId="7748"/>
    <cellStyle name="3 3 7 2 2" xfId="18874"/>
    <cellStyle name="3 3 7 3" xfId="7749"/>
    <cellStyle name="3 3 7 3 2" xfId="18090"/>
    <cellStyle name="3 3 7 4" xfId="18875"/>
    <cellStyle name="3 3 8" xfId="7750"/>
    <cellStyle name="3 3 8 2" xfId="17990"/>
    <cellStyle name="3 3 9" xfId="7751"/>
    <cellStyle name="3 3 9 2" xfId="18873"/>
    <cellStyle name="3 4" xfId="4517"/>
    <cellStyle name="3 4 2" xfId="7752"/>
    <cellStyle name="3 4 2 2" xfId="7753"/>
    <cellStyle name="3 4 2 2 2" xfId="18871"/>
    <cellStyle name="3 4 2 3" xfId="7754"/>
    <cellStyle name="3 4 2 3 2" xfId="18870"/>
    <cellStyle name="3 4 2 4" xfId="18872"/>
    <cellStyle name="3 4 3" xfId="7755"/>
    <cellStyle name="3 4 3 2" xfId="7756"/>
    <cellStyle name="3 4 3 2 2" xfId="17980"/>
    <cellStyle name="3 4 3 3" xfId="7757"/>
    <cellStyle name="3 4 3 3 2" xfId="18869"/>
    <cellStyle name="3 4 3 4" xfId="18078"/>
    <cellStyle name="3 4 4" xfId="7758"/>
    <cellStyle name="3 4 4 2" xfId="7759"/>
    <cellStyle name="3 4 4 2 2" xfId="18867"/>
    <cellStyle name="3 4 4 3" xfId="7760"/>
    <cellStyle name="3 4 4 3 2" xfId="18866"/>
    <cellStyle name="3 4 4 4" xfId="18868"/>
    <cellStyle name="3 4 5" xfId="7761"/>
    <cellStyle name="3 4 5 2" xfId="7762"/>
    <cellStyle name="3 4 5 2 2" xfId="17969"/>
    <cellStyle name="3 4 5 3" xfId="7763"/>
    <cellStyle name="3 4 5 3 2" xfId="18865"/>
    <cellStyle name="3 4 5 4" xfId="18067"/>
    <cellStyle name="3 4 6" xfId="7764"/>
    <cellStyle name="3 4 6 2" xfId="7765"/>
    <cellStyle name="3 4 6 2 2" xfId="18863"/>
    <cellStyle name="3 4 6 3" xfId="7766"/>
    <cellStyle name="3 4 6 3 2" xfId="18862"/>
    <cellStyle name="3 4 6 4" xfId="18864"/>
    <cellStyle name="3 4 7" xfId="7767"/>
    <cellStyle name="3 4 7 2" xfId="18057"/>
    <cellStyle name="3 4 8" xfId="7768"/>
    <cellStyle name="3 4 8 2" xfId="17959"/>
    <cellStyle name="3 4 9" xfId="27051"/>
    <cellStyle name="3 5" xfId="4218"/>
    <cellStyle name="3 5 2" xfId="7769"/>
    <cellStyle name="3 5 2 2" xfId="7770"/>
    <cellStyle name="3 5 2 2 2" xfId="18860"/>
    <cellStyle name="3 5 2 3" xfId="7771"/>
    <cellStyle name="3 5 2 3 2" xfId="18044"/>
    <cellStyle name="3 5 2 4" xfId="18861"/>
    <cellStyle name="3 5 3" xfId="7772"/>
    <cellStyle name="3 5 3 2" xfId="7773"/>
    <cellStyle name="3 5 3 2 2" xfId="18859"/>
    <cellStyle name="3 5 3 3" xfId="7774"/>
    <cellStyle name="3 5 3 3 2" xfId="18858"/>
    <cellStyle name="3 5 3 4" xfId="17939"/>
    <cellStyle name="3 5 4" xfId="7775"/>
    <cellStyle name="3 5 4 2" xfId="7776"/>
    <cellStyle name="3 5 4 2 2" xfId="18856"/>
    <cellStyle name="3 5 4 3" xfId="7777"/>
    <cellStyle name="3 5 4 3 2" xfId="18135"/>
    <cellStyle name="3 5 4 4" xfId="18857"/>
    <cellStyle name="3 5 5" xfId="7778"/>
    <cellStyle name="3 5 5 2" xfId="7779"/>
    <cellStyle name="3 5 5 2 2" xfId="18855"/>
    <cellStyle name="3 5 5 3" xfId="7780"/>
    <cellStyle name="3 5 5 3 2" xfId="18854"/>
    <cellStyle name="3 5 5 4" xfId="18033"/>
    <cellStyle name="3 5 6" xfId="7781"/>
    <cellStyle name="3 5 6 2" xfId="7782"/>
    <cellStyle name="3 5 6 2 2" xfId="18852"/>
    <cellStyle name="3 5 6 3" xfId="7783"/>
    <cellStyle name="3 5 6 3 2" xfId="18124"/>
    <cellStyle name="3 5 6 4" xfId="18853"/>
    <cellStyle name="3 5 7" xfId="7784"/>
    <cellStyle name="3 5 7 2" xfId="18023"/>
    <cellStyle name="3 5 8" xfId="7785"/>
    <cellStyle name="3 5 8 2" xfId="18851"/>
    <cellStyle name="3 5 9" xfId="27348"/>
    <cellStyle name="3 6" xfId="5005"/>
    <cellStyle name="3 6 2" xfId="7786"/>
    <cellStyle name="3 6 2 2" xfId="7787"/>
    <cellStyle name="3 6 2 2 2" xfId="18849"/>
    <cellStyle name="3 6 2 3" xfId="7788"/>
    <cellStyle name="3 6 2 3 2" xfId="18848"/>
    <cellStyle name="3 6 2 4" xfId="18850"/>
    <cellStyle name="3 6 3" xfId="7789"/>
    <cellStyle name="3 6 3 2" xfId="7790"/>
    <cellStyle name="3 6 3 2 2" xfId="18012"/>
    <cellStyle name="3 6 3 3" xfId="7791"/>
    <cellStyle name="3 6 3 3 2" xfId="18847"/>
    <cellStyle name="3 6 3 4" xfId="18113"/>
    <cellStyle name="3 6 4" xfId="7792"/>
    <cellStyle name="3 6 4 2" xfId="7793"/>
    <cellStyle name="3 6 4 2 2" xfId="18845"/>
    <cellStyle name="3 6 4 3" xfId="7794"/>
    <cellStyle name="3 6 4 3 2" xfId="18844"/>
    <cellStyle name="3 6 4 4" xfId="18846"/>
    <cellStyle name="3 6 5" xfId="7795"/>
    <cellStyle name="3 6 5 2" xfId="7796"/>
    <cellStyle name="3 6 5 2 2" xfId="18000"/>
    <cellStyle name="3 6 5 3" xfId="7797"/>
    <cellStyle name="3 6 5 3 2" xfId="18843"/>
    <cellStyle name="3 6 5 4" xfId="18100"/>
    <cellStyle name="3 6 6" xfId="7798"/>
    <cellStyle name="3 6 6 2" xfId="7799"/>
    <cellStyle name="3 6 6 2 2" xfId="18841"/>
    <cellStyle name="3 6 6 3" xfId="7800"/>
    <cellStyle name="3 6 6 3 2" xfId="18840"/>
    <cellStyle name="3 6 6 4" xfId="18842"/>
    <cellStyle name="3 6 7" xfId="7801"/>
    <cellStyle name="3 6 7 2" xfId="18839"/>
    <cellStyle name="3 6 8" xfId="7802"/>
    <cellStyle name="3 6 8 2" xfId="18088"/>
    <cellStyle name="3 6 9" xfId="26577"/>
    <cellStyle name="3 7" xfId="7803"/>
    <cellStyle name="3 7 2" xfId="7804"/>
    <cellStyle name="3 7 2 2" xfId="18838"/>
    <cellStyle name="3 7 3" xfId="7805"/>
    <cellStyle name="3 7 3 2" xfId="18837"/>
    <cellStyle name="3 7 4" xfId="17988"/>
    <cellStyle name="3 8" xfId="7806"/>
    <cellStyle name="3 8 2" xfId="7807"/>
    <cellStyle name="3 8 2 2" xfId="18835"/>
    <cellStyle name="3 8 3" xfId="7808"/>
    <cellStyle name="3 8 3 2" xfId="18077"/>
    <cellStyle name="3 8 4" xfId="18836"/>
    <cellStyle name="3 9" xfId="7809"/>
    <cellStyle name="3 9 2" xfId="7810"/>
    <cellStyle name="3 9 2 2" xfId="18834"/>
    <cellStyle name="3 9 3" xfId="7811"/>
    <cellStyle name="3 9 3 2" xfId="18833"/>
    <cellStyle name="3 9 4" xfId="17979"/>
    <cellStyle name="³¬¼¶Á´½Ó" xfId="1207"/>
    <cellStyle name="3f1?assumption(tj)t" xfId="1208"/>
    <cellStyle name="3f1?p&amp;l(tj)i" xfId="1209"/>
    <cellStyle name="40% - Accent1 2" xfId="1210"/>
    <cellStyle name="40% - Accent1 2 2" xfId="1211"/>
    <cellStyle name="40% - Accent1 2 2 2" xfId="1212"/>
    <cellStyle name="40% - Accent1 3" xfId="1213"/>
    <cellStyle name="40% - Accent2 2" xfId="1214"/>
    <cellStyle name="40% - Accent2 2 2" xfId="1215"/>
    <cellStyle name="40% - Accent2 2 2 2" xfId="1216"/>
    <cellStyle name="40% - Accent2 3" xfId="1217"/>
    <cellStyle name="40% - Accent3 2" xfId="1218"/>
    <cellStyle name="40% - Accent3 2 2" xfId="1219"/>
    <cellStyle name="40% - Accent3 2 2 2" xfId="1220"/>
    <cellStyle name="40% - Accent3 3" xfId="1221"/>
    <cellStyle name="40% - Accent4 2" xfId="1222"/>
    <cellStyle name="40% - Accent4 2 2" xfId="1223"/>
    <cellStyle name="40% - Accent4 2 2 2" xfId="1224"/>
    <cellStyle name="40% - Accent4 3" xfId="1225"/>
    <cellStyle name="40% - Accent5 2" xfId="1226"/>
    <cellStyle name="40% - Accent5 2 2" xfId="1227"/>
    <cellStyle name="40% - Accent5 2 2 2" xfId="1228"/>
    <cellStyle name="40% - Accent5 3" xfId="1229"/>
    <cellStyle name="40% - Accent6 2" xfId="1230"/>
    <cellStyle name="40% - Accent6 2 2" xfId="1231"/>
    <cellStyle name="40% - Accent6 2 2 2" xfId="1232"/>
    <cellStyle name="40% - Accent6 3" xfId="1233"/>
    <cellStyle name="40% - Ênfase1" xfId="1234"/>
    <cellStyle name="40% - Ênfase2" xfId="1235"/>
    <cellStyle name="40% - Ênfase3" xfId="1236"/>
    <cellStyle name="40% - Ênfase4" xfId="1237"/>
    <cellStyle name="40% - Ênfase5" xfId="1238"/>
    <cellStyle name="40% - Ênfase6" xfId="1239"/>
    <cellStyle name="40% - Énfasis1" xfId="42" builtinId="31" customBuiltin="1"/>
    <cellStyle name="40% - Énfasis1 10" xfId="234"/>
    <cellStyle name="40% - Énfasis1 10 2" xfId="1240"/>
    <cellStyle name="40% - Énfasis1 10 3" xfId="1241"/>
    <cellStyle name="40% - Énfasis1 2" xfId="80"/>
    <cellStyle name="40% - Énfasis1 2 2" xfId="260"/>
    <cellStyle name="40% - Énfasis1 2 2 2" xfId="1242"/>
    <cellStyle name="40% - Énfasis1 2 2 3" xfId="1243"/>
    <cellStyle name="40% - Énfasis1 2 3" xfId="1244"/>
    <cellStyle name="40% - Énfasis1 2 4" xfId="1245"/>
    <cellStyle name="40% - Énfasis1 3" xfId="98"/>
    <cellStyle name="40% - Énfasis1 3 2" xfId="278"/>
    <cellStyle name="40% - Énfasis1 3 2 2" xfId="1246"/>
    <cellStyle name="40% - Énfasis1 3 2 3" xfId="1247"/>
    <cellStyle name="40% - Énfasis1 3 3" xfId="1248"/>
    <cellStyle name="40% - Énfasis1 3 4" xfId="1249"/>
    <cellStyle name="40% - Énfasis1 4" xfId="121"/>
    <cellStyle name="40% - Énfasis1 4 2" xfId="296"/>
    <cellStyle name="40% - Énfasis1 4 2 2" xfId="1250"/>
    <cellStyle name="40% - Énfasis1 4 2 3" xfId="1251"/>
    <cellStyle name="40% - Énfasis1 4 3" xfId="1252"/>
    <cellStyle name="40% - Énfasis1 4 4" xfId="1253"/>
    <cellStyle name="40% - Énfasis1 5" xfId="142"/>
    <cellStyle name="40% - Énfasis1 5 2" xfId="316"/>
    <cellStyle name="40% - Énfasis1 5 2 2" xfId="1254"/>
    <cellStyle name="40% - Énfasis1 5 2 3" xfId="1255"/>
    <cellStyle name="40% - Énfasis1 5 3" xfId="1256"/>
    <cellStyle name="40% - Énfasis1 5 4" xfId="1257"/>
    <cellStyle name="40% - Énfasis1 5 5" xfId="1258"/>
    <cellStyle name="40% - Énfasis1 6" xfId="160"/>
    <cellStyle name="40% - Énfasis1 6 2" xfId="334"/>
    <cellStyle name="40% - Énfasis1 6 2 2" xfId="1259"/>
    <cellStyle name="40% - Énfasis1 6 2 3" xfId="1260"/>
    <cellStyle name="40% - Énfasis1 6 3" xfId="1261"/>
    <cellStyle name="40% - Énfasis1 6 4" xfId="1262"/>
    <cellStyle name="40% - Énfasis1 7" xfId="178"/>
    <cellStyle name="40% - Énfasis1 7 2" xfId="352"/>
    <cellStyle name="40% - Énfasis1 7 2 2" xfId="1263"/>
    <cellStyle name="40% - Énfasis1 7 2 3" xfId="1264"/>
    <cellStyle name="40% - Énfasis1 7 3" xfId="1265"/>
    <cellStyle name="40% - Énfasis1 7 4" xfId="1266"/>
    <cellStyle name="40% - Énfasis1 8" xfId="196"/>
    <cellStyle name="40% - Énfasis1 8 2" xfId="370"/>
    <cellStyle name="40% - Énfasis1 8 2 2" xfId="1267"/>
    <cellStyle name="40% - Énfasis1 8 2 3" xfId="1268"/>
    <cellStyle name="40% - Énfasis1 8 3" xfId="1269"/>
    <cellStyle name="40% - Énfasis1 8 4" xfId="1270"/>
    <cellStyle name="40% - Énfasis1 9" xfId="214"/>
    <cellStyle name="40% - Énfasis1 9 2" xfId="388"/>
    <cellStyle name="40% - Énfasis1 9 2 2" xfId="1271"/>
    <cellStyle name="40% - Énfasis1 9 2 3" xfId="1272"/>
    <cellStyle name="40% - Énfasis1 9 3" xfId="1273"/>
    <cellStyle name="40% - Énfasis1 9 4" xfId="1274"/>
    <cellStyle name="40% - Énfasis2" xfId="46" builtinId="35" customBuiltin="1"/>
    <cellStyle name="40% - Énfasis2 10" xfId="236"/>
    <cellStyle name="40% - Énfasis2 10 2" xfId="1275"/>
    <cellStyle name="40% - Énfasis2 10 3" xfId="1276"/>
    <cellStyle name="40% - Énfasis2 2" xfId="81"/>
    <cellStyle name="40% - Énfasis2 2 2" xfId="261"/>
    <cellStyle name="40% - Énfasis2 2 2 2" xfId="1277"/>
    <cellStyle name="40% - Énfasis2 2 2 3" xfId="1278"/>
    <cellStyle name="40% - Énfasis2 2 3" xfId="1279"/>
    <cellStyle name="40% - Énfasis2 2 4" xfId="1280"/>
    <cellStyle name="40% - Énfasis2 3" xfId="99"/>
    <cellStyle name="40% - Énfasis2 3 2" xfId="279"/>
    <cellStyle name="40% - Énfasis2 3 2 2" xfId="1281"/>
    <cellStyle name="40% - Énfasis2 3 2 3" xfId="1282"/>
    <cellStyle name="40% - Énfasis2 3 3" xfId="1283"/>
    <cellStyle name="40% - Énfasis2 3 4" xfId="1284"/>
    <cellStyle name="40% - Énfasis2 4" xfId="122"/>
    <cellStyle name="40% - Énfasis2 4 2" xfId="297"/>
    <cellStyle name="40% - Énfasis2 4 2 2" xfId="1285"/>
    <cellStyle name="40% - Énfasis2 4 2 3" xfId="1286"/>
    <cellStyle name="40% - Énfasis2 4 3" xfId="1287"/>
    <cellStyle name="40% - Énfasis2 4 4" xfId="1288"/>
    <cellStyle name="40% - Énfasis2 5" xfId="144"/>
    <cellStyle name="40% - Énfasis2 5 2" xfId="318"/>
    <cellStyle name="40% - Énfasis2 5 2 2" xfId="1289"/>
    <cellStyle name="40% - Énfasis2 5 2 3" xfId="1290"/>
    <cellStyle name="40% - Énfasis2 5 3" xfId="1291"/>
    <cellStyle name="40% - Énfasis2 5 4" xfId="1292"/>
    <cellStyle name="40% - Énfasis2 5 5" xfId="1293"/>
    <cellStyle name="40% - Énfasis2 6" xfId="162"/>
    <cellStyle name="40% - Énfasis2 6 2" xfId="336"/>
    <cellStyle name="40% - Énfasis2 6 2 2" xfId="1294"/>
    <cellStyle name="40% - Énfasis2 6 2 3" xfId="1295"/>
    <cellStyle name="40% - Énfasis2 6 3" xfId="1296"/>
    <cellStyle name="40% - Énfasis2 6 4" xfId="1297"/>
    <cellStyle name="40% - Énfasis2 7" xfId="180"/>
    <cellStyle name="40% - Énfasis2 7 2" xfId="354"/>
    <cellStyle name="40% - Énfasis2 7 2 2" xfId="1298"/>
    <cellStyle name="40% - Énfasis2 7 2 3" xfId="1299"/>
    <cellStyle name="40% - Énfasis2 7 3" xfId="1300"/>
    <cellStyle name="40% - Énfasis2 7 4" xfId="1301"/>
    <cellStyle name="40% - Énfasis2 8" xfId="198"/>
    <cellStyle name="40% - Énfasis2 8 2" xfId="372"/>
    <cellStyle name="40% - Énfasis2 8 2 2" xfId="1302"/>
    <cellStyle name="40% - Énfasis2 8 2 3" xfId="1303"/>
    <cellStyle name="40% - Énfasis2 8 3" xfId="1304"/>
    <cellStyle name="40% - Énfasis2 8 4" xfId="1305"/>
    <cellStyle name="40% - Énfasis2 9" xfId="216"/>
    <cellStyle name="40% - Énfasis2 9 2" xfId="390"/>
    <cellStyle name="40% - Énfasis2 9 2 2" xfId="1306"/>
    <cellStyle name="40% - Énfasis2 9 2 3" xfId="1307"/>
    <cellStyle name="40% - Énfasis2 9 3" xfId="1308"/>
    <cellStyle name="40% - Énfasis2 9 4" xfId="1309"/>
    <cellStyle name="40% - Énfasis3" xfId="50" builtinId="39" customBuiltin="1"/>
    <cellStyle name="40% - Énfasis3 10" xfId="238"/>
    <cellStyle name="40% - Énfasis3 10 2" xfId="1310"/>
    <cellStyle name="40% - Énfasis3 10 3" xfId="1311"/>
    <cellStyle name="40% - Énfasis3 2" xfId="82"/>
    <cellStyle name="40% - Énfasis3 2 2" xfId="262"/>
    <cellStyle name="40% - Énfasis3 2 2 2" xfId="1312"/>
    <cellStyle name="40% - Énfasis3 2 2 3" xfId="1313"/>
    <cellStyle name="40% - Énfasis3 2 3" xfId="1314"/>
    <cellStyle name="40% - Énfasis3 2 4" xfId="1315"/>
    <cellStyle name="40% - Énfasis3 3" xfId="100"/>
    <cellStyle name="40% - Énfasis3 3 2" xfId="280"/>
    <cellStyle name="40% - Énfasis3 3 2 2" xfId="1316"/>
    <cellStyle name="40% - Énfasis3 3 2 3" xfId="1317"/>
    <cellStyle name="40% - Énfasis3 3 3" xfId="1318"/>
    <cellStyle name="40% - Énfasis3 3 4" xfId="1319"/>
    <cellStyle name="40% - Énfasis3 4" xfId="123"/>
    <cellStyle name="40% - Énfasis3 4 2" xfId="298"/>
    <cellStyle name="40% - Énfasis3 4 2 2" xfId="1320"/>
    <cellStyle name="40% - Énfasis3 4 2 3" xfId="1321"/>
    <cellStyle name="40% - Énfasis3 4 3" xfId="1322"/>
    <cellStyle name="40% - Énfasis3 4 4" xfId="1323"/>
    <cellStyle name="40% - Énfasis3 5" xfId="146"/>
    <cellStyle name="40% - Énfasis3 5 2" xfId="320"/>
    <cellStyle name="40% - Énfasis3 5 2 2" xfId="1324"/>
    <cellStyle name="40% - Énfasis3 5 2 3" xfId="1325"/>
    <cellStyle name="40% - Énfasis3 5 3" xfId="1326"/>
    <cellStyle name="40% - Énfasis3 5 4" xfId="1327"/>
    <cellStyle name="40% - Énfasis3 5 5" xfId="1328"/>
    <cellStyle name="40% - Énfasis3 6" xfId="164"/>
    <cellStyle name="40% - Énfasis3 6 2" xfId="338"/>
    <cellStyle name="40% - Énfasis3 6 2 2" xfId="1329"/>
    <cellStyle name="40% - Énfasis3 6 2 3" xfId="1330"/>
    <cellStyle name="40% - Énfasis3 6 3" xfId="1331"/>
    <cellStyle name="40% - Énfasis3 6 4" xfId="1332"/>
    <cellStyle name="40% - Énfasis3 7" xfId="182"/>
    <cellStyle name="40% - Énfasis3 7 2" xfId="356"/>
    <cellStyle name="40% - Énfasis3 7 2 2" xfId="1333"/>
    <cellStyle name="40% - Énfasis3 7 2 3" xfId="1334"/>
    <cellStyle name="40% - Énfasis3 7 3" xfId="1335"/>
    <cellStyle name="40% - Énfasis3 7 4" xfId="1336"/>
    <cellStyle name="40% - Énfasis3 8" xfId="200"/>
    <cellStyle name="40% - Énfasis3 8 2" xfId="374"/>
    <cellStyle name="40% - Énfasis3 8 2 2" xfId="1337"/>
    <cellStyle name="40% - Énfasis3 8 2 3" xfId="1338"/>
    <cellStyle name="40% - Énfasis3 8 3" xfId="1339"/>
    <cellStyle name="40% - Énfasis3 8 4" xfId="1340"/>
    <cellStyle name="40% - Énfasis3 9" xfId="218"/>
    <cellStyle name="40% - Énfasis3 9 2" xfId="392"/>
    <cellStyle name="40% - Énfasis3 9 2 2" xfId="1341"/>
    <cellStyle name="40% - Énfasis3 9 2 3" xfId="1342"/>
    <cellStyle name="40% - Énfasis3 9 3" xfId="1343"/>
    <cellStyle name="40% - Énfasis3 9 4" xfId="1344"/>
    <cellStyle name="40% - Énfasis4" xfId="54" builtinId="43" customBuiltin="1"/>
    <cellStyle name="40% - Énfasis4 10" xfId="240"/>
    <cellStyle name="40% - Énfasis4 10 2" xfId="1345"/>
    <cellStyle name="40% - Énfasis4 10 3" xfId="1346"/>
    <cellStyle name="40% - Énfasis4 2" xfId="83"/>
    <cellStyle name="40% - Énfasis4 2 2" xfId="263"/>
    <cellStyle name="40% - Énfasis4 2 2 2" xfId="1347"/>
    <cellStyle name="40% - Énfasis4 2 2 3" xfId="1348"/>
    <cellStyle name="40% - Énfasis4 2 3" xfId="1349"/>
    <cellStyle name="40% - Énfasis4 2 4" xfId="1350"/>
    <cellStyle name="40% - Énfasis4 3" xfId="101"/>
    <cellStyle name="40% - Énfasis4 3 2" xfId="281"/>
    <cellStyle name="40% - Énfasis4 3 2 2" xfId="1351"/>
    <cellStyle name="40% - Énfasis4 3 2 3" xfId="1352"/>
    <cellStyle name="40% - Énfasis4 3 3" xfId="1353"/>
    <cellStyle name="40% - Énfasis4 3 4" xfId="1354"/>
    <cellStyle name="40% - Énfasis4 4" xfId="124"/>
    <cellStyle name="40% - Énfasis4 4 2" xfId="299"/>
    <cellStyle name="40% - Énfasis4 4 2 2" xfId="1355"/>
    <cellStyle name="40% - Énfasis4 4 2 3" xfId="1356"/>
    <cellStyle name="40% - Énfasis4 4 3" xfId="1357"/>
    <cellStyle name="40% - Énfasis4 4 4" xfId="1358"/>
    <cellStyle name="40% - Énfasis4 5" xfId="148"/>
    <cellStyle name="40% - Énfasis4 5 2" xfId="322"/>
    <cellStyle name="40% - Énfasis4 5 2 2" xfId="1359"/>
    <cellStyle name="40% - Énfasis4 5 2 3" xfId="1360"/>
    <cellStyle name="40% - Énfasis4 5 3" xfId="1361"/>
    <cellStyle name="40% - Énfasis4 5 4" xfId="1362"/>
    <cellStyle name="40% - Énfasis4 5 5" xfId="1363"/>
    <cellStyle name="40% - Énfasis4 6" xfId="166"/>
    <cellStyle name="40% - Énfasis4 6 2" xfId="340"/>
    <cellStyle name="40% - Énfasis4 6 2 2" xfId="1364"/>
    <cellStyle name="40% - Énfasis4 6 2 3" xfId="1365"/>
    <cellStyle name="40% - Énfasis4 6 3" xfId="1366"/>
    <cellStyle name="40% - Énfasis4 6 4" xfId="1367"/>
    <cellStyle name="40% - Énfasis4 7" xfId="184"/>
    <cellStyle name="40% - Énfasis4 7 2" xfId="358"/>
    <cellStyle name="40% - Énfasis4 7 2 2" xfId="1368"/>
    <cellStyle name="40% - Énfasis4 7 2 3" xfId="1369"/>
    <cellStyle name="40% - Énfasis4 7 3" xfId="1370"/>
    <cellStyle name="40% - Énfasis4 7 4" xfId="1371"/>
    <cellStyle name="40% - Énfasis4 8" xfId="202"/>
    <cellStyle name="40% - Énfasis4 8 2" xfId="376"/>
    <cellStyle name="40% - Énfasis4 8 2 2" xfId="1372"/>
    <cellStyle name="40% - Énfasis4 8 2 3" xfId="1373"/>
    <cellStyle name="40% - Énfasis4 8 3" xfId="1374"/>
    <cellStyle name="40% - Énfasis4 8 4" xfId="1375"/>
    <cellStyle name="40% - Énfasis4 9" xfId="220"/>
    <cellStyle name="40% - Énfasis4 9 2" xfId="394"/>
    <cellStyle name="40% - Énfasis4 9 2 2" xfId="1376"/>
    <cellStyle name="40% - Énfasis4 9 2 3" xfId="1377"/>
    <cellStyle name="40% - Énfasis4 9 3" xfId="1378"/>
    <cellStyle name="40% - Énfasis4 9 4" xfId="1379"/>
    <cellStyle name="40% - Énfasis5" xfId="58" builtinId="47" customBuiltin="1"/>
    <cellStyle name="40% - Énfasis5 10" xfId="242"/>
    <cellStyle name="40% - Énfasis5 10 2" xfId="1380"/>
    <cellStyle name="40% - Énfasis5 10 3" xfId="1381"/>
    <cellStyle name="40% - Énfasis5 2" xfId="84"/>
    <cellStyle name="40% - Énfasis5 2 2" xfId="264"/>
    <cellStyle name="40% - Énfasis5 2 2 2" xfId="1382"/>
    <cellStyle name="40% - Énfasis5 2 2 3" xfId="1383"/>
    <cellStyle name="40% - Énfasis5 2 3" xfId="1384"/>
    <cellStyle name="40% - Énfasis5 2 4" xfId="1385"/>
    <cellStyle name="40% - Énfasis5 3" xfId="102"/>
    <cellStyle name="40% - Énfasis5 3 2" xfId="282"/>
    <cellStyle name="40% - Énfasis5 3 2 2" xfId="1386"/>
    <cellStyle name="40% - Énfasis5 3 2 3" xfId="1387"/>
    <cellStyle name="40% - Énfasis5 3 3" xfId="1388"/>
    <cellStyle name="40% - Énfasis5 3 4" xfId="1389"/>
    <cellStyle name="40% - Énfasis5 4" xfId="125"/>
    <cellStyle name="40% - Énfasis5 4 2" xfId="300"/>
    <cellStyle name="40% - Énfasis5 4 2 2" xfId="1390"/>
    <cellStyle name="40% - Énfasis5 4 2 3" xfId="1391"/>
    <cellStyle name="40% - Énfasis5 4 3" xfId="1392"/>
    <cellStyle name="40% - Énfasis5 4 4" xfId="1393"/>
    <cellStyle name="40% - Énfasis5 5" xfId="150"/>
    <cellStyle name="40% - Énfasis5 5 2" xfId="324"/>
    <cellStyle name="40% - Énfasis5 5 2 2" xfId="1394"/>
    <cellStyle name="40% - Énfasis5 5 2 3" xfId="1395"/>
    <cellStyle name="40% - Énfasis5 5 3" xfId="1396"/>
    <cellStyle name="40% - Énfasis5 5 4" xfId="1397"/>
    <cellStyle name="40% - Énfasis5 5 5" xfId="1398"/>
    <cellStyle name="40% - Énfasis5 6" xfId="168"/>
    <cellStyle name="40% - Énfasis5 6 2" xfId="342"/>
    <cellStyle name="40% - Énfasis5 6 2 2" xfId="1399"/>
    <cellStyle name="40% - Énfasis5 6 2 3" xfId="1400"/>
    <cellStyle name="40% - Énfasis5 6 3" xfId="1401"/>
    <cellStyle name="40% - Énfasis5 6 4" xfId="1402"/>
    <cellStyle name="40% - Énfasis5 7" xfId="186"/>
    <cellStyle name="40% - Énfasis5 7 2" xfId="360"/>
    <cellStyle name="40% - Énfasis5 7 2 2" xfId="1403"/>
    <cellStyle name="40% - Énfasis5 7 2 3" xfId="1404"/>
    <cellStyle name="40% - Énfasis5 7 3" xfId="1405"/>
    <cellStyle name="40% - Énfasis5 7 4" xfId="1406"/>
    <cellStyle name="40% - Énfasis5 8" xfId="204"/>
    <cellStyle name="40% - Énfasis5 8 2" xfId="378"/>
    <cellStyle name="40% - Énfasis5 8 2 2" xfId="1407"/>
    <cellStyle name="40% - Énfasis5 8 2 3" xfId="1408"/>
    <cellStyle name="40% - Énfasis5 8 3" xfId="1409"/>
    <cellStyle name="40% - Énfasis5 8 4" xfId="1410"/>
    <cellStyle name="40% - Énfasis5 9" xfId="222"/>
    <cellStyle name="40% - Énfasis5 9 2" xfId="396"/>
    <cellStyle name="40% - Énfasis5 9 2 2" xfId="1411"/>
    <cellStyle name="40% - Énfasis5 9 2 3" xfId="1412"/>
    <cellStyle name="40% - Énfasis5 9 3" xfId="1413"/>
    <cellStyle name="40% - Énfasis5 9 4" xfId="1414"/>
    <cellStyle name="40% - Énfasis6" xfId="62" builtinId="51" customBuiltin="1"/>
    <cellStyle name="40% - Énfasis6 10" xfId="244"/>
    <cellStyle name="40% - Énfasis6 10 2" xfId="1415"/>
    <cellStyle name="40% - Énfasis6 10 3" xfId="1416"/>
    <cellStyle name="40% - Énfasis6 2" xfId="85"/>
    <cellStyle name="40% - Énfasis6 2 2" xfId="265"/>
    <cellStyle name="40% - Énfasis6 2 2 2" xfId="1417"/>
    <cellStyle name="40% - Énfasis6 2 2 3" xfId="1418"/>
    <cellStyle name="40% - Énfasis6 2 3" xfId="1419"/>
    <cellStyle name="40% - Énfasis6 2 4" xfId="1420"/>
    <cellStyle name="40% - Énfasis6 3" xfId="103"/>
    <cellStyle name="40% - Énfasis6 3 2" xfId="283"/>
    <cellStyle name="40% - Énfasis6 3 2 2" xfId="1421"/>
    <cellStyle name="40% - Énfasis6 3 2 3" xfId="1422"/>
    <cellStyle name="40% - Énfasis6 3 3" xfId="1423"/>
    <cellStyle name="40% - Énfasis6 3 4" xfId="1424"/>
    <cellStyle name="40% - Énfasis6 4" xfId="126"/>
    <cellStyle name="40% - Énfasis6 4 2" xfId="301"/>
    <cellStyle name="40% - Énfasis6 4 2 2" xfId="1425"/>
    <cellStyle name="40% - Énfasis6 4 2 3" xfId="1426"/>
    <cellStyle name="40% - Énfasis6 4 3" xfId="1427"/>
    <cellStyle name="40% - Énfasis6 4 4" xfId="1428"/>
    <cellStyle name="40% - Énfasis6 5" xfId="152"/>
    <cellStyle name="40% - Énfasis6 5 2" xfId="326"/>
    <cellStyle name="40% - Énfasis6 5 2 2" xfId="1429"/>
    <cellStyle name="40% - Énfasis6 5 2 3" xfId="1430"/>
    <cellStyle name="40% - Énfasis6 5 3" xfId="1431"/>
    <cellStyle name="40% - Énfasis6 5 4" xfId="1432"/>
    <cellStyle name="40% - Énfasis6 5 5" xfId="1433"/>
    <cellStyle name="40% - Énfasis6 6" xfId="170"/>
    <cellStyle name="40% - Énfasis6 6 2" xfId="344"/>
    <cellStyle name="40% - Énfasis6 6 2 2" xfId="1434"/>
    <cellStyle name="40% - Énfasis6 6 2 3" xfId="1435"/>
    <cellStyle name="40% - Énfasis6 6 3" xfId="1436"/>
    <cellStyle name="40% - Énfasis6 6 4" xfId="1437"/>
    <cellStyle name="40% - Énfasis6 7" xfId="188"/>
    <cellStyle name="40% - Énfasis6 7 2" xfId="362"/>
    <cellStyle name="40% - Énfasis6 7 2 2" xfId="1438"/>
    <cellStyle name="40% - Énfasis6 7 2 3" xfId="1439"/>
    <cellStyle name="40% - Énfasis6 7 3" xfId="1440"/>
    <cellStyle name="40% - Énfasis6 7 4" xfId="1441"/>
    <cellStyle name="40% - Énfasis6 8" xfId="206"/>
    <cellStyle name="40% - Énfasis6 8 2" xfId="380"/>
    <cellStyle name="40% - Énfasis6 8 2 2" xfId="1442"/>
    <cellStyle name="40% - Énfasis6 8 2 3" xfId="1443"/>
    <cellStyle name="40% - Énfasis6 8 3" xfId="1444"/>
    <cellStyle name="40% - Énfasis6 8 4" xfId="1445"/>
    <cellStyle name="40% - Énfasis6 9" xfId="224"/>
    <cellStyle name="40% - Énfasis6 9 2" xfId="398"/>
    <cellStyle name="40% - Énfasis6 9 2 2" xfId="1446"/>
    <cellStyle name="40% - Énfasis6 9 2 3" xfId="1447"/>
    <cellStyle name="40% - Énfasis6 9 3" xfId="1448"/>
    <cellStyle name="40% - Énfasis6 9 4" xfId="1449"/>
    <cellStyle name="6" xfId="1450"/>
    <cellStyle name="6_x0001_" xfId="1451"/>
    <cellStyle name="6_x0001_ 2" xfId="7812"/>
    <cellStyle name="6_x0001_ 2 2" xfId="23475"/>
    <cellStyle name="6_x0001_ 3" xfId="19032"/>
    <cellStyle name="60% - Accent1 2" xfId="1452"/>
    <cellStyle name="60% - Accent1 2 2" xfId="1453"/>
    <cellStyle name="60% - Accent1 3" xfId="1454"/>
    <cellStyle name="60% - Accent2 2" xfId="1455"/>
    <cellStyle name="60% - Accent2 2 2" xfId="1456"/>
    <cellStyle name="60% - Accent2 3" xfId="1457"/>
    <cellStyle name="60% - Accent3 2" xfId="1458"/>
    <cellStyle name="60% - Accent3 2 2" xfId="1459"/>
    <cellStyle name="60% - Accent3 3" xfId="1460"/>
    <cellStyle name="60% - Accent4 2" xfId="1461"/>
    <cellStyle name="60% - Accent4 2 2" xfId="1462"/>
    <cellStyle name="60% - Accent4 3" xfId="1463"/>
    <cellStyle name="60% - Accent5 2" xfId="1464"/>
    <cellStyle name="60% - Accent5 2 2" xfId="1465"/>
    <cellStyle name="60% - Accent5 3" xfId="1466"/>
    <cellStyle name="60% - Accent6 2" xfId="1467"/>
    <cellStyle name="60% - Accent6 2 2" xfId="1468"/>
    <cellStyle name="60% - Accent6 3" xfId="1469"/>
    <cellStyle name="60% - Ênfase1" xfId="1470"/>
    <cellStyle name="60% - Ênfase2" xfId="1471"/>
    <cellStyle name="60% - Ênfase3" xfId="1472"/>
    <cellStyle name="60% - Ênfase4" xfId="1473"/>
    <cellStyle name="60% - Ênfase5" xfId="1474"/>
    <cellStyle name="60% - Ênfase6" xfId="1475"/>
    <cellStyle name="60% - Énfasis1" xfId="43" builtinId="32" customBuiltin="1"/>
    <cellStyle name="60% - Énfasis1 2" xfId="1476"/>
    <cellStyle name="60% - Énfasis1 3" xfId="1477"/>
    <cellStyle name="60% - Énfasis1 4" xfId="1478"/>
    <cellStyle name="60% - Énfasis1 5" xfId="1479"/>
    <cellStyle name="60% - Énfasis1 6" xfId="1480"/>
    <cellStyle name="60% - Énfasis1 7" xfId="1481"/>
    <cellStyle name="60% - Énfasis1 8" xfId="1482"/>
    <cellStyle name="60% - Énfasis1 9" xfId="1483"/>
    <cellStyle name="60% - Énfasis2" xfId="47" builtinId="36" customBuiltin="1"/>
    <cellStyle name="60% - Énfasis2 2" xfId="1484"/>
    <cellStyle name="60% - Énfasis2 3" xfId="1485"/>
    <cellStyle name="60% - Énfasis2 4" xfId="1486"/>
    <cellStyle name="60% - Énfasis2 5" xfId="1487"/>
    <cellStyle name="60% - Énfasis2 6" xfId="1488"/>
    <cellStyle name="60% - Énfasis2 7" xfId="1489"/>
    <cellStyle name="60% - Énfasis2 8" xfId="1490"/>
    <cellStyle name="60% - Énfasis2 9" xfId="1491"/>
    <cellStyle name="60% - Énfasis3" xfId="51" builtinId="40" customBuiltin="1"/>
    <cellStyle name="60% - Énfasis3 2" xfId="1492"/>
    <cellStyle name="60% - Énfasis3 3" xfId="1493"/>
    <cellStyle name="60% - Énfasis3 4" xfId="1494"/>
    <cellStyle name="60% - Énfasis3 5" xfId="1495"/>
    <cellStyle name="60% - Énfasis3 6" xfId="1496"/>
    <cellStyle name="60% - Énfasis3 7" xfId="1497"/>
    <cellStyle name="60% - Énfasis3 8" xfId="1498"/>
    <cellStyle name="60% - Énfasis3 9" xfId="1499"/>
    <cellStyle name="60% - Énfasis4" xfId="55" builtinId="44" customBuiltin="1"/>
    <cellStyle name="60% - Énfasis4 2" xfId="1500"/>
    <cellStyle name="60% - Énfasis4 3" xfId="1501"/>
    <cellStyle name="60% - Énfasis4 4" xfId="1502"/>
    <cellStyle name="60% - Énfasis4 5" xfId="1503"/>
    <cellStyle name="60% - Énfasis4 6" xfId="1504"/>
    <cellStyle name="60% - Énfasis4 7" xfId="1505"/>
    <cellStyle name="60% - Énfasis4 8" xfId="1506"/>
    <cellStyle name="60% - Énfasis4 9" xfId="1507"/>
    <cellStyle name="60% - Énfasis5" xfId="59" builtinId="48" customBuiltin="1"/>
    <cellStyle name="60% - Énfasis5 2" xfId="1508"/>
    <cellStyle name="60% - Énfasis5 3" xfId="1509"/>
    <cellStyle name="60% - Énfasis5 4" xfId="1510"/>
    <cellStyle name="60% - Énfasis5 5" xfId="1511"/>
    <cellStyle name="60% - Énfasis5 6" xfId="1512"/>
    <cellStyle name="60% - Énfasis5 7" xfId="1513"/>
    <cellStyle name="60% - Énfasis5 8" xfId="1514"/>
    <cellStyle name="60% - Énfasis5 9" xfId="1515"/>
    <cellStyle name="60% - Énfasis6" xfId="63" builtinId="52" customBuiltin="1"/>
    <cellStyle name="60% - Énfasis6 2" xfId="1516"/>
    <cellStyle name="60% - Énfasis6 3" xfId="1517"/>
    <cellStyle name="60% - Énfasis6 4" xfId="1518"/>
    <cellStyle name="60% - Énfasis6 5" xfId="1519"/>
    <cellStyle name="60% - Énfasis6 6" xfId="1520"/>
    <cellStyle name="60% - Énfasis6 7" xfId="1521"/>
    <cellStyle name="60% - Énfasis6 8" xfId="1522"/>
    <cellStyle name="60% - Énfasis6 9" xfId="1523"/>
    <cellStyle name="697 " xfId="1524"/>
    <cellStyle name="6A" xfId="1525"/>
    <cellStyle name="6A 2" xfId="3929"/>
    <cellStyle name="6A 2 2" xfId="7813"/>
    <cellStyle name="6A 2 2 2" xfId="23476"/>
    <cellStyle name="6A 2 3" xfId="20085"/>
    <cellStyle name="6A 3" xfId="7814"/>
    <cellStyle name="6A 3 2" xfId="23477"/>
    <cellStyle name="6A 4" xfId="19106"/>
    <cellStyle name="7" xfId="1526"/>
    <cellStyle name="7 (2)" xfId="1527"/>
    <cellStyle name="7.XLS]הון עצמי" xfId="1528"/>
    <cellStyle name="8" xfId="1529"/>
    <cellStyle name="8 2" xfId="7815"/>
    <cellStyle name="8 2 2" xfId="23478"/>
    <cellStyle name="8 3" xfId="19110"/>
    <cellStyle name="8_SHKEF398win95" xfId="1530"/>
    <cellStyle name="8_SHKEF398win95 2" xfId="7816"/>
    <cellStyle name="8_SHKEF398win95 2 2" xfId="23479"/>
    <cellStyle name="8_SHKEF398win95 3" xfId="19111"/>
    <cellStyle name="A¨­￠￢￠O [0]_C¡IAo_AoAUAy¡ÆeC¡I " xfId="1531"/>
    <cellStyle name="A¨­￠￢￠O_AoAUAy¡ÆeC¡I " xfId="1532"/>
    <cellStyle name="A3 297 x 420 mm" xfId="1533"/>
    <cellStyle name="Abstimmung" xfId="1534"/>
    <cellStyle name="Abstimmung 2" xfId="5006"/>
    <cellStyle name="AbstimmungLeer" xfId="1535"/>
    <cellStyle name="AbstimmungLeer 2" xfId="3930"/>
    <cellStyle name="AbstimmungLeer 2 2" xfId="7817"/>
    <cellStyle name="AbstimmungLeer 3" xfId="7818"/>
    <cellStyle name="ac" xfId="1536"/>
    <cellStyle name="ac 2" xfId="1537"/>
    <cellStyle name="ac 2 2" xfId="3961"/>
    <cellStyle name="ac 2 2 2" xfId="5007"/>
    <cellStyle name="ac 2 2 2 2" xfId="7819"/>
    <cellStyle name="ac 2 2 2 2 2" xfId="23482"/>
    <cellStyle name="ac 2 2 2 3" xfId="7820"/>
    <cellStyle name="ac 2 2 2 3 2" xfId="23483"/>
    <cellStyle name="ac 2 2 2 4" xfId="7821"/>
    <cellStyle name="ac 2 2 2 4 2" xfId="23484"/>
    <cellStyle name="ac 2 2 2 5" xfId="20912"/>
    <cellStyle name="ac 2 2 3" xfId="5008"/>
    <cellStyle name="ac 2 2 3 2" xfId="7822"/>
    <cellStyle name="ac 2 2 3 2 2" xfId="23485"/>
    <cellStyle name="ac 2 2 3 3" xfId="7823"/>
    <cellStyle name="ac 2 2 3 3 2" xfId="23486"/>
    <cellStyle name="ac 2 2 3 4" xfId="7824"/>
    <cellStyle name="ac 2 2 3 4 2" xfId="23487"/>
    <cellStyle name="ac 2 2 3 5" xfId="20913"/>
    <cellStyle name="ac 2 2 4" xfId="7825"/>
    <cellStyle name="ac 2 2 4 2" xfId="23488"/>
    <cellStyle name="ac 2 2 5" xfId="7826"/>
    <cellStyle name="ac 2 2 5 2" xfId="23489"/>
    <cellStyle name="ac 2 2 6" xfId="7827"/>
    <cellStyle name="ac 2 2 6 2" xfId="7828"/>
    <cellStyle name="ac 2 2 6 2 2" xfId="23491"/>
    <cellStyle name="ac 2 2 6 3" xfId="23490"/>
    <cellStyle name="ac 2 2 7" xfId="20112"/>
    <cellStyle name="ac 2 3" xfId="7829"/>
    <cellStyle name="ac 2 3 2" xfId="23492"/>
    <cellStyle name="ac 2 4" xfId="19118"/>
    <cellStyle name="ac 3" xfId="1538"/>
    <cellStyle name="ac 3 2" xfId="3962"/>
    <cellStyle name="ac 3 2 2" xfId="5009"/>
    <cellStyle name="ac 3 2 2 2" xfId="7830"/>
    <cellStyle name="ac 3 2 2 2 2" xfId="23493"/>
    <cellStyle name="ac 3 2 2 3" xfId="7831"/>
    <cellStyle name="ac 3 2 2 3 2" xfId="23494"/>
    <cellStyle name="ac 3 2 2 4" xfId="7832"/>
    <cellStyle name="ac 3 2 2 4 2" xfId="23495"/>
    <cellStyle name="ac 3 2 2 5" xfId="20914"/>
    <cellStyle name="ac 3 2 3" xfId="5010"/>
    <cellStyle name="ac 3 2 3 2" xfId="7833"/>
    <cellStyle name="ac 3 2 3 2 2" xfId="23496"/>
    <cellStyle name="ac 3 2 3 3" xfId="7834"/>
    <cellStyle name="ac 3 2 3 3 2" xfId="23497"/>
    <cellStyle name="ac 3 2 3 4" xfId="7835"/>
    <cellStyle name="ac 3 2 3 4 2" xfId="23498"/>
    <cellStyle name="ac 3 2 3 5" xfId="20915"/>
    <cellStyle name="ac 3 2 4" xfId="7836"/>
    <cellStyle name="ac 3 2 4 2" xfId="23499"/>
    <cellStyle name="ac 3 2 5" xfId="7837"/>
    <cellStyle name="ac 3 2 5 2" xfId="23500"/>
    <cellStyle name="ac 3 2 6" xfId="7838"/>
    <cellStyle name="ac 3 2 6 2" xfId="7839"/>
    <cellStyle name="ac 3 2 6 2 2" xfId="23502"/>
    <cellStyle name="ac 3 2 6 3" xfId="23501"/>
    <cellStyle name="ac 3 2 7" xfId="20113"/>
    <cellStyle name="ac 3 3" xfId="7840"/>
    <cellStyle name="ac 3 3 2" xfId="23503"/>
    <cellStyle name="ac 3 4" xfId="19119"/>
    <cellStyle name="ac 4" xfId="3960"/>
    <cellStyle name="ac 4 2" xfId="5011"/>
    <cellStyle name="ac 4 2 2" xfId="7841"/>
    <cellStyle name="ac 4 2 2 2" xfId="23504"/>
    <cellStyle name="ac 4 2 3" xfId="7842"/>
    <cellStyle name="ac 4 2 3 2" xfId="23505"/>
    <cellStyle name="ac 4 2 4" xfId="7843"/>
    <cellStyle name="ac 4 2 4 2" xfId="23506"/>
    <cellStyle name="ac 4 2 5" xfId="20916"/>
    <cellStyle name="ac 4 3" xfId="5012"/>
    <cellStyle name="ac 4 3 2" xfId="7844"/>
    <cellStyle name="ac 4 3 2 2" xfId="23507"/>
    <cellStyle name="ac 4 3 3" xfId="7845"/>
    <cellStyle name="ac 4 3 3 2" xfId="23508"/>
    <cellStyle name="ac 4 3 4" xfId="7846"/>
    <cellStyle name="ac 4 3 4 2" xfId="23509"/>
    <cellStyle name="ac 4 3 5" xfId="20917"/>
    <cellStyle name="ac 4 4" xfId="7847"/>
    <cellStyle name="ac 4 4 2" xfId="23510"/>
    <cellStyle name="ac 4 5" xfId="7848"/>
    <cellStyle name="ac 4 5 2" xfId="23511"/>
    <cellStyle name="ac 4 6" xfId="7849"/>
    <cellStyle name="ac 4 6 2" xfId="7850"/>
    <cellStyle name="ac 4 6 2 2" xfId="23513"/>
    <cellStyle name="ac 4 6 3" xfId="23512"/>
    <cellStyle name="ac 4 7" xfId="20111"/>
    <cellStyle name="ac 5" xfId="7851"/>
    <cellStyle name="ac 5 2" xfId="23514"/>
    <cellStyle name="ac 6" xfId="19117"/>
    <cellStyle name="Accent1 2" xfId="1539"/>
    <cellStyle name="Accent1 2 2" xfId="1540"/>
    <cellStyle name="Accent1 3" xfId="1541"/>
    <cellStyle name="Accent2 2" xfId="1542"/>
    <cellStyle name="Accent2 2 2" xfId="1543"/>
    <cellStyle name="Accent2 3" xfId="1544"/>
    <cellStyle name="Accent3 2" xfId="1545"/>
    <cellStyle name="Accent3 2 2" xfId="1546"/>
    <cellStyle name="Accent3 3" xfId="1547"/>
    <cellStyle name="Accent4 2" xfId="1548"/>
    <cellStyle name="Accent4 2 2" xfId="1549"/>
    <cellStyle name="Accent4 3" xfId="1550"/>
    <cellStyle name="Accent5 2" xfId="1551"/>
    <cellStyle name="Accent5 2 2" xfId="1552"/>
    <cellStyle name="Accent5 3" xfId="1553"/>
    <cellStyle name="Accent6 2" xfId="1554"/>
    <cellStyle name="Accent6 2 2" xfId="1555"/>
    <cellStyle name="Accent6 3" xfId="1556"/>
    <cellStyle name="Accounting" xfId="1557"/>
    <cellStyle name="active" xfId="1558"/>
    <cellStyle name="Actual Date" xfId="1559"/>
    <cellStyle name="Actual Date 2" xfId="5013"/>
    <cellStyle name="add" xfId="1560"/>
    <cellStyle name="AFE" xfId="1561"/>
    <cellStyle name="AFE 2" xfId="1562"/>
    <cellStyle name="AFE 3" xfId="1563"/>
    <cellStyle name="ÀH«áªº¶W³sµ²" xfId="1564"/>
    <cellStyle name="al (2)" xfId="1565"/>
    <cellStyle name="al (2) 2" xfId="3931"/>
    <cellStyle name="al (2) 2 2" xfId="7852"/>
    <cellStyle name="al (2) 2 2 2" xfId="23515"/>
    <cellStyle name="al (2) 2 3" xfId="20087"/>
    <cellStyle name="al (2) 3" xfId="7853"/>
    <cellStyle name="al (2) 3 2" xfId="23516"/>
    <cellStyle name="al (2) 4" xfId="19146"/>
    <cellStyle name="Angus" xfId="1566"/>
    <cellStyle name="args.style" xfId="1567"/>
    <cellStyle name="args.style 2" xfId="1568"/>
    <cellStyle name="args.style 3" xfId="1569"/>
    <cellStyle name="ARIAL  8" xfId="1570"/>
    <cellStyle name="ARIAL  8, fett" xfId="1571"/>
    <cellStyle name="Arial 10" xfId="1572"/>
    <cellStyle name="Arial 10, fett" xfId="1573"/>
    <cellStyle name="Arial 12, fett" xfId="1574"/>
    <cellStyle name="Arial 7" xfId="1575"/>
    <cellStyle name="arial12" xfId="1576"/>
    <cellStyle name="arial14" xfId="1577"/>
    <cellStyle name="Array" xfId="1578"/>
    <cellStyle name="Array Enter" xfId="1579"/>
    <cellStyle name="assumption 1" xfId="1580"/>
    <cellStyle name="assumption 1 2" xfId="5014"/>
    <cellStyle name="assumption 1 2 2" xfId="5015"/>
    <cellStyle name="assumption 1 2 2 2" xfId="7854"/>
    <cellStyle name="assumption 1 2 2 2 2" xfId="7855"/>
    <cellStyle name="assumption 1 2 2 2 2 2" xfId="23518"/>
    <cellStyle name="assumption 1 2 2 2 2 3" xfId="18831"/>
    <cellStyle name="assumption 1 2 2 2 3" xfId="7856"/>
    <cellStyle name="assumption 1 2 2 2 3 2" xfId="23519"/>
    <cellStyle name="assumption 1 2 2 2 3 3" xfId="18830"/>
    <cellStyle name="assumption 1 2 2 2 4" xfId="23517"/>
    <cellStyle name="assumption 1 2 2 2 5" xfId="18832"/>
    <cellStyle name="assumption 1 2 2 3" xfId="7857"/>
    <cellStyle name="assumption 1 2 2 3 2" xfId="7858"/>
    <cellStyle name="assumption 1 2 2 3 2 2" xfId="23521"/>
    <cellStyle name="assumption 1 2 2 3 2 3" xfId="18828"/>
    <cellStyle name="assumption 1 2 2 3 3" xfId="23520"/>
    <cellStyle name="assumption 1 2 2 3 4" xfId="18829"/>
    <cellStyle name="assumption 1 2 2 4" xfId="7859"/>
    <cellStyle name="assumption 1 2 2 4 2" xfId="23522"/>
    <cellStyle name="assumption 1 2 2 4 3" xfId="23474"/>
    <cellStyle name="assumption 1 2 2 5" xfId="20920"/>
    <cellStyle name="assumption 1 2 2 6" xfId="26575"/>
    <cellStyle name="assumption 1 2 3" xfId="7860"/>
    <cellStyle name="assumption 1 2 3 2" xfId="7861"/>
    <cellStyle name="assumption 1 2 3 2 2" xfId="23524"/>
    <cellStyle name="assumption 1 2 3 2 3" xfId="23472"/>
    <cellStyle name="assumption 1 2 3 3" xfId="7862"/>
    <cellStyle name="assumption 1 2 3 3 2" xfId="23525"/>
    <cellStyle name="assumption 1 2 3 3 3" xfId="23471"/>
    <cellStyle name="assumption 1 2 3 4" xfId="23523"/>
    <cellStyle name="assumption 1 2 3 5" xfId="23473"/>
    <cellStyle name="assumption 1 2 4" xfId="7863"/>
    <cellStyle name="assumption 1 2 4 2" xfId="7864"/>
    <cellStyle name="assumption 1 2 4 2 2" xfId="23527"/>
    <cellStyle name="assumption 1 2 4 2 3" xfId="23469"/>
    <cellStyle name="assumption 1 2 4 3" xfId="23526"/>
    <cellStyle name="assumption 1 2 4 4" xfId="23470"/>
    <cellStyle name="assumption 1 2 5" xfId="7865"/>
    <cellStyle name="assumption 1 2 5 2" xfId="23528"/>
    <cellStyle name="assumption 1 2 5 3" xfId="23468"/>
    <cellStyle name="assumption 1 2 6" xfId="20919"/>
    <cellStyle name="assumption 1 2 7" xfId="26576"/>
    <cellStyle name="assumption 1 3" xfId="5016"/>
    <cellStyle name="assumption 1 3 2" xfId="7866"/>
    <cellStyle name="assumption 1 3 2 2" xfId="7867"/>
    <cellStyle name="assumption 1 3 2 2 2" xfId="23530"/>
    <cellStyle name="assumption 1 3 2 2 3" xfId="23466"/>
    <cellStyle name="assumption 1 3 2 3" xfId="7868"/>
    <cellStyle name="assumption 1 3 2 3 2" xfId="23531"/>
    <cellStyle name="assumption 1 3 2 3 3" xfId="23465"/>
    <cellStyle name="assumption 1 3 2 4" xfId="23529"/>
    <cellStyle name="assumption 1 3 2 5" xfId="23467"/>
    <cellStyle name="assumption 1 3 3" xfId="7869"/>
    <cellStyle name="assumption 1 3 3 2" xfId="23532"/>
    <cellStyle name="assumption 1 3 3 3" xfId="23464"/>
    <cellStyle name="assumption 1 3 4" xfId="20921"/>
    <cellStyle name="assumption 1 3 5" xfId="26574"/>
    <cellStyle name="assumption 1 4" xfId="7870"/>
    <cellStyle name="assumption 1 4 2" xfId="7871"/>
    <cellStyle name="assumption 1 4 2 2" xfId="23534"/>
    <cellStyle name="assumption 1 4 2 3" xfId="23462"/>
    <cellStyle name="assumption 1 4 3" xfId="7872"/>
    <cellStyle name="assumption 1 4 3 2" xfId="23535"/>
    <cellStyle name="assumption 1 4 3 3" xfId="23461"/>
    <cellStyle name="assumption 1 4 4" xfId="23533"/>
    <cellStyle name="assumption 1 4 5" xfId="23463"/>
    <cellStyle name="assumption 1 5" xfId="7873"/>
    <cellStyle name="assumption 1 5 2" xfId="7874"/>
    <cellStyle name="assumption 1 5 2 2" xfId="23537"/>
    <cellStyle name="assumption 1 5 2 3" xfId="23459"/>
    <cellStyle name="assumption 1 5 3" xfId="23536"/>
    <cellStyle name="assumption 1 5 4" xfId="23460"/>
    <cellStyle name="assumption 1 6" xfId="7875"/>
    <cellStyle name="assumption 1 6 2" xfId="23538"/>
    <cellStyle name="assumption 1 6 3" xfId="23458"/>
    <cellStyle name="assumption 1 7" xfId="19161"/>
    <cellStyle name="assumption 1 8" xfId="30611"/>
    <cellStyle name="assumption 2" xfId="1581"/>
    <cellStyle name="assumption 4" xfId="1582"/>
    <cellStyle name="assumption 4 2" xfId="5017"/>
    <cellStyle name="assumption 4 2 2" xfId="5018"/>
    <cellStyle name="assumption 4 2 2 2" xfId="7876"/>
    <cellStyle name="assumption 4 2 2 2 2" xfId="7877"/>
    <cellStyle name="assumption 4 2 2 2 2 2" xfId="23540"/>
    <cellStyle name="assumption 4 2 2 2 2 3" xfId="23456"/>
    <cellStyle name="assumption 4 2 2 2 3" xfId="7878"/>
    <cellStyle name="assumption 4 2 2 2 3 2" xfId="23541"/>
    <cellStyle name="assumption 4 2 2 2 3 3" xfId="23455"/>
    <cellStyle name="assumption 4 2 2 2 4" xfId="23539"/>
    <cellStyle name="assumption 4 2 2 2 5" xfId="23457"/>
    <cellStyle name="assumption 4 2 2 3" xfId="7879"/>
    <cellStyle name="assumption 4 2 2 3 2" xfId="7880"/>
    <cellStyle name="assumption 4 2 2 3 2 2" xfId="23543"/>
    <cellStyle name="assumption 4 2 2 3 2 3" xfId="23453"/>
    <cellStyle name="assumption 4 2 2 3 3" xfId="23542"/>
    <cellStyle name="assumption 4 2 2 3 4" xfId="23454"/>
    <cellStyle name="assumption 4 2 2 4" xfId="7881"/>
    <cellStyle name="assumption 4 2 2 4 2" xfId="23544"/>
    <cellStyle name="assumption 4 2 2 4 3" xfId="23452"/>
    <cellStyle name="assumption 4 2 2 5" xfId="20923"/>
    <cellStyle name="assumption 4 2 2 6" xfId="26572"/>
    <cellStyle name="assumption 4 2 3" xfId="7882"/>
    <cellStyle name="assumption 4 2 3 2" xfId="7883"/>
    <cellStyle name="assumption 4 2 3 2 2" xfId="23546"/>
    <cellStyle name="assumption 4 2 3 2 3" xfId="23450"/>
    <cellStyle name="assumption 4 2 3 3" xfId="7884"/>
    <cellStyle name="assumption 4 2 3 3 2" xfId="23547"/>
    <cellStyle name="assumption 4 2 3 3 3" xfId="23449"/>
    <cellStyle name="assumption 4 2 3 4" xfId="23545"/>
    <cellStyle name="assumption 4 2 3 5" xfId="23451"/>
    <cellStyle name="assumption 4 2 4" xfId="7885"/>
    <cellStyle name="assumption 4 2 4 2" xfId="7886"/>
    <cellStyle name="assumption 4 2 4 2 2" xfId="23549"/>
    <cellStyle name="assumption 4 2 4 2 3" xfId="23448"/>
    <cellStyle name="assumption 4 2 4 3" xfId="23548"/>
    <cellStyle name="assumption 4 2 4 4" xfId="20910"/>
    <cellStyle name="assumption 4 2 5" xfId="7887"/>
    <cellStyle name="assumption 4 2 5 2" xfId="23550"/>
    <cellStyle name="assumption 4 2 5 3" xfId="23447"/>
    <cellStyle name="assumption 4 2 6" xfId="20922"/>
    <cellStyle name="assumption 4 2 7" xfId="26573"/>
    <cellStyle name="assumption 4 3" xfId="5019"/>
    <cellStyle name="assumption 4 3 2" xfId="7888"/>
    <cellStyle name="assumption 4 3 2 2" xfId="7889"/>
    <cellStyle name="assumption 4 3 2 2 2" xfId="23552"/>
    <cellStyle name="assumption 4 3 2 2 3" xfId="23445"/>
    <cellStyle name="assumption 4 3 2 3" xfId="7890"/>
    <cellStyle name="assumption 4 3 2 3 2" xfId="23553"/>
    <cellStyle name="assumption 4 3 2 3 3" xfId="23444"/>
    <cellStyle name="assumption 4 3 2 4" xfId="23551"/>
    <cellStyle name="assumption 4 3 2 5" xfId="23446"/>
    <cellStyle name="assumption 4 3 3" xfId="7891"/>
    <cellStyle name="assumption 4 3 3 2" xfId="23554"/>
    <cellStyle name="assumption 4 3 3 3" xfId="23443"/>
    <cellStyle name="assumption 4 3 4" xfId="20924"/>
    <cellStyle name="assumption 4 3 5" xfId="26571"/>
    <cellStyle name="assumption 4 4" xfId="7892"/>
    <cellStyle name="assumption 4 4 2" xfId="7893"/>
    <cellStyle name="assumption 4 4 2 2" xfId="23556"/>
    <cellStyle name="assumption 4 4 2 3" xfId="23441"/>
    <cellStyle name="assumption 4 4 3" xfId="7894"/>
    <cellStyle name="assumption 4 4 3 2" xfId="23557"/>
    <cellStyle name="assumption 4 4 3 3" xfId="23440"/>
    <cellStyle name="assumption 4 4 4" xfId="23555"/>
    <cellStyle name="assumption 4 4 5" xfId="23442"/>
    <cellStyle name="assumption 4 5" xfId="7895"/>
    <cellStyle name="assumption 4 5 2" xfId="7896"/>
    <cellStyle name="assumption 4 5 2 2" xfId="23559"/>
    <cellStyle name="assumption 4 5 2 3" xfId="23438"/>
    <cellStyle name="assumption 4 5 3" xfId="23558"/>
    <cellStyle name="assumption 4 5 4" xfId="23439"/>
    <cellStyle name="assumption 4 6" xfId="7897"/>
    <cellStyle name="assumption 4 6 2" xfId="23560"/>
    <cellStyle name="assumption 4 6 3" xfId="23437"/>
    <cellStyle name="assumption 4 7" xfId="19163"/>
    <cellStyle name="assumption 4 8" xfId="30610"/>
    <cellStyle name="Assumption Date" xfId="1583"/>
    <cellStyle name="Assumption Date 2" xfId="5020"/>
    <cellStyle name="Assumption Date 2 2" xfId="5021"/>
    <cellStyle name="Assumption Date 2 2 2" xfId="7898"/>
    <cellStyle name="Assumption Date 2 2 2 2" xfId="7899"/>
    <cellStyle name="Assumption Date 2 2 2 2 2" xfId="23562"/>
    <cellStyle name="Assumption Date 2 2 2 2 3" xfId="23435"/>
    <cellStyle name="Assumption Date 2 2 2 3" xfId="7900"/>
    <cellStyle name="Assumption Date 2 2 2 3 2" xfId="23563"/>
    <cellStyle name="Assumption Date 2 2 2 3 3" xfId="23434"/>
    <cellStyle name="Assumption Date 2 2 2 4" xfId="23561"/>
    <cellStyle name="Assumption Date 2 2 2 5" xfId="23436"/>
    <cellStyle name="Assumption Date 2 2 3" xfId="7901"/>
    <cellStyle name="Assumption Date 2 2 3 2" xfId="7902"/>
    <cellStyle name="Assumption Date 2 2 3 2 2" xfId="23565"/>
    <cellStyle name="Assumption Date 2 2 3 2 3" xfId="23432"/>
    <cellStyle name="Assumption Date 2 2 3 3" xfId="23564"/>
    <cellStyle name="Assumption Date 2 2 3 4" xfId="23433"/>
    <cellStyle name="Assumption Date 2 2 4" xfId="7903"/>
    <cellStyle name="Assumption Date 2 2 4 2" xfId="23566"/>
    <cellStyle name="Assumption Date 2 2 4 3" xfId="20302"/>
    <cellStyle name="Assumption Date 2 2 5" xfId="20926"/>
    <cellStyle name="Assumption Date 2 2 6" xfId="20462"/>
    <cellStyle name="Assumption Date 2 3" xfId="7904"/>
    <cellStyle name="Assumption Date 2 3 2" xfId="7905"/>
    <cellStyle name="Assumption Date 2 3 2 2" xfId="23568"/>
    <cellStyle name="Assumption Date 2 3 2 3" xfId="23430"/>
    <cellStyle name="Assumption Date 2 3 3" xfId="7906"/>
    <cellStyle name="Assumption Date 2 3 3 2" xfId="23569"/>
    <cellStyle name="Assumption Date 2 3 3 3" xfId="23429"/>
    <cellStyle name="Assumption Date 2 3 4" xfId="23567"/>
    <cellStyle name="Assumption Date 2 3 5" xfId="23431"/>
    <cellStyle name="Assumption Date 2 4" xfId="7907"/>
    <cellStyle name="Assumption Date 2 4 2" xfId="7908"/>
    <cellStyle name="Assumption Date 2 4 2 2" xfId="23571"/>
    <cellStyle name="Assumption Date 2 4 2 3" xfId="23427"/>
    <cellStyle name="Assumption Date 2 4 3" xfId="23570"/>
    <cellStyle name="Assumption Date 2 4 4" xfId="23428"/>
    <cellStyle name="Assumption Date 2 5" xfId="7909"/>
    <cellStyle name="Assumption Date 2 5 2" xfId="23572"/>
    <cellStyle name="Assumption Date 2 5 3" xfId="23426"/>
    <cellStyle name="Assumption Date 2 6" xfId="20925"/>
    <cellStyle name="Assumption Date 2 7" xfId="26570"/>
    <cellStyle name="Assumption Date 3" xfId="5022"/>
    <cellStyle name="Assumption Date 3 2" xfId="7910"/>
    <cellStyle name="Assumption Date 3 2 2" xfId="7911"/>
    <cellStyle name="Assumption Date 3 2 2 2" xfId="23574"/>
    <cellStyle name="Assumption Date 3 2 2 3" xfId="23424"/>
    <cellStyle name="Assumption Date 3 2 3" xfId="7912"/>
    <cellStyle name="Assumption Date 3 2 3 2" xfId="23575"/>
    <cellStyle name="Assumption Date 3 2 3 3" xfId="23423"/>
    <cellStyle name="Assumption Date 3 2 4" xfId="23573"/>
    <cellStyle name="Assumption Date 3 2 5" xfId="23425"/>
    <cellStyle name="Assumption Date 3 3" xfId="7913"/>
    <cellStyle name="Assumption Date 3 3 2" xfId="23576"/>
    <cellStyle name="Assumption Date 3 3 3" xfId="23422"/>
    <cellStyle name="Assumption Date 3 4" xfId="20927"/>
    <cellStyle name="Assumption Date 3 5" xfId="26569"/>
    <cellStyle name="Assumption Date 4" xfId="7914"/>
    <cellStyle name="Assumption Date 4 2" xfId="7915"/>
    <cellStyle name="Assumption Date 4 2 2" xfId="23578"/>
    <cellStyle name="Assumption Date 4 2 3" xfId="23420"/>
    <cellStyle name="Assumption Date 4 3" xfId="7916"/>
    <cellStyle name="Assumption Date 4 3 2" xfId="23579"/>
    <cellStyle name="Assumption Date 4 3 3" xfId="23419"/>
    <cellStyle name="Assumption Date 4 4" xfId="23577"/>
    <cellStyle name="Assumption Date 4 5" xfId="23421"/>
    <cellStyle name="Assumption Date 5" xfId="7917"/>
    <cellStyle name="Assumption Date 5 2" xfId="7918"/>
    <cellStyle name="Assumption Date 5 2 2" xfId="23581"/>
    <cellStyle name="Assumption Date 5 2 3" xfId="23417"/>
    <cellStyle name="Assumption Date 5 3" xfId="23580"/>
    <cellStyle name="Assumption Date 5 4" xfId="23418"/>
    <cellStyle name="Assumption Date 6" xfId="7919"/>
    <cellStyle name="Assumption Date 6 2" xfId="23582"/>
    <cellStyle name="Assumption Date 6 3" xfId="23416"/>
    <cellStyle name="Assumption Date 7" xfId="19164"/>
    <cellStyle name="Assumption Date 8" xfId="30609"/>
    <cellStyle name="AÞ¸¶_¾ÆA§AU¾÷" xfId="1584"/>
    <cellStyle name="B" xfId="1585"/>
    <cellStyle name="B&amp;W" xfId="1586"/>
    <cellStyle name="B&amp;Wbold" xfId="1587"/>
    <cellStyle name="b0" xfId="1588"/>
    <cellStyle name="b0 2" xfId="5023"/>
    <cellStyle name="b1" xfId="1589"/>
    <cellStyle name="b1 2" xfId="1590"/>
    <cellStyle name="b1 2 2" xfId="1591"/>
    <cellStyle name="b1 2 2 2" xfId="3965"/>
    <cellStyle name="b1 2 2 2 2" xfId="5024"/>
    <cellStyle name="b1 2 2 2 2 2" xfId="7920"/>
    <cellStyle name="b1 2 2 2 2 2 2" xfId="23583"/>
    <cellStyle name="b1 2 2 2 2 3" xfId="7921"/>
    <cellStyle name="b1 2 2 2 2 3 2" xfId="23584"/>
    <cellStyle name="b1 2 2 2 2 4" xfId="7922"/>
    <cellStyle name="b1 2 2 2 2 4 2" xfId="23585"/>
    <cellStyle name="b1 2 2 2 2 5" xfId="20929"/>
    <cellStyle name="b1 2 2 2 3" xfId="5025"/>
    <cellStyle name="b1 2 2 2 3 2" xfId="7923"/>
    <cellStyle name="b1 2 2 2 3 2 2" xfId="23586"/>
    <cellStyle name="b1 2 2 2 3 3" xfId="7924"/>
    <cellStyle name="b1 2 2 2 3 3 2" xfId="23587"/>
    <cellStyle name="b1 2 2 2 3 4" xfId="7925"/>
    <cellStyle name="b1 2 2 2 3 4 2" xfId="23588"/>
    <cellStyle name="b1 2 2 2 3 5" xfId="20930"/>
    <cellStyle name="b1 2 2 2 4" xfId="7926"/>
    <cellStyle name="b1 2 2 2 4 2" xfId="23589"/>
    <cellStyle name="b1 2 2 2 5" xfId="7927"/>
    <cellStyle name="b1 2 2 2 5 2" xfId="23590"/>
    <cellStyle name="b1 2 2 2 6" xfId="7928"/>
    <cellStyle name="b1 2 2 2 6 2" xfId="7929"/>
    <cellStyle name="b1 2 2 2 6 2 2" xfId="23592"/>
    <cellStyle name="b1 2 2 2 6 3" xfId="23591"/>
    <cellStyle name="b1 2 2 2 7" xfId="20116"/>
    <cellStyle name="b1 2 2 3" xfId="7930"/>
    <cellStyle name="b1 2 2 3 2" xfId="23593"/>
    <cellStyle name="b1 2 2 4" xfId="19172"/>
    <cellStyle name="b1 2 3" xfId="1592"/>
    <cellStyle name="b1 2 3 2" xfId="3966"/>
    <cellStyle name="b1 2 3 2 2" xfId="5026"/>
    <cellStyle name="b1 2 3 2 2 2" xfId="7931"/>
    <cellStyle name="b1 2 3 2 2 2 2" xfId="23594"/>
    <cellStyle name="b1 2 3 2 2 3" xfId="7932"/>
    <cellStyle name="b1 2 3 2 2 3 2" xfId="23595"/>
    <cellStyle name="b1 2 3 2 2 4" xfId="7933"/>
    <cellStyle name="b1 2 3 2 2 4 2" xfId="23596"/>
    <cellStyle name="b1 2 3 2 2 5" xfId="20931"/>
    <cellStyle name="b1 2 3 2 3" xfId="5027"/>
    <cellStyle name="b1 2 3 2 3 2" xfId="7934"/>
    <cellStyle name="b1 2 3 2 3 2 2" xfId="23597"/>
    <cellStyle name="b1 2 3 2 3 3" xfId="7935"/>
    <cellStyle name="b1 2 3 2 3 3 2" xfId="23598"/>
    <cellStyle name="b1 2 3 2 3 4" xfId="7936"/>
    <cellStyle name="b1 2 3 2 3 4 2" xfId="23599"/>
    <cellStyle name="b1 2 3 2 3 5" xfId="20932"/>
    <cellStyle name="b1 2 3 2 4" xfId="7937"/>
    <cellStyle name="b1 2 3 2 4 2" xfId="23600"/>
    <cellStyle name="b1 2 3 2 5" xfId="7938"/>
    <cellStyle name="b1 2 3 2 5 2" xfId="23601"/>
    <cellStyle name="b1 2 3 2 6" xfId="7939"/>
    <cellStyle name="b1 2 3 2 6 2" xfId="7940"/>
    <cellStyle name="b1 2 3 2 6 2 2" xfId="23603"/>
    <cellStyle name="b1 2 3 2 6 3" xfId="23602"/>
    <cellStyle name="b1 2 3 2 7" xfId="20117"/>
    <cellStyle name="b1 2 3 3" xfId="7941"/>
    <cellStyle name="b1 2 3 3 2" xfId="23604"/>
    <cellStyle name="b1 2 3 4" xfId="19173"/>
    <cellStyle name="b1 2 4" xfId="3964"/>
    <cellStyle name="b1 2 4 2" xfId="5028"/>
    <cellStyle name="b1 2 4 2 2" xfId="7942"/>
    <cellStyle name="b1 2 4 2 2 2" xfId="23605"/>
    <cellStyle name="b1 2 4 2 3" xfId="7943"/>
    <cellStyle name="b1 2 4 2 3 2" xfId="23606"/>
    <cellStyle name="b1 2 4 2 4" xfId="7944"/>
    <cellStyle name="b1 2 4 2 4 2" xfId="23607"/>
    <cellStyle name="b1 2 4 2 5" xfId="20933"/>
    <cellStyle name="b1 2 4 3" xfId="5029"/>
    <cellStyle name="b1 2 4 3 2" xfId="7945"/>
    <cellStyle name="b1 2 4 3 2 2" xfId="23608"/>
    <cellStyle name="b1 2 4 3 3" xfId="7946"/>
    <cellStyle name="b1 2 4 3 3 2" xfId="23609"/>
    <cellStyle name="b1 2 4 3 4" xfId="7947"/>
    <cellStyle name="b1 2 4 3 4 2" xfId="23610"/>
    <cellStyle name="b1 2 4 3 5" xfId="20934"/>
    <cellStyle name="b1 2 4 4" xfId="7948"/>
    <cellStyle name="b1 2 4 4 2" xfId="23611"/>
    <cellStyle name="b1 2 4 5" xfId="7949"/>
    <cellStyle name="b1 2 4 5 2" xfId="23612"/>
    <cellStyle name="b1 2 4 6" xfId="7950"/>
    <cellStyle name="b1 2 4 6 2" xfId="7951"/>
    <cellStyle name="b1 2 4 6 2 2" xfId="23614"/>
    <cellStyle name="b1 2 4 6 3" xfId="23613"/>
    <cellStyle name="b1 2 4 7" xfId="20115"/>
    <cellStyle name="b1 2 5" xfId="7952"/>
    <cellStyle name="b1 2 5 2" xfId="23615"/>
    <cellStyle name="b1 2 6" xfId="19171"/>
    <cellStyle name="b1 3" xfId="1593"/>
    <cellStyle name="b1 3 2" xfId="1594"/>
    <cellStyle name="b1 3 2 2" xfId="3968"/>
    <cellStyle name="b1 3 2 2 2" xfId="5030"/>
    <cellStyle name="b1 3 2 2 2 2" xfId="7953"/>
    <cellStyle name="b1 3 2 2 2 2 2" xfId="23616"/>
    <cellStyle name="b1 3 2 2 2 3" xfId="7954"/>
    <cellStyle name="b1 3 2 2 2 3 2" xfId="23617"/>
    <cellStyle name="b1 3 2 2 2 4" xfId="7955"/>
    <cellStyle name="b1 3 2 2 2 4 2" xfId="23618"/>
    <cellStyle name="b1 3 2 2 2 5" xfId="20935"/>
    <cellStyle name="b1 3 2 2 3" xfId="5031"/>
    <cellStyle name="b1 3 2 2 3 2" xfId="7956"/>
    <cellStyle name="b1 3 2 2 3 2 2" xfId="23619"/>
    <cellStyle name="b1 3 2 2 3 3" xfId="7957"/>
    <cellStyle name="b1 3 2 2 3 3 2" xfId="23620"/>
    <cellStyle name="b1 3 2 2 3 4" xfId="7958"/>
    <cellStyle name="b1 3 2 2 3 4 2" xfId="23621"/>
    <cellStyle name="b1 3 2 2 3 5" xfId="20936"/>
    <cellStyle name="b1 3 2 2 4" xfId="7959"/>
    <cellStyle name="b1 3 2 2 4 2" xfId="23622"/>
    <cellStyle name="b1 3 2 2 5" xfId="7960"/>
    <cellStyle name="b1 3 2 2 5 2" xfId="23623"/>
    <cellStyle name="b1 3 2 2 6" xfId="7961"/>
    <cellStyle name="b1 3 2 2 6 2" xfId="7962"/>
    <cellStyle name="b1 3 2 2 6 2 2" xfId="23625"/>
    <cellStyle name="b1 3 2 2 6 3" xfId="23624"/>
    <cellStyle name="b1 3 2 2 7" xfId="20119"/>
    <cellStyle name="b1 3 2 3" xfId="7963"/>
    <cellStyle name="b1 3 2 3 2" xfId="23626"/>
    <cellStyle name="b1 3 2 4" xfId="19175"/>
    <cellStyle name="b1 3 3" xfId="1595"/>
    <cellStyle name="b1 3 3 2" xfId="3969"/>
    <cellStyle name="b1 3 3 2 2" xfId="5032"/>
    <cellStyle name="b1 3 3 2 2 2" xfId="7964"/>
    <cellStyle name="b1 3 3 2 2 2 2" xfId="23627"/>
    <cellStyle name="b1 3 3 2 2 3" xfId="7965"/>
    <cellStyle name="b1 3 3 2 2 3 2" xfId="23628"/>
    <cellStyle name="b1 3 3 2 2 4" xfId="7966"/>
    <cellStyle name="b1 3 3 2 2 4 2" xfId="23629"/>
    <cellStyle name="b1 3 3 2 2 5" xfId="20937"/>
    <cellStyle name="b1 3 3 2 3" xfId="5033"/>
    <cellStyle name="b1 3 3 2 3 2" xfId="7967"/>
    <cellStyle name="b1 3 3 2 3 2 2" xfId="23630"/>
    <cellStyle name="b1 3 3 2 3 3" xfId="7968"/>
    <cellStyle name="b1 3 3 2 3 3 2" xfId="23631"/>
    <cellStyle name="b1 3 3 2 3 4" xfId="7969"/>
    <cellStyle name="b1 3 3 2 3 4 2" xfId="23632"/>
    <cellStyle name="b1 3 3 2 3 5" xfId="20938"/>
    <cellStyle name="b1 3 3 2 4" xfId="7970"/>
    <cellStyle name="b1 3 3 2 4 2" xfId="23633"/>
    <cellStyle name="b1 3 3 2 5" xfId="7971"/>
    <cellStyle name="b1 3 3 2 5 2" xfId="23634"/>
    <cellStyle name="b1 3 3 2 6" xfId="7972"/>
    <cellStyle name="b1 3 3 2 6 2" xfId="7973"/>
    <cellStyle name="b1 3 3 2 6 2 2" xfId="23636"/>
    <cellStyle name="b1 3 3 2 6 3" xfId="23635"/>
    <cellStyle name="b1 3 3 2 7" xfId="20120"/>
    <cellStyle name="b1 3 3 3" xfId="7974"/>
    <cellStyle name="b1 3 3 3 2" xfId="23637"/>
    <cellStyle name="b1 3 3 4" xfId="19176"/>
    <cellStyle name="b1 3 4" xfId="3967"/>
    <cellStyle name="b1 3 4 2" xfId="5034"/>
    <cellStyle name="b1 3 4 2 2" xfId="7975"/>
    <cellStyle name="b1 3 4 2 2 2" xfId="23638"/>
    <cellStyle name="b1 3 4 2 3" xfId="7976"/>
    <cellStyle name="b1 3 4 2 3 2" xfId="23639"/>
    <cellStyle name="b1 3 4 2 4" xfId="7977"/>
    <cellStyle name="b1 3 4 2 4 2" xfId="23640"/>
    <cellStyle name="b1 3 4 2 5" xfId="20939"/>
    <cellStyle name="b1 3 4 3" xfId="5035"/>
    <cellStyle name="b1 3 4 3 2" xfId="7978"/>
    <cellStyle name="b1 3 4 3 2 2" xfId="23641"/>
    <cellStyle name="b1 3 4 3 3" xfId="7979"/>
    <cellStyle name="b1 3 4 3 3 2" xfId="23642"/>
    <cellStyle name="b1 3 4 3 4" xfId="7980"/>
    <cellStyle name="b1 3 4 3 4 2" xfId="23643"/>
    <cellStyle name="b1 3 4 3 5" xfId="20940"/>
    <cellStyle name="b1 3 4 4" xfId="7981"/>
    <cellStyle name="b1 3 4 4 2" xfId="23644"/>
    <cellStyle name="b1 3 4 5" xfId="7982"/>
    <cellStyle name="b1 3 4 5 2" xfId="23645"/>
    <cellStyle name="b1 3 4 6" xfId="7983"/>
    <cellStyle name="b1 3 4 6 2" xfId="7984"/>
    <cellStyle name="b1 3 4 6 2 2" xfId="23647"/>
    <cellStyle name="b1 3 4 6 3" xfId="23646"/>
    <cellStyle name="b1 3 4 7" xfId="20118"/>
    <cellStyle name="b1 3 5" xfId="7985"/>
    <cellStyle name="b1 3 5 2" xfId="23648"/>
    <cellStyle name="b1 3 6" xfId="19174"/>
    <cellStyle name="b1 4" xfId="1596"/>
    <cellStyle name="b1 4 2" xfId="3970"/>
    <cellStyle name="b1 4 2 2" xfId="5036"/>
    <cellStyle name="b1 4 2 2 2" xfId="7986"/>
    <cellStyle name="b1 4 2 2 2 2" xfId="23649"/>
    <cellStyle name="b1 4 2 2 3" xfId="7987"/>
    <cellStyle name="b1 4 2 2 3 2" xfId="23650"/>
    <cellStyle name="b1 4 2 2 4" xfId="7988"/>
    <cellStyle name="b1 4 2 2 4 2" xfId="23651"/>
    <cellStyle name="b1 4 2 2 5" xfId="20941"/>
    <cellStyle name="b1 4 2 3" xfId="5037"/>
    <cellStyle name="b1 4 2 3 2" xfId="7989"/>
    <cellStyle name="b1 4 2 3 2 2" xfId="23652"/>
    <cellStyle name="b1 4 2 3 3" xfId="7990"/>
    <cellStyle name="b1 4 2 3 3 2" xfId="23653"/>
    <cellStyle name="b1 4 2 3 4" xfId="7991"/>
    <cellStyle name="b1 4 2 3 4 2" xfId="23654"/>
    <cellStyle name="b1 4 2 3 5" xfId="20942"/>
    <cellStyle name="b1 4 2 4" xfId="7992"/>
    <cellStyle name="b1 4 2 4 2" xfId="23655"/>
    <cellStyle name="b1 4 2 5" xfId="7993"/>
    <cellStyle name="b1 4 2 5 2" xfId="23656"/>
    <cellStyle name="b1 4 2 6" xfId="7994"/>
    <cellStyle name="b1 4 2 6 2" xfId="7995"/>
    <cellStyle name="b1 4 2 6 2 2" xfId="23658"/>
    <cellStyle name="b1 4 2 6 3" xfId="23657"/>
    <cellStyle name="b1 4 2 7" xfId="20121"/>
    <cellStyle name="b1 4 3" xfId="7996"/>
    <cellStyle name="b1 4 3 2" xfId="23659"/>
    <cellStyle name="b1 4 4" xfId="19177"/>
    <cellStyle name="b1 5" xfId="1597"/>
    <cellStyle name="b1 5 2" xfId="3971"/>
    <cellStyle name="b1 5 2 2" xfId="5038"/>
    <cellStyle name="b1 5 2 2 2" xfId="7997"/>
    <cellStyle name="b1 5 2 2 2 2" xfId="23660"/>
    <cellStyle name="b1 5 2 2 3" xfId="7998"/>
    <cellStyle name="b1 5 2 2 3 2" xfId="23661"/>
    <cellStyle name="b1 5 2 2 4" xfId="7999"/>
    <cellStyle name="b1 5 2 2 4 2" xfId="23662"/>
    <cellStyle name="b1 5 2 2 5" xfId="20943"/>
    <cellStyle name="b1 5 2 3" xfId="5039"/>
    <cellStyle name="b1 5 2 3 2" xfId="8000"/>
    <cellStyle name="b1 5 2 3 2 2" xfId="23663"/>
    <cellStyle name="b1 5 2 3 3" xfId="8001"/>
    <cellStyle name="b1 5 2 3 3 2" xfId="23664"/>
    <cellStyle name="b1 5 2 3 4" xfId="8002"/>
    <cellStyle name="b1 5 2 3 4 2" xfId="23665"/>
    <cellStyle name="b1 5 2 3 5" xfId="20944"/>
    <cellStyle name="b1 5 2 4" xfId="8003"/>
    <cellStyle name="b1 5 2 4 2" xfId="23666"/>
    <cellStyle name="b1 5 2 5" xfId="8004"/>
    <cellStyle name="b1 5 2 5 2" xfId="23667"/>
    <cellStyle name="b1 5 2 6" xfId="8005"/>
    <cellStyle name="b1 5 2 6 2" xfId="8006"/>
    <cellStyle name="b1 5 2 6 2 2" xfId="23669"/>
    <cellStyle name="b1 5 2 6 3" xfId="23668"/>
    <cellStyle name="b1 5 2 7" xfId="20122"/>
    <cellStyle name="b1 5 3" xfId="8007"/>
    <cellStyle name="b1 5 3 2" xfId="23670"/>
    <cellStyle name="b1 5 4" xfId="19178"/>
    <cellStyle name="b1 6" xfId="3963"/>
    <cellStyle name="b1 6 2" xfId="5040"/>
    <cellStyle name="b1 6 2 2" xfId="8008"/>
    <cellStyle name="b1 6 2 2 2" xfId="23671"/>
    <cellStyle name="b1 6 2 3" xfId="8009"/>
    <cellStyle name="b1 6 2 3 2" xfId="23672"/>
    <cellStyle name="b1 6 2 4" xfId="8010"/>
    <cellStyle name="b1 6 2 4 2" xfId="23673"/>
    <cellStyle name="b1 6 2 5" xfId="20945"/>
    <cellStyle name="b1 6 3" xfId="5041"/>
    <cellStyle name="b1 6 3 2" xfId="8011"/>
    <cellStyle name="b1 6 3 2 2" xfId="23674"/>
    <cellStyle name="b1 6 3 3" xfId="8012"/>
    <cellStyle name="b1 6 3 3 2" xfId="23675"/>
    <cellStyle name="b1 6 3 4" xfId="8013"/>
    <cellStyle name="b1 6 3 4 2" xfId="23676"/>
    <cellStyle name="b1 6 3 5" xfId="20946"/>
    <cellStyle name="b1 6 4" xfId="8014"/>
    <cellStyle name="b1 6 4 2" xfId="23677"/>
    <cellStyle name="b1 6 5" xfId="8015"/>
    <cellStyle name="b1 6 5 2" xfId="23678"/>
    <cellStyle name="b1 6 6" xfId="8016"/>
    <cellStyle name="b1 6 6 2" xfId="8017"/>
    <cellStyle name="b1 6 6 2 2" xfId="23680"/>
    <cellStyle name="b1 6 6 3" xfId="23679"/>
    <cellStyle name="b1 6 7" xfId="20114"/>
    <cellStyle name="b1 7" xfId="8018"/>
    <cellStyle name="b1 7 2" xfId="23681"/>
    <cellStyle name="b1 8" xfId="19170"/>
    <cellStyle name="b2" xfId="1598"/>
    <cellStyle name="b2 10" xfId="4252"/>
    <cellStyle name="b2 11" xfId="4365"/>
    <cellStyle name="b2 12" xfId="4255"/>
    <cellStyle name="b2 13" xfId="4359"/>
    <cellStyle name="b2 14" xfId="4597"/>
    <cellStyle name="b2 15" xfId="4369"/>
    <cellStyle name="b2 16" xfId="4263"/>
    <cellStyle name="b2 17" xfId="4489"/>
    <cellStyle name="b2 18" xfId="4579"/>
    <cellStyle name="b2 19" xfId="4528"/>
    <cellStyle name="b2 2" xfId="4231"/>
    <cellStyle name="b2 2 2" xfId="5042"/>
    <cellStyle name="b2 2 2 2" xfId="8019"/>
    <cellStyle name="b2 2 2 2 2" xfId="8020"/>
    <cellStyle name="b2 2 2 3" xfId="8021"/>
    <cellStyle name="b2 2 3" xfId="5043"/>
    <cellStyle name="b2 2 3 2" xfId="8022"/>
    <cellStyle name="b2 2 3 2 2" xfId="8023"/>
    <cellStyle name="b2 2 3 3" xfId="8024"/>
    <cellStyle name="b2 2 4" xfId="8025"/>
    <cellStyle name="b2 2 4 2" xfId="8026"/>
    <cellStyle name="b2 2 5" xfId="8027"/>
    <cellStyle name="b2 20" xfId="4643"/>
    <cellStyle name="b2 21" xfId="4351"/>
    <cellStyle name="b2 22" xfId="4234"/>
    <cellStyle name="b2 23" xfId="4327"/>
    <cellStyle name="b2 24" xfId="4326"/>
    <cellStyle name="b2 25" xfId="4644"/>
    <cellStyle name="b2 3" xfId="4387"/>
    <cellStyle name="b2 3 2" xfId="8028"/>
    <cellStyle name="b2 3 2 2" xfId="8029"/>
    <cellStyle name="b2 3 3" xfId="8030"/>
    <cellStyle name="b2 4" xfId="4233"/>
    <cellStyle name="b2 4 2" xfId="8031"/>
    <cellStyle name="b2 4 2 2" xfId="8032"/>
    <cellStyle name="b2 4 3" xfId="8033"/>
    <cellStyle name="b2 5" xfId="4379"/>
    <cellStyle name="b2 5 2" xfId="8034"/>
    <cellStyle name="b2 6" xfId="4157"/>
    <cellStyle name="b2 7" xfId="4243"/>
    <cellStyle name="b2 8" xfId="4189"/>
    <cellStyle name="b2 9" xfId="4248"/>
    <cellStyle name="b3" xfId="1599"/>
    <cellStyle name="b4" xfId="1600"/>
    <cellStyle name="Bad 2" xfId="1601"/>
    <cellStyle name="Bad 2 2" xfId="1602"/>
    <cellStyle name="Bad 3" xfId="1603"/>
    <cellStyle name="BE" xfId="1604"/>
    <cellStyle name="Benutzer" xfId="1605"/>
    <cellStyle name="Benutzer 2" xfId="5044"/>
    <cellStyle name="Benutzer 2 2" xfId="5045"/>
    <cellStyle name="Benutzer 2 2 2" xfId="8035"/>
    <cellStyle name="Benutzer 2 2 2 2" xfId="8036"/>
    <cellStyle name="Benutzer 2 2 2 2 2" xfId="23699"/>
    <cellStyle name="Benutzer 2 2 2 2 3" xfId="23414"/>
    <cellStyle name="Benutzer 2 2 2 3" xfId="8037"/>
    <cellStyle name="Benutzer 2 2 2 3 2" xfId="23700"/>
    <cellStyle name="Benutzer 2 2 2 3 3" xfId="23413"/>
    <cellStyle name="Benutzer 2 2 2 4" xfId="23698"/>
    <cellStyle name="Benutzer 2 2 2 5" xfId="23415"/>
    <cellStyle name="Benutzer 2 2 3" xfId="8038"/>
    <cellStyle name="Benutzer 2 2 3 2" xfId="8039"/>
    <cellStyle name="Benutzer 2 2 3 2 2" xfId="23702"/>
    <cellStyle name="Benutzer 2 2 3 2 3" xfId="23411"/>
    <cellStyle name="Benutzer 2 2 3 3" xfId="23701"/>
    <cellStyle name="Benutzer 2 2 3 4" xfId="23412"/>
    <cellStyle name="Benutzer 2 2 4" xfId="8040"/>
    <cellStyle name="Benutzer 2 2 4 2" xfId="23703"/>
    <cellStyle name="Benutzer 2 2 4 3" xfId="23410"/>
    <cellStyle name="Benutzer 2 2 5" xfId="20950"/>
    <cellStyle name="Benutzer 2 2 6" xfId="26567"/>
    <cellStyle name="Benutzer 2 3" xfId="8041"/>
    <cellStyle name="Benutzer 2 3 2" xfId="8042"/>
    <cellStyle name="Benutzer 2 3 2 2" xfId="23705"/>
    <cellStyle name="Benutzer 2 3 2 3" xfId="23408"/>
    <cellStyle name="Benutzer 2 3 3" xfId="8043"/>
    <cellStyle name="Benutzer 2 3 3 2" xfId="23706"/>
    <cellStyle name="Benutzer 2 3 3 3" xfId="23407"/>
    <cellStyle name="Benutzer 2 3 4" xfId="23704"/>
    <cellStyle name="Benutzer 2 3 5" xfId="23409"/>
    <cellStyle name="Benutzer 2 4" xfId="8044"/>
    <cellStyle name="Benutzer 2 4 2" xfId="8045"/>
    <cellStyle name="Benutzer 2 4 2 2" xfId="23708"/>
    <cellStyle name="Benutzer 2 4 2 3" xfId="23405"/>
    <cellStyle name="Benutzer 2 4 3" xfId="23707"/>
    <cellStyle name="Benutzer 2 4 4" xfId="23406"/>
    <cellStyle name="Benutzer 2 5" xfId="8046"/>
    <cellStyle name="Benutzer 2 5 2" xfId="23709"/>
    <cellStyle name="Benutzer 2 5 3" xfId="23404"/>
    <cellStyle name="Benutzer 2 6" xfId="20949"/>
    <cellStyle name="Benutzer 2 7" xfId="26568"/>
    <cellStyle name="Benutzer 3" xfId="5046"/>
    <cellStyle name="Benutzer 3 2" xfId="8047"/>
    <cellStyle name="Benutzer 3 2 2" xfId="8048"/>
    <cellStyle name="Benutzer 3 2 2 2" xfId="23711"/>
    <cellStyle name="Benutzer 3 2 2 3" xfId="23402"/>
    <cellStyle name="Benutzer 3 2 3" xfId="8049"/>
    <cellStyle name="Benutzer 3 2 3 2" xfId="23712"/>
    <cellStyle name="Benutzer 3 2 3 3" xfId="23401"/>
    <cellStyle name="Benutzer 3 2 4" xfId="23710"/>
    <cellStyle name="Benutzer 3 2 5" xfId="23403"/>
    <cellStyle name="Benutzer 3 3" xfId="8050"/>
    <cellStyle name="Benutzer 3 3 2" xfId="23713"/>
    <cellStyle name="Benutzer 3 3 3" xfId="23400"/>
    <cellStyle name="Benutzer 3 4" xfId="20951"/>
    <cellStyle name="Benutzer 3 5" xfId="26566"/>
    <cellStyle name="Benutzer 4" xfId="8051"/>
    <cellStyle name="Benutzer 4 2" xfId="8052"/>
    <cellStyle name="Benutzer 4 2 2" xfId="23715"/>
    <cellStyle name="Benutzer 4 2 3" xfId="20526"/>
    <cellStyle name="Benutzer 4 3" xfId="8053"/>
    <cellStyle name="Benutzer 4 3 2" xfId="23716"/>
    <cellStyle name="Benutzer 4 3 3" xfId="18827"/>
    <cellStyle name="Benutzer 4 4" xfId="23714"/>
    <cellStyle name="Benutzer 4 5" xfId="23399"/>
    <cellStyle name="Benutzer 5" xfId="8054"/>
    <cellStyle name="Benutzer 5 2" xfId="8055"/>
    <cellStyle name="Benutzer 5 2 2" xfId="23718"/>
    <cellStyle name="Benutzer 5 2 3" xfId="23397"/>
    <cellStyle name="Benutzer 5 3" xfId="23717"/>
    <cellStyle name="Benutzer 5 4" xfId="23398"/>
    <cellStyle name="Benutzer 6" xfId="8056"/>
    <cellStyle name="Benutzer 6 2" xfId="23719"/>
    <cellStyle name="Benutzer 6 3" xfId="18826"/>
    <cellStyle name="Benutzer 7" xfId="19186"/>
    <cellStyle name="Benutzer 8" xfId="20075"/>
    <cellStyle name="Betrag" xfId="1606"/>
    <cellStyle name="Betrag 2" xfId="5047"/>
    <cellStyle name="BetragS" xfId="1607"/>
    <cellStyle name="BetragS 2" xfId="5048"/>
    <cellStyle name="BetragVorjahr" xfId="1608"/>
    <cellStyle name="BetragVorjahr 2" xfId="5049"/>
    <cellStyle name="BetragVorjahr 2 2" xfId="5050"/>
    <cellStyle name="BetragVorjahr 3" xfId="5051"/>
    <cellStyle name="BetragVorjahr 3 2" xfId="8057"/>
    <cellStyle name="BetragVorjahr 3 2 2" xfId="8058"/>
    <cellStyle name="BetragVorjahr 3 3" xfId="8059"/>
    <cellStyle name="BetragVorjahr 3 3 2" xfId="8060"/>
    <cellStyle name="Beurteilung" xfId="1609"/>
    <cellStyle name="Bewertung" xfId="1610"/>
    <cellStyle name="BewertungE" xfId="1611"/>
    <cellStyle name="BewertungS" xfId="1612"/>
    <cellStyle name="Bezeichnung" xfId="1613"/>
    <cellStyle name="Bezeichnung 2" xfId="5052"/>
    <cellStyle name="BIGHEAD" xfId="1614"/>
    <cellStyle name="BIS16 - Modelo3" xfId="1615"/>
    <cellStyle name="BlackStrike" xfId="1616"/>
    <cellStyle name="BlackText" xfId="1617"/>
    <cellStyle name="Blank [$]" xfId="1618"/>
    <cellStyle name="Blank [%]" xfId="1619"/>
    <cellStyle name="Blank [,]" xfId="1620"/>
    <cellStyle name="Blank [1$]" xfId="1621"/>
    <cellStyle name="Blank [1%]" xfId="1622"/>
    <cellStyle name="Blank [1,]" xfId="1623"/>
    <cellStyle name="Blank [2$]" xfId="1624"/>
    <cellStyle name="Blank [2%]" xfId="1625"/>
    <cellStyle name="Blank [2,]" xfId="1626"/>
    <cellStyle name="Blau" xfId="1627"/>
    <cellStyle name="Blue" xfId="1628"/>
    <cellStyle name="bluenodec" xfId="1629"/>
    <cellStyle name="bluepercent" xfId="1630"/>
    <cellStyle name="Body" xfId="1631"/>
    <cellStyle name="Bold 11" xfId="1632"/>
    <cellStyle name="Bold/Border" xfId="1633"/>
    <cellStyle name="Bold/Border 2" xfId="1634"/>
    <cellStyle name="Bold/Border 2 2" xfId="1635"/>
    <cellStyle name="Bold/Border 2 2 2" xfId="3974"/>
    <cellStyle name="Bold/Border 2 2 2 2" xfId="5053"/>
    <cellStyle name="Bold/Border 2 2 2 2 2" xfId="8061"/>
    <cellStyle name="Bold/Border 2 2 2 2 2 2" xfId="23724"/>
    <cellStyle name="Bold/Border 2 2 2 2 3" xfId="8062"/>
    <cellStyle name="Bold/Border 2 2 2 2 3 2" xfId="23725"/>
    <cellStyle name="Bold/Border 2 2 2 2 4" xfId="8063"/>
    <cellStyle name="Bold/Border 2 2 2 2 4 2" xfId="23726"/>
    <cellStyle name="Bold/Border 2 2 2 2 5" xfId="20958"/>
    <cellStyle name="Bold/Border 2 2 2 3" xfId="5054"/>
    <cellStyle name="Bold/Border 2 2 2 3 2" xfId="8064"/>
    <cellStyle name="Bold/Border 2 2 2 3 2 2" xfId="23727"/>
    <cellStyle name="Bold/Border 2 2 2 3 3" xfId="8065"/>
    <cellStyle name="Bold/Border 2 2 2 3 3 2" xfId="23728"/>
    <cellStyle name="Bold/Border 2 2 2 3 4" xfId="8066"/>
    <cellStyle name="Bold/Border 2 2 2 3 4 2" xfId="23729"/>
    <cellStyle name="Bold/Border 2 2 2 3 5" xfId="20959"/>
    <cellStyle name="Bold/Border 2 2 2 4" xfId="8067"/>
    <cellStyle name="Bold/Border 2 2 2 4 2" xfId="23730"/>
    <cellStyle name="Bold/Border 2 2 2 5" xfId="8068"/>
    <cellStyle name="Bold/Border 2 2 2 5 2" xfId="23731"/>
    <cellStyle name="Bold/Border 2 2 2 6" xfId="8069"/>
    <cellStyle name="Bold/Border 2 2 2 6 2" xfId="8070"/>
    <cellStyle name="Bold/Border 2 2 2 6 2 2" xfId="23733"/>
    <cellStyle name="Bold/Border 2 2 2 6 3" xfId="23732"/>
    <cellStyle name="Bold/Border 2 2 2 7" xfId="20125"/>
    <cellStyle name="Bold/Border 2 2 3" xfId="8071"/>
    <cellStyle name="Bold/Border 2 2 3 2" xfId="23734"/>
    <cellStyle name="Bold/Border 2 2 4" xfId="19204"/>
    <cellStyle name="Bold/Border 2 3" xfId="1636"/>
    <cellStyle name="Bold/Border 2 3 2" xfId="3975"/>
    <cellStyle name="Bold/Border 2 3 2 2" xfId="5055"/>
    <cellStyle name="Bold/Border 2 3 2 2 2" xfId="8072"/>
    <cellStyle name="Bold/Border 2 3 2 2 2 2" xfId="23735"/>
    <cellStyle name="Bold/Border 2 3 2 2 3" xfId="8073"/>
    <cellStyle name="Bold/Border 2 3 2 2 3 2" xfId="23736"/>
    <cellStyle name="Bold/Border 2 3 2 2 4" xfId="8074"/>
    <cellStyle name="Bold/Border 2 3 2 2 4 2" xfId="23737"/>
    <cellStyle name="Bold/Border 2 3 2 2 5" xfId="20960"/>
    <cellStyle name="Bold/Border 2 3 2 3" xfId="5056"/>
    <cellStyle name="Bold/Border 2 3 2 3 2" xfId="8075"/>
    <cellStyle name="Bold/Border 2 3 2 3 2 2" xfId="23738"/>
    <cellStyle name="Bold/Border 2 3 2 3 3" xfId="8076"/>
    <cellStyle name="Bold/Border 2 3 2 3 3 2" xfId="23739"/>
    <cellStyle name="Bold/Border 2 3 2 3 4" xfId="8077"/>
    <cellStyle name="Bold/Border 2 3 2 3 4 2" xfId="23740"/>
    <cellStyle name="Bold/Border 2 3 2 3 5" xfId="20961"/>
    <cellStyle name="Bold/Border 2 3 2 4" xfId="8078"/>
    <cellStyle name="Bold/Border 2 3 2 4 2" xfId="23741"/>
    <cellStyle name="Bold/Border 2 3 2 5" xfId="8079"/>
    <cellStyle name="Bold/Border 2 3 2 5 2" xfId="23742"/>
    <cellStyle name="Bold/Border 2 3 2 6" xfId="8080"/>
    <cellStyle name="Bold/Border 2 3 2 6 2" xfId="8081"/>
    <cellStyle name="Bold/Border 2 3 2 6 2 2" xfId="23744"/>
    <cellStyle name="Bold/Border 2 3 2 6 3" xfId="23743"/>
    <cellStyle name="Bold/Border 2 3 2 7" xfId="20126"/>
    <cellStyle name="Bold/Border 2 3 3" xfId="8082"/>
    <cellStyle name="Bold/Border 2 3 3 2" xfId="23745"/>
    <cellStyle name="Bold/Border 2 3 4" xfId="19205"/>
    <cellStyle name="Bold/Border 2 4" xfId="3973"/>
    <cellStyle name="Bold/Border 2 4 2" xfId="5057"/>
    <cellStyle name="Bold/Border 2 4 2 2" xfId="8083"/>
    <cellStyle name="Bold/Border 2 4 2 2 2" xfId="23746"/>
    <cellStyle name="Bold/Border 2 4 2 3" xfId="8084"/>
    <cellStyle name="Bold/Border 2 4 2 3 2" xfId="23747"/>
    <cellStyle name="Bold/Border 2 4 2 4" xfId="8085"/>
    <cellStyle name="Bold/Border 2 4 2 4 2" xfId="23748"/>
    <cellStyle name="Bold/Border 2 4 2 5" xfId="20962"/>
    <cellStyle name="Bold/Border 2 4 3" xfId="5058"/>
    <cellStyle name="Bold/Border 2 4 3 2" xfId="8086"/>
    <cellStyle name="Bold/Border 2 4 3 2 2" xfId="23749"/>
    <cellStyle name="Bold/Border 2 4 3 3" xfId="8087"/>
    <cellStyle name="Bold/Border 2 4 3 3 2" xfId="23750"/>
    <cellStyle name="Bold/Border 2 4 3 4" xfId="8088"/>
    <cellStyle name="Bold/Border 2 4 3 4 2" xfId="23751"/>
    <cellStyle name="Bold/Border 2 4 3 5" xfId="20963"/>
    <cellStyle name="Bold/Border 2 4 4" xfId="8089"/>
    <cellStyle name="Bold/Border 2 4 4 2" xfId="23752"/>
    <cellStyle name="Bold/Border 2 4 5" xfId="8090"/>
    <cellStyle name="Bold/Border 2 4 5 2" xfId="23753"/>
    <cellStyle name="Bold/Border 2 4 6" xfId="8091"/>
    <cellStyle name="Bold/Border 2 4 6 2" xfId="8092"/>
    <cellStyle name="Bold/Border 2 4 6 2 2" xfId="23755"/>
    <cellStyle name="Bold/Border 2 4 6 3" xfId="23754"/>
    <cellStyle name="Bold/Border 2 4 7" xfId="20124"/>
    <cellStyle name="Bold/Border 2 5" xfId="8093"/>
    <cellStyle name="Bold/Border 2 5 2" xfId="23756"/>
    <cellStyle name="Bold/Border 2 6" xfId="19203"/>
    <cellStyle name="Bold/Border 3" xfId="1637"/>
    <cellStyle name="Bold/Border 3 2" xfId="3976"/>
    <cellStyle name="Bold/Border 3 2 2" xfId="5059"/>
    <cellStyle name="Bold/Border 3 2 2 2" xfId="8094"/>
    <cellStyle name="Bold/Border 3 2 2 2 2" xfId="23757"/>
    <cellStyle name="Bold/Border 3 2 2 3" xfId="8095"/>
    <cellStyle name="Bold/Border 3 2 2 3 2" xfId="23758"/>
    <cellStyle name="Bold/Border 3 2 2 4" xfId="8096"/>
    <cellStyle name="Bold/Border 3 2 2 4 2" xfId="23759"/>
    <cellStyle name="Bold/Border 3 2 2 5" xfId="20964"/>
    <cellStyle name="Bold/Border 3 2 3" xfId="5060"/>
    <cellStyle name="Bold/Border 3 2 3 2" xfId="8097"/>
    <cellStyle name="Bold/Border 3 2 3 2 2" xfId="23760"/>
    <cellStyle name="Bold/Border 3 2 3 3" xfId="8098"/>
    <cellStyle name="Bold/Border 3 2 3 3 2" xfId="23761"/>
    <cellStyle name="Bold/Border 3 2 3 4" xfId="8099"/>
    <cellStyle name="Bold/Border 3 2 3 4 2" xfId="23762"/>
    <cellStyle name="Bold/Border 3 2 3 5" xfId="20965"/>
    <cellStyle name="Bold/Border 3 2 4" xfId="8100"/>
    <cellStyle name="Bold/Border 3 2 4 2" xfId="23763"/>
    <cellStyle name="Bold/Border 3 2 5" xfId="8101"/>
    <cellStyle name="Bold/Border 3 2 5 2" xfId="23764"/>
    <cellStyle name="Bold/Border 3 2 6" xfId="8102"/>
    <cellStyle name="Bold/Border 3 2 6 2" xfId="8103"/>
    <cellStyle name="Bold/Border 3 2 6 2 2" xfId="23766"/>
    <cellStyle name="Bold/Border 3 2 6 3" xfId="23765"/>
    <cellStyle name="Bold/Border 3 2 7" xfId="20127"/>
    <cellStyle name="Bold/Border 3 3" xfId="8104"/>
    <cellStyle name="Bold/Border 3 3 2" xfId="23767"/>
    <cellStyle name="Bold/Border 3 4" xfId="19206"/>
    <cellStyle name="Bold/Border 4" xfId="1638"/>
    <cellStyle name="Bold/Border 4 2" xfId="3977"/>
    <cellStyle name="Bold/Border 4 2 2" xfId="5061"/>
    <cellStyle name="Bold/Border 4 2 2 2" xfId="8105"/>
    <cellStyle name="Bold/Border 4 2 2 2 2" xfId="23768"/>
    <cellStyle name="Bold/Border 4 2 2 3" xfId="8106"/>
    <cellStyle name="Bold/Border 4 2 2 3 2" xfId="23769"/>
    <cellStyle name="Bold/Border 4 2 2 4" xfId="8107"/>
    <cellStyle name="Bold/Border 4 2 2 4 2" xfId="23770"/>
    <cellStyle name="Bold/Border 4 2 2 5" xfId="20966"/>
    <cellStyle name="Bold/Border 4 2 3" xfId="5062"/>
    <cellStyle name="Bold/Border 4 2 3 2" xfId="8108"/>
    <cellStyle name="Bold/Border 4 2 3 2 2" xfId="23771"/>
    <cellStyle name="Bold/Border 4 2 3 3" xfId="8109"/>
    <cellStyle name="Bold/Border 4 2 3 3 2" xfId="23772"/>
    <cellStyle name="Bold/Border 4 2 3 4" xfId="8110"/>
    <cellStyle name="Bold/Border 4 2 3 4 2" xfId="23773"/>
    <cellStyle name="Bold/Border 4 2 3 5" xfId="20967"/>
    <cellStyle name="Bold/Border 4 2 4" xfId="8111"/>
    <cellStyle name="Bold/Border 4 2 4 2" xfId="23774"/>
    <cellStyle name="Bold/Border 4 2 5" xfId="8112"/>
    <cellStyle name="Bold/Border 4 2 5 2" xfId="23775"/>
    <cellStyle name="Bold/Border 4 2 6" xfId="8113"/>
    <cellStyle name="Bold/Border 4 2 6 2" xfId="8114"/>
    <cellStyle name="Bold/Border 4 2 6 2 2" xfId="23777"/>
    <cellStyle name="Bold/Border 4 2 6 3" xfId="23776"/>
    <cellStyle name="Bold/Border 4 2 7" xfId="20128"/>
    <cellStyle name="Bold/Border 4 3" xfId="8115"/>
    <cellStyle name="Bold/Border 4 3 2" xfId="23778"/>
    <cellStyle name="Bold/Border 4 4" xfId="19207"/>
    <cellStyle name="Bold/Border 5" xfId="3972"/>
    <cellStyle name="Bold/Border 5 2" xfId="5063"/>
    <cellStyle name="Bold/Border 5 2 2" xfId="8116"/>
    <cellStyle name="Bold/Border 5 2 2 2" xfId="23779"/>
    <cellStyle name="Bold/Border 5 2 3" xfId="8117"/>
    <cellStyle name="Bold/Border 5 2 3 2" xfId="23780"/>
    <cellStyle name="Bold/Border 5 2 4" xfId="8118"/>
    <cellStyle name="Bold/Border 5 2 4 2" xfId="23781"/>
    <cellStyle name="Bold/Border 5 2 5" xfId="20968"/>
    <cellStyle name="Bold/Border 5 3" xfId="5064"/>
    <cellStyle name="Bold/Border 5 3 2" xfId="8119"/>
    <cellStyle name="Bold/Border 5 3 2 2" xfId="23782"/>
    <cellStyle name="Bold/Border 5 3 3" xfId="8120"/>
    <cellStyle name="Bold/Border 5 3 3 2" xfId="23783"/>
    <cellStyle name="Bold/Border 5 3 4" xfId="8121"/>
    <cellStyle name="Bold/Border 5 3 4 2" xfId="23784"/>
    <cellStyle name="Bold/Border 5 3 5" xfId="20969"/>
    <cellStyle name="Bold/Border 5 4" xfId="8122"/>
    <cellStyle name="Bold/Border 5 4 2" xfId="23785"/>
    <cellStyle name="Bold/Border 5 5" xfId="8123"/>
    <cellStyle name="Bold/Border 5 5 2" xfId="23786"/>
    <cellStyle name="Bold/Border 5 6" xfId="8124"/>
    <cellStyle name="Bold/Border 5 6 2" xfId="8125"/>
    <cellStyle name="Bold/Border 5 6 2 2" xfId="23788"/>
    <cellStyle name="Bold/Border 5 6 3" xfId="23787"/>
    <cellStyle name="Bold/Border 5 7" xfId="20123"/>
    <cellStyle name="Bold/Border 6" xfId="8126"/>
    <cellStyle name="Bold/Border 6 2" xfId="23789"/>
    <cellStyle name="Bold/Border 7" xfId="19202"/>
    <cellStyle name="BoldText" xfId="1639"/>
    <cellStyle name="BoldText 2" xfId="3932"/>
    <cellStyle name="BoldText 2 2" xfId="8127"/>
    <cellStyle name="BoldText 3" xfId="8128"/>
    <cellStyle name="Bolivars" xfId="1640"/>
    <cellStyle name="Bom" xfId="1641"/>
    <cellStyle name="Border" xfId="1642"/>
    <cellStyle name="Border 10" xfId="19208"/>
    <cellStyle name="Border 11" xfId="30608"/>
    <cellStyle name="Border 2" xfId="1643"/>
    <cellStyle name="Border 2 2" xfId="3934"/>
    <cellStyle name="Border 2 2 10" xfId="8129"/>
    <cellStyle name="Border 2 2 10 2" xfId="23790"/>
    <cellStyle name="Border 2 2 10 3" xfId="18120"/>
    <cellStyle name="Border 2 2 11" xfId="8130"/>
    <cellStyle name="Border 2 2 11 2" xfId="23791"/>
    <cellStyle name="Border 2 2 11 3" xfId="18019"/>
    <cellStyle name="Border 2 2 12" xfId="20089"/>
    <cellStyle name="Border 2 2 13" xfId="27396"/>
    <cellStyle name="Border 2 2 2" xfId="4488"/>
    <cellStyle name="Border 2 2 2 10" xfId="20441"/>
    <cellStyle name="Border 2 2 2 11" xfId="27061"/>
    <cellStyle name="Border 2 2 2 2" xfId="8131"/>
    <cellStyle name="Border 2 2 2 2 2" xfId="8132"/>
    <cellStyle name="Border 2 2 2 2 2 2" xfId="23793"/>
    <cellStyle name="Border 2 2 2 2 2 3" xfId="18821"/>
    <cellStyle name="Border 2 2 2 2 3" xfId="8133"/>
    <cellStyle name="Border 2 2 2 2 3 2" xfId="23794"/>
    <cellStyle name="Border 2 2 2 2 3 3" xfId="18820"/>
    <cellStyle name="Border 2 2 2 2 4" xfId="23792"/>
    <cellStyle name="Border 2 2 2 2 5" xfId="18822"/>
    <cellStyle name="Border 2 2 2 3" xfId="8134"/>
    <cellStyle name="Border 2 2 2 3 2" xfId="8135"/>
    <cellStyle name="Border 2 2 2 3 2 2" xfId="23796"/>
    <cellStyle name="Border 2 2 2 3 2 3" xfId="18107"/>
    <cellStyle name="Border 2 2 2 3 3" xfId="8136"/>
    <cellStyle name="Border 2 2 2 3 3 2" xfId="23797"/>
    <cellStyle name="Border 2 2 2 3 3 3" xfId="18007"/>
    <cellStyle name="Border 2 2 2 3 4" xfId="23795"/>
    <cellStyle name="Border 2 2 2 3 5" xfId="18819"/>
    <cellStyle name="Border 2 2 2 4" xfId="8137"/>
    <cellStyle name="Border 2 2 2 4 2" xfId="8138"/>
    <cellStyle name="Border 2 2 2 4 2 2" xfId="23799"/>
    <cellStyle name="Border 2 2 2 4 2 3" xfId="18817"/>
    <cellStyle name="Border 2 2 2 4 3" xfId="8139"/>
    <cellStyle name="Border 2 2 2 4 3 2" xfId="23800"/>
    <cellStyle name="Border 2 2 2 4 3 3" xfId="18816"/>
    <cellStyle name="Border 2 2 2 4 4" xfId="23798"/>
    <cellStyle name="Border 2 2 2 4 5" xfId="18818"/>
    <cellStyle name="Border 2 2 2 5" xfId="8140"/>
    <cellStyle name="Border 2 2 2 5 2" xfId="8141"/>
    <cellStyle name="Border 2 2 2 5 2 2" xfId="23802"/>
    <cellStyle name="Border 2 2 2 5 2 3" xfId="18814"/>
    <cellStyle name="Border 2 2 2 5 3" xfId="8142"/>
    <cellStyle name="Border 2 2 2 5 3 2" xfId="23803"/>
    <cellStyle name="Border 2 2 2 5 3 3" xfId="18095"/>
    <cellStyle name="Border 2 2 2 5 4" xfId="23801"/>
    <cellStyle name="Border 2 2 2 5 5" xfId="18815"/>
    <cellStyle name="Border 2 2 2 6" xfId="8143"/>
    <cellStyle name="Border 2 2 2 6 2" xfId="8144"/>
    <cellStyle name="Border 2 2 2 6 2 2" xfId="23805"/>
    <cellStyle name="Border 2 2 2 6 2 3" xfId="18813"/>
    <cellStyle name="Border 2 2 2 6 3" xfId="8145"/>
    <cellStyle name="Border 2 2 2 6 3 2" xfId="23806"/>
    <cellStyle name="Border 2 2 2 6 3 3" xfId="18812"/>
    <cellStyle name="Border 2 2 2 6 4" xfId="23804"/>
    <cellStyle name="Border 2 2 2 6 5" xfId="17995"/>
    <cellStyle name="Border 2 2 2 7" xfId="8146"/>
    <cellStyle name="Border 2 2 2 7 2" xfId="8147"/>
    <cellStyle name="Border 2 2 2 7 2 2" xfId="23808"/>
    <cellStyle name="Border 2 2 2 7 2 3" xfId="18810"/>
    <cellStyle name="Border 2 2 2 7 3" xfId="8148"/>
    <cellStyle name="Border 2 2 2 7 3 2" xfId="23809"/>
    <cellStyle name="Border 2 2 2 7 3 3" xfId="18076"/>
    <cellStyle name="Border 2 2 2 7 4" xfId="23807"/>
    <cellStyle name="Border 2 2 2 7 5" xfId="18811"/>
    <cellStyle name="Border 2 2 2 8" xfId="8149"/>
    <cellStyle name="Border 2 2 2 8 2" xfId="23810"/>
    <cellStyle name="Border 2 2 2 8 3" xfId="17978"/>
    <cellStyle name="Border 2 2 2 9" xfId="8150"/>
    <cellStyle name="Border 2 2 2 9 2" xfId="23811"/>
    <cellStyle name="Border 2 2 2 9 3" xfId="18809"/>
    <cellStyle name="Border 2 2 3" xfId="4514"/>
    <cellStyle name="Border 2 2 3 10" xfId="20458"/>
    <cellStyle name="Border 2 2 3 11" xfId="27054"/>
    <cellStyle name="Border 2 2 3 2" xfId="8151"/>
    <cellStyle name="Border 2 2 3 2 2" xfId="8152"/>
    <cellStyle name="Border 2 2 3 2 2 2" xfId="23813"/>
    <cellStyle name="Border 2 2 3 2 2 3" xfId="18807"/>
    <cellStyle name="Border 2 2 3 2 3" xfId="8153"/>
    <cellStyle name="Border 2 2 3 2 3 2" xfId="23814"/>
    <cellStyle name="Border 2 2 3 2 3 3" xfId="18806"/>
    <cellStyle name="Border 2 2 3 2 4" xfId="23812"/>
    <cellStyle name="Border 2 2 3 2 5" xfId="18808"/>
    <cellStyle name="Border 2 2 3 3" xfId="8154"/>
    <cellStyle name="Border 2 2 3 3 2" xfId="8155"/>
    <cellStyle name="Border 2 2 3 3 2 2" xfId="23816"/>
    <cellStyle name="Border 2 2 3 3 2 3" xfId="17968"/>
    <cellStyle name="Border 2 2 3 3 3" xfId="8156"/>
    <cellStyle name="Border 2 2 3 3 3 2" xfId="23817"/>
    <cellStyle name="Border 2 2 3 3 3 3" xfId="18805"/>
    <cellStyle name="Border 2 2 3 3 4" xfId="23815"/>
    <cellStyle name="Border 2 2 3 3 5" xfId="18066"/>
    <cellStyle name="Border 2 2 3 4" xfId="8157"/>
    <cellStyle name="Border 2 2 3 4 2" xfId="8158"/>
    <cellStyle name="Border 2 2 3 4 2 2" xfId="23819"/>
    <cellStyle name="Border 2 2 3 4 2 3" xfId="18803"/>
    <cellStyle name="Border 2 2 3 4 3" xfId="8159"/>
    <cellStyle name="Border 2 2 3 4 3 2" xfId="23820"/>
    <cellStyle name="Border 2 2 3 4 3 3" xfId="18802"/>
    <cellStyle name="Border 2 2 3 4 4" xfId="23818"/>
    <cellStyle name="Border 2 2 3 4 5" xfId="18804"/>
    <cellStyle name="Border 2 2 3 5" xfId="8160"/>
    <cellStyle name="Border 2 2 3 5 2" xfId="8161"/>
    <cellStyle name="Border 2 2 3 5 2 2" xfId="23822"/>
    <cellStyle name="Border 2 2 3 5 2 3" xfId="17958"/>
    <cellStyle name="Border 2 2 3 5 3" xfId="8162"/>
    <cellStyle name="Border 2 2 3 5 3 2" xfId="23823"/>
    <cellStyle name="Border 2 2 3 5 3 3" xfId="18801"/>
    <cellStyle name="Border 2 2 3 5 4" xfId="23821"/>
    <cellStyle name="Border 2 2 3 5 5" xfId="18056"/>
    <cellStyle name="Border 2 2 3 6" xfId="8163"/>
    <cellStyle name="Border 2 2 3 6 2" xfId="8164"/>
    <cellStyle name="Border 2 2 3 6 2 2" xfId="23825"/>
    <cellStyle name="Border 2 2 3 6 2 3" xfId="18049"/>
    <cellStyle name="Border 2 2 3 6 3" xfId="8165"/>
    <cellStyle name="Border 2 2 3 6 3 2" xfId="23826"/>
    <cellStyle name="Border 2 2 3 6 3 3" xfId="17948"/>
    <cellStyle name="Border 2 2 3 6 4" xfId="23824"/>
    <cellStyle name="Border 2 2 3 6 5" xfId="18800"/>
    <cellStyle name="Border 2 2 3 7" xfId="8166"/>
    <cellStyle name="Border 2 2 3 7 2" xfId="8167"/>
    <cellStyle name="Border 2 2 3 7 2 2" xfId="23828"/>
    <cellStyle name="Border 2 2 3 7 2 3" xfId="18798"/>
    <cellStyle name="Border 2 2 3 7 3" xfId="8168"/>
    <cellStyle name="Border 2 2 3 7 3 2" xfId="23829"/>
    <cellStyle name="Border 2 2 3 7 3 3" xfId="18797"/>
    <cellStyle name="Border 2 2 3 7 4" xfId="23827"/>
    <cellStyle name="Border 2 2 3 7 5" xfId="18799"/>
    <cellStyle name="Border 2 2 3 8" xfId="8169"/>
    <cellStyle name="Border 2 2 3 8 2" xfId="23830"/>
    <cellStyle name="Border 2 2 3 8 3" xfId="18796"/>
    <cellStyle name="Border 2 2 3 9" xfId="8170"/>
    <cellStyle name="Border 2 2 3 9 2" xfId="23831"/>
    <cellStyle name="Border 2 2 3 9 3" xfId="18140"/>
    <cellStyle name="Border 2 2 4" xfId="5065"/>
    <cellStyle name="Border 2 2 4 10" xfId="20970"/>
    <cellStyle name="Border 2 2 4 11" xfId="26565"/>
    <cellStyle name="Border 2 2 4 2" xfId="8171"/>
    <cellStyle name="Border 2 2 4 2 2" xfId="8172"/>
    <cellStyle name="Border 2 2 4 2 2 2" xfId="23833"/>
    <cellStyle name="Border 2 2 4 2 2 3" xfId="18795"/>
    <cellStyle name="Border 2 2 4 2 3" xfId="8173"/>
    <cellStyle name="Border 2 2 4 2 3 2" xfId="23834"/>
    <cellStyle name="Border 2 2 4 2 3 3" xfId="18794"/>
    <cellStyle name="Border 2 2 4 2 4" xfId="23832"/>
    <cellStyle name="Border 2 2 4 2 5" xfId="18038"/>
    <cellStyle name="Border 2 2 4 3" xfId="8174"/>
    <cellStyle name="Border 2 2 4 3 2" xfId="8175"/>
    <cellStyle name="Border 2 2 4 3 2 2" xfId="23836"/>
    <cellStyle name="Border 2 2 4 3 2 3" xfId="18792"/>
    <cellStyle name="Border 2 2 4 3 3" xfId="8176"/>
    <cellStyle name="Border 2 2 4 3 3 2" xfId="23837"/>
    <cellStyle name="Border 2 2 4 3 3 3" xfId="18129"/>
    <cellStyle name="Border 2 2 4 3 4" xfId="23835"/>
    <cellStyle name="Border 2 2 4 3 5" xfId="18793"/>
    <cellStyle name="Border 2 2 4 4" xfId="8177"/>
    <cellStyle name="Border 2 2 4 4 2" xfId="8178"/>
    <cellStyle name="Border 2 2 4 4 2 2" xfId="23839"/>
    <cellStyle name="Border 2 2 4 4 2 3" xfId="18791"/>
    <cellStyle name="Border 2 2 4 4 3" xfId="8179"/>
    <cellStyle name="Border 2 2 4 4 3 2" xfId="23840"/>
    <cellStyle name="Border 2 2 4 4 3 3" xfId="18790"/>
    <cellStyle name="Border 2 2 4 4 4" xfId="23838"/>
    <cellStyle name="Border 2 2 4 4 5" xfId="18028"/>
    <cellStyle name="Border 2 2 4 5" xfId="8180"/>
    <cellStyle name="Border 2 2 4 5 2" xfId="8181"/>
    <cellStyle name="Border 2 2 4 5 2 2" xfId="23842"/>
    <cellStyle name="Border 2 2 4 5 2 3" xfId="18788"/>
    <cellStyle name="Border 2 2 4 5 3" xfId="8182"/>
    <cellStyle name="Border 2 2 4 5 3 2" xfId="23843"/>
    <cellStyle name="Border 2 2 4 5 3 3" xfId="18118"/>
    <cellStyle name="Border 2 2 4 5 4" xfId="23841"/>
    <cellStyle name="Border 2 2 4 5 5" xfId="18789"/>
    <cellStyle name="Border 2 2 4 6" xfId="8183"/>
    <cellStyle name="Border 2 2 4 6 2" xfId="8184"/>
    <cellStyle name="Border 2 2 4 6 2 2" xfId="23845"/>
    <cellStyle name="Border 2 2 4 6 2 3" xfId="18787"/>
    <cellStyle name="Border 2 2 4 6 3" xfId="8185"/>
    <cellStyle name="Border 2 2 4 6 3 2" xfId="23846"/>
    <cellStyle name="Border 2 2 4 6 3 3" xfId="18786"/>
    <cellStyle name="Border 2 2 4 6 4" xfId="23844"/>
    <cellStyle name="Border 2 2 4 6 5" xfId="18017"/>
    <cellStyle name="Border 2 2 4 7" xfId="8186"/>
    <cellStyle name="Border 2 2 4 7 2" xfId="8187"/>
    <cellStyle name="Border 2 2 4 7 2 2" xfId="23848"/>
    <cellStyle name="Border 2 2 4 7 2 3" xfId="18784"/>
    <cellStyle name="Border 2 2 4 7 3" xfId="8188"/>
    <cellStyle name="Border 2 2 4 7 3 2" xfId="23849"/>
    <cellStyle name="Border 2 2 4 7 3 3" xfId="18105"/>
    <cellStyle name="Border 2 2 4 7 4" xfId="23847"/>
    <cellStyle name="Border 2 2 4 7 5" xfId="18785"/>
    <cellStyle name="Border 2 2 4 8" xfId="8189"/>
    <cellStyle name="Border 2 2 4 8 2" xfId="23850"/>
    <cellStyle name="Border 2 2 4 8 3" xfId="18005"/>
    <cellStyle name="Border 2 2 4 9" xfId="8190"/>
    <cellStyle name="Border 2 2 4 9 2" xfId="23851"/>
    <cellStyle name="Border 2 2 4 9 3" xfId="18783"/>
    <cellStyle name="Border 2 2 5" xfId="8191"/>
    <cellStyle name="Border 2 2 5 2" xfId="8192"/>
    <cellStyle name="Border 2 2 5 2 2" xfId="23853"/>
    <cellStyle name="Border 2 2 5 2 3" xfId="18781"/>
    <cellStyle name="Border 2 2 5 3" xfId="8193"/>
    <cellStyle name="Border 2 2 5 3 2" xfId="23854"/>
    <cellStyle name="Border 2 2 5 3 3" xfId="18780"/>
    <cellStyle name="Border 2 2 5 4" xfId="23852"/>
    <cellStyle name="Border 2 2 5 5" xfId="18782"/>
    <cellStyle name="Border 2 2 6" xfId="8194"/>
    <cellStyle name="Border 2 2 6 2" xfId="8195"/>
    <cellStyle name="Border 2 2 6 2 2" xfId="23856"/>
    <cellStyle name="Border 2 2 6 2 3" xfId="18093"/>
    <cellStyle name="Border 2 2 6 3" xfId="8196"/>
    <cellStyle name="Border 2 2 6 3 2" xfId="23857"/>
    <cellStyle name="Border 2 2 6 3 3" xfId="17993"/>
    <cellStyle name="Border 2 2 6 4" xfId="23855"/>
    <cellStyle name="Border 2 2 6 5" xfId="18779"/>
    <cellStyle name="Border 2 2 7" xfId="8197"/>
    <cellStyle name="Border 2 2 7 2" xfId="8198"/>
    <cellStyle name="Border 2 2 7 2 2" xfId="23859"/>
    <cellStyle name="Border 2 2 7 2 3" xfId="18777"/>
    <cellStyle name="Border 2 2 7 3" xfId="8199"/>
    <cellStyle name="Border 2 2 7 3 2" xfId="23860"/>
    <cellStyle name="Border 2 2 7 3 3" xfId="18776"/>
    <cellStyle name="Border 2 2 7 4" xfId="23858"/>
    <cellStyle name="Border 2 2 7 5" xfId="18778"/>
    <cellStyle name="Border 2 2 8" xfId="8200"/>
    <cellStyle name="Border 2 2 8 2" xfId="8201"/>
    <cellStyle name="Border 2 2 8 2 2" xfId="23862"/>
    <cellStyle name="Border 2 2 8 2 3" xfId="18075"/>
    <cellStyle name="Border 2 2 8 3" xfId="8202"/>
    <cellStyle name="Border 2 2 8 3 2" xfId="23863"/>
    <cellStyle name="Border 2 2 8 3 3" xfId="17977"/>
    <cellStyle name="Border 2 2 8 4" xfId="23861"/>
    <cellStyle name="Border 2 2 8 5" xfId="18775"/>
    <cellStyle name="Border 2 2 9" xfId="8203"/>
    <cellStyle name="Border 2 2 9 2" xfId="8204"/>
    <cellStyle name="Border 2 2 9 2 2" xfId="23865"/>
    <cellStyle name="Border 2 2 9 2 3" xfId="18773"/>
    <cellStyle name="Border 2 2 9 3" xfId="8205"/>
    <cellStyle name="Border 2 2 9 3 2" xfId="23866"/>
    <cellStyle name="Border 2 2 9 3 3" xfId="18772"/>
    <cellStyle name="Border 2 2 9 4" xfId="23864"/>
    <cellStyle name="Border 2 2 9 5" xfId="18774"/>
    <cellStyle name="Border 2 3" xfId="4355"/>
    <cellStyle name="Border 2 3 10" xfId="20370"/>
    <cellStyle name="Border 2 3 11" xfId="27229"/>
    <cellStyle name="Border 2 3 2" xfId="8206"/>
    <cellStyle name="Border 2 3 2 2" xfId="8207"/>
    <cellStyle name="Border 2 3 2 2 2" xfId="23868"/>
    <cellStyle name="Border 2 3 2 2 3" xfId="18065"/>
    <cellStyle name="Border 2 3 2 3" xfId="8208"/>
    <cellStyle name="Border 2 3 2 3 2" xfId="23869"/>
    <cellStyle name="Border 2 3 2 3 3" xfId="17967"/>
    <cellStyle name="Border 2 3 2 4" xfId="23867"/>
    <cellStyle name="Border 2 3 2 5" xfId="18771"/>
    <cellStyle name="Border 2 3 3" xfId="8209"/>
    <cellStyle name="Border 2 3 3 2" xfId="8210"/>
    <cellStyle name="Border 2 3 3 2 2" xfId="23871"/>
    <cellStyle name="Border 2 3 3 2 3" xfId="18769"/>
    <cellStyle name="Border 2 3 3 3" xfId="8211"/>
    <cellStyle name="Border 2 3 3 3 2" xfId="23872"/>
    <cellStyle name="Border 2 3 3 3 3" xfId="18768"/>
    <cellStyle name="Border 2 3 3 4" xfId="23870"/>
    <cellStyle name="Border 2 3 3 5" xfId="18770"/>
    <cellStyle name="Border 2 3 4" xfId="8212"/>
    <cellStyle name="Border 2 3 4 2" xfId="8213"/>
    <cellStyle name="Border 2 3 4 2 2" xfId="23874"/>
    <cellStyle name="Border 2 3 4 2 3" xfId="18055"/>
    <cellStyle name="Border 2 3 4 3" xfId="8214"/>
    <cellStyle name="Border 2 3 4 3 2" xfId="23875"/>
    <cellStyle name="Border 2 3 4 3 3" xfId="17957"/>
    <cellStyle name="Border 2 3 4 4" xfId="23873"/>
    <cellStyle name="Border 2 3 4 5" xfId="18767"/>
    <cellStyle name="Border 2 3 5" xfId="8215"/>
    <cellStyle name="Border 2 3 5 2" xfId="8216"/>
    <cellStyle name="Border 2 3 5 2 2" xfId="23877"/>
    <cellStyle name="Border 2 3 5 2 3" xfId="18765"/>
    <cellStyle name="Border 2 3 5 3" xfId="8217"/>
    <cellStyle name="Border 2 3 5 3 2" xfId="23878"/>
    <cellStyle name="Border 2 3 5 3 3" xfId="18047"/>
    <cellStyle name="Border 2 3 5 4" xfId="23876"/>
    <cellStyle name="Border 2 3 5 5" xfId="18766"/>
    <cellStyle name="Border 2 3 6" xfId="8218"/>
    <cellStyle name="Border 2 3 6 2" xfId="8219"/>
    <cellStyle name="Border 2 3 6 2 2" xfId="23880"/>
    <cellStyle name="Border 2 3 6 2 3" xfId="18764"/>
    <cellStyle name="Border 2 3 6 3" xfId="8220"/>
    <cellStyle name="Border 2 3 6 3 2" xfId="23881"/>
    <cellStyle name="Border 2 3 6 3 3" xfId="18763"/>
    <cellStyle name="Border 2 3 6 4" xfId="23879"/>
    <cellStyle name="Border 2 3 6 5" xfId="17944"/>
    <cellStyle name="Border 2 3 7" xfId="8221"/>
    <cellStyle name="Border 2 3 7 2" xfId="8222"/>
    <cellStyle name="Border 2 3 7 2 2" xfId="23883"/>
    <cellStyle name="Border 2 3 7 2 3" xfId="18761"/>
    <cellStyle name="Border 2 3 7 3" xfId="8223"/>
    <cellStyle name="Border 2 3 7 3 2" xfId="23884"/>
    <cellStyle name="Border 2 3 7 3 3" xfId="18138"/>
    <cellStyle name="Border 2 3 7 4" xfId="23882"/>
    <cellStyle name="Border 2 3 7 5" xfId="18762"/>
    <cellStyle name="Border 2 3 8" xfId="8224"/>
    <cellStyle name="Border 2 3 8 2" xfId="23885"/>
    <cellStyle name="Border 2 3 8 3" xfId="18036"/>
    <cellStyle name="Border 2 3 9" xfId="8225"/>
    <cellStyle name="Border 2 3 9 2" xfId="23886"/>
    <cellStyle name="Border 2 3 9 3" xfId="18760"/>
    <cellStyle name="Border 2 4" xfId="4285"/>
    <cellStyle name="Border 2 4 2" xfId="8226"/>
    <cellStyle name="Border 2 4 2 2" xfId="23887"/>
    <cellStyle name="Border 2 4 2 3" xfId="18759"/>
    <cellStyle name="Border 2 4 3" xfId="8227"/>
    <cellStyle name="Border 2 4 3 2" xfId="23888"/>
    <cellStyle name="Border 2 4 3 3" xfId="18758"/>
    <cellStyle name="Border 2 4 4" xfId="20321"/>
    <cellStyle name="Border 2 4 5" xfId="27337"/>
    <cellStyle name="Border 2 5" xfId="8228"/>
    <cellStyle name="Border 2 5 2" xfId="8229"/>
    <cellStyle name="Border 2 5 2 2" xfId="23890"/>
    <cellStyle name="Border 2 5 2 3" xfId="18127"/>
    <cellStyle name="Border 2 5 3" xfId="8230"/>
    <cellStyle name="Border 2 5 3 2" xfId="23891"/>
    <cellStyle name="Border 2 5 3 3" xfId="18026"/>
    <cellStyle name="Border 2 5 4" xfId="23889"/>
    <cellStyle name="Border 2 5 5" xfId="18757"/>
    <cellStyle name="Border 2 6" xfId="8231"/>
    <cellStyle name="Border 2 6 2" xfId="23892"/>
    <cellStyle name="Border 2 6 3" xfId="18756"/>
    <cellStyle name="Border 2 7" xfId="8232"/>
    <cellStyle name="Border 2 7 2" xfId="23893"/>
    <cellStyle name="Border 2 7 3" xfId="18755"/>
    <cellStyle name="Border 2 8" xfId="19209"/>
    <cellStyle name="Border 2 9" xfId="30607"/>
    <cellStyle name="Border 3" xfId="1644"/>
    <cellStyle name="Border 3 2" xfId="3935"/>
    <cellStyle name="Border 3 2 10" xfId="8233"/>
    <cellStyle name="Border 3 2 10 2" xfId="23894"/>
    <cellStyle name="Border 3 2 10 3" xfId="18754"/>
    <cellStyle name="Border 3 2 11" xfId="8234"/>
    <cellStyle name="Border 3 2 11 2" xfId="23895"/>
    <cellStyle name="Border 3 2 11 3" xfId="18753"/>
    <cellStyle name="Border 3 2 12" xfId="20090"/>
    <cellStyle name="Border 3 2 13" xfId="27395"/>
    <cellStyle name="Border 3 2 2" xfId="4464"/>
    <cellStyle name="Border 3 2 2 10" xfId="20422"/>
    <cellStyle name="Border 3 2 2 11" xfId="27068"/>
    <cellStyle name="Border 3 2 2 2" xfId="8235"/>
    <cellStyle name="Border 3 2 2 2 2" xfId="8236"/>
    <cellStyle name="Border 3 2 2 2 2 2" xfId="23897"/>
    <cellStyle name="Border 3 2 2 2 2 3" xfId="18015"/>
    <cellStyle name="Border 3 2 2 2 3" xfId="8237"/>
    <cellStyle name="Border 3 2 2 2 3 2" xfId="23898"/>
    <cellStyle name="Border 3 2 2 2 3 3" xfId="18752"/>
    <cellStyle name="Border 3 2 2 2 4" xfId="23896"/>
    <cellStyle name="Border 3 2 2 2 5" xfId="18116"/>
    <cellStyle name="Border 3 2 2 3" xfId="8238"/>
    <cellStyle name="Border 3 2 2 3 2" xfId="8239"/>
    <cellStyle name="Border 3 2 2 3 2 2" xfId="23900"/>
    <cellStyle name="Border 3 2 2 3 2 3" xfId="18750"/>
    <cellStyle name="Border 3 2 2 3 3" xfId="8240"/>
    <cellStyle name="Border 3 2 2 3 3 2" xfId="23901"/>
    <cellStyle name="Border 3 2 2 3 3 3" xfId="18749"/>
    <cellStyle name="Border 3 2 2 3 4" xfId="23899"/>
    <cellStyle name="Border 3 2 2 3 5" xfId="18751"/>
    <cellStyle name="Border 3 2 2 4" xfId="8241"/>
    <cellStyle name="Border 3 2 2 4 2" xfId="8242"/>
    <cellStyle name="Border 3 2 2 4 2 2" xfId="23903"/>
    <cellStyle name="Border 3 2 2 4 2 3" xfId="18003"/>
    <cellStyle name="Border 3 2 2 4 3" xfId="8243"/>
    <cellStyle name="Border 3 2 2 4 3 2" xfId="23904"/>
    <cellStyle name="Border 3 2 2 4 3 3" xfId="18748"/>
    <cellStyle name="Border 3 2 2 4 4" xfId="23902"/>
    <cellStyle name="Border 3 2 2 4 5" xfId="18103"/>
    <cellStyle name="Border 3 2 2 5" xfId="8244"/>
    <cellStyle name="Border 3 2 2 5 2" xfId="8245"/>
    <cellStyle name="Border 3 2 2 5 2 2" xfId="23906"/>
    <cellStyle name="Border 3 2 2 5 2 3" xfId="18746"/>
    <cellStyle name="Border 3 2 2 5 3" xfId="8246"/>
    <cellStyle name="Border 3 2 2 5 3 2" xfId="23907"/>
    <cellStyle name="Border 3 2 2 5 3 3" xfId="18745"/>
    <cellStyle name="Border 3 2 2 5 4" xfId="23905"/>
    <cellStyle name="Border 3 2 2 5 5" xfId="18747"/>
    <cellStyle name="Border 3 2 2 6" xfId="8247"/>
    <cellStyle name="Border 3 2 2 6 2" xfId="8248"/>
    <cellStyle name="Border 3 2 2 6 2 2" xfId="23909"/>
    <cellStyle name="Border 3 2 2 6 2 3" xfId="18091"/>
    <cellStyle name="Border 3 2 2 6 3" xfId="8249"/>
    <cellStyle name="Border 3 2 2 6 3 2" xfId="23910"/>
    <cellStyle name="Border 3 2 2 6 3 3" xfId="17991"/>
    <cellStyle name="Border 3 2 2 6 4" xfId="23908"/>
    <cellStyle name="Border 3 2 2 6 5" xfId="18744"/>
    <cellStyle name="Border 3 2 2 7" xfId="8250"/>
    <cellStyle name="Border 3 2 2 7 2" xfId="8251"/>
    <cellStyle name="Border 3 2 2 7 2 2" xfId="23912"/>
    <cellStyle name="Border 3 2 2 7 2 3" xfId="18742"/>
    <cellStyle name="Border 3 2 2 7 3" xfId="8252"/>
    <cellStyle name="Border 3 2 2 7 3 2" xfId="23913"/>
    <cellStyle name="Border 3 2 2 7 3 3" xfId="18741"/>
    <cellStyle name="Border 3 2 2 7 4" xfId="23911"/>
    <cellStyle name="Border 3 2 2 7 5" xfId="18743"/>
    <cellStyle name="Border 3 2 2 8" xfId="8253"/>
    <cellStyle name="Border 3 2 2 8 2" xfId="23914"/>
    <cellStyle name="Border 3 2 2 8 3" xfId="18740"/>
    <cellStyle name="Border 3 2 2 9" xfId="8254"/>
    <cellStyle name="Border 3 2 2 9 2" xfId="23915"/>
    <cellStyle name="Border 3 2 2 9 3" xfId="18074"/>
    <cellStyle name="Border 3 2 3" xfId="4073"/>
    <cellStyle name="Border 3 2 3 10" xfId="20214"/>
    <cellStyle name="Border 3 2 3 11" xfId="19865"/>
    <cellStyle name="Border 3 2 3 2" xfId="8255"/>
    <cellStyle name="Border 3 2 3 2 2" xfId="8256"/>
    <cellStyle name="Border 3 2 3 2 2 2" xfId="23917"/>
    <cellStyle name="Border 3 2 3 2 2 3" xfId="18739"/>
    <cellStyle name="Border 3 2 3 2 3" xfId="8257"/>
    <cellStyle name="Border 3 2 3 2 3 2" xfId="23918"/>
    <cellStyle name="Border 3 2 3 2 3 3" xfId="18738"/>
    <cellStyle name="Border 3 2 3 2 4" xfId="23916"/>
    <cellStyle name="Border 3 2 3 2 5" xfId="17976"/>
    <cellStyle name="Border 3 2 3 3" xfId="8258"/>
    <cellStyle name="Border 3 2 3 3 2" xfId="8259"/>
    <cellStyle name="Border 3 2 3 3 2 2" xfId="23920"/>
    <cellStyle name="Border 3 2 3 3 2 3" xfId="18736"/>
    <cellStyle name="Border 3 2 3 3 3" xfId="8260"/>
    <cellStyle name="Border 3 2 3 3 3 2" xfId="23921"/>
    <cellStyle name="Border 3 2 3 3 3 3" xfId="18064"/>
    <cellStyle name="Border 3 2 3 3 4" xfId="23919"/>
    <cellStyle name="Border 3 2 3 3 5" xfId="18737"/>
    <cellStyle name="Border 3 2 3 4" xfId="8261"/>
    <cellStyle name="Border 3 2 3 4 2" xfId="8262"/>
    <cellStyle name="Border 3 2 3 4 2 2" xfId="23923"/>
    <cellStyle name="Border 3 2 3 4 2 3" xfId="18735"/>
    <cellStyle name="Border 3 2 3 4 3" xfId="8263"/>
    <cellStyle name="Border 3 2 3 4 3 2" xfId="23924"/>
    <cellStyle name="Border 3 2 3 4 3 3" xfId="18734"/>
    <cellStyle name="Border 3 2 3 4 4" xfId="23922"/>
    <cellStyle name="Border 3 2 3 4 5" xfId="17966"/>
    <cellStyle name="Border 3 2 3 5" xfId="8264"/>
    <cellStyle name="Border 3 2 3 5 2" xfId="8265"/>
    <cellStyle name="Border 3 2 3 5 2 2" xfId="23926"/>
    <cellStyle name="Border 3 2 3 5 2 3" xfId="18732"/>
    <cellStyle name="Border 3 2 3 5 3" xfId="8266"/>
    <cellStyle name="Border 3 2 3 5 3 2" xfId="23927"/>
    <cellStyle name="Border 3 2 3 5 3 3" xfId="18054"/>
    <cellStyle name="Border 3 2 3 5 4" xfId="23925"/>
    <cellStyle name="Border 3 2 3 5 5" xfId="18733"/>
    <cellStyle name="Border 3 2 3 6" xfId="8267"/>
    <cellStyle name="Border 3 2 3 6 2" xfId="8268"/>
    <cellStyle name="Border 3 2 3 6 2 2" xfId="23929"/>
    <cellStyle name="Border 3 2 3 6 2 3" xfId="18731"/>
    <cellStyle name="Border 3 2 3 6 3" xfId="8269"/>
    <cellStyle name="Border 3 2 3 6 3 2" xfId="23930"/>
    <cellStyle name="Border 3 2 3 6 3 3" xfId="18730"/>
    <cellStyle name="Border 3 2 3 6 4" xfId="23928"/>
    <cellStyle name="Border 3 2 3 6 5" xfId="17956"/>
    <cellStyle name="Border 3 2 3 7" xfId="8270"/>
    <cellStyle name="Border 3 2 3 7 2" xfId="8271"/>
    <cellStyle name="Border 3 2 3 7 2 2" xfId="23932"/>
    <cellStyle name="Border 3 2 3 7 2 3" xfId="17941"/>
    <cellStyle name="Border 3 2 3 7 3" xfId="8272"/>
    <cellStyle name="Border 3 2 3 7 3 2" xfId="23933"/>
    <cellStyle name="Border 3 2 3 7 3 3" xfId="18729"/>
    <cellStyle name="Border 3 2 3 7 4" xfId="23931"/>
    <cellStyle name="Border 3 2 3 7 5" xfId="18045"/>
    <cellStyle name="Border 3 2 3 8" xfId="8273"/>
    <cellStyle name="Border 3 2 3 8 2" xfId="23934"/>
    <cellStyle name="Border 3 2 3 8 3" xfId="18728"/>
    <cellStyle name="Border 3 2 3 9" xfId="8274"/>
    <cellStyle name="Border 3 2 3 9 2" xfId="23935"/>
    <cellStyle name="Border 3 2 3 9 3" xfId="18727"/>
    <cellStyle name="Border 3 2 4" xfId="5066"/>
    <cellStyle name="Border 3 2 4 10" xfId="20971"/>
    <cellStyle name="Border 3 2 4 11" xfId="26564"/>
    <cellStyle name="Border 3 2 4 2" xfId="8275"/>
    <cellStyle name="Border 3 2 4 2 2" xfId="8276"/>
    <cellStyle name="Border 3 2 4 2 2 2" xfId="23937"/>
    <cellStyle name="Border 3 2 4 2 2 3" xfId="18136"/>
    <cellStyle name="Border 3 2 4 2 3" xfId="8277"/>
    <cellStyle name="Border 3 2 4 2 3 2" xfId="23938"/>
    <cellStyle name="Border 3 2 4 2 3 3" xfId="18034"/>
    <cellStyle name="Border 3 2 4 2 4" xfId="23936"/>
    <cellStyle name="Border 3 2 4 2 5" xfId="18726"/>
    <cellStyle name="Border 3 2 4 3" xfId="8278"/>
    <cellStyle name="Border 3 2 4 3 2" xfId="8279"/>
    <cellStyle name="Border 3 2 4 3 2 2" xfId="23940"/>
    <cellStyle name="Border 3 2 4 3 2 3" xfId="18724"/>
    <cellStyle name="Border 3 2 4 3 3" xfId="8280"/>
    <cellStyle name="Border 3 2 4 3 3 2" xfId="23941"/>
    <cellStyle name="Border 3 2 4 3 3 3" xfId="18723"/>
    <cellStyle name="Border 3 2 4 3 4" xfId="23939"/>
    <cellStyle name="Border 3 2 4 3 5" xfId="18725"/>
    <cellStyle name="Border 3 2 4 4" xfId="8281"/>
    <cellStyle name="Border 3 2 4 4 2" xfId="8282"/>
    <cellStyle name="Border 3 2 4 4 2 2" xfId="23943"/>
    <cellStyle name="Border 3 2 4 4 2 3" xfId="18125"/>
    <cellStyle name="Border 3 2 4 4 3" xfId="8283"/>
    <cellStyle name="Border 3 2 4 4 3 2" xfId="23944"/>
    <cellStyle name="Border 3 2 4 4 3 3" xfId="18024"/>
    <cellStyle name="Border 3 2 4 4 4" xfId="23942"/>
    <cellStyle name="Border 3 2 4 4 5" xfId="18722"/>
    <cellStyle name="Border 3 2 4 5" xfId="8284"/>
    <cellStyle name="Border 3 2 4 5 2" xfId="8285"/>
    <cellStyle name="Border 3 2 4 5 2 2" xfId="23946"/>
    <cellStyle name="Border 3 2 4 5 2 3" xfId="18720"/>
    <cellStyle name="Border 3 2 4 5 3" xfId="8286"/>
    <cellStyle name="Border 3 2 4 5 3 2" xfId="23947"/>
    <cellStyle name="Border 3 2 4 5 3 3" xfId="18719"/>
    <cellStyle name="Border 3 2 4 5 4" xfId="23945"/>
    <cellStyle name="Border 3 2 4 5 5" xfId="18721"/>
    <cellStyle name="Border 3 2 4 6" xfId="8287"/>
    <cellStyle name="Border 3 2 4 6 2" xfId="8288"/>
    <cellStyle name="Border 3 2 4 6 2 2" xfId="23949"/>
    <cellStyle name="Border 3 2 4 6 2 3" xfId="18114"/>
    <cellStyle name="Border 3 2 4 6 3" xfId="8289"/>
    <cellStyle name="Border 3 2 4 6 3 2" xfId="23950"/>
    <cellStyle name="Border 3 2 4 6 3 3" xfId="18013"/>
    <cellStyle name="Border 3 2 4 6 4" xfId="23948"/>
    <cellStyle name="Border 3 2 4 6 5" xfId="18718"/>
    <cellStyle name="Border 3 2 4 7" xfId="8290"/>
    <cellStyle name="Border 3 2 4 7 2" xfId="8291"/>
    <cellStyle name="Border 3 2 4 7 2 2" xfId="23952"/>
    <cellStyle name="Border 3 2 4 7 2 3" xfId="18716"/>
    <cellStyle name="Border 3 2 4 7 3" xfId="8292"/>
    <cellStyle name="Border 3 2 4 7 3 2" xfId="23953"/>
    <cellStyle name="Border 3 2 4 7 3 3" xfId="18715"/>
    <cellStyle name="Border 3 2 4 7 4" xfId="23951"/>
    <cellStyle name="Border 3 2 4 7 5" xfId="18717"/>
    <cellStyle name="Border 3 2 4 8" xfId="8293"/>
    <cellStyle name="Border 3 2 4 8 2" xfId="23954"/>
    <cellStyle name="Border 3 2 4 8 3" xfId="18714"/>
    <cellStyle name="Border 3 2 4 9" xfId="8294"/>
    <cellStyle name="Border 3 2 4 9 2" xfId="23955"/>
    <cellStyle name="Border 3 2 4 9 3" xfId="18101"/>
    <cellStyle name="Border 3 2 5" xfId="8295"/>
    <cellStyle name="Border 3 2 5 2" xfId="8296"/>
    <cellStyle name="Border 3 2 5 2 2" xfId="23957"/>
    <cellStyle name="Border 3 2 5 2 3" xfId="18713"/>
    <cellStyle name="Border 3 2 5 3" xfId="8297"/>
    <cellStyle name="Border 3 2 5 3 2" xfId="23958"/>
    <cellStyle name="Border 3 2 5 3 3" xfId="18712"/>
    <cellStyle name="Border 3 2 5 4" xfId="23956"/>
    <cellStyle name="Border 3 2 5 5" xfId="18001"/>
    <cellStyle name="Border 3 2 6" xfId="8298"/>
    <cellStyle name="Border 3 2 6 2" xfId="8299"/>
    <cellStyle name="Border 3 2 6 2 2" xfId="23960"/>
    <cellStyle name="Border 3 2 6 2 3" xfId="18710"/>
    <cellStyle name="Border 3 2 6 3" xfId="8300"/>
    <cellStyle name="Border 3 2 6 3 2" xfId="23961"/>
    <cellStyle name="Border 3 2 6 3 3" xfId="18709"/>
    <cellStyle name="Border 3 2 6 4" xfId="23959"/>
    <cellStyle name="Border 3 2 6 5" xfId="18711"/>
    <cellStyle name="Border 3 2 7" xfId="8301"/>
    <cellStyle name="Border 3 2 7 2" xfId="8302"/>
    <cellStyle name="Border 3 2 7 2 2" xfId="23963"/>
    <cellStyle name="Border 3 2 7 2 3" xfId="17989"/>
    <cellStyle name="Border 3 2 7 3" xfId="8303"/>
    <cellStyle name="Border 3 2 7 3 2" xfId="23964"/>
    <cellStyle name="Border 3 2 7 3 3" xfId="18708"/>
    <cellStyle name="Border 3 2 7 4" xfId="23962"/>
    <cellStyle name="Border 3 2 7 5" xfId="18089"/>
    <cellStyle name="Border 3 2 8" xfId="8304"/>
    <cellStyle name="Border 3 2 8 2" xfId="8305"/>
    <cellStyle name="Border 3 2 8 2 2" xfId="23966"/>
    <cellStyle name="Border 3 2 8 2 3" xfId="18706"/>
    <cellStyle name="Border 3 2 8 3" xfId="8306"/>
    <cellStyle name="Border 3 2 8 3 2" xfId="23967"/>
    <cellStyle name="Border 3 2 8 3 3" xfId="18705"/>
    <cellStyle name="Border 3 2 8 4" xfId="23965"/>
    <cellStyle name="Border 3 2 8 5" xfId="18707"/>
    <cellStyle name="Border 3 2 9" xfId="8307"/>
    <cellStyle name="Border 3 2 9 2" xfId="8308"/>
    <cellStyle name="Border 3 2 9 2 2" xfId="23969"/>
    <cellStyle name="Border 3 2 9 2 3" xfId="17975"/>
    <cellStyle name="Border 3 2 9 3" xfId="8309"/>
    <cellStyle name="Border 3 2 9 3 2" xfId="23970"/>
    <cellStyle name="Border 3 2 9 3 3" xfId="18704"/>
    <cellStyle name="Border 3 2 9 4" xfId="23968"/>
    <cellStyle name="Border 3 2 9 5" xfId="18073"/>
    <cellStyle name="Border 3 3" xfId="4587"/>
    <cellStyle name="Border 3 3 10" xfId="20512"/>
    <cellStyle name="Border 3 3 11" xfId="20495"/>
    <cellStyle name="Border 3 3 2" xfId="8310"/>
    <cellStyle name="Border 3 3 2 2" xfId="8311"/>
    <cellStyle name="Border 3 3 2 2 2" xfId="23972"/>
    <cellStyle name="Border 3 3 2 2 3" xfId="18702"/>
    <cellStyle name="Border 3 3 2 3" xfId="8312"/>
    <cellStyle name="Border 3 3 2 3 2" xfId="23973"/>
    <cellStyle name="Border 3 3 2 3 3" xfId="18701"/>
    <cellStyle name="Border 3 3 2 4" xfId="23971"/>
    <cellStyle name="Border 3 3 2 5" xfId="18703"/>
    <cellStyle name="Border 3 3 3" xfId="8313"/>
    <cellStyle name="Border 3 3 3 2" xfId="8314"/>
    <cellStyle name="Border 3 3 3 2 2" xfId="23975"/>
    <cellStyle name="Border 3 3 3 2 3" xfId="17965"/>
    <cellStyle name="Border 3 3 3 3" xfId="8315"/>
    <cellStyle name="Border 3 3 3 3 2" xfId="23976"/>
    <cellStyle name="Border 3 3 3 3 3" xfId="18700"/>
    <cellStyle name="Border 3 3 3 4" xfId="23974"/>
    <cellStyle name="Border 3 3 3 5" xfId="18063"/>
    <cellStyle name="Border 3 3 4" xfId="8316"/>
    <cellStyle name="Border 3 3 4 2" xfId="8317"/>
    <cellStyle name="Border 3 3 4 2 2" xfId="23978"/>
    <cellStyle name="Border 3 3 4 2 3" xfId="18698"/>
    <cellStyle name="Border 3 3 4 3" xfId="8318"/>
    <cellStyle name="Border 3 3 4 3 2" xfId="23979"/>
    <cellStyle name="Border 3 3 4 3 3" xfId="18697"/>
    <cellStyle name="Border 3 3 4 4" xfId="23977"/>
    <cellStyle name="Border 3 3 4 5" xfId="18699"/>
    <cellStyle name="Border 3 3 5" xfId="8319"/>
    <cellStyle name="Border 3 3 5 2" xfId="8320"/>
    <cellStyle name="Border 3 3 5 2 2" xfId="23981"/>
    <cellStyle name="Border 3 3 5 2 3" xfId="17955"/>
    <cellStyle name="Border 3 3 5 3" xfId="8321"/>
    <cellStyle name="Border 3 3 5 3 2" xfId="23982"/>
    <cellStyle name="Border 3 3 5 3 3" xfId="18696"/>
    <cellStyle name="Border 3 3 5 4" xfId="23980"/>
    <cellStyle name="Border 3 3 5 5" xfId="18053"/>
    <cellStyle name="Border 3 3 6" xfId="8322"/>
    <cellStyle name="Border 3 3 6 2" xfId="8323"/>
    <cellStyle name="Border 3 3 6 2 2" xfId="23984"/>
    <cellStyle name="Border 3 3 6 2 3" xfId="18043"/>
    <cellStyle name="Border 3 3 6 3" xfId="8324"/>
    <cellStyle name="Border 3 3 6 3 2" xfId="23985"/>
    <cellStyle name="Border 3 3 6 3 3" xfId="17938"/>
    <cellStyle name="Border 3 3 6 4" xfId="23983"/>
    <cellStyle name="Border 3 3 6 5" xfId="18695"/>
    <cellStyle name="Border 3 3 7" xfId="8325"/>
    <cellStyle name="Border 3 3 7 2" xfId="8326"/>
    <cellStyle name="Border 3 3 7 2 2" xfId="23987"/>
    <cellStyle name="Border 3 3 7 2 3" xfId="18693"/>
    <cellStyle name="Border 3 3 7 3" xfId="8327"/>
    <cellStyle name="Border 3 3 7 3 2" xfId="23988"/>
    <cellStyle name="Border 3 3 7 3 3" xfId="18692"/>
    <cellStyle name="Border 3 3 7 4" xfId="23986"/>
    <cellStyle name="Border 3 3 7 5" xfId="18694"/>
    <cellStyle name="Border 3 3 8" xfId="8328"/>
    <cellStyle name="Border 3 3 8 2" xfId="23989"/>
    <cellStyle name="Border 3 3 8 3" xfId="18691"/>
    <cellStyle name="Border 3 3 9" xfId="8329"/>
    <cellStyle name="Border 3 3 9 2" xfId="23990"/>
    <cellStyle name="Border 3 3 9 3" xfId="18134"/>
    <cellStyle name="Border 3 4" xfId="4563"/>
    <cellStyle name="Border 3 4 2" xfId="8330"/>
    <cellStyle name="Border 3 4 2 2" xfId="23991"/>
    <cellStyle name="Border 3 4 2 3" xfId="18032"/>
    <cellStyle name="Border 3 4 3" xfId="8331"/>
    <cellStyle name="Border 3 4 3 2" xfId="23992"/>
    <cellStyle name="Border 3 4 3 3" xfId="18690"/>
    <cellStyle name="Border 3 4 4" xfId="20494"/>
    <cellStyle name="Border 3 4 5" xfId="27039"/>
    <cellStyle name="Border 3 5" xfId="8332"/>
    <cellStyle name="Border 3 5 2" xfId="8333"/>
    <cellStyle name="Border 3 5 2 2" xfId="23994"/>
    <cellStyle name="Border 3 5 2 3" xfId="18688"/>
    <cellStyle name="Border 3 5 3" xfId="8334"/>
    <cellStyle name="Border 3 5 3 2" xfId="23995"/>
    <cellStyle name="Border 3 5 3 3" xfId="18687"/>
    <cellStyle name="Border 3 5 4" xfId="23993"/>
    <cellStyle name="Border 3 5 5" xfId="18689"/>
    <cellStyle name="Border 3 6" xfId="8335"/>
    <cellStyle name="Border 3 6 2" xfId="23996"/>
    <cellStyle name="Border 3 6 3" xfId="18123"/>
    <cellStyle name="Border 3 7" xfId="8336"/>
    <cellStyle name="Border 3 7 2" xfId="23997"/>
    <cellStyle name="Border 3 7 3" xfId="18022"/>
    <cellStyle name="Border 3 8" xfId="19210"/>
    <cellStyle name="Border 3 9" xfId="30606"/>
    <cellStyle name="Border 4" xfId="3933"/>
    <cellStyle name="Border 4 10" xfId="8337"/>
    <cellStyle name="Border 4 10 2" xfId="23998"/>
    <cellStyle name="Border 4 10 3" xfId="18686"/>
    <cellStyle name="Border 4 11" xfId="8338"/>
    <cellStyle name="Border 4 11 2" xfId="23999"/>
    <cellStyle name="Border 4 11 3" xfId="18685"/>
    <cellStyle name="Border 4 12" xfId="20088"/>
    <cellStyle name="Border 4 13" xfId="27397"/>
    <cellStyle name="Border 4 2" xfId="4462"/>
    <cellStyle name="Border 4 2 10" xfId="20421"/>
    <cellStyle name="Border 4 2 11" xfId="27070"/>
    <cellStyle name="Border 4 2 2" xfId="8339"/>
    <cellStyle name="Border 4 2 2 2" xfId="8340"/>
    <cellStyle name="Border 4 2 2 2 2" xfId="24001"/>
    <cellStyle name="Border 4 2 2 2 3" xfId="18683"/>
    <cellStyle name="Border 4 2 2 3" xfId="8341"/>
    <cellStyle name="Border 4 2 2 3 2" xfId="24002"/>
    <cellStyle name="Border 4 2 2 3 3" xfId="18112"/>
    <cellStyle name="Border 4 2 2 4" xfId="24000"/>
    <cellStyle name="Border 4 2 2 5" xfId="18684"/>
    <cellStyle name="Border 4 2 3" xfId="8342"/>
    <cellStyle name="Border 4 2 3 2" xfId="8343"/>
    <cellStyle name="Border 4 2 3 2 2" xfId="24004"/>
    <cellStyle name="Border 4 2 3 2 3" xfId="18682"/>
    <cellStyle name="Border 4 2 3 3" xfId="8344"/>
    <cellStyle name="Border 4 2 3 3 2" xfId="24005"/>
    <cellStyle name="Border 4 2 3 3 3" xfId="18681"/>
    <cellStyle name="Border 4 2 3 4" xfId="24003"/>
    <cellStyle name="Border 4 2 3 5" xfId="18011"/>
    <cellStyle name="Border 4 2 4" xfId="8345"/>
    <cellStyle name="Border 4 2 4 2" xfId="8346"/>
    <cellStyle name="Border 4 2 4 2 2" xfId="24007"/>
    <cellStyle name="Border 4 2 4 2 3" xfId="18679"/>
    <cellStyle name="Border 4 2 4 3" xfId="8347"/>
    <cellStyle name="Border 4 2 4 3 2" xfId="24008"/>
    <cellStyle name="Border 4 2 4 3 3" xfId="18099"/>
    <cellStyle name="Border 4 2 4 4" xfId="24006"/>
    <cellStyle name="Border 4 2 4 5" xfId="18680"/>
    <cellStyle name="Border 4 2 5" xfId="8348"/>
    <cellStyle name="Border 4 2 5 2" xfId="8349"/>
    <cellStyle name="Border 4 2 5 2 2" xfId="24010"/>
    <cellStyle name="Border 4 2 5 2 3" xfId="18678"/>
    <cellStyle name="Border 4 2 5 3" xfId="8350"/>
    <cellStyle name="Border 4 2 5 3 2" xfId="24011"/>
    <cellStyle name="Border 4 2 5 3 3" xfId="18677"/>
    <cellStyle name="Border 4 2 5 4" xfId="24009"/>
    <cellStyle name="Border 4 2 5 5" xfId="17999"/>
    <cellStyle name="Border 4 2 6" xfId="8351"/>
    <cellStyle name="Border 4 2 6 2" xfId="8352"/>
    <cellStyle name="Border 4 2 6 2 2" xfId="24013"/>
    <cellStyle name="Border 4 2 6 2 3" xfId="18675"/>
    <cellStyle name="Border 4 2 6 3" xfId="8353"/>
    <cellStyle name="Border 4 2 6 3 2" xfId="24014"/>
    <cellStyle name="Border 4 2 6 3 3" xfId="18674"/>
    <cellStyle name="Border 4 2 6 4" xfId="24012"/>
    <cellStyle name="Border 4 2 6 5" xfId="18676"/>
    <cellStyle name="Border 4 2 7" xfId="8354"/>
    <cellStyle name="Border 4 2 7 2" xfId="8355"/>
    <cellStyle name="Border 4 2 7 2 2" xfId="24016"/>
    <cellStyle name="Border 4 2 7 2 3" xfId="17987"/>
    <cellStyle name="Border 4 2 7 3" xfId="8356"/>
    <cellStyle name="Border 4 2 7 3 2" xfId="24017"/>
    <cellStyle name="Border 4 2 7 3 3" xfId="18673"/>
    <cellStyle name="Border 4 2 7 4" xfId="24015"/>
    <cellStyle name="Border 4 2 7 5" xfId="18087"/>
    <cellStyle name="Border 4 2 8" xfId="8357"/>
    <cellStyle name="Border 4 2 8 2" xfId="24018"/>
    <cellStyle name="Border 4 2 8 3" xfId="18672"/>
    <cellStyle name="Border 4 2 9" xfId="8358"/>
    <cellStyle name="Border 4 2 9 2" xfId="24019"/>
    <cellStyle name="Border 4 2 9 3" xfId="18671"/>
    <cellStyle name="Border 4 3" xfId="4513"/>
    <cellStyle name="Border 4 3 10" xfId="20457"/>
    <cellStyle name="Border 4 3 11" xfId="27055"/>
    <cellStyle name="Border 4 3 2" xfId="8359"/>
    <cellStyle name="Border 4 3 2 2" xfId="8360"/>
    <cellStyle name="Border 4 3 2 2 2" xfId="24021"/>
    <cellStyle name="Border 4 3 2 2 3" xfId="18072"/>
    <cellStyle name="Border 4 3 2 3" xfId="8361"/>
    <cellStyle name="Border 4 3 2 3 2" xfId="24022"/>
    <cellStyle name="Border 4 3 2 3 3" xfId="17974"/>
    <cellStyle name="Border 4 3 2 4" xfId="24020"/>
    <cellStyle name="Border 4 3 2 5" xfId="18670"/>
    <cellStyle name="Border 4 3 3" xfId="8362"/>
    <cellStyle name="Border 4 3 3 2" xfId="8363"/>
    <cellStyle name="Border 4 3 3 2 2" xfId="24024"/>
    <cellStyle name="Border 4 3 3 2 3" xfId="18668"/>
    <cellStyle name="Border 4 3 3 3" xfId="8364"/>
    <cellStyle name="Border 4 3 3 3 2" xfId="24025"/>
    <cellStyle name="Border 4 3 3 3 3" xfId="18667"/>
    <cellStyle name="Border 4 3 3 4" xfId="24023"/>
    <cellStyle name="Border 4 3 3 5" xfId="18669"/>
    <cellStyle name="Border 4 3 4" xfId="8365"/>
    <cellStyle name="Border 4 3 4 2" xfId="8366"/>
    <cellStyle name="Border 4 3 4 2 2" xfId="24027"/>
    <cellStyle name="Border 4 3 4 2 3" xfId="18062"/>
    <cellStyle name="Border 4 3 4 3" xfId="8367"/>
    <cellStyle name="Border 4 3 4 3 2" xfId="24028"/>
    <cellStyle name="Border 4 3 4 3 3" xfId="17964"/>
    <cellStyle name="Border 4 3 4 4" xfId="24026"/>
    <cellStyle name="Border 4 3 4 5" xfId="18666"/>
    <cellStyle name="Border 4 3 5" xfId="8368"/>
    <cellStyle name="Border 4 3 5 2" xfId="8369"/>
    <cellStyle name="Border 4 3 5 2 2" xfId="24030"/>
    <cellStyle name="Border 4 3 5 2 3" xfId="18664"/>
    <cellStyle name="Border 4 3 5 3" xfId="8370"/>
    <cellStyle name="Border 4 3 5 3 2" xfId="24031"/>
    <cellStyle name="Border 4 3 5 3 3" xfId="18663"/>
    <cellStyle name="Border 4 3 5 4" xfId="24029"/>
    <cellStyle name="Border 4 3 5 5" xfId="18665"/>
    <cellStyle name="Border 4 3 6" xfId="8371"/>
    <cellStyle name="Border 4 3 6 2" xfId="8372"/>
    <cellStyle name="Border 4 3 6 2 2" xfId="24033"/>
    <cellStyle name="Border 4 3 6 2 3" xfId="18052"/>
    <cellStyle name="Border 4 3 6 3" xfId="8373"/>
    <cellStyle name="Border 4 3 6 3 2" xfId="24034"/>
    <cellStyle name="Border 4 3 6 3 3" xfId="17954"/>
    <cellStyle name="Border 4 3 6 4" xfId="24032"/>
    <cellStyle name="Border 4 3 6 5" xfId="18662"/>
    <cellStyle name="Border 4 3 7" xfId="8374"/>
    <cellStyle name="Border 4 3 7 2" xfId="8375"/>
    <cellStyle name="Border 4 3 7 2 2" xfId="24036"/>
    <cellStyle name="Border 4 3 7 2 3" xfId="18660"/>
    <cellStyle name="Border 4 3 7 3" xfId="8376"/>
    <cellStyle name="Border 4 3 7 3 2" xfId="24037"/>
    <cellStyle name="Border 4 3 7 3 3" xfId="18042"/>
    <cellStyle name="Border 4 3 7 4" xfId="24035"/>
    <cellStyle name="Border 4 3 7 5" xfId="18661"/>
    <cellStyle name="Border 4 3 8" xfId="8377"/>
    <cellStyle name="Border 4 3 8 2" xfId="24038"/>
    <cellStyle name="Border 4 3 8 3" xfId="17936"/>
    <cellStyle name="Border 4 3 9" xfId="8378"/>
    <cellStyle name="Border 4 3 9 2" xfId="24039"/>
    <cellStyle name="Border 4 3 9 3" xfId="18659"/>
    <cellStyle name="Border 4 4" xfId="5067"/>
    <cellStyle name="Border 4 4 10" xfId="20972"/>
    <cellStyle name="Border 4 4 11" xfId="26563"/>
    <cellStyle name="Border 4 4 2" xfId="8379"/>
    <cellStyle name="Border 4 4 2 2" xfId="8380"/>
    <cellStyle name="Border 4 4 2 2 2" xfId="24041"/>
    <cellStyle name="Border 4 4 2 2 3" xfId="18657"/>
    <cellStyle name="Border 4 4 2 3" xfId="8381"/>
    <cellStyle name="Border 4 4 2 3 2" xfId="24042"/>
    <cellStyle name="Border 4 4 2 3 3" xfId="18656"/>
    <cellStyle name="Border 4 4 2 4" xfId="24040"/>
    <cellStyle name="Border 4 4 2 5" xfId="18658"/>
    <cellStyle name="Border 4 4 3" xfId="8382"/>
    <cellStyle name="Border 4 4 3 2" xfId="8383"/>
    <cellStyle name="Border 4 4 3 2 2" xfId="24044"/>
    <cellStyle name="Border 4 4 3 2 3" xfId="18654"/>
    <cellStyle name="Border 4 4 3 3" xfId="8384"/>
    <cellStyle name="Border 4 4 3 3 2" xfId="24045"/>
    <cellStyle name="Border 4 4 3 3 3" xfId="18653"/>
    <cellStyle name="Border 4 4 3 4" xfId="24043"/>
    <cellStyle name="Border 4 4 3 5" xfId="18655"/>
    <cellStyle name="Border 4 4 4" xfId="8385"/>
    <cellStyle name="Border 4 4 4 2" xfId="8386"/>
    <cellStyle name="Border 4 4 4 2 2" xfId="24047"/>
    <cellStyle name="Border 4 4 4 2 3" xfId="18651"/>
    <cellStyle name="Border 4 4 4 3" xfId="8387"/>
    <cellStyle name="Border 4 4 4 3 2" xfId="24048"/>
    <cellStyle name="Border 4 4 4 3 3" xfId="18650"/>
    <cellStyle name="Border 4 4 4 4" xfId="24046"/>
    <cellStyle name="Border 4 4 4 5" xfId="18652"/>
    <cellStyle name="Border 4 4 5" xfId="8388"/>
    <cellStyle name="Border 4 4 5 2" xfId="8389"/>
    <cellStyle name="Border 4 4 5 2 2" xfId="24050"/>
    <cellStyle name="Border 4 4 5 2 3" xfId="18648"/>
    <cellStyle name="Border 4 4 5 3" xfId="8390"/>
    <cellStyle name="Border 4 4 5 3 2" xfId="24051"/>
    <cellStyle name="Border 4 4 5 3 3" xfId="18647"/>
    <cellStyle name="Border 4 4 5 4" xfId="24049"/>
    <cellStyle name="Border 4 4 5 5" xfId="18649"/>
    <cellStyle name="Border 4 4 6" xfId="8391"/>
    <cellStyle name="Border 4 4 6 2" xfId="8392"/>
    <cellStyle name="Border 4 4 6 2 2" xfId="24053"/>
    <cellStyle name="Border 4 4 6 2 3" xfId="18645"/>
    <cellStyle name="Border 4 4 6 3" xfId="8393"/>
    <cellStyle name="Border 4 4 6 3 2" xfId="24054"/>
    <cellStyle name="Border 4 4 6 3 3" xfId="18644"/>
    <cellStyle name="Border 4 4 6 4" xfId="24052"/>
    <cellStyle name="Border 4 4 6 5" xfId="18646"/>
    <cellStyle name="Border 4 4 7" xfId="8394"/>
    <cellStyle name="Border 4 4 7 2" xfId="8395"/>
    <cellStyle name="Border 4 4 7 2 2" xfId="24056"/>
    <cellStyle name="Border 4 4 7 2 3" xfId="18642"/>
    <cellStyle name="Border 4 4 7 3" xfId="8396"/>
    <cellStyle name="Border 4 4 7 3 2" xfId="24057"/>
    <cellStyle name="Border 4 4 7 3 3" xfId="18641"/>
    <cellStyle name="Border 4 4 7 4" xfId="24055"/>
    <cellStyle name="Border 4 4 7 5" xfId="18643"/>
    <cellStyle name="Border 4 4 8" xfId="8397"/>
    <cellStyle name="Border 4 4 8 2" xfId="24058"/>
    <cellStyle name="Border 4 4 8 3" xfId="18640"/>
    <cellStyle name="Border 4 4 9" xfId="8398"/>
    <cellStyle name="Border 4 4 9 2" xfId="24059"/>
    <cellStyle name="Border 4 4 9 3" xfId="18639"/>
    <cellStyle name="Border 4 5" xfId="8399"/>
    <cellStyle name="Border 4 5 2" xfId="8400"/>
    <cellStyle name="Border 4 5 2 2" xfId="24061"/>
    <cellStyle name="Border 4 5 2 3" xfId="18637"/>
    <cellStyle name="Border 4 5 3" xfId="8401"/>
    <cellStyle name="Border 4 5 3 2" xfId="24062"/>
    <cellStyle name="Border 4 5 3 3" xfId="18636"/>
    <cellStyle name="Border 4 5 4" xfId="24060"/>
    <cellStyle name="Border 4 5 5" xfId="18638"/>
    <cellStyle name="Border 4 6" xfId="8402"/>
    <cellStyle name="Border 4 6 2" xfId="8403"/>
    <cellStyle name="Border 4 6 2 2" xfId="24064"/>
    <cellStyle name="Border 4 6 2 3" xfId="18634"/>
    <cellStyle name="Border 4 6 3" xfId="8404"/>
    <cellStyle name="Border 4 6 3 2" xfId="24065"/>
    <cellStyle name="Border 4 6 3 3" xfId="18633"/>
    <cellStyle name="Border 4 6 4" xfId="24063"/>
    <cellStyle name="Border 4 6 5" xfId="18635"/>
    <cellStyle name="Border 4 7" xfId="8405"/>
    <cellStyle name="Border 4 7 2" xfId="8406"/>
    <cellStyle name="Border 4 7 2 2" xfId="24067"/>
    <cellStyle name="Border 4 7 2 3" xfId="18631"/>
    <cellStyle name="Border 4 7 3" xfId="8407"/>
    <cellStyle name="Border 4 7 3 2" xfId="24068"/>
    <cellStyle name="Border 4 7 3 3" xfId="18630"/>
    <cellStyle name="Border 4 7 4" xfId="24066"/>
    <cellStyle name="Border 4 7 5" xfId="18632"/>
    <cellStyle name="Border 4 8" xfId="8408"/>
    <cellStyle name="Border 4 8 2" xfId="8409"/>
    <cellStyle name="Border 4 8 2 2" xfId="24070"/>
    <cellStyle name="Border 4 8 2 3" xfId="18628"/>
    <cellStyle name="Border 4 8 3" xfId="8410"/>
    <cellStyle name="Border 4 8 3 2" xfId="24071"/>
    <cellStyle name="Border 4 8 3 3" xfId="18627"/>
    <cellStyle name="Border 4 8 4" xfId="24069"/>
    <cellStyle name="Border 4 8 5" xfId="18629"/>
    <cellStyle name="Border 4 9" xfId="8411"/>
    <cellStyle name="Border 4 9 2" xfId="8412"/>
    <cellStyle name="Border 4 9 2 2" xfId="24073"/>
    <cellStyle name="Border 4 9 2 3" xfId="18625"/>
    <cellStyle name="Border 4 9 3" xfId="8413"/>
    <cellStyle name="Border 4 9 3 2" xfId="24074"/>
    <cellStyle name="Border 4 9 3 3" xfId="18624"/>
    <cellStyle name="Border 4 9 4" xfId="24072"/>
    <cellStyle name="Border 4 9 5" xfId="18626"/>
    <cellStyle name="Border 5" xfId="4147"/>
    <cellStyle name="Border 5 10" xfId="20258"/>
    <cellStyle name="Border 5 11" xfId="27364"/>
    <cellStyle name="Border 5 2" xfId="8414"/>
    <cellStyle name="Border 5 2 2" xfId="8415"/>
    <cellStyle name="Border 5 2 2 2" xfId="24076"/>
    <cellStyle name="Border 5 2 2 3" xfId="18622"/>
    <cellStyle name="Border 5 2 3" xfId="8416"/>
    <cellStyle name="Border 5 2 3 2" xfId="24077"/>
    <cellStyle name="Border 5 2 3 3" xfId="18621"/>
    <cellStyle name="Border 5 2 4" xfId="24075"/>
    <cellStyle name="Border 5 2 5" xfId="18623"/>
    <cellStyle name="Border 5 3" xfId="8417"/>
    <cellStyle name="Border 5 3 2" xfId="8418"/>
    <cellStyle name="Border 5 3 2 2" xfId="24079"/>
    <cellStyle name="Border 5 3 2 3" xfId="18619"/>
    <cellStyle name="Border 5 3 3" xfId="8419"/>
    <cellStyle name="Border 5 3 3 2" xfId="24080"/>
    <cellStyle name="Border 5 3 3 3" xfId="18618"/>
    <cellStyle name="Border 5 3 4" xfId="24078"/>
    <cellStyle name="Border 5 3 5" xfId="18620"/>
    <cellStyle name="Border 5 4" xfId="8420"/>
    <cellStyle name="Border 5 4 2" xfId="8421"/>
    <cellStyle name="Border 5 4 2 2" xfId="24082"/>
    <cellStyle name="Border 5 4 2 3" xfId="18616"/>
    <cellStyle name="Border 5 4 3" xfId="8422"/>
    <cellStyle name="Border 5 4 3 2" xfId="24083"/>
    <cellStyle name="Border 5 4 3 3" xfId="18615"/>
    <cellStyle name="Border 5 4 4" xfId="24081"/>
    <cellStyle name="Border 5 4 5" xfId="18617"/>
    <cellStyle name="Border 5 5" xfId="8423"/>
    <cellStyle name="Border 5 5 2" xfId="8424"/>
    <cellStyle name="Border 5 5 2 2" xfId="24085"/>
    <cellStyle name="Border 5 5 2 3" xfId="18613"/>
    <cellStyle name="Border 5 5 3" xfId="8425"/>
    <cellStyle name="Border 5 5 3 2" xfId="24086"/>
    <cellStyle name="Border 5 5 3 3" xfId="18612"/>
    <cellStyle name="Border 5 5 4" xfId="24084"/>
    <cellStyle name="Border 5 5 5" xfId="18614"/>
    <cellStyle name="Border 5 6" xfId="8426"/>
    <cellStyle name="Border 5 6 2" xfId="8427"/>
    <cellStyle name="Border 5 6 2 2" xfId="24088"/>
    <cellStyle name="Border 5 6 2 3" xfId="18610"/>
    <cellStyle name="Border 5 6 3" xfId="8428"/>
    <cellStyle name="Border 5 6 3 2" xfId="24089"/>
    <cellStyle name="Border 5 6 3 3" xfId="18609"/>
    <cellStyle name="Border 5 6 4" xfId="24087"/>
    <cellStyle name="Border 5 6 5" xfId="18611"/>
    <cellStyle name="Border 5 7" xfId="8429"/>
    <cellStyle name="Border 5 7 2" xfId="8430"/>
    <cellStyle name="Border 5 7 2 2" xfId="24091"/>
    <cellStyle name="Border 5 7 2 3" xfId="18607"/>
    <cellStyle name="Border 5 7 3" xfId="8431"/>
    <cellStyle name="Border 5 7 3 2" xfId="24092"/>
    <cellStyle name="Border 5 7 3 3" xfId="20903"/>
    <cellStyle name="Border 5 7 4" xfId="24090"/>
    <cellStyle name="Border 5 7 5" xfId="18608"/>
    <cellStyle name="Border 5 8" xfId="8432"/>
    <cellStyle name="Border 5 8 2" xfId="24093"/>
    <cellStyle name="Border 5 8 3" xfId="18606"/>
    <cellStyle name="Border 5 9" xfId="8433"/>
    <cellStyle name="Border 5 9 2" xfId="24094"/>
    <cellStyle name="Border 5 9 3" xfId="18605"/>
    <cellStyle name="Border 6" xfId="4115"/>
    <cellStyle name="Border 6 2" xfId="8434"/>
    <cellStyle name="Border 6 2 2" xfId="24095"/>
    <cellStyle name="Border 6 2 3" xfId="18604"/>
    <cellStyle name="Border 6 3" xfId="8435"/>
    <cellStyle name="Border 6 3 2" xfId="24096"/>
    <cellStyle name="Border 6 3 3" xfId="18603"/>
    <cellStyle name="Border 6 4" xfId="20241"/>
    <cellStyle name="Border 6 5" xfId="27378"/>
    <cellStyle name="Border 7" xfId="8436"/>
    <cellStyle name="Border 7 2" xfId="8437"/>
    <cellStyle name="Border 7 2 2" xfId="24098"/>
    <cellStyle name="Border 7 2 3" xfId="18601"/>
    <cellStyle name="Border 7 3" xfId="8438"/>
    <cellStyle name="Border 7 3 2" xfId="24099"/>
    <cellStyle name="Border 7 3 3" xfId="18600"/>
    <cellStyle name="Border 7 4" xfId="24097"/>
    <cellStyle name="Border 7 5" xfId="18602"/>
    <cellStyle name="Border 8" xfId="8439"/>
    <cellStyle name="Border 8 2" xfId="24100"/>
    <cellStyle name="Border 8 3" xfId="18599"/>
    <cellStyle name="Border 9" xfId="8440"/>
    <cellStyle name="Border 9 2" xfId="24101"/>
    <cellStyle name="Border 9 3" xfId="18598"/>
    <cellStyle name="Border Heavy" xfId="1645"/>
    <cellStyle name="Border Heavy 10" xfId="4257"/>
    <cellStyle name="Border Heavy 11" xfId="4356"/>
    <cellStyle name="Border Heavy 12" xfId="4261"/>
    <cellStyle name="Border Heavy 13" xfId="4586"/>
    <cellStyle name="Border Heavy 14" xfId="4266"/>
    <cellStyle name="Border Heavy 15" xfId="4360"/>
    <cellStyle name="Border Heavy 16" xfId="4111"/>
    <cellStyle name="Border Heavy 17" xfId="4272"/>
    <cellStyle name="Border Heavy 18" xfId="4354"/>
    <cellStyle name="Border Heavy 19" xfId="4348"/>
    <cellStyle name="Border Heavy 2" xfId="4239"/>
    <cellStyle name="Border Heavy 2 2" xfId="5068"/>
    <cellStyle name="Border Heavy 2 2 2" xfId="8441"/>
    <cellStyle name="Border Heavy 2 2 2 2" xfId="8442"/>
    <cellStyle name="Border Heavy 2 2 3" xfId="8443"/>
    <cellStyle name="Border Heavy 2 3" xfId="5069"/>
    <cellStyle name="Border Heavy 2 3 2" xfId="8444"/>
    <cellStyle name="Border Heavy 2 3 2 2" xfId="8445"/>
    <cellStyle name="Border Heavy 2 3 3" xfId="8446"/>
    <cellStyle name="Border Heavy 2 4" xfId="8447"/>
    <cellStyle name="Border Heavy 2 4 2" xfId="8448"/>
    <cellStyle name="Border Heavy 2 5" xfId="8449"/>
    <cellStyle name="Border Heavy 20" xfId="4283"/>
    <cellStyle name="Border Heavy 21" xfId="4346"/>
    <cellStyle name="Border Heavy 22" xfId="4286"/>
    <cellStyle name="Border Heavy 23" xfId="4324"/>
    <cellStyle name="Border Heavy 24" xfId="4322"/>
    <cellStyle name="Border Heavy 25" xfId="4278"/>
    <cellStyle name="Border Heavy 3" xfId="4376"/>
    <cellStyle name="Border Heavy 3 2" xfId="8450"/>
    <cellStyle name="Border Heavy 3 2 2" xfId="8451"/>
    <cellStyle name="Border Heavy 3 3" xfId="8452"/>
    <cellStyle name="Border Heavy 4" xfId="4242"/>
    <cellStyle name="Border Heavy 4 2" xfId="8453"/>
    <cellStyle name="Border Heavy 4 2 2" xfId="8454"/>
    <cellStyle name="Border Heavy 4 3" xfId="8455"/>
    <cellStyle name="Border Heavy 5" xfId="4374"/>
    <cellStyle name="Border Heavy 5 2" xfId="8456"/>
    <cellStyle name="Border Heavy 6" xfId="4371"/>
    <cellStyle name="Border Heavy 7" xfId="4251"/>
    <cellStyle name="Border Heavy 8" xfId="4368"/>
    <cellStyle name="Border Heavy 9" xfId="4254"/>
    <cellStyle name="Border Thin" xfId="1646"/>
    <cellStyle name="Border Thin 2" xfId="5070"/>
    <cellStyle name="Border Thin 2 2" xfId="8457"/>
    <cellStyle name="Border Thin 2 3" xfId="8458"/>
    <cellStyle name="Border Thin 3" xfId="5071"/>
    <cellStyle name="Border Thin 3 2" xfId="8459"/>
    <cellStyle name="Border Thin 3 3" xfId="8460"/>
    <cellStyle name="Border Thin 4" xfId="8461"/>
    <cellStyle name="Border Thin 5" xfId="8462"/>
    <cellStyle name="Border Thin 5 2" xfId="8463"/>
    <cellStyle name="Border_Balances de escisión" xfId="1647"/>
    <cellStyle name="Borders" xfId="1648"/>
    <cellStyle name="Borders 10" xfId="30605"/>
    <cellStyle name="Borders 2" xfId="1649"/>
    <cellStyle name="Borders 2 2" xfId="1650"/>
    <cellStyle name="Borders 2 2 2" xfId="5072"/>
    <cellStyle name="Borders 2 2 2 10" xfId="26562"/>
    <cellStyle name="Borders 2 2 2 2" xfId="5073"/>
    <cellStyle name="Borders 2 2 2 2 2" xfId="8464"/>
    <cellStyle name="Borders 2 2 2 2 2 2" xfId="8465"/>
    <cellStyle name="Borders 2 2 2 2 2 2 2" xfId="24103"/>
    <cellStyle name="Borders 2 2 2 2 2 2 3" xfId="23340"/>
    <cellStyle name="Borders 2 2 2 2 2 3" xfId="8466"/>
    <cellStyle name="Borders 2 2 2 2 2 3 2" xfId="24104"/>
    <cellStyle name="Borders 2 2 2 2 2 3 3" xfId="23339"/>
    <cellStyle name="Borders 2 2 2 2 2 4" xfId="24102"/>
    <cellStyle name="Borders 2 2 2 2 2 5" xfId="23341"/>
    <cellStyle name="Borders 2 2 2 2 3" xfId="8467"/>
    <cellStyle name="Borders 2 2 2 2 3 2" xfId="8468"/>
    <cellStyle name="Borders 2 2 2 2 3 2 2" xfId="24106"/>
    <cellStyle name="Borders 2 2 2 2 3 2 3" xfId="23337"/>
    <cellStyle name="Borders 2 2 2 2 3 3" xfId="8469"/>
    <cellStyle name="Borders 2 2 2 2 3 3 2" xfId="24107"/>
    <cellStyle name="Borders 2 2 2 2 3 3 3" xfId="23336"/>
    <cellStyle name="Borders 2 2 2 2 3 4" xfId="24105"/>
    <cellStyle name="Borders 2 2 2 2 3 5" xfId="23338"/>
    <cellStyle name="Borders 2 2 2 2 4" xfId="8470"/>
    <cellStyle name="Borders 2 2 2 2 4 2" xfId="8471"/>
    <cellStyle name="Borders 2 2 2 2 4 2 2" xfId="24109"/>
    <cellStyle name="Borders 2 2 2 2 4 2 3" xfId="23335"/>
    <cellStyle name="Borders 2 2 2 2 4 3" xfId="8472"/>
    <cellStyle name="Borders 2 2 2 2 4 3 2" xfId="24110"/>
    <cellStyle name="Borders 2 2 2 2 4 3 3" xfId="23334"/>
    <cellStyle name="Borders 2 2 2 2 4 4" xfId="24108"/>
    <cellStyle name="Borders 2 2 2 2 4 5" xfId="20899"/>
    <cellStyle name="Borders 2 2 2 2 5" xfId="8473"/>
    <cellStyle name="Borders 2 2 2 2 5 2" xfId="24111"/>
    <cellStyle name="Borders 2 2 2 2 5 3" xfId="23333"/>
    <cellStyle name="Borders 2 2 2 2 6" xfId="8474"/>
    <cellStyle name="Borders 2 2 2 2 6 2" xfId="24112"/>
    <cellStyle name="Borders 2 2 2 2 6 3" xfId="23332"/>
    <cellStyle name="Borders 2 2 2 2 7" xfId="20974"/>
    <cellStyle name="Borders 2 2 2 2 8" xfId="20507"/>
    <cellStyle name="Borders 2 2 2 3" xfId="5074"/>
    <cellStyle name="Borders 2 2 2 3 2" xfId="8475"/>
    <cellStyle name="Borders 2 2 2 3 2 2" xfId="8476"/>
    <cellStyle name="Borders 2 2 2 3 2 2 2" xfId="24114"/>
    <cellStyle name="Borders 2 2 2 3 2 2 3" xfId="23330"/>
    <cellStyle name="Borders 2 2 2 3 2 3" xfId="8477"/>
    <cellStyle name="Borders 2 2 2 3 2 3 2" xfId="24115"/>
    <cellStyle name="Borders 2 2 2 3 2 3 3" xfId="23329"/>
    <cellStyle name="Borders 2 2 2 3 2 4" xfId="24113"/>
    <cellStyle name="Borders 2 2 2 3 2 5" xfId="23331"/>
    <cellStyle name="Borders 2 2 2 3 3" xfId="8478"/>
    <cellStyle name="Borders 2 2 2 3 3 2" xfId="8479"/>
    <cellStyle name="Borders 2 2 2 3 3 2 2" xfId="24117"/>
    <cellStyle name="Borders 2 2 2 3 3 2 3" xfId="20386"/>
    <cellStyle name="Borders 2 2 2 3 3 3" xfId="8480"/>
    <cellStyle name="Borders 2 2 2 3 3 3 2" xfId="24118"/>
    <cellStyle name="Borders 2 2 2 3 3 3 3" xfId="23327"/>
    <cellStyle name="Borders 2 2 2 3 3 4" xfId="24116"/>
    <cellStyle name="Borders 2 2 2 3 3 5" xfId="23328"/>
    <cellStyle name="Borders 2 2 2 3 4" xfId="8481"/>
    <cellStyle name="Borders 2 2 2 3 4 2" xfId="8482"/>
    <cellStyle name="Borders 2 2 2 3 4 2 2" xfId="24120"/>
    <cellStyle name="Borders 2 2 2 3 4 2 3" xfId="23325"/>
    <cellStyle name="Borders 2 2 2 3 4 3" xfId="8483"/>
    <cellStyle name="Borders 2 2 2 3 4 3 2" xfId="24121"/>
    <cellStyle name="Borders 2 2 2 3 4 3 3" xfId="23324"/>
    <cellStyle name="Borders 2 2 2 3 4 4" xfId="24119"/>
    <cellStyle name="Borders 2 2 2 3 4 5" xfId="23326"/>
    <cellStyle name="Borders 2 2 2 3 5" xfId="8484"/>
    <cellStyle name="Borders 2 2 2 3 5 2" xfId="24122"/>
    <cellStyle name="Borders 2 2 2 3 5 3" xfId="23323"/>
    <cellStyle name="Borders 2 2 2 3 6" xfId="8485"/>
    <cellStyle name="Borders 2 2 2 3 6 2" xfId="24123"/>
    <cellStyle name="Borders 2 2 2 3 6 3" xfId="23322"/>
    <cellStyle name="Borders 2 2 2 3 7" xfId="20975"/>
    <cellStyle name="Borders 2 2 2 3 8" xfId="26561"/>
    <cellStyle name="Borders 2 2 2 4" xfId="5075"/>
    <cellStyle name="Borders 2 2 2 4 2" xfId="8486"/>
    <cellStyle name="Borders 2 2 2 4 2 2" xfId="8487"/>
    <cellStyle name="Borders 2 2 2 4 2 2 2" xfId="24125"/>
    <cellStyle name="Borders 2 2 2 4 2 2 3" xfId="23320"/>
    <cellStyle name="Borders 2 2 2 4 2 3" xfId="8488"/>
    <cellStyle name="Borders 2 2 2 4 2 3 2" xfId="24126"/>
    <cellStyle name="Borders 2 2 2 4 2 3 3" xfId="20477"/>
    <cellStyle name="Borders 2 2 2 4 2 4" xfId="24124"/>
    <cellStyle name="Borders 2 2 2 4 2 5" xfId="23321"/>
    <cellStyle name="Borders 2 2 2 4 3" xfId="8489"/>
    <cellStyle name="Borders 2 2 2 4 3 2" xfId="8490"/>
    <cellStyle name="Borders 2 2 2 4 3 2 2" xfId="24128"/>
    <cellStyle name="Borders 2 2 2 4 3 2 3" xfId="23318"/>
    <cellStyle name="Borders 2 2 2 4 3 3" xfId="8491"/>
    <cellStyle name="Borders 2 2 2 4 3 3 2" xfId="24129"/>
    <cellStyle name="Borders 2 2 2 4 3 3 3" xfId="23317"/>
    <cellStyle name="Borders 2 2 2 4 3 4" xfId="24127"/>
    <cellStyle name="Borders 2 2 2 4 3 5" xfId="23319"/>
    <cellStyle name="Borders 2 2 2 4 4" xfId="8492"/>
    <cellStyle name="Borders 2 2 2 4 4 2" xfId="8493"/>
    <cellStyle name="Borders 2 2 2 4 4 2 2" xfId="24131"/>
    <cellStyle name="Borders 2 2 2 4 4 2 3" xfId="23315"/>
    <cellStyle name="Borders 2 2 2 4 4 3" xfId="8494"/>
    <cellStyle name="Borders 2 2 2 4 4 3 2" xfId="24132"/>
    <cellStyle name="Borders 2 2 2 4 4 3 3" xfId="23314"/>
    <cellStyle name="Borders 2 2 2 4 4 4" xfId="24130"/>
    <cellStyle name="Borders 2 2 2 4 4 5" xfId="23316"/>
    <cellStyle name="Borders 2 2 2 4 5" xfId="8495"/>
    <cellStyle name="Borders 2 2 2 4 5 2" xfId="24133"/>
    <cellStyle name="Borders 2 2 2 4 5 3" xfId="23313"/>
    <cellStyle name="Borders 2 2 2 4 6" xfId="8496"/>
    <cellStyle name="Borders 2 2 2 4 6 2" xfId="24134"/>
    <cellStyle name="Borders 2 2 2 4 6 3" xfId="23312"/>
    <cellStyle name="Borders 2 2 2 4 7" xfId="20976"/>
    <cellStyle name="Borders 2 2 2 4 8" xfId="26560"/>
    <cellStyle name="Borders 2 2 2 5" xfId="8497"/>
    <cellStyle name="Borders 2 2 2 5 2" xfId="8498"/>
    <cellStyle name="Borders 2 2 2 5 2 2" xfId="24136"/>
    <cellStyle name="Borders 2 2 2 5 2 3" xfId="23310"/>
    <cellStyle name="Borders 2 2 2 5 3" xfId="8499"/>
    <cellStyle name="Borders 2 2 2 5 3 2" xfId="24137"/>
    <cellStyle name="Borders 2 2 2 5 3 3" xfId="23309"/>
    <cellStyle name="Borders 2 2 2 5 4" xfId="24135"/>
    <cellStyle name="Borders 2 2 2 5 5" xfId="23311"/>
    <cellStyle name="Borders 2 2 2 6" xfId="8500"/>
    <cellStyle name="Borders 2 2 2 6 2" xfId="8501"/>
    <cellStyle name="Borders 2 2 2 6 2 2" xfId="24139"/>
    <cellStyle name="Borders 2 2 2 6 2 3" xfId="23307"/>
    <cellStyle name="Borders 2 2 2 6 3" xfId="8502"/>
    <cellStyle name="Borders 2 2 2 6 3 2" xfId="24140"/>
    <cellStyle name="Borders 2 2 2 6 3 3" xfId="20898"/>
    <cellStyle name="Borders 2 2 2 6 4" xfId="24138"/>
    <cellStyle name="Borders 2 2 2 6 5" xfId="23308"/>
    <cellStyle name="Borders 2 2 2 7" xfId="8503"/>
    <cellStyle name="Borders 2 2 2 7 2" xfId="24141"/>
    <cellStyle name="Borders 2 2 2 7 3" xfId="23306"/>
    <cellStyle name="Borders 2 2 2 8" xfId="8504"/>
    <cellStyle name="Borders 2 2 2 8 2" xfId="24142"/>
    <cellStyle name="Borders 2 2 2 8 3" xfId="23305"/>
    <cellStyle name="Borders 2 2 2 9" xfId="20973"/>
    <cellStyle name="Borders 2 2 3" xfId="8505"/>
    <cellStyle name="Borders 2 2 3 2" xfId="8506"/>
    <cellStyle name="Borders 2 2 3 2 2" xfId="24144"/>
    <cellStyle name="Borders 2 2 3 2 3" xfId="23303"/>
    <cellStyle name="Borders 2 2 3 3" xfId="8507"/>
    <cellStyle name="Borders 2 2 3 3 2" xfId="24145"/>
    <cellStyle name="Borders 2 2 3 3 3" xfId="23302"/>
    <cellStyle name="Borders 2 2 3 4" xfId="24143"/>
    <cellStyle name="Borders 2 2 3 5" xfId="23304"/>
    <cellStyle name="Borders 2 2 4" xfId="8508"/>
    <cellStyle name="Borders 2 2 4 2" xfId="8509"/>
    <cellStyle name="Borders 2 2 4 2 2" xfId="24147"/>
    <cellStyle name="Borders 2 2 4 2 3" xfId="23300"/>
    <cellStyle name="Borders 2 2 4 3" xfId="8510"/>
    <cellStyle name="Borders 2 2 4 3 2" xfId="24148"/>
    <cellStyle name="Borders 2 2 4 3 3" xfId="23299"/>
    <cellStyle name="Borders 2 2 4 4" xfId="24146"/>
    <cellStyle name="Borders 2 2 4 5" xfId="23301"/>
    <cellStyle name="Borders 2 2 5" xfId="8511"/>
    <cellStyle name="Borders 2 2 5 2" xfId="24149"/>
    <cellStyle name="Borders 2 2 5 3" xfId="20427"/>
    <cellStyle name="Borders 2 2 6" xfId="8512"/>
    <cellStyle name="Borders 2 2 6 2" xfId="24150"/>
    <cellStyle name="Borders 2 2 6 3" xfId="23298"/>
    <cellStyle name="Borders 2 2 7" xfId="19213"/>
    <cellStyle name="Borders 2 2 8" xfId="30603"/>
    <cellStyle name="Borders 2 3" xfId="5076"/>
    <cellStyle name="Borders 2 3 10" xfId="26559"/>
    <cellStyle name="Borders 2 3 2" xfId="5077"/>
    <cellStyle name="Borders 2 3 2 2" xfId="8513"/>
    <cellStyle name="Borders 2 3 2 2 2" xfId="8514"/>
    <cellStyle name="Borders 2 3 2 2 2 2" xfId="24152"/>
    <cellStyle name="Borders 2 3 2 2 2 3" xfId="23296"/>
    <cellStyle name="Borders 2 3 2 2 3" xfId="8515"/>
    <cellStyle name="Borders 2 3 2 2 3 2" xfId="24153"/>
    <cellStyle name="Borders 2 3 2 2 3 3" xfId="23295"/>
    <cellStyle name="Borders 2 3 2 2 4" xfId="24151"/>
    <cellStyle name="Borders 2 3 2 2 5" xfId="23297"/>
    <cellStyle name="Borders 2 3 2 3" xfId="8516"/>
    <cellStyle name="Borders 2 3 2 3 2" xfId="8517"/>
    <cellStyle name="Borders 2 3 2 3 2 2" xfId="24155"/>
    <cellStyle name="Borders 2 3 2 3 2 3" xfId="23293"/>
    <cellStyle name="Borders 2 3 2 3 3" xfId="8518"/>
    <cellStyle name="Borders 2 3 2 3 3 2" xfId="24156"/>
    <cellStyle name="Borders 2 3 2 3 3 3" xfId="23292"/>
    <cellStyle name="Borders 2 3 2 3 4" xfId="24154"/>
    <cellStyle name="Borders 2 3 2 3 5" xfId="23294"/>
    <cellStyle name="Borders 2 3 2 4" xfId="8519"/>
    <cellStyle name="Borders 2 3 2 4 2" xfId="8520"/>
    <cellStyle name="Borders 2 3 2 4 2 2" xfId="24158"/>
    <cellStyle name="Borders 2 3 2 4 2 3" xfId="20382"/>
    <cellStyle name="Borders 2 3 2 4 3" xfId="8521"/>
    <cellStyle name="Borders 2 3 2 4 3 2" xfId="24159"/>
    <cellStyle name="Borders 2 3 2 4 3 3" xfId="18596"/>
    <cellStyle name="Borders 2 3 2 4 4" xfId="24157"/>
    <cellStyle name="Borders 2 3 2 4 5" xfId="23291"/>
    <cellStyle name="Borders 2 3 2 5" xfId="8522"/>
    <cellStyle name="Borders 2 3 2 5 2" xfId="24160"/>
    <cellStyle name="Borders 2 3 2 5 3" xfId="23290"/>
    <cellStyle name="Borders 2 3 2 6" xfId="8523"/>
    <cellStyle name="Borders 2 3 2 6 2" xfId="24161"/>
    <cellStyle name="Borders 2 3 2 6 3" xfId="23289"/>
    <cellStyle name="Borders 2 3 2 7" xfId="20978"/>
    <cellStyle name="Borders 2 3 2 8" xfId="26558"/>
    <cellStyle name="Borders 2 3 3" xfId="5078"/>
    <cellStyle name="Borders 2 3 3 2" xfId="8524"/>
    <cellStyle name="Borders 2 3 3 2 2" xfId="8525"/>
    <cellStyle name="Borders 2 3 3 2 2 2" xfId="24163"/>
    <cellStyle name="Borders 2 3 3 2 2 3" xfId="23287"/>
    <cellStyle name="Borders 2 3 3 2 3" xfId="8526"/>
    <cellStyle name="Borders 2 3 3 2 3 2" xfId="24164"/>
    <cellStyle name="Borders 2 3 3 2 3 3" xfId="23286"/>
    <cellStyle name="Borders 2 3 3 2 4" xfId="24162"/>
    <cellStyle name="Borders 2 3 3 2 5" xfId="23288"/>
    <cellStyle name="Borders 2 3 3 3" xfId="8527"/>
    <cellStyle name="Borders 2 3 3 3 2" xfId="8528"/>
    <cellStyle name="Borders 2 3 3 3 2 2" xfId="24166"/>
    <cellStyle name="Borders 2 3 3 3 2 3" xfId="23284"/>
    <cellStyle name="Borders 2 3 3 3 3" xfId="8529"/>
    <cellStyle name="Borders 2 3 3 3 3 2" xfId="24167"/>
    <cellStyle name="Borders 2 3 3 3 3 3" xfId="23283"/>
    <cellStyle name="Borders 2 3 3 3 4" xfId="24165"/>
    <cellStyle name="Borders 2 3 3 3 5" xfId="23285"/>
    <cellStyle name="Borders 2 3 3 4" xfId="8530"/>
    <cellStyle name="Borders 2 3 3 4 2" xfId="8531"/>
    <cellStyle name="Borders 2 3 3 4 2 2" xfId="24169"/>
    <cellStyle name="Borders 2 3 3 4 2 3" xfId="23281"/>
    <cellStyle name="Borders 2 3 3 4 3" xfId="8532"/>
    <cellStyle name="Borders 2 3 3 4 3 2" xfId="24170"/>
    <cellStyle name="Borders 2 3 3 4 3 3" xfId="23280"/>
    <cellStyle name="Borders 2 3 3 4 4" xfId="24168"/>
    <cellStyle name="Borders 2 3 3 4 5" xfId="23282"/>
    <cellStyle name="Borders 2 3 3 5" xfId="8533"/>
    <cellStyle name="Borders 2 3 3 5 2" xfId="24171"/>
    <cellStyle name="Borders 2 3 3 5 3" xfId="23279"/>
    <cellStyle name="Borders 2 3 3 6" xfId="8534"/>
    <cellStyle name="Borders 2 3 3 6 2" xfId="24172"/>
    <cellStyle name="Borders 2 3 3 6 3" xfId="23278"/>
    <cellStyle name="Borders 2 3 3 7" xfId="20979"/>
    <cellStyle name="Borders 2 3 3 8" xfId="26557"/>
    <cellStyle name="Borders 2 3 4" xfId="5079"/>
    <cellStyle name="Borders 2 3 4 2" xfId="8535"/>
    <cellStyle name="Borders 2 3 4 2 2" xfId="8536"/>
    <cellStyle name="Borders 2 3 4 2 2 2" xfId="24174"/>
    <cellStyle name="Borders 2 3 4 2 2 3" xfId="23277"/>
    <cellStyle name="Borders 2 3 4 2 3" xfId="8537"/>
    <cellStyle name="Borders 2 3 4 2 3 2" xfId="24175"/>
    <cellStyle name="Borders 2 3 4 2 3 3" xfId="23276"/>
    <cellStyle name="Borders 2 3 4 2 4" xfId="24173"/>
    <cellStyle name="Borders 2 3 4 2 5" xfId="20897"/>
    <cellStyle name="Borders 2 3 4 3" xfId="8538"/>
    <cellStyle name="Borders 2 3 4 3 2" xfId="8539"/>
    <cellStyle name="Borders 2 3 4 3 2 2" xfId="24177"/>
    <cellStyle name="Borders 2 3 4 3 2 3" xfId="23274"/>
    <cellStyle name="Borders 2 3 4 3 3" xfId="8540"/>
    <cellStyle name="Borders 2 3 4 3 3 2" xfId="24178"/>
    <cellStyle name="Borders 2 3 4 3 3 3" xfId="23273"/>
    <cellStyle name="Borders 2 3 4 3 4" xfId="24176"/>
    <cellStyle name="Borders 2 3 4 3 5" xfId="23275"/>
    <cellStyle name="Borders 2 3 4 4" xfId="8541"/>
    <cellStyle name="Borders 2 3 4 4 2" xfId="8542"/>
    <cellStyle name="Borders 2 3 4 4 2 2" xfId="24180"/>
    <cellStyle name="Borders 2 3 4 4 2 3" xfId="23271"/>
    <cellStyle name="Borders 2 3 4 4 3" xfId="8543"/>
    <cellStyle name="Borders 2 3 4 4 3 2" xfId="24181"/>
    <cellStyle name="Borders 2 3 4 4 3 3" xfId="23270"/>
    <cellStyle name="Borders 2 3 4 4 4" xfId="24179"/>
    <cellStyle name="Borders 2 3 4 4 5" xfId="23272"/>
    <cellStyle name="Borders 2 3 4 5" xfId="8544"/>
    <cellStyle name="Borders 2 3 4 5 2" xfId="24182"/>
    <cellStyle name="Borders 2 3 4 5 3" xfId="20408"/>
    <cellStyle name="Borders 2 3 4 6" xfId="8545"/>
    <cellStyle name="Borders 2 3 4 6 2" xfId="24183"/>
    <cellStyle name="Borders 2 3 4 6 3" xfId="23269"/>
    <cellStyle name="Borders 2 3 4 7" xfId="20980"/>
    <cellStyle name="Borders 2 3 4 8" xfId="26556"/>
    <cellStyle name="Borders 2 3 5" xfId="8546"/>
    <cellStyle name="Borders 2 3 5 2" xfId="8547"/>
    <cellStyle name="Borders 2 3 5 2 2" xfId="24185"/>
    <cellStyle name="Borders 2 3 5 2 3" xfId="23267"/>
    <cellStyle name="Borders 2 3 5 3" xfId="8548"/>
    <cellStyle name="Borders 2 3 5 3 2" xfId="24186"/>
    <cellStyle name="Borders 2 3 5 3 3" xfId="23266"/>
    <cellStyle name="Borders 2 3 5 4" xfId="24184"/>
    <cellStyle name="Borders 2 3 5 5" xfId="23268"/>
    <cellStyle name="Borders 2 3 6" xfId="8549"/>
    <cellStyle name="Borders 2 3 6 2" xfId="8550"/>
    <cellStyle name="Borders 2 3 6 2 2" xfId="24188"/>
    <cellStyle name="Borders 2 3 6 2 3" xfId="23264"/>
    <cellStyle name="Borders 2 3 6 3" xfId="8551"/>
    <cellStyle name="Borders 2 3 6 3 2" xfId="24189"/>
    <cellStyle name="Borders 2 3 6 3 3" xfId="23263"/>
    <cellStyle name="Borders 2 3 6 4" xfId="24187"/>
    <cellStyle name="Borders 2 3 6 5" xfId="23265"/>
    <cellStyle name="Borders 2 3 7" xfId="8552"/>
    <cellStyle name="Borders 2 3 7 2" xfId="24190"/>
    <cellStyle name="Borders 2 3 7 3" xfId="23262"/>
    <cellStyle name="Borders 2 3 8" xfId="8553"/>
    <cellStyle name="Borders 2 3 8 2" xfId="24191"/>
    <cellStyle name="Borders 2 3 8 3" xfId="20268"/>
    <cellStyle name="Borders 2 3 9" xfId="20977"/>
    <cellStyle name="Borders 2 4" xfId="8554"/>
    <cellStyle name="Borders 2 4 2" xfId="8555"/>
    <cellStyle name="Borders 2 4 2 2" xfId="24193"/>
    <cellStyle name="Borders 2 4 2 3" xfId="18594"/>
    <cellStyle name="Borders 2 4 3" xfId="8556"/>
    <cellStyle name="Borders 2 4 3 2" xfId="24194"/>
    <cellStyle name="Borders 2 4 3 3" xfId="18593"/>
    <cellStyle name="Borders 2 4 4" xfId="24192"/>
    <cellStyle name="Borders 2 4 5" xfId="18595"/>
    <cellStyle name="Borders 2 5" xfId="8557"/>
    <cellStyle name="Borders 2 5 2" xfId="8558"/>
    <cellStyle name="Borders 2 5 2 2" xfId="24196"/>
    <cellStyle name="Borders 2 5 2 3" xfId="18591"/>
    <cellStyle name="Borders 2 5 3" xfId="8559"/>
    <cellStyle name="Borders 2 5 3 2" xfId="24197"/>
    <cellStyle name="Borders 2 5 3 3" xfId="18590"/>
    <cellStyle name="Borders 2 5 4" xfId="24195"/>
    <cellStyle name="Borders 2 5 5" xfId="18592"/>
    <cellStyle name="Borders 2 6" xfId="8560"/>
    <cellStyle name="Borders 2 6 2" xfId="24198"/>
    <cellStyle name="Borders 2 6 3" xfId="20896"/>
    <cellStyle name="Borders 2 7" xfId="8561"/>
    <cellStyle name="Borders 2 7 2" xfId="24199"/>
    <cellStyle name="Borders 2 7 3" xfId="18589"/>
    <cellStyle name="Borders 2 8" xfId="19212"/>
    <cellStyle name="Borders 2 9" xfId="30604"/>
    <cellStyle name="Borders 3" xfId="1651"/>
    <cellStyle name="Borders 3 2" xfId="5080"/>
    <cellStyle name="Borders 3 2 10" xfId="26555"/>
    <cellStyle name="Borders 3 2 2" xfId="5081"/>
    <cellStyle name="Borders 3 2 2 2" xfId="8562"/>
    <cellStyle name="Borders 3 2 2 2 2" xfId="8563"/>
    <cellStyle name="Borders 3 2 2 2 2 2" xfId="24201"/>
    <cellStyle name="Borders 3 2 2 2 2 3" xfId="18587"/>
    <cellStyle name="Borders 3 2 2 2 3" xfId="8564"/>
    <cellStyle name="Borders 3 2 2 2 3 2" xfId="24202"/>
    <cellStyle name="Borders 3 2 2 2 3 3" xfId="18586"/>
    <cellStyle name="Borders 3 2 2 2 4" xfId="24200"/>
    <cellStyle name="Borders 3 2 2 2 5" xfId="18588"/>
    <cellStyle name="Borders 3 2 2 3" xfId="8565"/>
    <cellStyle name="Borders 3 2 2 3 2" xfId="8566"/>
    <cellStyle name="Borders 3 2 2 3 2 2" xfId="24204"/>
    <cellStyle name="Borders 3 2 2 3 2 3" xfId="18584"/>
    <cellStyle name="Borders 3 2 2 3 3" xfId="8567"/>
    <cellStyle name="Borders 3 2 2 3 3 2" xfId="24205"/>
    <cellStyle name="Borders 3 2 2 3 3 3" xfId="18583"/>
    <cellStyle name="Borders 3 2 2 3 4" xfId="24203"/>
    <cellStyle name="Borders 3 2 2 3 5" xfId="18585"/>
    <cellStyle name="Borders 3 2 2 4" xfId="8568"/>
    <cellStyle name="Borders 3 2 2 4 2" xfId="8569"/>
    <cellStyle name="Borders 3 2 2 4 2 2" xfId="24207"/>
    <cellStyle name="Borders 3 2 2 4 2 3" xfId="18581"/>
    <cellStyle name="Borders 3 2 2 4 3" xfId="8570"/>
    <cellStyle name="Borders 3 2 2 4 3 2" xfId="24208"/>
    <cellStyle name="Borders 3 2 2 4 3 3" xfId="18580"/>
    <cellStyle name="Borders 3 2 2 4 4" xfId="24206"/>
    <cellStyle name="Borders 3 2 2 4 5" xfId="18582"/>
    <cellStyle name="Borders 3 2 2 5" xfId="8571"/>
    <cellStyle name="Borders 3 2 2 5 2" xfId="24209"/>
    <cellStyle name="Borders 3 2 2 5 3" xfId="18579"/>
    <cellStyle name="Borders 3 2 2 6" xfId="8572"/>
    <cellStyle name="Borders 3 2 2 6 2" xfId="24210"/>
    <cellStyle name="Borders 3 2 2 6 3" xfId="18578"/>
    <cellStyle name="Borders 3 2 2 7" xfId="20982"/>
    <cellStyle name="Borders 3 2 2 8" xfId="26554"/>
    <cellStyle name="Borders 3 2 3" xfId="5082"/>
    <cellStyle name="Borders 3 2 3 2" xfId="8573"/>
    <cellStyle name="Borders 3 2 3 2 2" xfId="8574"/>
    <cellStyle name="Borders 3 2 3 2 2 2" xfId="24212"/>
    <cellStyle name="Borders 3 2 3 2 2 3" xfId="18576"/>
    <cellStyle name="Borders 3 2 3 2 3" xfId="8575"/>
    <cellStyle name="Borders 3 2 3 2 3 2" xfId="24213"/>
    <cellStyle name="Borders 3 2 3 2 3 3" xfId="18575"/>
    <cellStyle name="Borders 3 2 3 2 4" xfId="24211"/>
    <cellStyle name="Borders 3 2 3 2 5" xfId="18577"/>
    <cellStyle name="Borders 3 2 3 3" xfId="8576"/>
    <cellStyle name="Borders 3 2 3 3 2" xfId="8577"/>
    <cellStyle name="Borders 3 2 3 3 2 2" xfId="24215"/>
    <cellStyle name="Borders 3 2 3 3 2 3" xfId="18573"/>
    <cellStyle name="Borders 3 2 3 3 3" xfId="8578"/>
    <cellStyle name="Borders 3 2 3 3 3 2" xfId="24216"/>
    <cellStyle name="Borders 3 2 3 3 3 3" xfId="18572"/>
    <cellStyle name="Borders 3 2 3 3 4" xfId="24214"/>
    <cellStyle name="Borders 3 2 3 3 5" xfId="18574"/>
    <cellStyle name="Borders 3 2 3 4" xfId="8579"/>
    <cellStyle name="Borders 3 2 3 4 2" xfId="8580"/>
    <cellStyle name="Borders 3 2 3 4 2 2" xfId="24218"/>
    <cellStyle name="Borders 3 2 3 4 2 3" xfId="18570"/>
    <cellStyle name="Borders 3 2 3 4 3" xfId="8581"/>
    <cellStyle name="Borders 3 2 3 4 3 2" xfId="24219"/>
    <cellStyle name="Borders 3 2 3 4 3 3" xfId="18147"/>
    <cellStyle name="Borders 3 2 3 4 4" xfId="24217"/>
    <cellStyle name="Borders 3 2 3 4 5" xfId="18571"/>
    <cellStyle name="Borders 3 2 3 5" xfId="8582"/>
    <cellStyle name="Borders 3 2 3 5 2" xfId="24220"/>
    <cellStyle name="Borders 3 2 3 5 3" xfId="18569"/>
    <cellStyle name="Borders 3 2 3 6" xfId="8583"/>
    <cellStyle name="Borders 3 2 3 6 2" xfId="24221"/>
    <cellStyle name="Borders 3 2 3 6 3" xfId="18568"/>
    <cellStyle name="Borders 3 2 3 7" xfId="20983"/>
    <cellStyle name="Borders 3 2 3 8" xfId="26553"/>
    <cellStyle name="Borders 3 2 4" xfId="5083"/>
    <cellStyle name="Borders 3 2 4 2" xfId="8584"/>
    <cellStyle name="Borders 3 2 4 2 2" xfId="8585"/>
    <cellStyle name="Borders 3 2 4 2 2 2" xfId="24223"/>
    <cellStyle name="Borders 3 2 4 2 2 3" xfId="23261"/>
    <cellStyle name="Borders 3 2 4 2 3" xfId="8586"/>
    <cellStyle name="Borders 3 2 4 2 3 2" xfId="24224"/>
    <cellStyle name="Borders 3 2 4 2 3 3" xfId="23260"/>
    <cellStyle name="Borders 3 2 4 2 4" xfId="24222"/>
    <cellStyle name="Borders 3 2 4 2 5" xfId="18567"/>
    <cellStyle name="Borders 3 2 4 3" xfId="8587"/>
    <cellStyle name="Borders 3 2 4 3 2" xfId="8588"/>
    <cellStyle name="Borders 3 2 4 3 2 2" xfId="24226"/>
    <cellStyle name="Borders 3 2 4 3 2 3" xfId="23258"/>
    <cellStyle name="Borders 3 2 4 3 3" xfId="8589"/>
    <cellStyle name="Borders 3 2 4 3 3 2" xfId="24227"/>
    <cellStyle name="Borders 3 2 4 3 3 3" xfId="23257"/>
    <cellStyle name="Borders 3 2 4 3 4" xfId="24225"/>
    <cellStyle name="Borders 3 2 4 3 5" xfId="23259"/>
    <cellStyle name="Borders 3 2 4 4" xfId="8590"/>
    <cellStyle name="Borders 3 2 4 4 2" xfId="8591"/>
    <cellStyle name="Borders 3 2 4 4 2 2" xfId="24229"/>
    <cellStyle name="Borders 3 2 4 4 2 3" xfId="23255"/>
    <cellStyle name="Borders 3 2 4 4 3" xfId="8592"/>
    <cellStyle name="Borders 3 2 4 4 3 2" xfId="24230"/>
    <cellStyle name="Borders 3 2 4 4 3 3" xfId="23254"/>
    <cellStyle name="Borders 3 2 4 4 4" xfId="24228"/>
    <cellStyle name="Borders 3 2 4 4 5" xfId="23256"/>
    <cellStyle name="Borders 3 2 4 5" xfId="8593"/>
    <cellStyle name="Borders 3 2 4 5 2" xfId="24231"/>
    <cellStyle name="Borders 3 2 4 5 3" xfId="23253"/>
    <cellStyle name="Borders 3 2 4 6" xfId="8594"/>
    <cellStyle name="Borders 3 2 4 6 2" xfId="24232"/>
    <cellStyle name="Borders 3 2 4 6 3" xfId="23252"/>
    <cellStyle name="Borders 3 2 4 7" xfId="20984"/>
    <cellStyle name="Borders 3 2 4 8" xfId="26552"/>
    <cellStyle name="Borders 3 2 5" xfId="8595"/>
    <cellStyle name="Borders 3 2 5 2" xfId="8596"/>
    <cellStyle name="Borders 3 2 5 2 2" xfId="24234"/>
    <cellStyle name="Borders 3 2 5 2 3" xfId="23250"/>
    <cellStyle name="Borders 3 2 5 3" xfId="8597"/>
    <cellStyle name="Borders 3 2 5 3 2" xfId="24235"/>
    <cellStyle name="Borders 3 2 5 3 3" xfId="23249"/>
    <cellStyle name="Borders 3 2 5 4" xfId="24233"/>
    <cellStyle name="Borders 3 2 5 5" xfId="23251"/>
    <cellStyle name="Borders 3 2 6" xfId="8598"/>
    <cellStyle name="Borders 3 2 6 2" xfId="8599"/>
    <cellStyle name="Borders 3 2 6 2 2" xfId="24237"/>
    <cellStyle name="Borders 3 2 6 2 3" xfId="23247"/>
    <cellStyle name="Borders 3 2 6 3" xfId="8600"/>
    <cellStyle name="Borders 3 2 6 3 2" xfId="24238"/>
    <cellStyle name="Borders 3 2 6 3 3" xfId="23246"/>
    <cellStyle name="Borders 3 2 6 4" xfId="24236"/>
    <cellStyle name="Borders 3 2 6 5" xfId="23248"/>
    <cellStyle name="Borders 3 2 7" xfId="8601"/>
    <cellStyle name="Borders 3 2 7 2" xfId="24239"/>
    <cellStyle name="Borders 3 2 7 3" xfId="23245"/>
    <cellStyle name="Borders 3 2 8" xfId="8602"/>
    <cellStyle name="Borders 3 2 8 2" xfId="24240"/>
    <cellStyle name="Borders 3 2 8 3" xfId="23244"/>
    <cellStyle name="Borders 3 2 9" xfId="20981"/>
    <cellStyle name="Borders 3 3" xfId="8603"/>
    <cellStyle name="Borders 3 3 2" xfId="8604"/>
    <cellStyle name="Borders 3 3 2 2" xfId="24242"/>
    <cellStyle name="Borders 3 3 2 3" xfId="23242"/>
    <cellStyle name="Borders 3 3 3" xfId="8605"/>
    <cellStyle name="Borders 3 3 3 2" xfId="24243"/>
    <cellStyle name="Borders 3 3 3 3" xfId="23241"/>
    <cellStyle name="Borders 3 3 4" xfId="24241"/>
    <cellStyle name="Borders 3 3 5" xfId="23243"/>
    <cellStyle name="Borders 3 4" xfId="8606"/>
    <cellStyle name="Borders 3 4 2" xfId="8607"/>
    <cellStyle name="Borders 3 4 2 2" xfId="24245"/>
    <cellStyle name="Borders 3 4 2 3" xfId="23239"/>
    <cellStyle name="Borders 3 4 3" xfId="8608"/>
    <cellStyle name="Borders 3 4 3 2" xfId="24246"/>
    <cellStyle name="Borders 3 4 3 3" xfId="23238"/>
    <cellStyle name="Borders 3 4 4" xfId="24244"/>
    <cellStyle name="Borders 3 4 5" xfId="23240"/>
    <cellStyle name="Borders 3 5" xfId="8609"/>
    <cellStyle name="Borders 3 5 2" xfId="24247"/>
    <cellStyle name="Borders 3 5 3" xfId="23237"/>
    <cellStyle name="Borders 3 6" xfId="8610"/>
    <cellStyle name="Borders 3 6 2" xfId="24248"/>
    <cellStyle name="Borders 3 6 3" xfId="23236"/>
    <cellStyle name="Borders 3 7" xfId="19214"/>
    <cellStyle name="Borders 3 8" xfId="30602"/>
    <cellStyle name="Borders 4" xfId="5084"/>
    <cellStyle name="Borders 4 10" xfId="26551"/>
    <cellStyle name="Borders 4 2" xfId="5085"/>
    <cellStyle name="Borders 4 2 2" xfId="8611"/>
    <cellStyle name="Borders 4 2 2 2" xfId="8612"/>
    <cellStyle name="Borders 4 2 2 2 2" xfId="24250"/>
    <cellStyle name="Borders 4 2 2 2 3" xfId="23235"/>
    <cellStyle name="Borders 4 2 2 3" xfId="8613"/>
    <cellStyle name="Borders 4 2 2 3 2" xfId="24251"/>
    <cellStyle name="Borders 4 2 2 3 3" xfId="23234"/>
    <cellStyle name="Borders 4 2 2 4" xfId="24249"/>
    <cellStyle name="Borders 4 2 2 5" xfId="20895"/>
    <cellStyle name="Borders 4 2 3" xfId="8614"/>
    <cellStyle name="Borders 4 2 3 2" xfId="8615"/>
    <cellStyle name="Borders 4 2 3 2 2" xfId="24253"/>
    <cellStyle name="Borders 4 2 3 2 3" xfId="23232"/>
    <cellStyle name="Borders 4 2 3 3" xfId="8616"/>
    <cellStyle name="Borders 4 2 3 3 2" xfId="24254"/>
    <cellStyle name="Borders 4 2 3 3 3" xfId="23231"/>
    <cellStyle name="Borders 4 2 3 4" xfId="24252"/>
    <cellStyle name="Borders 4 2 3 5" xfId="23233"/>
    <cellStyle name="Borders 4 2 4" xfId="8617"/>
    <cellStyle name="Borders 4 2 4 2" xfId="8618"/>
    <cellStyle name="Borders 4 2 4 2 2" xfId="24256"/>
    <cellStyle name="Borders 4 2 4 2 3" xfId="23229"/>
    <cellStyle name="Borders 4 2 4 3" xfId="8619"/>
    <cellStyle name="Borders 4 2 4 3 2" xfId="24257"/>
    <cellStyle name="Borders 4 2 4 3 3" xfId="23228"/>
    <cellStyle name="Borders 4 2 4 4" xfId="24255"/>
    <cellStyle name="Borders 4 2 4 5" xfId="23230"/>
    <cellStyle name="Borders 4 2 5" xfId="8620"/>
    <cellStyle name="Borders 4 2 5 2" xfId="24258"/>
    <cellStyle name="Borders 4 2 5 3" xfId="23227"/>
    <cellStyle name="Borders 4 2 6" xfId="8621"/>
    <cellStyle name="Borders 4 2 6 2" xfId="24259"/>
    <cellStyle name="Borders 4 2 6 3" xfId="23226"/>
    <cellStyle name="Borders 4 2 7" xfId="20986"/>
    <cellStyle name="Borders 4 2 8" xfId="26550"/>
    <cellStyle name="Borders 4 3" xfId="5086"/>
    <cellStyle name="Borders 4 3 2" xfId="8622"/>
    <cellStyle name="Borders 4 3 2 2" xfId="8623"/>
    <cellStyle name="Borders 4 3 2 2 2" xfId="24261"/>
    <cellStyle name="Borders 4 3 2 2 3" xfId="23224"/>
    <cellStyle name="Borders 4 3 2 3" xfId="8624"/>
    <cellStyle name="Borders 4 3 2 3 2" xfId="24262"/>
    <cellStyle name="Borders 4 3 2 3 3" xfId="23223"/>
    <cellStyle name="Borders 4 3 2 4" xfId="24260"/>
    <cellStyle name="Borders 4 3 2 5" xfId="23225"/>
    <cellStyle name="Borders 4 3 3" xfId="8625"/>
    <cellStyle name="Borders 4 3 3 2" xfId="8626"/>
    <cellStyle name="Borders 4 3 3 2 2" xfId="24264"/>
    <cellStyle name="Borders 4 3 3 2 3" xfId="23221"/>
    <cellStyle name="Borders 4 3 3 3" xfId="8627"/>
    <cellStyle name="Borders 4 3 3 3 2" xfId="24265"/>
    <cellStyle name="Borders 4 3 3 3 3" xfId="23220"/>
    <cellStyle name="Borders 4 3 3 4" xfId="24263"/>
    <cellStyle name="Borders 4 3 3 5" xfId="23222"/>
    <cellStyle name="Borders 4 3 4" xfId="8628"/>
    <cellStyle name="Borders 4 3 4 2" xfId="8629"/>
    <cellStyle name="Borders 4 3 4 2 2" xfId="24267"/>
    <cellStyle name="Borders 4 3 4 2 3" xfId="20485"/>
    <cellStyle name="Borders 4 3 4 3" xfId="8630"/>
    <cellStyle name="Borders 4 3 4 3 2" xfId="24268"/>
    <cellStyle name="Borders 4 3 4 3 3" xfId="23218"/>
    <cellStyle name="Borders 4 3 4 4" xfId="24266"/>
    <cellStyle name="Borders 4 3 4 5" xfId="23219"/>
    <cellStyle name="Borders 4 3 5" xfId="8631"/>
    <cellStyle name="Borders 4 3 5 2" xfId="24269"/>
    <cellStyle name="Borders 4 3 5 3" xfId="23217"/>
    <cellStyle name="Borders 4 3 6" xfId="8632"/>
    <cellStyle name="Borders 4 3 6 2" xfId="24270"/>
    <cellStyle name="Borders 4 3 6 3" xfId="23216"/>
    <cellStyle name="Borders 4 3 7" xfId="20987"/>
    <cellStyle name="Borders 4 3 8" xfId="26549"/>
    <cellStyle name="Borders 4 4" xfId="5087"/>
    <cellStyle name="Borders 4 4 2" xfId="8633"/>
    <cellStyle name="Borders 4 4 2 2" xfId="8634"/>
    <cellStyle name="Borders 4 4 2 2 2" xfId="24272"/>
    <cellStyle name="Borders 4 4 2 2 3" xfId="23214"/>
    <cellStyle name="Borders 4 4 2 3" xfId="8635"/>
    <cellStyle name="Borders 4 4 2 3 2" xfId="24273"/>
    <cellStyle name="Borders 4 4 2 3 3" xfId="23213"/>
    <cellStyle name="Borders 4 4 2 4" xfId="24271"/>
    <cellStyle name="Borders 4 4 2 5" xfId="23215"/>
    <cellStyle name="Borders 4 4 3" xfId="8636"/>
    <cellStyle name="Borders 4 4 3 2" xfId="8637"/>
    <cellStyle name="Borders 4 4 3 2 2" xfId="24275"/>
    <cellStyle name="Borders 4 4 3 2 3" xfId="23211"/>
    <cellStyle name="Borders 4 4 3 3" xfId="8638"/>
    <cellStyle name="Borders 4 4 3 3 2" xfId="24276"/>
    <cellStyle name="Borders 4 4 3 3 3" xfId="23210"/>
    <cellStyle name="Borders 4 4 3 4" xfId="24274"/>
    <cellStyle name="Borders 4 4 3 5" xfId="23212"/>
    <cellStyle name="Borders 4 4 4" xfId="8639"/>
    <cellStyle name="Borders 4 4 4 2" xfId="8640"/>
    <cellStyle name="Borders 4 4 4 2 2" xfId="24278"/>
    <cellStyle name="Borders 4 4 4 2 3" xfId="23208"/>
    <cellStyle name="Borders 4 4 4 3" xfId="8641"/>
    <cellStyle name="Borders 4 4 4 3 2" xfId="24279"/>
    <cellStyle name="Borders 4 4 4 3 3" xfId="23207"/>
    <cellStyle name="Borders 4 4 4 4" xfId="24277"/>
    <cellStyle name="Borders 4 4 4 5" xfId="23209"/>
    <cellStyle name="Borders 4 4 5" xfId="8642"/>
    <cellStyle name="Borders 4 4 5 2" xfId="24280"/>
    <cellStyle name="Borders 4 4 5 3" xfId="23206"/>
    <cellStyle name="Borders 4 4 6" xfId="8643"/>
    <cellStyle name="Borders 4 4 6 2" xfId="24281"/>
    <cellStyle name="Borders 4 4 6 3" xfId="23205"/>
    <cellStyle name="Borders 4 4 7" xfId="20988"/>
    <cellStyle name="Borders 4 4 8" xfId="26548"/>
    <cellStyle name="Borders 4 5" xfId="8644"/>
    <cellStyle name="Borders 4 5 2" xfId="8645"/>
    <cellStyle name="Borders 4 5 2 2" xfId="24283"/>
    <cellStyle name="Borders 4 5 2 3" xfId="23203"/>
    <cellStyle name="Borders 4 5 3" xfId="8646"/>
    <cellStyle name="Borders 4 5 3 2" xfId="24284"/>
    <cellStyle name="Borders 4 5 3 3" xfId="23202"/>
    <cellStyle name="Borders 4 5 4" xfId="24282"/>
    <cellStyle name="Borders 4 5 5" xfId="23204"/>
    <cellStyle name="Borders 4 6" xfId="8647"/>
    <cellStyle name="Borders 4 6 2" xfId="8648"/>
    <cellStyle name="Borders 4 6 2 2" xfId="24286"/>
    <cellStyle name="Borders 4 6 2 3" xfId="23201"/>
    <cellStyle name="Borders 4 6 3" xfId="8649"/>
    <cellStyle name="Borders 4 6 3 2" xfId="24287"/>
    <cellStyle name="Borders 4 6 3 3" xfId="23200"/>
    <cellStyle name="Borders 4 6 4" xfId="24285"/>
    <cellStyle name="Borders 4 6 5" xfId="20210"/>
    <cellStyle name="Borders 4 7" xfId="8650"/>
    <cellStyle name="Borders 4 7 2" xfId="24288"/>
    <cellStyle name="Borders 4 7 3" xfId="23199"/>
    <cellStyle name="Borders 4 8" xfId="8651"/>
    <cellStyle name="Borders 4 8 2" xfId="24289"/>
    <cellStyle name="Borders 4 8 3" xfId="23198"/>
    <cellStyle name="Borders 4 9" xfId="20985"/>
    <cellStyle name="Borders 5" xfId="8652"/>
    <cellStyle name="Borders 5 2" xfId="8653"/>
    <cellStyle name="Borders 5 2 2" xfId="24291"/>
    <cellStyle name="Borders 5 2 3" xfId="23196"/>
    <cellStyle name="Borders 5 3" xfId="8654"/>
    <cellStyle name="Borders 5 3 2" xfId="24292"/>
    <cellStyle name="Borders 5 3 3" xfId="23195"/>
    <cellStyle name="Borders 5 4" xfId="24290"/>
    <cellStyle name="Borders 5 5" xfId="23197"/>
    <cellStyle name="Borders 6" xfId="8655"/>
    <cellStyle name="Borders 6 2" xfId="8656"/>
    <cellStyle name="Borders 6 2 2" xfId="24294"/>
    <cellStyle name="Borders 6 2 3" xfId="23193"/>
    <cellStyle name="Borders 6 3" xfId="8657"/>
    <cellStyle name="Borders 6 3 2" xfId="24295"/>
    <cellStyle name="Borders 6 3 3" xfId="23192"/>
    <cellStyle name="Borders 6 4" xfId="24293"/>
    <cellStyle name="Borders 6 5" xfId="23194"/>
    <cellStyle name="Borders 7" xfId="8658"/>
    <cellStyle name="Borders 7 2" xfId="24296"/>
    <cellStyle name="Borders 7 3" xfId="23191"/>
    <cellStyle name="Borders 8" xfId="8659"/>
    <cellStyle name="Borders 8 2" xfId="24297"/>
    <cellStyle name="Borders 8 3" xfId="23190"/>
    <cellStyle name="Borders 9" xfId="19211"/>
    <cellStyle name="Bottom Edge" xfId="1652"/>
    <cellStyle name="Bottom Edge 10" xfId="20379"/>
    <cellStyle name="Bottom Edge 2" xfId="1653"/>
    <cellStyle name="Bottom Edge 2 2" xfId="4352"/>
    <cellStyle name="Bottom Edge 2 2 2" xfId="8660"/>
    <cellStyle name="Bottom Edge 2 2 2 2" xfId="8661"/>
    <cellStyle name="Bottom Edge 2 2 2 2 2" xfId="23188"/>
    <cellStyle name="Bottom Edge 2 2 2 3" xfId="8662"/>
    <cellStyle name="Bottom Edge 2 2 2 3 2" xfId="23187"/>
    <cellStyle name="Bottom Edge 2 2 2 4" xfId="23189"/>
    <cellStyle name="Bottom Edge 2 2 3" xfId="8663"/>
    <cellStyle name="Bottom Edge 2 2 3 2" xfId="8664"/>
    <cellStyle name="Bottom Edge 2 2 3 2 2" xfId="23185"/>
    <cellStyle name="Bottom Edge 2 2 3 3" xfId="8665"/>
    <cellStyle name="Bottom Edge 2 2 3 3 2" xfId="23184"/>
    <cellStyle name="Bottom Edge 2 2 3 4" xfId="23186"/>
    <cellStyle name="Bottom Edge 2 2 4" xfId="8666"/>
    <cellStyle name="Bottom Edge 2 2 4 2" xfId="8667"/>
    <cellStyle name="Bottom Edge 2 2 4 2 2" xfId="23182"/>
    <cellStyle name="Bottom Edge 2 2 4 3" xfId="8668"/>
    <cellStyle name="Bottom Edge 2 2 4 3 2" xfId="23181"/>
    <cellStyle name="Bottom Edge 2 2 4 4" xfId="23183"/>
    <cellStyle name="Bottom Edge 2 2 5" xfId="8669"/>
    <cellStyle name="Bottom Edge 2 2 5 2" xfId="23180"/>
    <cellStyle name="Bottom Edge 2 2 6" xfId="8670"/>
    <cellStyle name="Bottom Edge 2 2 6 2" xfId="23179"/>
    <cellStyle name="Bottom Edge 2 2 7" xfId="27231"/>
    <cellStyle name="Bottom Edge 2 3" xfId="4288"/>
    <cellStyle name="Bottom Edge 2 3 2" xfId="8671"/>
    <cellStyle name="Bottom Edge 2 3 2 2" xfId="8672"/>
    <cellStyle name="Bottom Edge 2 3 2 2 2" xfId="23177"/>
    <cellStyle name="Bottom Edge 2 3 2 3" xfId="8673"/>
    <cellStyle name="Bottom Edge 2 3 2 3 2" xfId="23176"/>
    <cellStyle name="Bottom Edge 2 3 2 4" xfId="23178"/>
    <cellStyle name="Bottom Edge 2 3 3" xfId="8674"/>
    <cellStyle name="Bottom Edge 2 3 3 2" xfId="8675"/>
    <cellStyle name="Bottom Edge 2 3 3 2 2" xfId="23174"/>
    <cellStyle name="Bottom Edge 2 3 3 3" xfId="8676"/>
    <cellStyle name="Bottom Edge 2 3 3 3 2" xfId="20894"/>
    <cellStyle name="Bottom Edge 2 3 3 4" xfId="23175"/>
    <cellStyle name="Bottom Edge 2 3 4" xfId="8677"/>
    <cellStyle name="Bottom Edge 2 3 4 2" xfId="8678"/>
    <cellStyle name="Bottom Edge 2 3 4 2 2" xfId="23172"/>
    <cellStyle name="Bottom Edge 2 3 4 3" xfId="8679"/>
    <cellStyle name="Bottom Edge 2 3 4 3 2" xfId="23171"/>
    <cellStyle name="Bottom Edge 2 3 4 4" xfId="23173"/>
    <cellStyle name="Bottom Edge 2 3 5" xfId="8680"/>
    <cellStyle name="Bottom Edge 2 3 5 2" xfId="8681"/>
    <cellStyle name="Bottom Edge 2 3 5 2 2" xfId="23169"/>
    <cellStyle name="Bottom Edge 2 3 5 3" xfId="8682"/>
    <cellStyle name="Bottom Edge 2 3 5 3 2" xfId="23168"/>
    <cellStyle name="Bottom Edge 2 3 5 4" xfId="23170"/>
    <cellStyle name="Bottom Edge 2 3 6" xfId="8683"/>
    <cellStyle name="Bottom Edge 2 3 6 2" xfId="23167"/>
    <cellStyle name="Bottom Edge 2 3 7" xfId="8684"/>
    <cellStyle name="Bottom Edge 2 3 7 2" xfId="23166"/>
    <cellStyle name="Bottom Edge 2 3 8" xfId="27335"/>
    <cellStyle name="Bottom Edge 2 4" xfId="5088"/>
    <cellStyle name="Bottom Edge 2 4 2" xfId="8685"/>
    <cellStyle name="Bottom Edge 2 4 2 2" xfId="8686"/>
    <cellStyle name="Bottom Edge 2 4 2 2 2" xfId="23164"/>
    <cellStyle name="Bottom Edge 2 4 2 3" xfId="8687"/>
    <cellStyle name="Bottom Edge 2 4 2 3 2" xfId="23163"/>
    <cellStyle name="Bottom Edge 2 4 2 4" xfId="23165"/>
    <cellStyle name="Bottom Edge 2 4 3" xfId="8688"/>
    <cellStyle name="Bottom Edge 2 4 3 2" xfId="8689"/>
    <cellStyle name="Bottom Edge 2 4 3 2 2" xfId="23161"/>
    <cellStyle name="Bottom Edge 2 4 3 3" xfId="8690"/>
    <cellStyle name="Bottom Edge 2 4 3 3 2" xfId="23160"/>
    <cellStyle name="Bottom Edge 2 4 3 4" xfId="23162"/>
    <cellStyle name="Bottom Edge 2 4 4" xfId="8691"/>
    <cellStyle name="Bottom Edge 2 4 4 2" xfId="8692"/>
    <cellStyle name="Bottom Edge 2 4 4 2 2" xfId="23158"/>
    <cellStyle name="Bottom Edge 2 4 4 3" xfId="8693"/>
    <cellStyle name="Bottom Edge 2 4 4 3 2" xfId="23157"/>
    <cellStyle name="Bottom Edge 2 4 4 4" xfId="23159"/>
    <cellStyle name="Bottom Edge 2 4 5" xfId="8694"/>
    <cellStyle name="Bottom Edge 2 4 5 2" xfId="8695"/>
    <cellStyle name="Bottom Edge 2 4 5 2 2" xfId="23156"/>
    <cellStyle name="Bottom Edge 2 4 5 3" xfId="8696"/>
    <cellStyle name="Bottom Edge 2 4 5 3 2" xfId="23155"/>
    <cellStyle name="Bottom Edge 2 4 5 4" xfId="20392"/>
    <cellStyle name="Bottom Edge 2 4 6" xfId="8697"/>
    <cellStyle name="Bottom Edge 2 4 6 2" xfId="23154"/>
    <cellStyle name="Bottom Edge 2 4 7" xfId="8698"/>
    <cellStyle name="Bottom Edge 2 4 7 2" xfId="23153"/>
    <cellStyle name="Bottom Edge 2 4 8" xfId="20283"/>
    <cellStyle name="Bottom Edge 2 5" xfId="8699"/>
    <cellStyle name="Bottom Edge 2 5 2" xfId="8700"/>
    <cellStyle name="Bottom Edge 2 5 2 2" xfId="23151"/>
    <cellStyle name="Bottom Edge 2 5 3" xfId="8701"/>
    <cellStyle name="Bottom Edge 2 5 3 2" xfId="23150"/>
    <cellStyle name="Bottom Edge 2 5 4" xfId="23152"/>
    <cellStyle name="Bottom Edge 2 6" xfId="8702"/>
    <cellStyle name="Bottom Edge 2 6 2" xfId="8703"/>
    <cellStyle name="Bottom Edge 2 6 2 2" xfId="23148"/>
    <cellStyle name="Bottom Edge 2 6 3" xfId="8704"/>
    <cellStyle name="Bottom Edge 2 6 3 2" xfId="23147"/>
    <cellStyle name="Bottom Edge 2 6 4" xfId="23149"/>
    <cellStyle name="Bottom Edge 2 7" xfId="8705"/>
    <cellStyle name="Bottom Edge 2 7 2" xfId="23146"/>
    <cellStyle name="Bottom Edge 2 8" xfId="8706"/>
    <cellStyle name="Bottom Edge 2 8 2" xfId="23145"/>
    <cellStyle name="Bottom Edge 2 9" xfId="30601"/>
    <cellStyle name="Bottom Edge 3" xfId="4353"/>
    <cellStyle name="Bottom Edge 3 2" xfId="8707"/>
    <cellStyle name="Bottom Edge 3 2 2" xfId="8708"/>
    <cellStyle name="Bottom Edge 3 2 2 2" xfId="23143"/>
    <cellStyle name="Bottom Edge 3 2 3" xfId="8709"/>
    <cellStyle name="Bottom Edge 3 2 3 2" xfId="23142"/>
    <cellStyle name="Bottom Edge 3 2 4" xfId="23144"/>
    <cellStyle name="Bottom Edge 3 3" xfId="8710"/>
    <cellStyle name="Bottom Edge 3 3 2" xfId="8711"/>
    <cellStyle name="Bottom Edge 3 3 2 2" xfId="23140"/>
    <cellStyle name="Bottom Edge 3 3 3" xfId="8712"/>
    <cellStyle name="Bottom Edge 3 3 3 2" xfId="20397"/>
    <cellStyle name="Bottom Edge 3 3 4" xfId="23141"/>
    <cellStyle name="Bottom Edge 3 4" xfId="8713"/>
    <cellStyle name="Bottom Edge 3 4 2" xfId="8714"/>
    <cellStyle name="Bottom Edge 3 4 2 2" xfId="23139"/>
    <cellStyle name="Bottom Edge 3 4 3" xfId="8715"/>
    <cellStyle name="Bottom Edge 3 4 3 2" xfId="23138"/>
    <cellStyle name="Bottom Edge 3 4 4" xfId="18566"/>
    <cellStyle name="Bottom Edge 3 5" xfId="8716"/>
    <cellStyle name="Bottom Edge 3 5 2" xfId="23137"/>
    <cellStyle name="Bottom Edge 3 6" xfId="8717"/>
    <cellStyle name="Bottom Edge 3 6 2" xfId="23136"/>
    <cellStyle name="Bottom Edge 3 7" xfId="27230"/>
    <cellStyle name="Bottom Edge 4" xfId="4287"/>
    <cellStyle name="Bottom Edge 4 2" xfId="8718"/>
    <cellStyle name="Bottom Edge 4 2 2" xfId="8719"/>
    <cellStyle name="Bottom Edge 4 2 2 2" xfId="23134"/>
    <cellStyle name="Bottom Edge 4 2 3" xfId="8720"/>
    <cellStyle name="Bottom Edge 4 2 3 2" xfId="23133"/>
    <cellStyle name="Bottom Edge 4 2 4" xfId="23135"/>
    <cellStyle name="Bottom Edge 4 3" xfId="8721"/>
    <cellStyle name="Bottom Edge 4 3 2" xfId="8722"/>
    <cellStyle name="Bottom Edge 4 3 2 2" xfId="23131"/>
    <cellStyle name="Bottom Edge 4 3 3" xfId="8723"/>
    <cellStyle name="Bottom Edge 4 3 3 2" xfId="23130"/>
    <cellStyle name="Bottom Edge 4 3 4" xfId="23132"/>
    <cellStyle name="Bottom Edge 4 4" xfId="8724"/>
    <cellStyle name="Bottom Edge 4 4 2" xfId="8725"/>
    <cellStyle name="Bottom Edge 4 4 2 2" xfId="23128"/>
    <cellStyle name="Bottom Edge 4 4 3" xfId="8726"/>
    <cellStyle name="Bottom Edge 4 4 3 2" xfId="23127"/>
    <cellStyle name="Bottom Edge 4 4 4" xfId="23129"/>
    <cellStyle name="Bottom Edge 4 5" xfId="8727"/>
    <cellStyle name="Bottom Edge 4 5 2" xfId="8728"/>
    <cellStyle name="Bottom Edge 4 5 2 2" xfId="23125"/>
    <cellStyle name="Bottom Edge 4 5 3" xfId="8729"/>
    <cellStyle name="Bottom Edge 4 5 3 2" xfId="23124"/>
    <cellStyle name="Bottom Edge 4 5 4" xfId="23126"/>
    <cellStyle name="Bottom Edge 4 6" xfId="8730"/>
    <cellStyle name="Bottom Edge 4 6 2" xfId="23123"/>
    <cellStyle name="Bottom Edge 4 7" xfId="8731"/>
    <cellStyle name="Bottom Edge 4 7 2" xfId="23122"/>
    <cellStyle name="Bottom Edge 4 8" xfId="27336"/>
    <cellStyle name="Bottom Edge 5" xfId="5089"/>
    <cellStyle name="Bottom Edge 5 2" xfId="8732"/>
    <cellStyle name="Bottom Edge 5 2 2" xfId="8733"/>
    <cellStyle name="Bottom Edge 5 2 2 2" xfId="23120"/>
    <cellStyle name="Bottom Edge 5 2 3" xfId="8734"/>
    <cellStyle name="Bottom Edge 5 2 3 2" xfId="23119"/>
    <cellStyle name="Bottom Edge 5 2 4" xfId="23121"/>
    <cellStyle name="Bottom Edge 5 3" xfId="8735"/>
    <cellStyle name="Bottom Edge 5 3 2" xfId="8736"/>
    <cellStyle name="Bottom Edge 5 3 2 2" xfId="23117"/>
    <cellStyle name="Bottom Edge 5 3 3" xfId="8737"/>
    <cellStyle name="Bottom Edge 5 3 3 2" xfId="23116"/>
    <cellStyle name="Bottom Edge 5 3 4" xfId="23118"/>
    <cellStyle name="Bottom Edge 5 4" xfId="8738"/>
    <cellStyle name="Bottom Edge 5 4 2" xfId="8739"/>
    <cellStyle name="Bottom Edge 5 4 2 2" xfId="23114"/>
    <cellStyle name="Bottom Edge 5 4 3" xfId="8740"/>
    <cellStyle name="Bottom Edge 5 4 3 2" xfId="23113"/>
    <cellStyle name="Bottom Edge 5 4 4" xfId="23115"/>
    <cellStyle name="Bottom Edge 5 5" xfId="8741"/>
    <cellStyle name="Bottom Edge 5 5 2" xfId="8742"/>
    <cellStyle name="Bottom Edge 5 5 2 2" xfId="20893"/>
    <cellStyle name="Bottom Edge 5 5 3" xfId="8743"/>
    <cellStyle name="Bottom Edge 5 5 3 2" xfId="23111"/>
    <cellStyle name="Bottom Edge 5 5 4" xfId="23112"/>
    <cellStyle name="Bottom Edge 5 6" xfId="8744"/>
    <cellStyle name="Bottom Edge 5 6 2" xfId="23110"/>
    <cellStyle name="Bottom Edge 5 7" xfId="8745"/>
    <cellStyle name="Bottom Edge 5 7 2" xfId="23109"/>
    <cellStyle name="Bottom Edge 5 8" xfId="26547"/>
    <cellStyle name="Bottom Edge 6" xfId="8746"/>
    <cellStyle name="Bottom Edge 6 2" xfId="8747"/>
    <cellStyle name="Bottom Edge 6 2 2" xfId="23107"/>
    <cellStyle name="Bottom Edge 6 3" xfId="8748"/>
    <cellStyle name="Bottom Edge 6 3 2" xfId="23106"/>
    <cellStyle name="Bottom Edge 6 4" xfId="23108"/>
    <cellStyle name="Bottom Edge 7" xfId="8749"/>
    <cellStyle name="Bottom Edge 7 2" xfId="8750"/>
    <cellStyle name="Bottom Edge 7 2 2" xfId="23104"/>
    <cellStyle name="Bottom Edge 7 3" xfId="8751"/>
    <cellStyle name="Bottom Edge 7 3 2" xfId="23103"/>
    <cellStyle name="Bottom Edge 7 4" xfId="23105"/>
    <cellStyle name="Bottom Edge 8" xfId="8752"/>
    <cellStyle name="Bottom Edge 8 2" xfId="23102"/>
    <cellStyle name="Bottom Edge 9" xfId="8753"/>
    <cellStyle name="Bottom Edge 9 2" xfId="23101"/>
    <cellStyle name="Brown" xfId="1654"/>
    <cellStyle name="Buena" xfId="28" builtinId="26" customBuiltin="1"/>
    <cellStyle name="Buena 2" xfId="1655"/>
    <cellStyle name="Buena 3" xfId="1656"/>
    <cellStyle name="Buena 4" xfId="1657"/>
    <cellStyle name="Buena 5" xfId="1658"/>
    <cellStyle name="Buena 6" xfId="1659"/>
    <cellStyle name="Buena 7" xfId="1660"/>
    <cellStyle name="Buena 8" xfId="1661"/>
    <cellStyle name="Buena 9" xfId="1662"/>
    <cellStyle name="Bullet" xfId="1663"/>
    <cellStyle name="Bullet 2" xfId="1664"/>
    <cellStyle name="Bullet 3" xfId="1665"/>
    <cellStyle name="c" xfId="1666"/>
    <cellStyle name="C:\Data\MS\Excel" xfId="1667"/>
    <cellStyle name="C|‰" xfId="1668"/>
    <cellStyle name="C|‰ 2 2" xfId="1669"/>
    <cellStyle name="C￥AØ_¾ÆA§AU¾÷" xfId="1670"/>
    <cellStyle name="c0" xfId="1671"/>
    <cellStyle name="c0'" xfId="1672"/>
    <cellStyle name="c0-" xfId="1673"/>
    <cellStyle name="c0]" xfId="1674"/>
    <cellStyle name="c0-_Balances de escisión" xfId="1675"/>
    <cellStyle name="c09" xfId="1676"/>
    <cellStyle name="c09 2" xfId="5090"/>
    <cellStyle name="c09 2 2" xfId="8754"/>
    <cellStyle name="c09 2 2 2" xfId="8755"/>
    <cellStyle name="c09 2 2 2 2" xfId="24341"/>
    <cellStyle name="c09 2 2 2 3" xfId="23099"/>
    <cellStyle name="c09 2 2 3" xfId="24340"/>
    <cellStyle name="c09 2 2 4" xfId="23100"/>
    <cellStyle name="c09 2 3" xfId="8756"/>
    <cellStyle name="c09 2 3 2" xfId="24342"/>
    <cellStyle name="c09 2 3 3" xfId="23098"/>
    <cellStyle name="c09 2 4" xfId="20990"/>
    <cellStyle name="c09 2 5" xfId="26546"/>
    <cellStyle name="c09 3" xfId="5091"/>
    <cellStyle name="c09 3 2" xfId="8757"/>
    <cellStyle name="c09 3 2 2" xfId="8758"/>
    <cellStyle name="c09 3 2 2 2" xfId="24344"/>
    <cellStyle name="c09 3 2 2 3" xfId="23096"/>
    <cellStyle name="c09 3 2 3" xfId="24343"/>
    <cellStyle name="c09 3 2 4" xfId="23097"/>
    <cellStyle name="c09 3 3" xfId="8759"/>
    <cellStyle name="c09 3 3 2" xfId="24345"/>
    <cellStyle name="c09 3 3 3" xfId="23095"/>
    <cellStyle name="c09 3 4" xfId="20991"/>
    <cellStyle name="c09 3 5" xfId="26545"/>
    <cellStyle name="c09 4" xfId="5092"/>
    <cellStyle name="c09 4 2" xfId="8760"/>
    <cellStyle name="c09 4 2 2" xfId="8761"/>
    <cellStyle name="c09 4 2 2 2" xfId="24347"/>
    <cellStyle name="c09 4 2 2 3" xfId="23094"/>
    <cellStyle name="c09 4 2 3" xfId="8762"/>
    <cellStyle name="c09 4 2 3 2" xfId="24348"/>
    <cellStyle name="c09 4 2 3 3" xfId="23093"/>
    <cellStyle name="c09 4 2 4" xfId="24346"/>
    <cellStyle name="c09 4 2 5" xfId="20438"/>
    <cellStyle name="c09 4 3" xfId="8763"/>
    <cellStyle name="c09 4 3 2" xfId="8764"/>
    <cellStyle name="c09 4 3 2 2" xfId="24350"/>
    <cellStyle name="c09 4 3 2 3" xfId="23091"/>
    <cellStyle name="c09 4 3 3" xfId="24349"/>
    <cellStyle name="c09 4 3 4" xfId="23092"/>
    <cellStyle name="c09 4 4" xfId="8765"/>
    <cellStyle name="c09 4 4 2" xfId="24351"/>
    <cellStyle name="c09 4 4 3" xfId="23090"/>
    <cellStyle name="c09 4 5" xfId="20992"/>
    <cellStyle name="c09 4 6" xfId="26544"/>
    <cellStyle name="c09 5" xfId="8766"/>
    <cellStyle name="c09 5 2" xfId="8767"/>
    <cellStyle name="c09 5 2 2" xfId="24353"/>
    <cellStyle name="c09 5 2 3" xfId="23088"/>
    <cellStyle name="c09 5 3" xfId="24352"/>
    <cellStyle name="c09 5 4" xfId="23089"/>
    <cellStyle name="c09 6" xfId="8768"/>
    <cellStyle name="c09 6 2" xfId="24354"/>
    <cellStyle name="c09 6 3" xfId="23087"/>
    <cellStyle name="c09 7" xfId="19237"/>
    <cellStyle name="c09 8" xfId="30600"/>
    <cellStyle name="c1" xfId="1677"/>
    <cellStyle name="c2" xfId="1678"/>
    <cellStyle name="c22" xfId="1679"/>
    <cellStyle name="c2x" xfId="1680"/>
    <cellStyle name="c3" xfId="1681"/>
    <cellStyle name="Cabecera 1" xfId="1682"/>
    <cellStyle name="Cabecera 1 2" xfId="1683"/>
    <cellStyle name="Cabecera 1 3" xfId="1684"/>
    <cellStyle name="Cabecera 2" xfId="1685"/>
    <cellStyle name="Cabecera 2 2" xfId="1686"/>
    <cellStyle name="Cabecera 2 3" xfId="1687"/>
    <cellStyle name="cal.General" xfId="1688"/>
    <cellStyle name="cal.General.or" xfId="1689"/>
    <cellStyle name="cal.General1" xfId="1690"/>
    <cellStyle name="cal.General1 10" xfId="30599"/>
    <cellStyle name="cal.General1 2" xfId="1691"/>
    <cellStyle name="cal.General1 2 2" xfId="5093"/>
    <cellStyle name="cal.General1 2 2 2" xfId="8769"/>
    <cellStyle name="cal.General1 2 2 2 2" xfId="8770"/>
    <cellStyle name="cal.General1 2 2 2 2 2" xfId="24356"/>
    <cellStyle name="cal.General1 2 2 2 2 3" xfId="23085"/>
    <cellStyle name="cal.General1 2 2 2 3" xfId="8771"/>
    <cellStyle name="cal.General1 2 2 2 3 2" xfId="24357"/>
    <cellStyle name="cal.General1 2 2 2 3 3" xfId="23084"/>
    <cellStyle name="cal.General1 2 2 2 4" xfId="24355"/>
    <cellStyle name="cal.General1 2 2 2 5" xfId="23086"/>
    <cellStyle name="cal.General1 2 2 3" xfId="8772"/>
    <cellStyle name="cal.General1 2 2 3 2" xfId="24358"/>
    <cellStyle name="cal.General1 2 2 3 3" xfId="23083"/>
    <cellStyle name="cal.General1 2 2 4" xfId="20993"/>
    <cellStyle name="cal.General1 2 2 5" xfId="26543"/>
    <cellStyle name="cal.General1 2 3" xfId="5094"/>
    <cellStyle name="cal.General1 2 3 2" xfId="8773"/>
    <cellStyle name="cal.General1 2 3 2 2" xfId="8774"/>
    <cellStyle name="cal.General1 2 3 2 2 2" xfId="24360"/>
    <cellStyle name="cal.General1 2 3 2 2 3" xfId="23081"/>
    <cellStyle name="cal.General1 2 3 2 3" xfId="8775"/>
    <cellStyle name="cal.General1 2 3 2 3 2" xfId="24361"/>
    <cellStyle name="cal.General1 2 3 2 3 3" xfId="23080"/>
    <cellStyle name="cal.General1 2 3 2 4" xfId="24359"/>
    <cellStyle name="cal.General1 2 3 2 5" xfId="23082"/>
    <cellStyle name="cal.General1 2 3 3" xfId="8776"/>
    <cellStyle name="cal.General1 2 3 3 2" xfId="24362"/>
    <cellStyle name="cal.General1 2 3 3 3" xfId="23079"/>
    <cellStyle name="cal.General1 2 3 4" xfId="20994"/>
    <cellStyle name="cal.General1 2 3 5" xfId="26542"/>
    <cellStyle name="cal.General1 2 4" xfId="5095"/>
    <cellStyle name="cal.General1 2 4 2" xfId="8777"/>
    <cellStyle name="cal.General1 2 4 2 2" xfId="8778"/>
    <cellStyle name="cal.General1 2 4 2 2 2" xfId="24364"/>
    <cellStyle name="cal.General1 2 4 2 2 3" xfId="20483"/>
    <cellStyle name="cal.General1 2 4 2 3" xfId="8779"/>
    <cellStyle name="cal.General1 2 4 2 3 2" xfId="24365"/>
    <cellStyle name="cal.General1 2 4 2 3 3" xfId="18565"/>
    <cellStyle name="cal.General1 2 4 2 4" xfId="24363"/>
    <cellStyle name="cal.General1 2 4 2 5" xfId="23078"/>
    <cellStyle name="cal.General1 2 4 3" xfId="8780"/>
    <cellStyle name="cal.General1 2 4 3 2" xfId="24366"/>
    <cellStyle name="cal.General1 2 4 3 3" xfId="23077"/>
    <cellStyle name="cal.General1 2 4 4" xfId="20995"/>
    <cellStyle name="cal.General1 2 4 5" xfId="26541"/>
    <cellStyle name="cal.General1 2 5" xfId="8781"/>
    <cellStyle name="cal.General1 2 5 2" xfId="8782"/>
    <cellStyle name="cal.General1 2 5 2 2" xfId="24368"/>
    <cellStyle name="cal.General1 2 5 2 3" xfId="18564"/>
    <cellStyle name="cal.General1 2 5 3" xfId="24367"/>
    <cellStyle name="cal.General1 2 5 4" xfId="23076"/>
    <cellStyle name="cal.General1 2 6" xfId="8783"/>
    <cellStyle name="cal.General1 2 6 2" xfId="24369"/>
    <cellStyle name="cal.General1 2 6 3" xfId="18563"/>
    <cellStyle name="cal.General1 2 7" xfId="19252"/>
    <cellStyle name="cal.General1 2 8" xfId="30598"/>
    <cellStyle name="cal.General1 3" xfId="1692"/>
    <cellStyle name="cal.General1 3 2" xfId="5096"/>
    <cellStyle name="cal.General1 3 2 2" xfId="8784"/>
    <cellStyle name="cal.General1 3 2 2 2" xfId="8785"/>
    <cellStyle name="cal.General1 3 2 2 2 2" xfId="24371"/>
    <cellStyle name="cal.General1 3 2 2 2 3" xfId="18561"/>
    <cellStyle name="cal.General1 3 2 2 3" xfId="8786"/>
    <cellStyle name="cal.General1 3 2 2 3 2" xfId="24372"/>
    <cellStyle name="cal.General1 3 2 2 3 3" xfId="18560"/>
    <cellStyle name="cal.General1 3 2 2 4" xfId="24370"/>
    <cellStyle name="cal.General1 3 2 2 5" xfId="18562"/>
    <cellStyle name="cal.General1 3 2 3" xfId="8787"/>
    <cellStyle name="cal.General1 3 2 3 2" xfId="24373"/>
    <cellStyle name="cal.General1 3 2 3 3" xfId="18558"/>
    <cellStyle name="cal.General1 3 2 4" xfId="20996"/>
    <cellStyle name="cal.General1 3 2 5" xfId="26540"/>
    <cellStyle name="cal.General1 3 3" xfId="5097"/>
    <cellStyle name="cal.General1 3 3 2" xfId="8788"/>
    <cellStyle name="cal.General1 3 3 2 2" xfId="8789"/>
    <cellStyle name="cal.General1 3 3 2 2 2" xfId="24375"/>
    <cellStyle name="cal.General1 3 3 2 2 3" xfId="18556"/>
    <cellStyle name="cal.General1 3 3 2 3" xfId="8790"/>
    <cellStyle name="cal.General1 3 3 2 3 2" xfId="24376"/>
    <cellStyle name="cal.General1 3 3 2 3 3" xfId="18555"/>
    <cellStyle name="cal.General1 3 3 2 4" xfId="24374"/>
    <cellStyle name="cal.General1 3 3 2 5" xfId="18557"/>
    <cellStyle name="cal.General1 3 3 3" xfId="8791"/>
    <cellStyle name="cal.General1 3 3 3 2" xfId="24377"/>
    <cellStyle name="cal.General1 3 3 3 3" xfId="18554"/>
    <cellStyle name="cal.General1 3 3 4" xfId="20997"/>
    <cellStyle name="cal.General1 3 3 5" xfId="26539"/>
    <cellStyle name="cal.General1 3 4" xfId="5098"/>
    <cellStyle name="cal.General1 3 4 2" xfId="8792"/>
    <cellStyle name="cal.General1 3 4 2 2" xfId="8793"/>
    <cellStyle name="cal.General1 3 4 2 2 2" xfId="24379"/>
    <cellStyle name="cal.General1 3 4 2 2 3" xfId="18552"/>
    <cellStyle name="cal.General1 3 4 2 3" xfId="8794"/>
    <cellStyle name="cal.General1 3 4 2 3 2" xfId="24380"/>
    <cellStyle name="cal.General1 3 4 2 3 3" xfId="18551"/>
    <cellStyle name="cal.General1 3 4 2 4" xfId="24378"/>
    <cellStyle name="cal.General1 3 4 2 5" xfId="18553"/>
    <cellStyle name="cal.General1 3 4 3" xfId="8795"/>
    <cellStyle name="cal.General1 3 4 3 2" xfId="24381"/>
    <cellStyle name="cal.General1 3 4 3 3" xfId="18550"/>
    <cellStyle name="cal.General1 3 4 4" xfId="20998"/>
    <cellStyle name="cal.General1 3 4 5" xfId="26538"/>
    <cellStyle name="cal.General1 3 5" xfId="8796"/>
    <cellStyle name="cal.General1 3 5 2" xfId="8797"/>
    <cellStyle name="cal.General1 3 5 2 2" xfId="24383"/>
    <cellStyle name="cal.General1 3 5 2 3" xfId="18548"/>
    <cellStyle name="cal.General1 3 5 3" xfId="24382"/>
    <cellStyle name="cal.General1 3 5 4" xfId="18549"/>
    <cellStyle name="cal.General1 3 6" xfId="8798"/>
    <cellStyle name="cal.General1 3 6 2" xfId="24384"/>
    <cellStyle name="cal.General1 3 6 3" xfId="18547"/>
    <cellStyle name="cal.General1 3 7" xfId="19253"/>
    <cellStyle name="cal.General1 3 8" xfId="30597"/>
    <cellStyle name="cal.General1 4" xfId="5099"/>
    <cellStyle name="cal.General1 4 2" xfId="8799"/>
    <cellStyle name="cal.General1 4 2 2" xfId="8800"/>
    <cellStyle name="cal.General1 4 2 2 2" xfId="24386"/>
    <cellStyle name="cal.General1 4 2 2 3" xfId="18545"/>
    <cellStyle name="cal.General1 4 2 3" xfId="8801"/>
    <cellStyle name="cal.General1 4 2 3 2" xfId="24387"/>
    <cellStyle name="cal.General1 4 2 3 3" xfId="18544"/>
    <cellStyle name="cal.General1 4 2 4" xfId="24385"/>
    <cellStyle name="cal.General1 4 2 5" xfId="18546"/>
    <cellStyle name="cal.General1 4 3" xfId="8802"/>
    <cellStyle name="cal.General1 4 3 2" xfId="24388"/>
    <cellStyle name="cal.General1 4 3 3" xfId="18543"/>
    <cellStyle name="cal.General1 4 4" xfId="20999"/>
    <cellStyle name="cal.General1 4 5" xfId="26537"/>
    <cellStyle name="cal.General1 5" xfId="5100"/>
    <cellStyle name="cal.General1 5 2" xfId="8803"/>
    <cellStyle name="cal.General1 5 2 2" xfId="8804"/>
    <cellStyle name="cal.General1 5 2 2 2" xfId="24390"/>
    <cellStyle name="cal.General1 5 2 2 3" xfId="18541"/>
    <cellStyle name="cal.General1 5 2 3" xfId="8805"/>
    <cellStyle name="cal.General1 5 2 3 2" xfId="24391"/>
    <cellStyle name="cal.General1 5 2 3 3" xfId="18540"/>
    <cellStyle name="cal.General1 5 2 4" xfId="24389"/>
    <cellStyle name="cal.General1 5 2 5" xfId="18542"/>
    <cellStyle name="cal.General1 5 3" xfId="8806"/>
    <cellStyle name="cal.General1 5 3 2" xfId="24392"/>
    <cellStyle name="cal.General1 5 3 3" xfId="18539"/>
    <cellStyle name="cal.General1 5 4" xfId="21000"/>
    <cellStyle name="cal.General1 5 5" xfId="26536"/>
    <cellStyle name="cal.General1 6" xfId="5101"/>
    <cellStyle name="cal.General1 6 2" xfId="8807"/>
    <cellStyle name="cal.General1 6 2 2" xfId="8808"/>
    <cellStyle name="cal.General1 6 2 2 2" xfId="24394"/>
    <cellStyle name="cal.General1 6 2 2 3" xfId="18537"/>
    <cellStyle name="cal.General1 6 2 3" xfId="8809"/>
    <cellStyle name="cal.General1 6 2 3 2" xfId="24395"/>
    <cellStyle name="cal.General1 6 2 3 3" xfId="18536"/>
    <cellStyle name="cal.General1 6 2 4" xfId="24393"/>
    <cellStyle name="cal.General1 6 2 5" xfId="18538"/>
    <cellStyle name="cal.General1 6 3" xfId="8810"/>
    <cellStyle name="cal.General1 6 3 2" xfId="24396"/>
    <cellStyle name="cal.General1 6 3 3" xfId="18535"/>
    <cellStyle name="cal.General1 6 4" xfId="21001"/>
    <cellStyle name="cal.General1 6 5" xfId="26535"/>
    <cellStyle name="cal.General1 7" xfId="8811"/>
    <cellStyle name="cal.General1 7 2" xfId="8812"/>
    <cellStyle name="cal.General1 7 2 2" xfId="24398"/>
    <cellStyle name="cal.General1 7 2 3" xfId="18533"/>
    <cellStyle name="cal.General1 7 3" xfId="24397"/>
    <cellStyle name="cal.General1 7 4" xfId="18534"/>
    <cellStyle name="cal.General1 8" xfId="8813"/>
    <cellStyle name="cal.General1 8 2" xfId="24399"/>
    <cellStyle name="cal.General1 8 3" xfId="18532"/>
    <cellStyle name="cal.General1 9" xfId="19251"/>
    <cellStyle name="cal.Link" xfId="1693"/>
    <cellStyle name="cal.Link 2" xfId="3978"/>
    <cellStyle name="cal.Link 2 2" xfId="5102"/>
    <cellStyle name="cal.Link 2 2 2" xfId="8814"/>
    <cellStyle name="cal.Link 2 2 2 2" xfId="8815"/>
    <cellStyle name="cal.Link 2 2 2 2 2" xfId="24401"/>
    <cellStyle name="cal.Link 2 2 2 3" xfId="24400"/>
    <cellStyle name="cal.Link 2 2 3" xfId="8816"/>
    <cellStyle name="cal.Link 2 2 3 2" xfId="8817"/>
    <cellStyle name="cal.Link 2 2 3 2 2" xfId="24403"/>
    <cellStyle name="cal.Link 2 2 3 3" xfId="24402"/>
    <cellStyle name="cal.Link 2 2 4" xfId="8818"/>
    <cellStyle name="cal.Link 2 2 4 2" xfId="8819"/>
    <cellStyle name="cal.Link 2 2 4 2 2" xfId="24405"/>
    <cellStyle name="cal.Link 2 2 4 3" xfId="24404"/>
    <cellStyle name="cal.Link 2 2 5" xfId="8820"/>
    <cellStyle name="cal.Link 2 2 5 2" xfId="8821"/>
    <cellStyle name="cal.Link 2 2 5 2 2" xfId="24407"/>
    <cellStyle name="cal.Link 2 2 5 3" xfId="24406"/>
    <cellStyle name="cal.Link 2 2 6" xfId="21002"/>
    <cellStyle name="cal.Link 2 3" xfId="5103"/>
    <cellStyle name="cal.Link 2 3 2" xfId="8822"/>
    <cellStyle name="cal.Link 2 3 2 2" xfId="8823"/>
    <cellStyle name="cal.Link 2 3 2 2 2" xfId="24409"/>
    <cellStyle name="cal.Link 2 3 2 3" xfId="24408"/>
    <cellStyle name="cal.Link 2 3 3" xfId="8824"/>
    <cellStyle name="cal.Link 2 3 3 2" xfId="8825"/>
    <cellStyle name="cal.Link 2 3 3 2 2" xfId="24411"/>
    <cellStyle name="cal.Link 2 3 3 3" xfId="24410"/>
    <cellStyle name="cal.Link 2 3 4" xfId="8826"/>
    <cellStyle name="cal.Link 2 3 4 2" xfId="8827"/>
    <cellStyle name="cal.Link 2 3 4 2 2" xfId="24413"/>
    <cellStyle name="cal.Link 2 3 4 3" xfId="24412"/>
    <cellStyle name="cal.Link 2 3 5" xfId="8828"/>
    <cellStyle name="cal.Link 2 3 5 2" xfId="8829"/>
    <cellStyle name="cal.Link 2 3 5 2 2" xfId="24415"/>
    <cellStyle name="cal.Link 2 3 5 3" xfId="24414"/>
    <cellStyle name="cal.Link 2 3 6" xfId="21003"/>
    <cellStyle name="cal.Link 2 4" xfId="8830"/>
    <cellStyle name="cal.Link 2 4 2" xfId="8831"/>
    <cellStyle name="cal.Link 2 4 2 2" xfId="24417"/>
    <cellStyle name="cal.Link 2 4 3" xfId="24416"/>
    <cellStyle name="cal.Link 2 5" xfId="8832"/>
    <cellStyle name="cal.Link 2 5 2" xfId="8833"/>
    <cellStyle name="cal.Link 2 5 2 2" xfId="24419"/>
    <cellStyle name="cal.Link 2 5 3" xfId="24418"/>
    <cellStyle name="cal.Link 2 6" xfId="8834"/>
    <cellStyle name="cal.Link 2 6 2" xfId="8835"/>
    <cellStyle name="cal.Link 2 6 2 2" xfId="24421"/>
    <cellStyle name="cal.Link 2 6 3" xfId="24420"/>
    <cellStyle name="cal.Link 2 7" xfId="20129"/>
    <cellStyle name="cal.Link 3" xfId="5104"/>
    <cellStyle name="cal.Link 3 2" xfId="8836"/>
    <cellStyle name="cal.Link 3 2 2" xfId="8837"/>
    <cellStyle name="cal.Link 3 2 2 2" xfId="24423"/>
    <cellStyle name="cal.Link 3 2 3" xfId="24422"/>
    <cellStyle name="cal.Link 3 3" xfId="8838"/>
    <cellStyle name="cal.Link 3 3 2" xfId="8839"/>
    <cellStyle name="cal.Link 3 3 2 2" xfId="24425"/>
    <cellStyle name="cal.Link 3 3 3" xfId="24424"/>
    <cellStyle name="cal.Link 3 4" xfId="8840"/>
    <cellStyle name="cal.Link 3 4 2" xfId="8841"/>
    <cellStyle name="cal.Link 3 4 2 2" xfId="24427"/>
    <cellStyle name="cal.Link 3 4 3" xfId="24426"/>
    <cellStyle name="cal.Link 3 5" xfId="8842"/>
    <cellStyle name="cal.Link 3 5 2" xfId="8843"/>
    <cellStyle name="cal.Link 3 5 2 2" xfId="24429"/>
    <cellStyle name="cal.Link 3 5 3" xfId="24428"/>
    <cellStyle name="cal.Link 3 6" xfId="21004"/>
    <cellStyle name="cal.Link 4" xfId="8844"/>
    <cellStyle name="cal.Link 4 2" xfId="8845"/>
    <cellStyle name="cal.Link 4 2 2" xfId="24431"/>
    <cellStyle name="cal.Link 4 3" xfId="24430"/>
    <cellStyle name="cal.Link 5" xfId="8846"/>
    <cellStyle name="cal.Link 5 2" xfId="8847"/>
    <cellStyle name="cal.Link 5 2 2" xfId="24433"/>
    <cellStyle name="cal.Link 5 3" xfId="24432"/>
    <cellStyle name="cal.Link 6" xfId="19254"/>
    <cellStyle name="cal.Link7" xfId="1694"/>
    <cellStyle name="cal.Link7 2" xfId="5105"/>
    <cellStyle name="cal.Link7 2 2" xfId="8848"/>
    <cellStyle name="cal.Link7 2 2 2" xfId="24434"/>
    <cellStyle name="cal.Link7 2 3" xfId="8849"/>
    <cellStyle name="cal.Link7 2 3 2" xfId="8850"/>
    <cellStyle name="cal.Link7 2 3 2 2" xfId="24436"/>
    <cellStyle name="cal.Link7 2 3 3" xfId="8851"/>
    <cellStyle name="cal.Link7 2 3 3 2" xfId="24437"/>
    <cellStyle name="cal.Link7 2 3 4" xfId="24435"/>
    <cellStyle name="cal.Link7 2 4" xfId="8852"/>
    <cellStyle name="cal.Link7 2 4 2" xfId="24438"/>
    <cellStyle name="cal.Link7 2 5" xfId="21005"/>
    <cellStyle name="cal.Link7 3" xfId="5106"/>
    <cellStyle name="cal.Link7 3 2" xfId="8853"/>
    <cellStyle name="cal.Link7 3 2 2" xfId="24439"/>
    <cellStyle name="cal.Link7 3 3" xfId="8854"/>
    <cellStyle name="cal.Link7 3 3 2" xfId="8855"/>
    <cellStyle name="cal.Link7 3 3 2 2" xfId="24441"/>
    <cellStyle name="cal.Link7 3 3 3" xfId="8856"/>
    <cellStyle name="cal.Link7 3 3 3 2" xfId="24442"/>
    <cellStyle name="cal.Link7 3 3 4" xfId="24440"/>
    <cellStyle name="cal.Link7 3 4" xfId="8857"/>
    <cellStyle name="cal.Link7 3 4 2" xfId="24443"/>
    <cellStyle name="cal.Link7 3 5" xfId="21006"/>
    <cellStyle name="cal.Link7 4" xfId="8858"/>
    <cellStyle name="cal.Link7 4 2" xfId="24444"/>
    <cellStyle name="cal.Link7 5" xfId="8859"/>
    <cellStyle name="cal.Link7 5 2" xfId="8860"/>
    <cellStyle name="cal.Link7 5 2 2" xfId="24446"/>
    <cellStyle name="cal.Link7 5 3" xfId="8861"/>
    <cellStyle name="cal.Link7 5 3 2" xfId="24447"/>
    <cellStyle name="cal.Link7 5 4" xfId="24445"/>
    <cellStyle name="cal.Link7 6" xfId="8862"/>
    <cellStyle name="cal.Link7 6 2" xfId="24448"/>
    <cellStyle name="cal.Link7 7" xfId="8863"/>
    <cellStyle name="cal.Link7 7 2" xfId="8864"/>
    <cellStyle name="cal.Link7 7 2 2" xfId="24450"/>
    <cellStyle name="cal.Link7 7 3" xfId="24449"/>
    <cellStyle name="cal.Link7 8" xfId="19255"/>
    <cellStyle name="Calc Currency (0)" xfId="1695"/>
    <cellStyle name="Calc Currency (0) 2" xfId="1696"/>
    <cellStyle name="Calc Currency (0) 3" xfId="1697"/>
    <cellStyle name="Calc Currency (2)" xfId="1698"/>
    <cellStyle name="Calc Percent (0)" xfId="1699"/>
    <cellStyle name="Calc Percent (1)" xfId="1700"/>
    <cellStyle name="Calc Percent (2)" xfId="1701"/>
    <cellStyle name="Calc Units (0)" xfId="1702"/>
    <cellStyle name="Calc Units (1)" xfId="1703"/>
    <cellStyle name="Calc Units (2)" xfId="1704"/>
    <cellStyle name="Calcs" xfId="1705"/>
    <cellStyle name="Calcs 2" xfId="5107"/>
    <cellStyle name="Calcs 2 2" xfId="5108"/>
    <cellStyle name="Calcs 2 2 2" xfId="8865"/>
    <cellStyle name="Calcs 2 2 2 2" xfId="8866"/>
    <cellStyle name="Calcs 2 2 2 2 2" xfId="24452"/>
    <cellStyle name="Calcs 2 2 2 2 3" xfId="20294"/>
    <cellStyle name="Calcs 2 2 2 3" xfId="8867"/>
    <cellStyle name="Calcs 2 2 2 3 2" xfId="24453"/>
    <cellStyle name="Calcs 2 2 2 3 3" xfId="20238"/>
    <cellStyle name="Calcs 2 2 2 4" xfId="24451"/>
    <cellStyle name="Calcs 2 2 2 5" xfId="20415"/>
    <cellStyle name="Calcs 2 2 3" xfId="8868"/>
    <cellStyle name="Calcs 2 2 3 2" xfId="8869"/>
    <cellStyle name="Calcs 2 2 3 2 2" xfId="24455"/>
    <cellStyle name="Calcs 2 2 3 2 3" xfId="20409"/>
    <cellStyle name="Calcs 2 2 3 3" xfId="24454"/>
    <cellStyle name="Calcs 2 2 3 4" xfId="23074"/>
    <cellStyle name="Calcs 2 2 4" xfId="8870"/>
    <cellStyle name="Calcs 2 2 4 2" xfId="24456"/>
    <cellStyle name="Calcs 2 2 4 3" xfId="23073"/>
    <cellStyle name="Calcs 2 2 5" xfId="21008"/>
    <cellStyle name="Calcs 2 2 6" xfId="21097"/>
    <cellStyle name="Calcs 2 3" xfId="8871"/>
    <cellStyle name="Calcs 2 3 2" xfId="8872"/>
    <cellStyle name="Calcs 2 3 2 2" xfId="24458"/>
    <cellStyle name="Calcs 2 3 2 3" xfId="23071"/>
    <cellStyle name="Calcs 2 3 3" xfId="8873"/>
    <cellStyle name="Calcs 2 3 3 2" xfId="24459"/>
    <cellStyle name="Calcs 2 3 3 3" xfId="20223"/>
    <cellStyle name="Calcs 2 3 4" xfId="24457"/>
    <cellStyle name="Calcs 2 3 5" xfId="23072"/>
    <cellStyle name="Calcs 2 4" xfId="8874"/>
    <cellStyle name="Calcs 2 4 2" xfId="8875"/>
    <cellStyle name="Calcs 2 4 2 2" xfId="24461"/>
    <cellStyle name="Calcs 2 4 2 3" xfId="23069"/>
    <cellStyle name="Calcs 2 4 3" xfId="24460"/>
    <cellStyle name="Calcs 2 4 4" xfId="23070"/>
    <cellStyle name="Calcs 2 5" xfId="8876"/>
    <cellStyle name="Calcs 2 5 2" xfId="24462"/>
    <cellStyle name="Calcs 2 5 3" xfId="23068"/>
    <cellStyle name="Calcs 2 6" xfId="21007"/>
    <cellStyle name="Calcs 2 7" xfId="26534"/>
    <cellStyle name="Calcs 3" xfId="5109"/>
    <cellStyle name="Calcs 3 2" xfId="8877"/>
    <cellStyle name="Calcs 3 2 2" xfId="8878"/>
    <cellStyle name="Calcs 3 2 2 2" xfId="24464"/>
    <cellStyle name="Calcs 3 2 2 3" xfId="20313"/>
    <cellStyle name="Calcs 3 2 3" xfId="8879"/>
    <cellStyle name="Calcs 3 2 3 2" xfId="24465"/>
    <cellStyle name="Calcs 3 2 3 3" xfId="20375"/>
    <cellStyle name="Calcs 3 2 4" xfId="24463"/>
    <cellStyle name="Calcs 3 2 5" xfId="20430"/>
    <cellStyle name="Calcs 3 3" xfId="8880"/>
    <cellStyle name="Calcs 3 3 2" xfId="24466"/>
    <cellStyle name="Calcs 3 3 3" xfId="20476"/>
    <cellStyle name="Calcs 3 4" xfId="21009"/>
    <cellStyle name="Calcs 3 5" xfId="26533"/>
    <cellStyle name="Calcs 4" xfId="8881"/>
    <cellStyle name="Calcs 4 2" xfId="8882"/>
    <cellStyle name="Calcs 4 2 2" xfId="24468"/>
    <cellStyle name="Calcs 4 2 3" xfId="20511"/>
    <cellStyle name="Calcs 4 3" xfId="8883"/>
    <cellStyle name="Calcs 4 3 2" xfId="24469"/>
    <cellStyle name="Calcs 4 3 3" xfId="20440"/>
    <cellStyle name="Calcs 4 4" xfId="24467"/>
    <cellStyle name="Calcs 4 5" xfId="20227"/>
    <cellStyle name="Calcs 5" xfId="8884"/>
    <cellStyle name="Calcs 5 2" xfId="8885"/>
    <cellStyle name="Calcs 5 2 2" xfId="24471"/>
    <cellStyle name="Calcs 5 2 3" xfId="23066"/>
    <cellStyle name="Calcs 5 3" xfId="24470"/>
    <cellStyle name="Calcs 5 4" xfId="23067"/>
    <cellStyle name="Calcs 6" xfId="8886"/>
    <cellStyle name="Calcs 6 2" xfId="24472"/>
    <cellStyle name="Calcs 6 3" xfId="23065"/>
    <cellStyle name="Calcs 7" xfId="19266"/>
    <cellStyle name="Calcs 8" xfId="30596"/>
    <cellStyle name="Calculation 2" xfId="1706"/>
    <cellStyle name="Calculation 2 10" xfId="8887"/>
    <cellStyle name="Calculation 2 10 2" xfId="23064"/>
    <cellStyle name="Calculation 2 11" xfId="30595"/>
    <cellStyle name="Calculation 2 2" xfId="1707"/>
    <cellStyle name="Calculation 2 3" xfId="1708"/>
    <cellStyle name="Calculation 2 3 2" xfId="4344"/>
    <cellStyle name="Calculation 2 3 2 2" xfId="8888"/>
    <cellStyle name="Calculation 2 3 2 2 2" xfId="8889"/>
    <cellStyle name="Calculation 2 3 2 2 2 2" xfId="23062"/>
    <cellStyle name="Calculation 2 3 2 2 3" xfId="8890"/>
    <cellStyle name="Calculation 2 3 2 2 3 2" xfId="20892"/>
    <cellStyle name="Calculation 2 3 2 2 4" xfId="23063"/>
    <cellStyle name="Calculation 2 3 2 3" xfId="8891"/>
    <cellStyle name="Calculation 2 3 2 3 2" xfId="8892"/>
    <cellStyle name="Calculation 2 3 2 3 2 2" xfId="23060"/>
    <cellStyle name="Calculation 2 3 2 3 3" xfId="8893"/>
    <cellStyle name="Calculation 2 3 2 3 3 2" xfId="23059"/>
    <cellStyle name="Calculation 2 3 2 3 4" xfId="23061"/>
    <cellStyle name="Calculation 2 3 2 4" xfId="8894"/>
    <cellStyle name="Calculation 2 3 2 4 2" xfId="8895"/>
    <cellStyle name="Calculation 2 3 2 4 2 2" xfId="20265"/>
    <cellStyle name="Calculation 2 3 2 4 3" xfId="8896"/>
    <cellStyle name="Calculation 2 3 2 4 3 2" xfId="20240"/>
    <cellStyle name="Calculation 2 3 2 4 4" xfId="20891"/>
    <cellStyle name="Calculation 2 3 2 5" xfId="8897"/>
    <cellStyle name="Calculation 2 3 2 5 2" xfId="8898"/>
    <cellStyle name="Calculation 2 3 2 5 2 2" xfId="20306"/>
    <cellStyle name="Calculation 2 3 2 5 3" xfId="8899"/>
    <cellStyle name="Calculation 2 3 2 5 3 2" xfId="20425"/>
    <cellStyle name="Calculation 2 3 2 5 4" xfId="20229"/>
    <cellStyle name="Calculation 2 3 2 6" xfId="8900"/>
    <cellStyle name="Calculation 2 3 2 6 2" xfId="20269"/>
    <cellStyle name="Calculation 2 3 2 7" xfId="8901"/>
    <cellStyle name="Calculation 2 3 2 7 2" xfId="20242"/>
    <cellStyle name="Calculation 2 3 2 8" xfId="27233"/>
    <cellStyle name="Calculation 2 3 3" xfId="4291"/>
    <cellStyle name="Calculation 2 3 3 2" xfId="8902"/>
    <cellStyle name="Calculation 2 3 3 2 2" xfId="8903"/>
    <cellStyle name="Calculation 2 3 3 2 2 2" xfId="20449"/>
    <cellStyle name="Calculation 2 3 3 2 3" xfId="8904"/>
    <cellStyle name="Calculation 2 3 3 2 3 2" xfId="20466"/>
    <cellStyle name="Calculation 2 3 3 2 4" xfId="20285"/>
    <cellStyle name="Calculation 2 3 3 3" xfId="8905"/>
    <cellStyle name="Calculation 2 3 3 3 2" xfId="8906"/>
    <cellStyle name="Calculation 2 3 3 3 2 2" xfId="18531"/>
    <cellStyle name="Calculation 2 3 3 3 3" xfId="8907"/>
    <cellStyle name="Calculation 2 3 3 3 3 2" xfId="20423"/>
    <cellStyle name="Calculation 2 3 3 3 4" xfId="20455"/>
    <cellStyle name="Calculation 2 3 3 4" xfId="8908"/>
    <cellStyle name="Calculation 2 3 3 4 2" xfId="8909"/>
    <cellStyle name="Calculation 2 3 3 4 2 2" xfId="20293"/>
    <cellStyle name="Calculation 2 3 3 4 3" xfId="8910"/>
    <cellStyle name="Calculation 2 3 3 4 3 2" xfId="20398"/>
    <cellStyle name="Calculation 2 3 3 4 4" xfId="20278"/>
    <cellStyle name="Calculation 2 3 3 5" xfId="8911"/>
    <cellStyle name="Calculation 2 3 3 5 2" xfId="8912"/>
    <cellStyle name="Calculation 2 3 3 5 2 2" xfId="20410"/>
    <cellStyle name="Calculation 2 3 3 5 3" xfId="8913"/>
    <cellStyle name="Calculation 2 3 3 5 3 2" xfId="23057"/>
    <cellStyle name="Calculation 2 3 3 5 4" xfId="23058"/>
    <cellStyle name="Calculation 2 3 3 6" xfId="8914"/>
    <cellStyle name="Calculation 2 3 3 6 2" xfId="23056"/>
    <cellStyle name="Calculation 2 3 3 7" xfId="8915"/>
    <cellStyle name="Calculation 2 3 3 7 2" xfId="23055"/>
    <cellStyle name="Calculation 2 3 3 8" xfId="27332"/>
    <cellStyle name="Calculation 2 3 4" xfId="5110"/>
    <cellStyle name="Calculation 2 3 4 2" xfId="8916"/>
    <cellStyle name="Calculation 2 3 4 2 2" xfId="8917"/>
    <cellStyle name="Calculation 2 3 4 2 2 2" xfId="23054"/>
    <cellStyle name="Calculation 2 3 4 2 3" xfId="8918"/>
    <cellStyle name="Calculation 2 3 4 2 3 2" xfId="23053"/>
    <cellStyle name="Calculation 2 3 4 2 4" xfId="20211"/>
    <cellStyle name="Calculation 2 3 4 3" xfId="8919"/>
    <cellStyle name="Calculation 2 3 4 3 2" xfId="8920"/>
    <cellStyle name="Calculation 2 3 4 3 2 2" xfId="20431"/>
    <cellStyle name="Calculation 2 3 4 3 3" xfId="8921"/>
    <cellStyle name="Calculation 2 3 4 3 3 2" xfId="20206"/>
    <cellStyle name="Calculation 2 3 4 3 4" xfId="23052"/>
    <cellStyle name="Calculation 2 3 4 4" xfId="8922"/>
    <cellStyle name="Calculation 2 3 4 4 2" xfId="8923"/>
    <cellStyle name="Calculation 2 3 4 4 2 2" xfId="20254"/>
    <cellStyle name="Calculation 2 3 4 4 3" xfId="8924"/>
    <cellStyle name="Calculation 2 3 4 4 3 2" xfId="20402"/>
    <cellStyle name="Calculation 2 3 4 4 4" xfId="20270"/>
    <cellStyle name="Calculation 2 3 4 5" xfId="8925"/>
    <cellStyle name="Calculation 2 3 4 5 2" xfId="8926"/>
    <cellStyle name="Calculation 2 3 4 5 2 2" xfId="20213"/>
    <cellStyle name="Calculation 2 3 4 5 3" xfId="8927"/>
    <cellStyle name="Calculation 2 3 4 5 3 2" xfId="23051"/>
    <cellStyle name="Calculation 2 3 4 5 4" xfId="20444"/>
    <cellStyle name="Calculation 2 3 4 6" xfId="8928"/>
    <cellStyle name="Calculation 2 3 4 6 2" xfId="23050"/>
    <cellStyle name="Calculation 2 3 4 7" xfId="8929"/>
    <cellStyle name="Calculation 2 3 4 7 2" xfId="23049"/>
    <cellStyle name="Calculation 2 3 4 8" xfId="26532"/>
    <cellStyle name="Calculation 2 3 5" xfId="8930"/>
    <cellStyle name="Calculation 2 3 5 2" xfId="8931"/>
    <cellStyle name="Calculation 2 3 5 2 2" xfId="23047"/>
    <cellStyle name="Calculation 2 3 5 3" xfId="8932"/>
    <cellStyle name="Calculation 2 3 5 3 2" xfId="23046"/>
    <cellStyle name="Calculation 2 3 5 4" xfId="23048"/>
    <cellStyle name="Calculation 2 3 6" xfId="8933"/>
    <cellStyle name="Calculation 2 3 6 2" xfId="20890"/>
    <cellStyle name="Calculation 2 3 7" xfId="8934"/>
    <cellStyle name="Calculation 2 3 7 2" xfId="23045"/>
    <cellStyle name="Calculation 2 3 8" xfId="30594"/>
    <cellStyle name="Calculation 2 4" xfId="1709"/>
    <cellStyle name="Calculation 2 4 2" xfId="4614"/>
    <cellStyle name="Calculation 2 4 2 2" xfId="8935"/>
    <cellStyle name="Calculation 2 4 2 2 2" xfId="8936"/>
    <cellStyle name="Calculation 2 4 2 2 2 2" xfId="23043"/>
    <cellStyle name="Calculation 2 4 2 2 3" xfId="8937"/>
    <cellStyle name="Calculation 2 4 2 2 3 2" xfId="20889"/>
    <cellStyle name="Calculation 2 4 2 2 4" xfId="23044"/>
    <cellStyle name="Calculation 2 4 2 3" xfId="8938"/>
    <cellStyle name="Calculation 2 4 2 3 2" xfId="8939"/>
    <cellStyle name="Calculation 2 4 2 3 2 2" xfId="20395"/>
    <cellStyle name="Calculation 2 4 2 3 3" xfId="8940"/>
    <cellStyle name="Calculation 2 4 2 3 3 2" xfId="20548"/>
    <cellStyle name="Calculation 2 4 2 3 4" xfId="20264"/>
    <cellStyle name="Calculation 2 4 2 4" xfId="8941"/>
    <cellStyle name="Calculation 2 4 2 4 2" xfId="8942"/>
    <cellStyle name="Calculation 2 4 2 4 2 2" xfId="20428"/>
    <cellStyle name="Calculation 2 4 2 4 3" xfId="8943"/>
    <cellStyle name="Calculation 2 4 2 4 3 2" xfId="20460"/>
    <cellStyle name="Calculation 2 4 2 4 4" xfId="20544"/>
    <cellStyle name="Calculation 2 4 2 5" xfId="8944"/>
    <cellStyle name="Calculation 2 4 2 5 2" xfId="8945"/>
    <cellStyle name="Calculation 2 4 2 5 2 2" xfId="20468"/>
    <cellStyle name="Calculation 2 4 2 5 3" xfId="8946"/>
    <cellStyle name="Calculation 2 4 2 5 3 2" xfId="20405"/>
    <cellStyle name="Calculation 2 4 2 5 4" xfId="20257"/>
    <cellStyle name="Calculation 2 4 2 6" xfId="8947"/>
    <cellStyle name="Calculation 2 4 2 6 2" xfId="20388"/>
    <cellStyle name="Calculation 2 4 2 7" xfId="8948"/>
    <cellStyle name="Calculation 2 4 2 7 2" xfId="20290"/>
    <cellStyle name="Calculation 2 4 2 8" xfId="19833"/>
    <cellStyle name="Calculation 2 4 3" xfId="4292"/>
    <cellStyle name="Calculation 2 4 3 2" xfId="8949"/>
    <cellStyle name="Calculation 2 4 3 2 2" xfId="8950"/>
    <cellStyle name="Calculation 2 4 3 2 2 2" xfId="20271"/>
    <cellStyle name="Calculation 2 4 3 2 3" xfId="8951"/>
    <cellStyle name="Calculation 2 4 3 2 3 2" xfId="20469"/>
    <cellStyle name="Calculation 2 4 3 2 4" xfId="18530"/>
    <cellStyle name="Calculation 2 4 3 3" xfId="8952"/>
    <cellStyle name="Calculation 2 4 3 3 2" xfId="8953"/>
    <cellStyle name="Calculation 2 4 3 3 2 2" xfId="20256"/>
    <cellStyle name="Calculation 2 4 3 3 3" xfId="8954"/>
    <cellStyle name="Calculation 2 4 3 3 3 2" xfId="23042"/>
    <cellStyle name="Calculation 2 4 3 3 4" xfId="20456"/>
    <cellStyle name="Calculation 2 4 3 4" xfId="8955"/>
    <cellStyle name="Calculation 2 4 3 4 2" xfId="8956"/>
    <cellStyle name="Calculation 2 4 3 4 2 2" xfId="23041"/>
    <cellStyle name="Calculation 2 4 3 4 3" xfId="8957"/>
    <cellStyle name="Calculation 2 4 3 4 3 2" xfId="23040"/>
    <cellStyle name="Calculation 2 4 3 4 4" xfId="20411"/>
    <cellStyle name="Calculation 2 4 3 5" xfId="8958"/>
    <cellStyle name="Calculation 2 4 3 5 2" xfId="8959"/>
    <cellStyle name="Calculation 2 4 3 5 2 2" xfId="20282"/>
    <cellStyle name="Calculation 2 4 3 5 3" xfId="8960"/>
    <cellStyle name="Calculation 2 4 3 5 3 2" xfId="23038"/>
    <cellStyle name="Calculation 2 4 3 5 4" xfId="23039"/>
    <cellStyle name="Calculation 2 4 3 6" xfId="8961"/>
    <cellStyle name="Calculation 2 4 3 6 2" xfId="23037"/>
    <cellStyle name="Calculation 2 4 3 7" xfId="8962"/>
    <cellStyle name="Calculation 2 4 3 7 2" xfId="23036"/>
    <cellStyle name="Calculation 2 4 3 8" xfId="27331"/>
    <cellStyle name="Calculation 2 4 4" xfId="5111"/>
    <cellStyle name="Calculation 2 4 4 2" xfId="8963"/>
    <cellStyle name="Calculation 2 4 4 2 2" xfId="8964"/>
    <cellStyle name="Calculation 2 4 4 2 2 2" xfId="20311"/>
    <cellStyle name="Calculation 2 4 4 2 3" xfId="8965"/>
    <cellStyle name="Calculation 2 4 4 2 3 2" xfId="20222"/>
    <cellStyle name="Calculation 2 4 4 2 4" xfId="20432"/>
    <cellStyle name="Calculation 2 4 4 3" xfId="8966"/>
    <cellStyle name="Calculation 2 4 4 3 2" xfId="8967"/>
    <cellStyle name="Calculation 2 4 4 3 2 2" xfId="20218"/>
    <cellStyle name="Calculation 2 4 4 3 3" xfId="8968"/>
    <cellStyle name="Calculation 2 4 4 3 3 2" xfId="20487"/>
    <cellStyle name="Calculation 2 4 4 3 4" xfId="20208"/>
    <cellStyle name="Calculation 2 4 4 4" xfId="8969"/>
    <cellStyle name="Calculation 2 4 4 4 2" xfId="8970"/>
    <cellStyle name="Calculation 2 4 4 4 2 2" xfId="23035"/>
    <cellStyle name="Calculation 2 4 4 4 3" xfId="8971"/>
    <cellStyle name="Calculation 2 4 4 4 3 2" xfId="23034"/>
    <cellStyle name="Calculation 2 4 4 4 4" xfId="20380"/>
    <cellStyle name="Calculation 2 4 4 5" xfId="8972"/>
    <cellStyle name="Calculation 2 4 4 5 2" xfId="8973"/>
    <cellStyle name="Calculation 2 4 4 5 2 2" xfId="23032"/>
    <cellStyle name="Calculation 2 4 4 5 3" xfId="8974"/>
    <cellStyle name="Calculation 2 4 4 5 3 2" xfId="23031"/>
    <cellStyle name="Calculation 2 4 4 5 4" xfId="23033"/>
    <cellStyle name="Calculation 2 4 4 6" xfId="8975"/>
    <cellStyle name="Calculation 2 4 4 6 2" xfId="23030"/>
    <cellStyle name="Calculation 2 4 4 7" xfId="8976"/>
    <cellStyle name="Calculation 2 4 4 7 2" xfId="20888"/>
    <cellStyle name="Calculation 2 4 4 8" xfId="26531"/>
    <cellStyle name="Calculation 2 4 5" xfId="8977"/>
    <cellStyle name="Calculation 2 4 5 2" xfId="8978"/>
    <cellStyle name="Calculation 2 4 5 2 2" xfId="23028"/>
    <cellStyle name="Calculation 2 4 5 3" xfId="8979"/>
    <cellStyle name="Calculation 2 4 5 3 2" xfId="23027"/>
    <cellStyle name="Calculation 2 4 5 4" xfId="23029"/>
    <cellStyle name="Calculation 2 4 6" xfId="8980"/>
    <cellStyle name="Calculation 2 4 6 2" xfId="20887"/>
    <cellStyle name="Calculation 2 4 7" xfId="8981"/>
    <cellStyle name="Calculation 2 4 7 2" xfId="20263"/>
    <cellStyle name="Calculation 2 4 8" xfId="30593"/>
    <cellStyle name="Calculation 2 5" xfId="4345"/>
    <cellStyle name="Calculation 2 5 2" xfId="8982"/>
    <cellStyle name="Calculation 2 5 2 2" xfId="8983"/>
    <cellStyle name="Calculation 2 5 2 2 2" xfId="20404"/>
    <cellStyle name="Calculation 2 5 2 3" xfId="8984"/>
    <cellStyle name="Calculation 2 5 2 3 2" xfId="20243"/>
    <cellStyle name="Calculation 2 5 2 4" xfId="20277"/>
    <cellStyle name="Calculation 2 5 3" xfId="8985"/>
    <cellStyle name="Calculation 2 5 3 2" xfId="8986"/>
    <cellStyle name="Calculation 2 5 3 2 2" xfId="20429"/>
    <cellStyle name="Calculation 2 5 3 3" xfId="8987"/>
    <cellStyle name="Calculation 2 5 3 3 2" xfId="20419"/>
    <cellStyle name="Calculation 2 5 3 4" xfId="20390"/>
    <cellStyle name="Calculation 2 5 4" xfId="8988"/>
    <cellStyle name="Calculation 2 5 4 2" xfId="8989"/>
    <cellStyle name="Calculation 2 5 4 2 2" xfId="20461"/>
    <cellStyle name="Calculation 2 5 4 3" xfId="8990"/>
    <cellStyle name="Calculation 2 5 4 3 2" xfId="20389"/>
    <cellStyle name="Calculation 2 5 4 4" xfId="20521"/>
    <cellStyle name="Calculation 2 5 5" xfId="8991"/>
    <cellStyle name="Calculation 2 5 5 2" xfId="8992"/>
    <cellStyle name="Calculation 2 5 5 2 2" xfId="18529"/>
    <cellStyle name="Calculation 2 5 5 3" xfId="8993"/>
    <cellStyle name="Calculation 2 5 5 3 2" xfId="20426"/>
    <cellStyle name="Calculation 2 5 5 4" xfId="20288"/>
    <cellStyle name="Calculation 2 5 6" xfId="8994"/>
    <cellStyle name="Calculation 2 5 6 2" xfId="20486"/>
    <cellStyle name="Calculation 2 5 7" xfId="8995"/>
    <cellStyle name="Calculation 2 5 7 2" xfId="20246"/>
    <cellStyle name="Calculation 2 5 8" xfId="27232"/>
    <cellStyle name="Calculation 2 6" xfId="4290"/>
    <cellStyle name="Calculation 2 6 2" xfId="8996"/>
    <cellStyle name="Calculation 2 6 2 2" xfId="8997"/>
    <cellStyle name="Calculation 2 6 2 2 2" xfId="23026"/>
    <cellStyle name="Calculation 2 6 2 3" xfId="8998"/>
    <cellStyle name="Calculation 2 6 2 3 2" xfId="20412"/>
    <cellStyle name="Calculation 2 6 2 4" xfId="20467"/>
    <cellStyle name="Calculation 2 6 3" xfId="8999"/>
    <cellStyle name="Calculation 2 6 3 2" xfId="9000"/>
    <cellStyle name="Calculation 2 6 3 2 2" xfId="23024"/>
    <cellStyle name="Calculation 2 6 3 3" xfId="9001"/>
    <cellStyle name="Calculation 2 6 3 3 2" xfId="23023"/>
    <cellStyle name="Calculation 2 6 3 4" xfId="23025"/>
    <cellStyle name="Calculation 2 6 4" xfId="9002"/>
    <cellStyle name="Calculation 2 6 4 2" xfId="9003"/>
    <cellStyle name="Calculation 2 6 4 2 2" xfId="23022"/>
    <cellStyle name="Calculation 2 6 4 3" xfId="9004"/>
    <cellStyle name="Calculation 2 6 4 3 2" xfId="23021"/>
    <cellStyle name="Calculation 2 6 4 4" xfId="20281"/>
    <cellStyle name="Calculation 2 6 5" xfId="9005"/>
    <cellStyle name="Calculation 2 6 5 2" xfId="9006"/>
    <cellStyle name="Calculation 2 6 5 2 2" xfId="20433"/>
    <cellStyle name="Calculation 2 6 5 3" xfId="9007"/>
    <cellStyle name="Calculation 2 6 5 3 2" xfId="20572"/>
    <cellStyle name="Calculation 2 6 5 4" xfId="23020"/>
    <cellStyle name="Calculation 2 6 6" xfId="9008"/>
    <cellStyle name="Calculation 2 6 6 2" xfId="20577"/>
    <cellStyle name="Calculation 2 6 7" xfId="9009"/>
    <cellStyle name="Calculation 2 6 7 2" xfId="20387"/>
    <cellStyle name="Calculation 2 6 8" xfId="27333"/>
    <cellStyle name="Calculation 2 7" xfId="5112"/>
    <cellStyle name="Calculation 2 7 2" xfId="9010"/>
    <cellStyle name="Calculation 2 7 2 2" xfId="9011"/>
    <cellStyle name="Calculation 2 7 2 2 2" xfId="20413"/>
    <cellStyle name="Calculation 2 7 2 3" xfId="9012"/>
    <cellStyle name="Calculation 2 7 2 3 2" xfId="20563"/>
    <cellStyle name="Calculation 2 7 2 4" xfId="20249"/>
    <cellStyle name="Calculation 2 7 3" xfId="9013"/>
    <cellStyle name="Calculation 2 7 3 2" xfId="9014"/>
    <cellStyle name="Calculation 2 7 3 2 2" xfId="23018"/>
    <cellStyle name="Calculation 2 7 3 3" xfId="9015"/>
    <cellStyle name="Calculation 2 7 3 3 2" xfId="23017"/>
    <cellStyle name="Calculation 2 7 3 4" xfId="23019"/>
    <cellStyle name="Calculation 2 7 4" xfId="9016"/>
    <cellStyle name="Calculation 2 7 4 2" xfId="9017"/>
    <cellStyle name="Calculation 2 7 4 2 2" xfId="23015"/>
    <cellStyle name="Calculation 2 7 4 3" xfId="9018"/>
    <cellStyle name="Calculation 2 7 4 3 2" xfId="23014"/>
    <cellStyle name="Calculation 2 7 4 4" xfId="23016"/>
    <cellStyle name="Calculation 2 7 5" xfId="9019"/>
    <cellStyle name="Calculation 2 7 5 2" xfId="9020"/>
    <cellStyle name="Calculation 2 7 5 2 2" xfId="23013"/>
    <cellStyle name="Calculation 2 7 5 3" xfId="9021"/>
    <cellStyle name="Calculation 2 7 5 3 2" xfId="23012"/>
    <cellStyle name="Calculation 2 7 5 4" xfId="20886"/>
    <cellStyle name="Calculation 2 7 6" xfId="9022"/>
    <cellStyle name="Calculation 2 7 6 2" xfId="23011"/>
    <cellStyle name="Calculation 2 7 7" xfId="9023"/>
    <cellStyle name="Calculation 2 7 7 2" xfId="20885"/>
    <cellStyle name="Calculation 2 7 8" xfId="26530"/>
    <cellStyle name="Calculation 2 8" xfId="9024"/>
    <cellStyle name="Calculation 2 8 2" xfId="9025"/>
    <cellStyle name="Calculation 2 8 2 2" xfId="20501"/>
    <cellStyle name="Calculation 2 8 3" xfId="9026"/>
    <cellStyle name="Calculation 2 8 3 2" xfId="20383"/>
    <cellStyle name="Calculation 2 8 4" xfId="20262"/>
    <cellStyle name="Calculation 2 9" xfId="9027"/>
    <cellStyle name="Calculation 2 9 2" xfId="20488"/>
    <cellStyle name="Calculation 3" xfId="1710"/>
    <cellStyle name="Calculation 3 10" xfId="30592"/>
    <cellStyle name="Calculation 3 2" xfId="1711"/>
    <cellStyle name="Calculation 3 2 2" xfId="4615"/>
    <cellStyle name="Calculation 3 2 2 2" xfId="9028"/>
    <cellStyle name="Calculation 3 2 2 2 2" xfId="9029"/>
    <cellStyle name="Calculation 3 2 2 2 2 2" xfId="20225"/>
    <cellStyle name="Calculation 3 2 2 2 3" xfId="9030"/>
    <cellStyle name="Calculation 3 2 2 2 3 2" xfId="20307"/>
    <cellStyle name="Calculation 3 2 2 2 4" xfId="20552"/>
    <cellStyle name="Calculation 3 2 2 3" xfId="9031"/>
    <cellStyle name="Calculation 3 2 2 3 2" xfId="9032"/>
    <cellStyle name="Calculation 3 2 2 3 2 2" xfId="20215"/>
    <cellStyle name="Calculation 3 2 2 3 3" xfId="9033"/>
    <cellStyle name="Calculation 3 2 2 3 3 2" xfId="20420"/>
    <cellStyle name="Calculation 3 2 2 3 4" xfId="20541"/>
    <cellStyle name="Calculation 3 2 2 4" xfId="9034"/>
    <cellStyle name="Calculation 3 2 2 4 2" xfId="9035"/>
    <cellStyle name="Calculation 3 2 2 4 2 2" xfId="18528"/>
    <cellStyle name="Calculation 3 2 2 4 3" xfId="9036"/>
    <cellStyle name="Calculation 3 2 2 4 3 2" xfId="20298"/>
    <cellStyle name="Calculation 3 2 2 4 4" xfId="20534"/>
    <cellStyle name="Calculation 3 2 2 5" xfId="9037"/>
    <cellStyle name="Calculation 3 2 2 5 2" xfId="9038"/>
    <cellStyle name="Calculation 3 2 2 5 2 2" xfId="20217"/>
    <cellStyle name="Calculation 3 2 2 5 3" xfId="9039"/>
    <cellStyle name="Calculation 3 2 2 5 3 2" xfId="20519"/>
    <cellStyle name="Calculation 3 2 2 5 4" xfId="20393"/>
    <cellStyle name="Calculation 3 2 2 6" xfId="9040"/>
    <cellStyle name="Calculation 3 2 2 6 2" xfId="23010"/>
    <cellStyle name="Calculation 3 2 2 7" xfId="9041"/>
    <cellStyle name="Calculation 3 2 2 7 2" xfId="20465"/>
    <cellStyle name="Calculation 3 2 2 8" xfId="19832"/>
    <cellStyle name="Calculation 3 2 3" xfId="4294"/>
    <cellStyle name="Calculation 3 2 3 2" xfId="9042"/>
    <cellStyle name="Calculation 3 2 3 2 2" xfId="9043"/>
    <cellStyle name="Calculation 3 2 3 2 2 2" xfId="23008"/>
    <cellStyle name="Calculation 3 2 3 2 3" xfId="9044"/>
    <cellStyle name="Calculation 3 2 3 2 3 2" xfId="23007"/>
    <cellStyle name="Calculation 3 2 3 2 4" xfId="23009"/>
    <cellStyle name="Calculation 3 2 3 3" xfId="9045"/>
    <cellStyle name="Calculation 3 2 3 3 2" xfId="9046"/>
    <cellStyle name="Calculation 3 2 3 3 2 2" xfId="23006"/>
    <cellStyle name="Calculation 3 2 3 3 3" xfId="9047"/>
    <cellStyle name="Calculation 3 2 3 3 3 2" xfId="23005"/>
    <cellStyle name="Calculation 3 2 3 3 4" xfId="20489"/>
    <cellStyle name="Calculation 3 2 3 4" xfId="9048"/>
    <cellStyle name="Calculation 3 2 3 4 2" xfId="9049"/>
    <cellStyle name="Calculation 3 2 3 4 2 2" xfId="20434"/>
    <cellStyle name="Calculation 3 2 3 4 3" xfId="9050"/>
    <cellStyle name="Calculation 3 2 3 4 3 2" xfId="20557"/>
    <cellStyle name="Calculation 3 2 3 4 4" xfId="23004"/>
    <cellStyle name="Calculation 3 2 3 5" xfId="9051"/>
    <cellStyle name="Calculation 3 2 3 5 2" xfId="9052"/>
    <cellStyle name="Calculation 3 2 3 5 2 2" xfId="20394"/>
    <cellStyle name="Calculation 3 2 3 5 3" xfId="9053"/>
    <cellStyle name="Calculation 3 2 3 5 3 2" xfId="20443"/>
    <cellStyle name="Calculation 3 2 3 5 4" xfId="20110"/>
    <cellStyle name="Calculation 3 2 3 6" xfId="9054"/>
    <cellStyle name="Calculation 3 2 3 6 2" xfId="20547"/>
    <cellStyle name="Calculation 3 2 3 7" xfId="9055"/>
    <cellStyle name="Calculation 3 2 3 7 2" xfId="20407"/>
    <cellStyle name="Calculation 3 2 3 8" xfId="27329"/>
    <cellStyle name="Calculation 3 2 4" xfId="5113"/>
    <cellStyle name="Calculation 3 2 4 2" xfId="9056"/>
    <cellStyle name="Calculation 3 2 4 2 2" xfId="9057"/>
    <cellStyle name="Calculation 3 2 4 2 2 2" xfId="23002"/>
    <cellStyle name="Calculation 3 2 4 2 3" xfId="9058"/>
    <cellStyle name="Calculation 3 2 4 2 3 2" xfId="23001"/>
    <cellStyle name="Calculation 3 2 4 2 4" xfId="23003"/>
    <cellStyle name="Calculation 3 2 4 3" xfId="9059"/>
    <cellStyle name="Calculation 3 2 4 3 2" xfId="9060"/>
    <cellStyle name="Calculation 3 2 4 3 2 2" xfId="22999"/>
    <cellStyle name="Calculation 3 2 4 3 3" xfId="9061"/>
    <cellStyle name="Calculation 3 2 4 3 3 2" xfId="22998"/>
    <cellStyle name="Calculation 3 2 4 3 4" xfId="23000"/>
    <cellStyle name="Calculation 3 2 4 4" xfId="9062"/>
    <cellStyle name="Calculation 3 2 4 4 2" xfId="9063"/>
    <cellStyle name="Calculation 3 2 4 4 2 2" xfId="22997"/>
    <cellStyle name="Calculation 3 2 4 4 3" xfId="9064"/>
    <cellStyle name="Calculation 3 2 4 4 3 2" xfId="22996"/>
    <cellStyle name="Calculation 3 2 4 4 4" xfId="20884"/>
    <cellStyle name="Calculation 3 2 4 5" xfId="9065"/>
    <cellStyle name="Calculation 3 2 4 5 2" xfId="9066"/>
    <cellStyle name="Calculation 3 2 4 5 2 2" xfId="20883"/>
    <cellStyle name="Calculation 3 2 4 5 3" xfId="9067"/>
    <cellStyle name="Calculation 3 2 4 5 3 2" xfId="20261"/>
    <cellStyle name="Calculation 3 2 4 5 4" xfId="22995"/>
    <cellStyle name="Calculation 3 2 4 6" xfId="9068"/>
    <cellStyle name="Calculation 3 2 4 6 2" xfId="20244"/>
    <cellStyle name="Calculation 3 2 4 7" xfId="9069"/>
    <cellStyle name="Calculation 3 2 4 7 2" xfId="20235"/>
    <cellStyle name="Calculation 3 2 4 8" xfId="26529"/>
    <cellStyle name="Calculation 3 2 5" xfId="9070"/>
    <cellStyle name="Calculation 3 2 5 2" xfId="9071"/>
    <cellStyle name="Calculation 3 2 5 2 2" xfId="20274"/>
    <cellStyle name="Calculation 3 2 5 3" xfId="9072"/>
    <cellStyle name="Calculation 3 2 5 3 2" xfId="20416"/>
    <cellStyle name="Calculation 3 2 5 4" xfId="20296"/>
    <cellStyle name="Calculation 3 2 6" xfId="9073"/>
    <cellStyle name="Calculation 3 2 6 2" xfId="20479"/>
    <cellStyle name="Calculation 3 2 7" xfId="9074"/>
    <cellStyle name="Calculation 3 2 7 2" xfId="20384"/>
    <cellStyle name="Calculation 3 2 8" xfId="30591"/>
    <cellStyle name="Calculation 3 3" xfId="1712"/>
    <cellStyle name="Calculation 3 3 2" xfId="4613"/>
    <cellStyle name="Calculation 3 3 2 2" xfId="9075"/>
    <cellStyle name="Calculation 3 3 2 2 2" xfId="9076"/>
    <cellStyle name="Calculation 3 3 2 2 2 2" xfId="20403"/>
    <cellStyle name="Calculation 3 3 2 2 3" xfId="9077"/>
    <cellStyle name="Calculation 3 3 2 2 3 2" xfId="20303"/>
    <cellStyle name="Calculation 3 3 2 2 4" xfId="20305"/>
    <cellStyle name="Calculation 3 3 2 3" xfId="9078"/>
    <cellStyle name="Calculation 3 3 2 3 2" xfId="9079"/>
    <cellStyle name="Calculation 3 3 2 3 2 2" xfId="20527"/>
    <cellStyle name="Calculation 3 3 2 3 3" xfId="9080"/>
    <cellStyle name="Calculation 3 3 2 3 3 2" xfId="20522"/>
    <cellStyle name="Calculation 3 3 2 3 4" xfId="18527"/>
    <cellStyle name="Calculation 3 3 2 4" xfId="9081"/>
    <cellStyle name="Calculation 3 3 2 4 2" xfId="9082"/>
    <cellStyle name="Calculation 3 3 2 4 2 2" xfId="20399"/>
    <cellStyle name="Calculation 3 3 2 4 3" xfId="9083"/>
    <cellStyle name="Calculation 3 3 2 4 3 2" xfId="22994"/>
    <cellStyle name="Calculation 3 3 2 4 4" xfId="20452"/>
    <cellStyle name="Calculation 3 3 2 5" xfId="9084"/>
    <cellStyle name="Calculation 3 3 2 5 2" xfId="9085"/>
    <cellStyle name="Calculation 3 3 2 5 2 2" xfId="22993"/>
    <cellStyle name="Calculation 3 3 2 5 3" xfId="9086"/>
    <cellStyle name="Calculation 3 3 2 5 3 2" xfId="22992"/>
    <cellStyle name="Calculation 3 3 2 5 4" xfId="20498"/>
    <cellStyle name="Calculation 3 3 2 6" xfId="9087"/>
    <cellStyle name="Calculation 3 3 2 6 2" xfId="22991"/>
    <cellStyle name="Calculation 3 3 2 7" xfId="9088"/>
    <cellStyle name="Calculation 3 3 2 7 2" xfId="20280"/>
    <cellStyle name="Calculation 3 3 2 8" xfId="19834"/>
    <cellStyle name="Calculation 3 3 3" xfId="3958"/>
    <cellStyle name="Calculation 3 3 3 2" xfId="9089"/>
    <cellStyle name="Calculation 3 3 3 2 2" xfId="9090"/>
    <cellStyle name="Calculation 3 3 3 2 2 2" xfId="22989"/>
    <cellStyle name="Calculation 3 3 3 2 3" xfId="9091"/>
    <cellStyle name="Calculation 3 3 3 2 3 2" xfId="22988"/>
    <cellStyle name="Calculation 3 3 3 2 4" xfId="22990"/>
    <cellStyle name="Calculation 3 3 3 3" xfId="9092"/>
    <cellStyle name="Calculation 3 3 3 3 2" xfId="9093"/>
    <cellStyle name="Calculation 3 3 3 3 2 2" xfId="20490"/>
    <cellStyle name="Calculation 3 3 3 3 3" xfId="9094"/>
    <cellStyle name="Calculation 3 3 3 3 3 2" xfId="20377"/>
    <cellStyle name="Calculation 3 3 3 3 4" xfId="20435"/>
    <cellStyle name="Calculation 3 3 3 4" xfId="9095"/>
    <cellStyle name="Calculation 3 3 3 4 2" xfId="9096"/>
    <cellStyle name="Calculation 3 3 3 4 2 2" xfId="20401"/>
    <cellStyle name="Calculation 3 3 3 4 3" xfId="9097"/>
    <cellStyle name="Calculation 3 3 3 4 3 2" xfId="20478"/>
    <cellStyle name="Calculation 3 3 3 4 4" xfId="20381"/>
    <cellStyle name="Calculation 3 3 3 5" xfId="9098"/>
    <cellStyle name="Calculation 3 3 3 5 2" xfId="9099"/>
    <cellStyle name="Calculation 3 3 3 5 2 2" xfId="22987"/>
    <cellStyle name="Calculation 3 3 3 5 3" xfId="9100"/>
    <cellStyle name="Calculation 3 3 3 5 3 2" xfId="22986"/>
    <cellStyle name="Calculation 3 3 3 5 4" xfId="20301"/>
    <cellStyle name="Calculation 3 3 3 6" xfId="9101"/>
    <cellStyle name="Calculation 3 3 3 6 2" xfId="22985"/>
    <cellStyle name="Calculation 3 3 3 7" xfId="9102"/>
    <cellStyle name="Calculation 3 3 3 7 2" xfId="22984"/>
    <cellStyle name="Calculation 3 3 3 8" xfId="27387"/>
    <cellStyle name="Calculation 3 3 4" xfId="5114"/>
    <cellStyle name="Calculation 3 3 4 2" xfId="9103"/>
    <cellStyle name="Calculation 3 3 4 2 2" xfId="9104"/>
    <cellStyle name="Calculation 3 3 4 2 2 2" xfId="22982"/>
    <cellStyle name="Calculation 3 3 4 2 3" xfId="9105"/>
    <cellStyle name="Calculation 3 3 4 2 3 2" xfId="20882"/>
    <cellStyle name="Calculation 3 3 4 2 4" xfId="22983"/>
    <cellStyle name="Calculation 3 3 4 3" xfId="9106"/>
    <cellStyle name="Calculation 3 3 4 3 2" xfId="9107"/>
    <cellStyle name="Calculation 3 3 4 3 2 2" xfId="22980"/>
    <cellStyle name="Calculation 3 3 4 3 3" xfId="9108"/>
    <cellStyle name="Calculation 3 3 4 3 3 2" xfId="22979"/>
    <cellStyle name="Calculation 3 3 4 3 4" xfId="22981"/>
    <cellStyle name="Calculation 3 3 4 4" xfId="9109"/>
    <cellStyle name="Calculation 3 3 4 4 2" xfId="9110"/>
    <cellStyle name="Calculation 3 3 4 4 2 2" xfId="20260"/>
    <cellStyle name="Calculation 3 3 4 4 3" xfId="9111"/>
    <cellStyle name="Calculation 3 3 4 4 3 2" xfId="20212"/>
    <cellStyle name="Calculation 3 3 4 4 4" xfId="20881"/>
    <cellStyle name="Calculation 3 3 4 5" xfId="9112"/>
    <cellStyle name="Calculation 3 3 4 5 2" xfId="9113"/>
    <cellStyle name="Calculation 3 3 4 5 2 2" xfId="20219"/>
    <cellStyle name="Calculation 3 3 4 5 3" xfId="9114"/>
    <cellStyle name="Calculation 3 3 4 5 3 2" xfId="20228"/>
    <cellStyle name="Calculation 3 3 4 5 4" xfId="20447"/>
    <cellStyle name="Calculation 3 3 4 6" xfId="9115"/>
    <cellStyle name="Calculation 3 3 4 6 2" xfId="20400"/>
    <cellStyle name="Calculation 3 3 4 7" xfId="9116"/>
    <cellStyle name="Calculation 3 3 4 7 2" xfId="20287"/>
    <cellStyle name="Calculation 3 3 4 8" xfId="26528"/>
    <cellStyle name="Calculation 3 3 5" xfId="9117"/>
    <cellStyle name="Calculation 3 3 5 2" xfId="9118"/>
    <cellStyle name="Calculation 3 3 5 2 2" xfId="20448"/>
    <cellStyle name="Calculation 3 3 5 3" xfId="9119"/>
    <cellStyle name="Calculation 3 3 5 3 2" xfId="20492"/>
    <cellStyle name="Calculation 3 3 5 4" xfId="20226"/>
    <cellStyle name="Calculation 3 3 6" xfId="9120"/>
    <cellStyle name="Calculation 3 3 6 2" xfId="20231"/>
    <cellStyle name="Calculation 3 3 7" xfId="9121"/>
    <cellStyle name="Calculation 3 3 7 2" xfId="18526"/>
    <cellStyle name="Calculation 3 3 8" xfId="30590"/>
    <cellStyle name="Calculation 3 4" xfId="4343"/>
    <cellStyle name="Calculation 3 4 2" xfId="9122"/>
    <cellStyle name="Calculation 3 4 2 2" xfId="9123"/>
    <cellStyle name="Calculation 3 4 2 2 2" xfId="20446"/>
    <cellStyle name="Calculation 3 4 2 3" xfId="9124"/>
    <cellStyle name="Calculation 3 4 2 3 2" xfId="20224"/>
    <cellStyle name="Calculation 3 4 2 4" xfId="20297"/>
    <cellStyle name="Calculation 3 4 3" xfId="9125"/>
    <cellStyle name="Calculation 3 4 3 2" xfId="9126"/>
    <cellStyle name="Calculation 3 4 3 2 2" xfId="22978"/>
    <cellStyle name="Calculation 3 4 3 3" xfId="9127"/>
    <cellStyle name="Calculation 3 4 3 3 2" xfId="20482"/>
    <cellStyle name="Calculation 3 4 3 4" xfId="20471"/>
    <cellStyle name="Calculation 3 4 4" xfId="9128"/>
    <cellStyle name="Calculation 3 4 4 2" xfId="9129"/>
    <cellStyle name="Calculation 3 4 4 2 2" xfId="22976"/>
    <cellStyle name="Calculation 3 4 4 3" xfId="9130"/>
    <cellStyle name="Calculation 3 4 4 3 2" xfId="22975"/>
    <cellStyle name="Calculation 3 4 4 4" xfId="22977"/>
    <cellStyle name="Calculation 3 4 5" xfId="9131"/>
    <cellStyle name="Calculation 3 4 5 2" xfId="9132"/>
    <cellStyle name="Calculation 3 4 5 2 2" xfId="22974"/>
    <cellStyle name="Calculation 3 4 5 3" xfId="9133"/>
    <cellStyle name="Calculation 3 4 5 3 2" xfId="22973"/>
    <cellStyle name="Calculation 3 4 5 4" xfId="20279"/>
    <cellStyle name="Calculation 3 4 6" xfId="9134"/>
    <cellStyle name="Calculation 3 4 6 2" xfId="22972"/>
    <cellStyle name="Calculation 3 4 7" xfId="9135"/>
    <cellStyle name="Calculation 3 4 7 2" xfId="20436"/>
    <cellStyle name="Calculation 3 4 8" xfId="27234"/>
    <cellStyle name="Calculation 3 5" xfId="4293"/>
    <cellStyle name="Calculation 3 5 2" xfId="9136"/>
    <cellStyle name="Calculation 3 5 2 2" xfId="9137"/>
    <cellStyle name="Calculation 3 5 2 2 2" xfId="20414"/>
    <cellStyle name="Calculation 3 5 2 3" xfId="9138"/>
    <cellStyle name="Calculation 3 5 2 3 2" xfId="20480"/>
    <cellStyle name="Calculation 3 5 2 4" xfId="20573"/>
    <cellStyle name="Calculation 3 5 3" xfId="9139"/>
    <cellStyle name="Calculation 3 5 3 2" xfId="9140"/>
    <cellStyle name="Calculation 3 5 3 2 2" xfId="20454"/>
    <cellStyle name="Calculation 3 5 3 3" xfId="9141"/>
    <cellStyle name="Calculation 3 5 3 3 2" xfId="20445"/>
    <cellStyle name="Calculation 3 5 3 4" xfId="20275"/>
    <cellStyle name="Calculation 3 5 4" xfId="9142"/>
    <cellStyle name="Calculation 3 5 4 2" xfId="9143"/>
    <cellStyle name="Calculation 3 5 4 2 2" xfId="22970"/>
    <cellStyle name="Calculation 3 5 4 3" xfId="9144"/>
    <cellStyle name="Calculation 3 5 4 3 2" xfId="22969"/>
    <cellStyle name="Calculation 3 5 4 4" xfId="22971"/>
    <cellStyle name="Calculation 3 5 5" xfId="9145"/>
    <cellStyle name="Calculation 3 5 5 2" xfId="9146"/>
    <cellStyle name="Calculation 3 5 5 2 2" xfId="22967"/>
    <cellStyle name="Calculation 3 5 5 3" xfId="9147"/>
    <cellStyle name="Calculation 3 5 5 3 2" xfId="22966"/>
    <cellStyle name="Calculation 3 5 5 4" xfId="22968"/>
    <cellStyle name="Calculation 3 5 6" xfId="9148"/>
    <cellStyle name="Calculation 3 5 6 2" xfId="20880"/>
    <cellStyle name="Calculation 3 5 7" xfId="9149"/>
    <cellStyle name="Calculation 3 5 7 2" xfId="22965"/>
    <cellStyle name="Calculation 3 5 8" xfId="27330"/>
    <cellStyle name="Calculation 3 6" xfId="5115"/>
    <cellStyle name="Calculation 3 6 2" xfId="9150"/>
    <cellStyle name="Calculation 3 6 2 2" xfId="9151"/>
    <cellStyle name="Calculation 3 6 2 2 2" xfId="22963"/>
    <cellStyle name="Calculation 3 6 2 3" xfId="9152"/>
    <cellStyle name="Calculation 3 6 2 3 2" xfId="20879"/>
    <cellStyle name="Calculation 3 6 2 4" xfId="22964"/>
    <cellStyle name="Calculation 3 6 3" xfId="9153"/>
    <cellStyle name="Calculation 3 6 3 2" xfId="9154"/>
    <cellStyle name="Calculation 3 6 3 2 2" xfId="20220"/>
    <cellStyle name="Calculation 3 6 3 3" xfId="9155"/>
    <cellStyle name="Calculation 3 6 3 3 2" xfId="20232"/>
    <cellStyle name="Calculation 3 6 3 4" xfId="20259"/>
    <cellStyle name="Calculation 3 6 4" xfId="9156"/>
    <cellStyle name="Calculation 3 6 4 2" xfId="9157"/>
    <cellStyle name="Calculation 3 6 4 2 2" xfId="20230"/>
    <cellStyle name="Calculation 3 6 4 3" xfId="9158"/>
    <cellStyle name="Calculation 3 6 4 3 2" xfId="20484"/>
    <cellStyle name="Calculation 3 6 4 4" xfId="20499"/>
    <cellStyle name="Calculation 3 6 5" xfId="9159"/>
    <cellStyle name="Calculation 3 6 5 2" xfId="9160"/>
    <cellStyle name="Calculation 3 6 5 2 2" xfId="20295"/>
    <cellStyle name="Calculation 3 6 5 3" xfId="9161"/>
    <cellStyle name="Calculation 3 6 5 3 2" xfId="20304"/>
    <cellStyle name="Calculation 3 6 5 4" xfId="20391"/>
    <cellStyle name="Calculation 3 6 6" xfId="9162"/>
    <cellStyle name="Calculation 3 6 6 2" xfId="20493"/>
    <cellStyle name="Calculation 3 6 7" xfId="9163"/>
    <cellStyle name="Calculation 3 6 7 2" xfId="20234"/>
    <cellStyle name="Calculation 3 6 8" xfId="26527"/>
    <cellStyle name="Calculation 3 7" xfId="9164"/>
    <cellStyle name="Calculation 3 7 2" xfId="9165"/>
    <cellStyle name="Calculation 3 7 2 2" xfId="18482"/>
    <cellStyle name="Calculation 3 7 3" xfId="9166"/>
    <cellStyle name="Calculation 3 7 3 2" xfId="18481"/>
    <cellStyle name="Calculation 3 7 4" xfId="18525"/>
    <cellStyle name="Calculation 3 8" xfId="9167"/>
    <cellStyle name="Calculation 3 8 2" xfId="18480"/>
    <cellStyle name="Calculation 3 9" xfId="9168"/>
    <cellStyle name="Calculation 3 9 2" xfId="18479"/>
    <cellStyle name="Cálculo" xfId="33" builtinId="22" customBuiltin="1"/>
    <cellStyle name="Cálculo 2" xfId="1713"/>
    <cellStyle name="Cálculo 3" xfId="1714"/>
    <cellStyle name="Cálculo 4" xfId="1715"/>
    <cellStyle name="Cálculo 4 10" xfId="30589"/>
    <cellStyle name="Cálculo 4 2" xfId="1716"/>
    <cellStyle name="Cálculo 4 2 2" xfId="4341"/>
    <cellStyle name="Cálculo 4 2 2 2" xfId="9169"/>
    <cellStyle name="Cálculo 4 2 2 2 2" xfId="9170"/>
    <cellStyle name="Cálculo 4 2 2 2 2 2" xfId="18477"/>
    <cellStyle name="Cálculo 4 2 2 2 3" xfId="9171"/>
    <cellStyle name="Cálculo 4 2 2 2 3 2" xfId="18476"/>
    <cellStyle name="Cálculo 4 2 2 2 4" xfId="18478"/>
    <cellStyle name="Cálculo 4 2 2 3" xfId="9172"/>
    <cellStyle name="Cálculo 4 2 2 3 2" xfId="9173"/>
    <cellStyle name="Cálculo 4 2 2 3 2 2" xfId="18474"/>
    <cellStyle name="Cálculo 4 2 2 3 3" xfId="9174"/>
    <cellStyle name="Cálculo 4 2 2 3 3 2" xfId="18473"/>
    <cellStyle name="Cálculo 4 2 2 3 4" xfId="18475"/>
    <cellStyle name="Cálculo 4 2 2 4" xfId="9175"/>
    <cellStyle name="Cálculo 4 2 2 4 2" xfId="9176"/>
    <cellStyle name="Cálculo 4 2 2 4 2 2" xfId="18471"/>
    <cellStyle name="Cálculo 4 2 2 4 3" xfId="9177"/>
    <cellStyle name="Cálculo 4 2 2 4 3 2" xfId="18470"/>
    <cellStyle name="Cálculo 4 2 2 4 4" xfId="18472"/>
    <cellStyle name="Cálculo 4 2 2 5" xfId="9178"/>
    <cellStyle name="Cálculo 4 2 2 5 2" xfId="9179"/>
    <cellStyle name="Cálculo 4 2 2 5 2 2" xfId="18468"/>
    <cellStyle name="Cálculo 4 2 2 5 3" xfId="9180"/>
    <cellStyle name="Cálculo 4 2 2 5 3 2" xfId="18467"/>
    <cellStyle name="Cálculo 4 2 2 5 4" xfId="18469"/>
    <cellStyle name="Cálculo 4 2 2 6" xfId="9181"/>
    <cellStyle name="Cálculo 4 2 2 6 2" xfId="18466"/>
    <cellStyle name="Cálculo 4 2 2 7" xfId="9182"/>
    <cellStyle name="Cálculo 4 2 2 7 2" xfId="18465"/>
    <cellStyle name="Cálculo 4 2 2 8" xfId="27236"/>
    <cellStyle name="Cálculo 4 2 3" xfId="4390"/>
    <cellStyle name="Cálculo 4 2 3 2" xfId="9183"/>
    <cellStyle name="Cálculo 4 2 3 2 2" xfId="9184"/>
    <cellStyle name="Cálculo 4 2 3 2 2 2" xfId="18463"/>
    <cellStyle name="Cálculo 4 2 3 2 3" xfId="9185"/>
    <cellStyle name="Cálculo 4 2 3 2 3 2" xfId="18462"/>
    <cellStyle name="Cálculo 4 2 3 2 4" xfId="18464"/>
    <cellStyle name="Cálculo 4 2 3 3" xfId="9186"/>
    <cellStyle name="Cálculo 4 2 3 3 2" xfId="9187"/>
    <cellStyle name="Cálculo 4 2 3 3 2 2" xfId="18460"/>
    <cellStyle name="Cálculo 4 2 3 3 3" xfId="9188"/>
    <cellStyle name="Cálculo 4 2 3 3 3 2" xfId="18459"/>
    <cellStyle name="Cálculo 4 2 3 3 4" xfId="18461"/>
    <cellStyle name="Cálculo 4 2 3 4" xfId="9189"/>
    <cellStyle name="Cálculo 4 2 3 4 2" xfId="9190"/>
    <cellStyle name="Cálculo 4 2 3 4 2 2" xfId="18457"/>
    <cellStyle name="Cálculo 4 2 3 4 3" xfId="9191"/>
    <cellStyle name="Cálculo 4 2 3 4 3 2" xfId="18456"/>
    <cellStyle name="Cálculo 4 2 3 4 4" xfId="18458"/>
    <cellStyle name="Cálculo 4 2 3 5" xfId="9192"/>
    <cellStyle name="Cálculo 4 2 3 5 2" xfId="9193"/>
    <cellStyle name="Cálculo 4 2 3 5 2 2" xfId="18454"/>
    <cellStyle name="Cálculo 4 2 3 5 3" xfId="9194"/>
    <cellStyle name="Cálculo 4 2 3 5 3 2" xfId="18453"/>
    <cellStyle name="Cálculo 4 2 3 5 4" xfId="18455"/>
    <cellStyle name="Cálculo 4 2 3 6" xfId="9195"/>
    <cellStyle name="Cálculo 4 2 3 6 2" xfId="18452"/>
    <cellStyle name="Cálculo 4 2 3 7" xfId="9196"/>
    <cellStyle name="Cálculo 4 2 3 7 2" xfId="18451"/>
    <cellStyle name="Cálculo 4 2 3 8" xfId="27093"/>
    <cellStyle name="Cálculo 4 2 4" xfId="5116"/>
    <cellStyle name="Cálculo 4 2 4 2" xfId="9197"/>
    <cellStyle name="Cálculo 4 2 4 2 2" xfId="9198"/>
    <cellStyle name="Cálculo 4 2 4 2 2 2" xfId="18449"/>
    <cellStyle name="Cálculo 4 2 4 2 3" xfId="9199"/>
    <cellStyle name="Cálculo 4 2 4 2 3 2" xfId="18448"/>
    <cellStyle name="Cálculo 4 2 4 2 4" xfId="18450"/>
    <cellStyle name="Cálculo 4 2 4 3" xfId="9200"/>
    <cellStyle name="Cálculo 4 2 4 3 2" xfId="9201"/>
    <cellStyle name="Cálculo 4 2 4 3 2 2" xfId="18446"/>
    <cellStyle name="Cálculo 4 2 4 3 3" xfId="9202"/>
    <cellStyle name="Cálculo 4 2 4 3 3 2" xfId="18445"/>
    <cellStyle name="Cálculo 4 2 4 3 4" xfId="18447"/>
    <cellStyle name="Cálculo 4 2 4 4" xfId="9203"/>
    <cellStyle name="Cálculo 4 2 4 4 2" xfId="9204"/>
    <cellStyle name="Cálculo 4 2 4 4 2 2" xfId="18443"/>
    <cellStyle name="Cálculo 4 2 4 4 3" xfId="9205"/>
    <cellStyle name="Cálculo 4 2 4 4 3 2" xfId="18442"/>
    <cellStyle name="Cálculo 4 2 4 4 4" xfId="18444"/>
    <cellStyle name="Cálculo 4 2 4 5" xfId="9206"/>
    <cellStyle name="Cálculo 4 2 4 5 2" xfId="9207"/>
    <cellStyle name="Cálculo 4 2 4 5 2 2" xfId="18440"/>
    <cellStyle name="Cálculo 4 2 4 5 3" xfId="9208"/>
    <cellStyle name="Cálculo 4 2 4 5 3 2" xfId="18439"/>
    <cellStyle name="Cálculo 4 2 4 5 4" xfId="18441"/>
    <cellStyle name="Cálculo 4 2 4 6" xfId="9209"/>
    <cellStyle name="Cálculo 4 2 4 6 2" xfId="18438"/>
    <cellStyle name="Cálculo 4 2 4 7" xfId="9210"/>
    <cellStyle name="Cálculo 4 2 4 7 2" xfId="18437"/>
    <cellStyle name="Cálculo 4 2 4 8" xfId="26526"/>
    <cellStyle name="Cálculo 4 2 5" xfId="9211"/>
    <cellStyle name="Cálculo 4 2 5 2" xfId="9212"/>
    <cellStyle name="Cálculo 4 2 5 2 2" xfId="18435"/>
    <cellStyle name="Cálculo 4 2 5 3" xfId="9213"/>
    <cellStyle name="Cálculo 4 2 5 3 2" xfId="18434"/>
    <cellStyle name="Cálculo 4 2 5 4" xfId="18436"/>
    <cellStyle name="Cálculo 4 2 6" xfId="9214"/>
    <cellStyle name="Cálculo 4 2 6 2" xfId="18433"/>
    <cellStyle name="Cálculo 4 2 7" xfId="9215"/>
    <cellStyle name="Cálculo 4 2 7 2" xfId="18432"/>
    <cellStyle name="Cálculo 4 2 8" xfId="30588"/>
    <cellStyle name="Cálculo 4 3" xfId="1717"/>
    <cellStyle name="Cálculo 4 3 2" xfId="4507"/>
    <cellStyle name="Cálculo 4 3 2 2" xfId="9216"/>
    <cellStyle name="Cálculo 4 3 2 2 2" xfId="9217"/>
    <cellStyle name="Cálculo 4 3 2 2 2 2" xfId="18430"/>
    <cellStyle name="Cálculo 4 3 2 2 3" xfId="9218"/>
    <cellStyle name="Cálculo 4 3 2 2 3 2" xfId="18429"/>
    <cellStyle name="Cálculo 4 3 2 2 4" xfId="18431"/>
    <cellStyle name="Cálculo 4 3 2 3" xfId="9219"/>
    <cellStyle name="Cálculo 4 3 2 3 2" xfId="9220"/>
    <cellStyle name="Cálculo 4 3 2 3 2 2" xfId="18427"/>
    <cellStyle name="Cálculo 4 3 2 3 3" xfId="9221"/>
    <cellStyle name="Cálculo 4 3 2 3 3 2" xfId="18426"/>
    <cellStyle name="Cálculo 4 3 2 3 4" xfId="18428"/>
    <cellStyle name="Cálculo 4 3 2 4" xfId="9222"/>
    <cellStyle name="Cálculo 4 3 2 4 2" xfId="9223"/>
    <cellStyle name="Cálculo 4 3 2 4 2 2" xfId="18424"/>
    <cellStyle name="Cálculo 4 3 2 4 3" xfId="9224"/>
    <cellStyle name="Cálculo 4 3 2 4 3 2" xfId="18423"/>
    <cellStyle name="Cálculo 4 3 2 4 4" xfId="18425"/>
    <cellStyle name="Cálculo 4 3 2 5" xfId="9225"/>
    <cellStyle name="Cálculo 4 3 2 5 2" xfId="9226"/>
    <cellStyle name="Cálculo 4 3 2 5 2 2" xfId="18421"/>
    <cellStyle name="Cálculo 4 3 2 5 3" xfId="9227"/>
    <cellStyle name="Cálculo 4 3 2 5 3 2" xfId="18420"/>
    <cellStyle name="Cálculo 4 3 2 5 4" xfId="18422"/>
    <cellStyle name="Cálculo 4 3 2 6" xfId="9228"/>
    <cellStyle name="Cálculo 4 3 2 6 2" xfId="18419"/>
    <cellStyle name="Cálculo 4 3 2 7" xfId="9229"/>
    <cellStyle name="Cálculo 4 3 2 7 2" xfId="18418"/>
    <cellStyle name="Cálculo 4 3 2 8" xfId="27057"/>
    <cellStyle name="Cálculo 4 3 3" xfId="4400"/>
    <cellStyle name="Cálculo 4 3 3 2" xfId="9230"/>
    <cellStyle name="Cálculo 4 3 3 2 2" xfId="9231"/>
    <cellStyle name="Cálculo 4 3 3 2 2 2" xfId="18416"/>
    <cellStyle name="Cálculo 4 3 3 2 3" xfId="9232"/>
    <cellStyle name="Cálculo 4 3 3 2 3 2" xfId="18415"/>
    <cellStyle name="Cálculo 4 3 3 2 4" xfId="18417"/>
    <cellStyle name="Cálculo 4 3 3 3" xfId="9233"/>
    <cellStyle name="Cálculo 4 3 3 3 2" xfId="9234"/>
    <cellStyle name="Cálculo 4 3 3 3 2 2" xfId="18413"/>
    <cellStyle name="Cálculo 4 3 3 3 3" xfId="9235"/>
    <cellStyle name="Cálculo 4 3 3 3 3 2" xfId="18412"/>
    <cellStyle name="Cálculo 4 3 3 3 4" xfId="18414"/>
    <cellStyle name="Cálculo 4 3 3 4" xfId="9236"/>
    <cellStyle name="Cálculo 4 3 3 4 2" xfId="9237"/>
    <cellStyle name="Cálculo 4 3 3 4 2 2" xfId="18410"/>
    <cellStyle name="Cálculo 4 3 3 4 3" xfId="9238"/>
    <cellStyle name="Cálculo 4 3 3 4 3 2" xfId="18409"/>
    <cellStyle name="Cálculo 4 3 3 4 4" xfId="18411"/>
    <cellStyle name="Cálculo 4 3 3 5" xfId="9239"/>
    <cellStyle name="Cálculo 4 3 3 5 2" xfId="9240"/>
    <cellStyle name="Cálculo 4 3 3 5 2 2" xfId="18407"/>
    <cellStyle name="Cálculo 4 3 3 5 3" xfId="9241"/>
    <cellStyle name="Cálculo 4 3 3 5 3 2" xfId="18406"/>
    <cellStyle name="Cálculo 4 3 3 5 4" xfId="18408"/>
    <cellStyle name="Cálculo 4 3 3 6" xfId="9242"/>
    <cellStyle name="Cálculo 4 3 3 6 2" xfId="18405"/>
    <cellStyle name="Cálculo 4 3 3 7" xfId="9243"/>
    <cellStyle name="Cálculo 4 3 3 7 2" xfId="18404"/>
    <cellStyle name="Cálculo 4 3 3 8" xfId="27089"/>
    <cellStyle name="Cálculo 4 3 4" xfId="5117"/>
    <cellStyle name="Cálculo 4 3 4 2" xfId="9244"/>
    <cellStyle name="Cálculo 4 3 4 2 2" xfId="9245"/>
    <cellStyle name="Cálculo 4 3 4 2 2 2" xfId="18402"/>
    <cellStyle name="Cálculo 4 3 4 2 3" xfId="9246"/>
    <cellStyle name="Cálculo 4 3 4 2 3 2" xfId="18401"/>
    <cellStyle name="Cálculo 4 3 4 2 4" xfId="18403"/>
    <cellStyle name="Cálculo 4 3 4 3" xfId="9247"/>
    <cellStyle name="Cálculo 4 3 4 3 2" xfId="9248"/>
    <cellStyle name="Cálculo 4 3 4 3 2 2" xfId="18399"/>
    <cellStyle name="Cálculo 4 3 4 3 3" xfId="9249"/>
    <cellStyle name="Cálculo 4 3 4 3 3 2" xfId="18398"/>
    <cellStyle name="Cálculo 4 3 4 3 4" xfId="18400"/>
    <cellStyle name="Cálculo 4 3 4 4" xfId="9250"/>
    <cellStyle name="Cálculo 4 3 4 4 2" xfId="9251"/>
    <cellStyle name="Cálculo 4 3 4 4 2 2" xfId="18396"/>
    <cellStyle name="Cálculo 4 3 4 4 3" xfId="9252"/>
    <cellStyle name="Cálculo 4 3 4 4 3 2" xfId="18395"/>
    <cellStyle name="Cálculo 4 3 4 4 4" xfId="18397"/>
    <cellStyle name="Cálculo 4 3 4 5" xfId="9253"/>
    <cellStyle name="Cálculo 4 3 4 5 2" xfId="9254"/>
    <cellStyle name="Cálculo 4 3 4 5 2 2" xfId="18393"/>
    <cellStyle name="Cálculo 4 3 4 5 3" xfId="9255"/>
    <cellStyle name="Cálculo 4 3 4 5 3 2" xfId="18392"/>
    <cellStyle name="Cálculo 4 3 4 5 4" xfId="18394"/>
    <cellStyle name="Cálculo 4 3 4 6" xfId="9256"/>
    <cellStyle name="Cálculo 4 3 4 6 2" xfId="18391"/>
    <cellStyle name="Cálculo 4 3 4 7" xfId="9257"/>
    <cellStyle name="Cálculo 4 3 4 7 2" xfId="18390"/>
    <cellStyle name="Cálculo 4 3 4 8" xfId="26525"/>
    <cellStyle name="Cálculo 4 3 5" xfId="9258"/>
    <cellStyle name="Cálculo 4 3 5 2" xfId="9259"/>
    <cellStyle name="Cálculo 4 3 5 2 2" xfId="18388"/>
    <cellStyle name="Cálculo 4 3 5 3" xfId="9260"/>
    <cellStyle name="Cálculo 4 3 5 3 2" xfId="18387"/>
    <cellStyle name="Cálculo 4 3 5 4" xfId="18389"/>
    <cellStyle name="Cálculo 4 3 6" xfId="9261"/>
    <cellStyle name="Cálculo 4 3 6 2" xfId="18386"/>
    <cellStyle name="Cálculo 4 3 7" xfId="9262"/>
    <cellStyle name="Cálculo 4 3 7 2" xfId="18385"/>
    <cellStyle name="Cálculo 4 3 8" xfId="30587"/>
    <cellStyle name="Cálculo 4 4" xfId="4342"/>
    <cellStyle name="Cálculo 4 4 2" xfId="9263"/>
    <cellStyle name="Cálculo 4 4 2 2" xfId="9264"/>
    <cellStyle name="Cálculo 4 4 2 2 2" xfId="18383"/>
    <cellStyle name="Cálculo 4 4 2 3" xfId="9265"/>
    <cellStyle name="Cálculo 4 4 2 3 2" xfId="18382"/>
    <cellStyle name="Cálculo 4 4 2 4" xfId="18384"/>
    <cellStyle name="Cálculo 4 4 3" xfId="9266"/>
    <cellStyle name="Cálculo 4 4 3 2" xfId="9267"/>
    <cellStyle name="Cálculo 4 4 3 2 2" xfId="18380"/>
    <cellStyle name="Cálculo 4 4 3 3" xfId="9268"/>
    <cellStyle name="Cálculo 4 4 3 3 2" xfId="18379"/>
    <cellStyle name="Cálculo 4 4 3 4" xfId="18381"/>
    <cellStyle name="Cálculo 4 4 4" xfId="9269"/>
    <cellStyle name="Cálculo 4 4 4 2" xfId="9270"/>
    <cellStyle name="Cálculo 4 4 4 2 2" xfId="18377"/>
    <cellStyle name="Cálculo 4 4 4 3" xfId="9271"/>
    <cellStyle name="Cálculo 4 4 4 3 2" xfId="18376"/>
    <cellStyle name="Cálculo 4 4 4 4" xfId="18378"/>
    <cellStyle name="Cálculo 4 4 5" xfId="9272"/>
    <cellStyle name="Cálculo 4 4 5 2" xfId="9273"/>
    <cellStyle name="Cálculo 4 4 5 2 2" xfId="18374"/>
    <cellStyle name="Cálculo 4 4 5 3" xfId="9274"/>
    <cellStyle name="Cálculo 4 4 5 3 2" xfId="18373"/>
    <cellStyle name="Cálculo 4 4 5 4" xfId="18375"/>
    <cellStyle name="Cálculo 4 4 6" xfId="9275"/>
    <cellStyle name="Cálculo 4 4 6 2" xfId="18372"/>
    <cellStyle name="Cálculo 4 4 7" xfId="9276"/>
    <cellStyle name="Cálculo 4 4 7 2" xfId="18371"/>
    <cellStyle name="Cálculo 4 4 8" xfId="27235"/>
    <cellStyle name="Cálculo 4 5" xfId="4295"/>
    <cellStyle name="Cálculo 4 5 2" xfId="9277"/>
    <cellStyle name="Cálculo 4 5 2 2" xfId="9278"/>
    <cellStyle name="Cálculo 4 5 2 2 2" xfId="18369"/>
    <cellStyle name="Cálculo 4 5 2 3" xfId="9279"/>
    <cellStyle name="Cálculo 4 5 2 3 2" xfId="18368"/>
    <cellStyle name="Cálculo 4 5 2 4" xfId="18370"/>
    <cellStyle name="Cálculo 4 5 3" xfId="9280"/>
    <cellStyle name="Cálculo 4 5 3 2" xfId="9281"/>
    <cellStyle name="Cálculo 4 5 3 2 2" xfId="18366"/>
    <cellStyle name="Cálculo 4 5 3 3" xfId="9282"/>
    <cellStyle name="Cálculo 4 5 3 3 2" xfId="18365"/>
    <cellStyle name="Cálculo 4 5 3 4" xfId="18367"/>
    <cellStyle name="Cálculo 4 5 4" xfId="9283"/>
    <cellStyle name="Cálculo 4 5 4 2" xfId="9284"/>
    <cellStyle name="Cálculo 4 5 4 2 2" xfId="18363"/>
    <cellStyle name="Cálculo 4 5 4 3" xfId="9285"/>
    <cellStyle name="Cálculo 4 5 4 3 2" xfId="18362"/>
    <cellStyle name="Cálculo 4 5 4 4" xfId="18364"/>
    <cellStyle name="Cálculo 4 5 5" xfId="9286"/>
    <cellStyle name="Cálculo 4 5 5 2" xfId="9287"/>
    <cellStyle name="Cálculo 4 5 5 2 2" xfId="18360"/>
    <cellStyle name="Cálculo 4 5 5 3" xfId="9288"/>
    <cellStyle name="Cálculo 4 5 5 3 2" xfId="18359"/>
    <cellStyle name="Cálculo 4 5 5 4" xfId="18361"/>
    <cellStyle name="Cálculo 4 5 6" xfId="9289"/>
    <cellStyle name="Cálculo 4 5 6 2" xfId="18358"/>
    <cellStyle name="Cálculo 4 5 7" xfId="9290"/>
    <cellStyle name="Cálculo 4 5 7 2" xfId="18357"/>
    <cellStyle name="Cálculo 4 5 8" xfId="27328"/>
    <cellStyle name="Cálculo 4 6" xfId="5118"/>
    <cellStyle name="Cálculo 4 6 2" xfId="9291"/>
    <cellStyle name="Cálculo 4 6 2 2" xfId="9292"/>
    <cellStyle name="Cálculo 4 6 2 2 2" xfId="18355"/>
    <cellStyle name="Cálculo 4 6 2 3" xfId="9293"/>
    <cellStyle name="Cálculo 4 6 2 3 2" xfId="18354"/>
    <cellStyle name="Cálculo 4 6 2 4" xfId="18356"/>
    <cellStyle name="Cálculo 4 6 3" xfId="9294"/>
    <cellStyle name="Cálculo 4 6 3 2" xfId="9295"/>
    <cellStyle name="Cálculo 4 6 3 2 2" xfId="18352"/>
    <cellStyle name="Cálculo 4 6 3 3" xfId="9296"/>
    <cellStyle name="Cálculo 4 6 3 3 2" xfId="18351"/>
    <cellStyle name="Cálculo 4 6 3 4" xfId="18353"/>
    <cellStyle name="Cálculo 4 6 4" xfId="9297"/>
    <cellStyle name="Cálculo 4 6 4 2" xfId="9298"/>
    <cellStyle name="Cálculo 4 6 4 2 2" xfId="18349"/>
    <cellStyle name="Cálculo 4 6 4 3" xfId="9299"/>
    <cellStyle name="Cálculo 4 6 4 3 2" xfId="18348"/>
    <cellStyle name="Cálculo 4 6 4 4" xfId="18350"/>
    <cellStyle name="Cálculo 4 6 5" xfId="9300"/>
    <cellStyle name="Cálculo 4 6 5 2" xfId="9301"/>
    <cellStyle name="Cálculo 4 6 5 2 2" xfId="18346"/>
    <cellStyle name="Cálculo 4 6 5 3" xfId="9302"/>
    <cellStyle name="Cálculo 4 6 5 3 2" xfId="18345"/>
    <cellStyle name="Cálculo 4 6 5 4" xfId="18347"/>
    <cellStyle name="Cálculo 4 6 6" xfId="9303"/>
    <cellStyle name="Cálculo 4 6 6 2" xfId="18344"/>
    <cellStyle name="Cálculo 4 6 7" xfId="9304"/>
    <cellStyle name="Cálculo 4 6 7 2" xfId="18343"/>
    <cellStyle name="Cálculo 4 6 8" xfId="26524"/>
    <cellStyle name="Cálculo 4 7" xfId="9305"/>
    <cellStyle name="Cálculo 4 7 2" xfId="9306"/>
    <cellStyle name="Cálculo 4 7 2 2" xfId="18341"/>
    <cellStyle name="Cálculo 4 7 3" xfId="9307"/>
    <cellStyle name="Cálculo 4 7 3 2" xfId="18340"/>
    <cellStyle name="Cálculo 4 7 4" xfId="18342"/>
    <cellStyle name="Cálculo 4 8" xfId="9308"/>
    <cellStyle name="Cálculo 4 8 2" xfId="18339"/>
    <cellStyle name="Cálculo 4 9" xfId="9309"/>
    <cellStyle name="Cálculo 4 9 2" xfId="18338"/>
    <cellStyle name="Cálculo 5" xfId="1718"/>
    <cellStyle name="Cálculo 5 10" xfId="20459"/>
    <cellStyle name="Cálculo 5 2" xfId="1719"/>
    <cellStyle name="Cálculo 5 2 2" xfId="4339"/>
    <cellStyle name="Cálculo 5 2 2 2" xfId="9310"/>
    <cellStyle name="Cálculo 5 2 2 2 2" xfId="9311"/>
    <cellStyle name="Cálculo 5 2 2 2 2 2" xfId="18336"/>
    <cellStyle name="Cálculo 5 2 2 2 3" xfId="9312"/>
    <cellStyle name="Cálculo 5 2 2 2 3 2" xfId="18335"/>
    <cellStyle name="Cálculo 5 2 2 2 4" xfId="18337"/>
    <cellStyle name="Cálculo 5 2 2 3" xfId="9313"/>
    <cellStyle name="Cálculo 5 2 2 3 2" xfId="9314"/>
    <cellStyle name="Cálculo 5 2 2 3 2 2" xfId="18333"/>
    <cellStyle name="Cálculo 5 2 2 3 3" xfId="9315"/>
    <cellStyle name="Cálculo 5 2 2 3 3 2" xfId="18326"/>
    <cellStyle name="Cálculo 5 2 2 3 4" xfId="18334"/>
    <cellStyle name="Cálculo 5 2 2 4" xfId="9316"/>
    <cellStyle name="Cálculo 5 2 2 4 2" xfId="9317"/>
    <cellStyle name="Cálculo 5 2 2 4 2 2" xfId="18324"/>
    <cellStyle name="Cálculo 5 2 2 4 3" xfId="9318"/>
    <cellStyle name="Cálculo 5 2 2 4 3 2" xfId="18323"/>
    <cellStyle name="Cálculo 5 2 2 4 4" xfId="18325"/>
    <cellStyle name="Cálculo 5 2 2 5" xfId="9319"/>
    <cellStyle name="Cálculo 5 2 2 5 2" xfId="9320"/>
    <cellStyle name="Cálculo 5 2 2 5 2 2" xfId="18321"/>
    <cellStyle name="Cálculo 5 2 2 5 3" xfId="9321"/>
    <cellStyle name="Cálculo 5 2 2 5 3 2" xfId="18320"/>
    <cellStyle name="Cálculo 5 2 2 5 4" xfId="18322"/>
    <cellStyle name="Cálculo 5 2 2 6" xfId="9322"/>
    <cellStyle name="Cálculo 5 2 2 6 2" xfId="20626"/>
    <cellStyle name="Cálculo 5 2 2 7" xfId="9323"/>
    <cellStyle name="Cálculo 5 2 2 7 2" xfId="18319"/>
    <cellStyle name="Cálculo 5 2 2 8" xfId="27238"/>
    <cellStyle name="Cálculo 5 2 3" xfId="4159"/>
    <cellStyle name="Cálculo 5 2 3 2" xfId="9324"/>
    <cellStyle name="Cálculo 5 2 3 2 2" xfId="9325"/>
    <cellStyle name="Cálculo 5 2 3 2 2 2" xfId="18318"/>
    <cellStyle name="Cálculo 5 2 3 2 3" xfId="9326"/>
    <cellStyle name="Cálculo 5 2 3 2 3 2" xfId="20624"/>
    <cellStyle name="Cálculo 5 2 3 2 4" xfId="20625"/>
    <cellStyle name="Cálculo 5 2 3 3" xfId="9327"/>
    <cellStyle name="Cálculo 5 2 3 3 2" xfId="9328"/>
    <cellStyle name="Cálculo 5 2 3 3 2 2" xfId="20623"/>
    <cellStyle name="Cálculo 5 2 3 3 3" xfId="9329"/>
    <cellStyle name="Cálculo 5 2 3 3 3 2" xfId="18316"/>
    <cellStyle name="Cálculo 5 2 3 3 4" xfId="18317"/>
    <cellStyle name="Cálculo 5 2 3 4" xfId="9330"/>
    <cellStyle name="Cálculo 5 2 3 4 2" xfId="9331"/>
    <cellStyle name="Cálculo 5 2 3 4 2 2" xfId="18315"/>
    <cellStyle name="Cálculo 5 2 3 4 3" xfId="9332"/>
    <cellStyle name="Cálculo 5 2 3 4 3 2" xfId="20621"/>
    <cellStyle name="Cálculo 5 2 3 4 4" xfId="20622"/>
    <cellStyle name="Cálculo 5 2 3 5" xfId="9333"/>
    <cellStyle name="Cálculo 5 2 3 5 2" xfId="9334"/>
    <cellStyle name="Cálculo 5 2 3 5 2 2" xfId="20620"/>
    <cellStyle name="Cálculo 5 2 3 5 3" xfId="9335"/>
    <cellStyle name="Cálculo 5 2 3 5 3 2" xfId="18313"/>
    <cellStyle name="Cálculo 5 2 3 5 4" xfId="18314"/>
    <cellStyle name="Cálculo 5 2 3 6" xfId="9336"/>
    <cellStyle name="Cálculo 5 2 3 6 2" xfId="20619"/>
    <cellStyle name="Cálculo 5 2 3 7" xfId="9337"/>
    <cellStyle name="Cálculo 5 2 3 7 2" xfId="18312"/>
    <cellStyle name="Cálculo 5 2 3 8" xfId="21139"/>
    <cellStyle name="Cálculo 5 2 4" xfId="5119"/>
    <cellStyle name="Cálculo 5 2 4 2" xfId="9338"/>
    <cellStyle name="Cálculo 5 2 4 2 2" xfId="9339"/>
    <cellStyle name="Cálculo 5 2 4 2 2 2" xfId="18311"/>
    <cellStyle name="Cálculo 5 2 4 2 3" xfId="9340"/>
    <cellStyle name="Cálculo 5 2 4 2 3 2" xfId="20617"/>
    <cellStyle name="Cálculo 5 2 4 2 4" xfId="20618"/>
    <cellStyle name="Cálculo 5 2 4 3" xfId="9341"/>
    <cellStyle name="Cálculo 5 2 4 3 2" xfId="9342"/>
    <cellStyle name="Cálculo 5 2 4 3 2 2" xfId="20616"/>
    <cellStyle name="Cálculo 5 2 4 3 3" xfId="9343"/>
    <cellStyle name="Cálculo 5 2 4 3 3 2" xfId="18309"/>
    <cellStyle name="Cálculo 5 2 4 3 4" xfId="18310"/>
    <cellStyle name="Cálculo 5 2 4 4" xfId="9344"/>
    <cellStyle name="Cálculo 5 2 4 4 2" xfId="9345"/>
    <cellStyle name="Cálculo 5 2 4 4 2 2" xfId="18308"/>
    <cellStyle name="Cálculo 5 2 4 4 3" xfId="9346"/>
    <cellStyle name="Cálculo 5 2 4 4 3 2" xfId="20614"/>
    <cellStyle name="Cálculo 5 2 4 4 4" xfId="20615"/>
    <cellStyle name="Cálculo 5 2 4 5" xfId="9347"/>
    <cellStyle name="Cálculo 5 2 4 5 2" xfId="9348"/>
    <cellStyle name="Cálculo 5 2 4 5 2 2" xfId="20613"/>
    <cellStyle name="Cálculo 5 2 4 5 3" xfId="9349"/>
    <cellStyle name="Cálculo 5 2 4 5 3 2" xfId="18306"/>
    <cellStyle name="Cálculo 5 2 4 5 4" xfId="18307"/>
    <cellStyle name="Cálculo 5 2 4 6" xfId="9350"/>
    <cellStyle name="Cálculo 5 2 4 6 2" xfId="20612"/>
    <cellStyle name="Cálculo 5 2 4 7" xfId="9351"/>
    <cellStyle name="Cálculo 5 2 4 7 2" xfId="18305"/>
    <cellStyle name="Cálculo 5 2 4 8" xfId="26523"/>
    <cellStyle name="Cálculo 5 2 5" xfId="9352"/>
    <cellStyle name="Cálculo 5 2 5 2" xfId="9353"/>
    <cellStyle name="Cálculo 5 2 5 2 2" xfId="18304"/>
    <cellStyle name="Cálculo 5 2 5 3" xfId="9354"/>
    <cellStyle name="Cálculo 5 2 5 3 2" xfId="20610"/>
    <cellStyle name="Cálculo 5 2 5 4" xfId="20611"/>
    <cellStyle name="Cálculo 5 2 6" xfId="9355"/>
    <cellStyle name="Cálculo 5 2 6 2" xfId="18303"/>
    <cellStyle name="Cálculo 5 2 7" xfId="9356"/>
    <cellStyle name="Cálculo 5 2 7 2" xfId="20609"/>
    <cellStyle name="Cálculo 5 2 8" xfId="30586"/>
    <cellStyle name="Cálculo 5 3" xfId="1720"/>
    <cellStyle name="Cálculo 5 3 2" xfId="4338"/>
    <cellStyle name="Cálculo 5 3 2 2" xfId="9357"/>
    <cellStyle name="Cálculo 5 3 2 2 2" xfId="9358"/>
    <cellStyle name="Cálculo 5 3 2 2 2 2" xfId="20608"/>
    <cellStyle name="Cálculo 5 3 2 2 3" xfId="9359"/>
    <cellStyle name="Cálculo 5 3 2 2 3 2" xfId="18301"/>
    <cellStyle name="Cálculo 5 3 2 2 4" xfId="18302"/>
    <cellStyle name="Cálculo 5 3 2 3" xfId="9360"/>
    <cellStyle name="Cálculo 5 3 2 3 2" xfId="9361"/>
    <cellStyle name="Cálculo 5 3 2 3 2 2" xfId="18300"/>
    <cellStyle name="Cálculo 5 3 2 3 3" xfId="9362"/>
    <cellStyle name="Cálculo 5 3 2 3 3 2" xfId="20606"/>
    <cellStyle name="Cálculo 5 3 2 3 4" xfId="20607"/>
    <cellStyle name="Cálculo 5 3 2 4" xfId="9363"/>
    <cellStyle name="Cálculo 5 3 2 4 2" xfId="9364"/>
    <cellStyle name="Cálculo 5 3 2 4 2 2" xfId="20605"/>
    <cellStyle name="Cálculo 5 3 2 4 3" xfId="9365"/>
    <cellStyle name="Cálculo 5 3 2 4 3 2" xfId="18298"/>
    <cellStyle name="Cálculo 5 3 2 4 4" xfId="18299"/>
    <cellStyle name="Cálculo 5 3 2 5" xfId="9366"/>
    <cellStyle name="Cálculo 5 3 2 5 2" xfId="9367"/>
    <cellStyle name="Cálculo 5 3 2 5 2 2" xfId="18297"/>
    <cellStyle name="Cálculo 5 3 2 5 3" xfId="9368"/>
    <cellStyle name="Cálculo 5 3 2 5 3 2" xfId="20603"/>
    <cellStyle name="Cálculo 5 3 2 5 4" xfId="20604"/>
    <cellStyle name="Cálculo 5 3 2 6" xfId="9369"/>
    <cellStyle name="Cálculo 5 3 2 6 2" xfId="18296"/>
    <cellStyle name="Cálculo 5 3 2 7" xfId="9370"/>
    <cellStyle name="Cálculo 5 3 2 7 2" xfId="20602"/>
    <cellStyle name="Cálculo 5 3 2 8" xfId="21136"/>
    <cellStyle name="Cálculo 5 3 3" xfId="4303"/>
    <cellStyle name="Cálculo 5 3 3 2" xfId="9371"/>
    <cellStyle name="Cálculo 5 3 3 2 2" xfId="9372"/>
    <cellStyle name="Cálculo 5 3 3 2 2 2" xfId="20601"/>
    <cellStyle name="Cálculo 5 3 3 2 3" xfId="9373"/>
    <cellStyle name="Cálculo 5 3 3 2 3 2" xfId="18294"/>
    <cellStyle name="Cálculo 5 3 3 2 4" xfId="18295"/>
    <cellStyle name="Cálculo 5 3 3 3" xfId="9374"/>
    <cellStyle name="Cálculo 5 3 3 3 2" xfId="9375"/>
    <cellStyle name="Cálculo 5 3 3 3 2 2" xfId="18293"/>
    <cellStyle name="Cálculo 5 3 3 3 3" xfId="9376"/>
    <cellStyle name="Cálculo 5 3 3 3 3 2" xfId="20599"/>
    <cellStyle name="Cálculo 5 3 3 3 4" xfId="20600"/>
    <cellStyle name="Cálculo 5 3 3 4" xfId="9377"/>
    <cellStyle name="Cálculo 5 3 3 4 2" xfId="9378"/>
    <cellStyle name="Cálculo 5 3 3 4 2 2" xfId="20598"/>
    <cellStyle name="Cálculo 5 3 3 4 3" xfId="9379"/>
    <cellStyle name="Cálculo 5 3 3 4 3 2" xfId="18291"/>
    <cellStyle name="Cálculo 5 3 3 4 4" xfId="18292"/>
    <cellStyle name="Cálculo 5 3 3 5" xfId="9380"/>
    <cellStyle name="Cálculo 5 3 3 5 2" xfId="9381"/>
    <cellStyle name="Cálculo 5 3 3 5 2 2" xfId="18290"/>
    <cellStyle name="Cálculo 5 3 3 5 3" xfId="9382"/>
    <cellStyle name="Cálculo 5 3 3 5 3 2" xfId="20596"/>
    <cellStyle name="Cálculo 5 3 3 5 4" xfId="20597"/>
    <cellStyle name="Cálculo 5 3 3 6" xfId="9383"/>
    <cellStyle name="Cálculo 5 3 3 6 2" xfId="18289"/>
    <cellStyle name="Cálculo 5 3 3 7" xfId="9384"/>
    <cellStyle name="Cálculo 5 3 3 7 2" xfId="20595"/>
    <cellStyle name="Cálculo 5 3 3 8" xfId="19854"/>
    <cellStyle name="Cálculo 5 3 4" xfId="5120"/>
    <cellStyle name="Cálculo 5 3 4 2" xfId="9385"/>
    <cellStyle name="Cálculo 5 3 4 2 2" xfId="9386"/>
    <cellStyle name="Cálculo 5 3 4 2 2 2" xfId="20594"/>
    <cellStyle name="Cálculo 5 3 4 2 3" xfId="9387"/>
    <cellStyle name="Cálculo 5 3 4 2 3 2" xfId="18287"/>
    <cellStyle name="Cálculo 5 3 4 2 4" xfId="18288"/>
    <cellStyle name="Cálculo 5 3 4 3" xfId="9388"/>
    <cellStyle name="Cálculo 5 3 4 3 2" xfId="9389"/>
    <cellStyle name="Cálculo 5 3 4 3 2 2" xfId="18286"/>
    <cellStyle name="Cálculo 5 3 4 3 3" xfId="9390"/>
    <cellStyle name="Cálculo 5 3 4 3 3 2" xfId="20592"/>
    <cellStyle name="Cálculo 5 3 4 3 4" xfId="20593"/>
    <cellStyle name="Cálculo 5 3 4 4" xfId="9391"/>
    <cellStyle name="Cálculo 5 3 4 4 2" xfId="9392"/>
    <cellStyle name="Cálculo 5 3 4 4 2 2" xfId="20591"/>
    <cellStyle name="Cálculo 5 3 4 4 3" xfId="9393"/>
    <cellStyle name="Cálculo 5 3 4 4 3 2" xfId="18284"/>
    <cellStyle name="Cálculo 5 3 4 4 4" xfId="18285"/>
    <cellStyle name="Cálculo 5 3 4 5" xfId="9394"/>
    <cellStyle name="Cálculo 5 3 4 5 2" xfId="9395"/>
    <cellStyle name="Cálculo 5 3 4 5 2 2" xfId="18283"/>
    <cellStyle name="Cálculo 5 3 4 5 3" xfId="9396"/>
    <cellStyle name="Cálculo 5 3 4 5 3 2" xfId="20589"/>
    <cellStyle name="Cálculo 5 3 4 5 4" xfId="20590"/>
    <cellStyle name="Cálculo 5 3 4 6" xfId="9397"/>
    <cellStyle name="Cálculo 5 3 4 6 2" xfId="18282"/>
    <cellStyle name="Cálculo 5 3 4 7" xfId="9398"/>
    <cellStyle name="Cálculo 5 3 4 7 2" xfId="20588"/>
    <cellStyle name="Cálculo 5 3 4 8" xfId="26522"/>
    <cellStyle name="Cálculo 5 3 5" xfId="9399"/>
    <cellStyle name="Cálculo 5 3 5 2" xfId="9400"/>
    <cellStyle name="Cálculo 5 3 5 2 2" xfId="20587"/>
    <cellStyle name="Cálculo 5 3 5 3" xfId="9401"/>
    <cellStyle name="Cálculo 5 3 5 3 2" xfId="18280"/>
    <cellStyle name="Cálculo 5 3 5 4" xfId="18281"/>
    <cellStyle name="Cálculo 5 3 6" xfId="9402"/>
    <cellStyle name="Cálculo 5 3 6 2" xfId="20586"/>
    <cellStyle name="Cálculo 5 3 7" xfId="9403"/>
    <cellStyle name="Cálculo 5 3 7 2" xfId="18279"/>
    <cellStyle name="Cálculo 5 3 8" xfId="30585"/>
    <cellStyle name="Cálculo 5 4" xfId="4340"/>
    <cellStyle name="Cálculo 5 4 2" xfId="9404"/>
    <cellStyle name="Cálculo 5 4 2 2" xfId="9405"/>
    <cellStyle name="Cálculo 5 4 2 2 2" xfId="18278"/>
    <cellStyle name="Cálculo 5 4 2 3" xfId="9406"/>
    <cellStyle name="Cálculo 5 4 2 3 2" xfId="20584"/>
    <cellStyle name="Cálculo 5 4 2 4" xfId="20585"/>
    <cellStyle name="Cálculo 5 4 3" xfId="9407"/>
    <cellStyle name="Cálculo 5 4 3 2" xfId="9408"/>
    <cellStyle name="Cálculo 5 4 3 2 2" xfId="18276"/>
    <cellStyle name="Cálculo 5 4 3 3" xfId="9409"/>
    <cellStyle name="Cálculo 5 4 3 3 2" xfId="18275"/>
    <cellStyle name="Cálculo 5 4 3 4" xfId="18277"/>
    <cellStyle name="Cálculo 5 4 4" xfId="9410"/>
    <cellStyle name="Cálculo 5 4 4 2" xfId="9411"/>
    <cellStyle name="Cálculo 5 4 4 2 2" xfId="18273"/>
    <cellStyle name="Cálculo 5 4 4 3" xfId="9412"/>
    <cellStyle name="Cálculo 5 4 4 3 2" xfId="18272"/>
    <cellStyle name="Cálculo 5 4 4 4" xfId="18274"/>
    <cellStyle name="Cálculo 5 4 5" xfId="9413"/>
    <cellStyle name="Cálculo 5 4 5 2" xfId="9414"/>
    <cellStyle name="Cálculo 5 4 5 2 2" xfId="18270"/>
    <cellStyle name="Cálculo 5 4 5 3" xfId="9415"/>
    <cellStyle name="Cálculo 5 4 5 3 2" xfId="18269"/>
    <cellStyle name="Cálculo 5 4 5 4" xfId="18271"/>
    <cellStyle name="Cálculo 5 4 6" xfId="9416"/>
    <cellStyle name="Cálculo 5 4 6 2" xfId="18268"/>
    <cellStyle name="Cálculo 5 4 7" xfId="9417"/>
    <cellStyle name="Cálculo 5 4 7 2" xfId="18267"/>
    <cellStyle name="Cálculo 5 4 8" xfId="27237"/>
    <cellStyle name="Cálculo 5 5" xfId="4545"/>
    <cellStyle name="Cálculo 5 5 2" xfId="9418"/>
    <cellStyle name="Cálculo 5 5 2 2" xfId="9419"/>
    <cellStyle name="Cálculo 5 5 2 2 2" xfId="18265"/>
    <cellStyle name="Cálculo 5 5 2 3" xfId="9420"/>
    <cellStyle name="Cálculo 5 5 2 3 2" xfId="18264"/>
    <cellStyle name="Cálculo 5 5 2 4" xfId="18266"/>
    <cellStyle name="Cálculo 5 5 3" xfId="9421"/>
    <cellStyle name="Cálculo 5 5 3 2" xfId="9422"/>
    <cellStyle name="Cálculo 5 5 3 2 2" xfId="18262"/>
    <cellStyle name="Cálculo 5 5 3 3" xfId="9423"/>
    <cellStyle name="Cálculo 5 5 3 3 2" xfId="18261"/>
    <cellStyle name="Cálculo 5 5 3 4" xfId="18263"/>
    <cellStyle name="Cálculo 5 5 4" xfId="9424"/>
    <cellStyle name="Cálculo 5 5 4 2" xfId="9425"/>
    <cellStyle name="Cálculo 5 5 4 2 2" xfId="18259"/>
    <cellStyle name="Cálculo 5 5 4 3" xfId="9426"/>
    <cellStyle name="Cálculo 5 5 4 3 2" xfId="18258"/>
    <cellStyle name="Cálculo 5 5 4 4" xfId="18260"/>
    <cellStyle name="Cálculo 5 5 5" xfId="9427"/>
    <cellStyle name="Cálculo 5 5 5 2" xfId="9428"/>
    <cellStyle name="Cálculo 5 5 5 2 2" xfId="18256"/>
    <cellStyle name="Cálculo 5 5 5 3" xfId="9429"/>
    <cellStyle name="Cálculo 5 5 5 3 2" xfId="18255"/>
    <cellStyle name="Cálculo 5 5 5 4" xfId="18257"/>
    <cellStyle name="Cálculo 5 5 6" xfId="9430"/>
    <cellStyle name="Cálculo 5 5 6 2" xfId="18254"/>
    <cellStyle name="Cálculo 5 5 7" xfId="9431"/>
    <cellStyle name="Cálculo 5 5 7 2" xfId="18253"/>
    <cellStyle name="Cálculo 5 5 8" xfId="27046"/>
    <cellStyle name="Cálculo 5 6" xfId="5121"/>
    <cellStyle name="Cálculo 5 6 2" xfId="9432"/>
    <cellStyle name="Cálculo 5 6 2 2" xfId="9433"/>
    <cellStyle name="Cálculo 5 6 2 2 2" xfId="18251"/>
    <cellStyle name="Cálculo 5 6 2 3" xfId="9434"/>
    <cellStyle name="Cálculo 5 6 2 3 2" xfId="18250"/>
    <cellStyle name="Cálculo 5 6 2 4" xfId="18252"/>
    <cellStyle name="Cálculo 5 6 3" xfId="9435"/>
    <cellStyle name="Cálculo 5 6 3 2" xfId="9436"/>
    <cellStyle name="Cálculo 5 6 3 2 2" xfId="18248"/>
    <cellStyle name="Cálculo 5 6 3 3" xfId="9437"/>
    <cellStyle name="Cálculo 5 6 3 3 2" xfId="18247"/>
    <cellStyle name="Cálculo 5 6 3 4" xfId="18249"/>
    <cellStyle name="Cálculo 5 6 4" xfId="9438"/>
    <cellStyle name="Cálculo 5 6 4 2" xfId="9439"/>
    <cellStyle name="Cálculo 5 6 4 2 2" xfId="18245"/>
    <cellStyle name="Cálculo 5 6 4 3" xfId="9440"/>
    <cellStyle name="Cálculo 5 6 4 3 2" xfId="18244"/>
    <cellStyle name="Cálculo 5 6 4 4" xfId="18246"/>
    <cellStyle name="Cálculo 5 6 5" xfId="9441"/>
    <cellStyle name="Cálculo 5 6 5 2" xfId="9442"/>
    <cellStyle name="Cálculo 5 6 5 2 2" xfId="18242"/>
    <cellStyle name="Cálculo 5 6 5 3" xfId="9443"/>
    <cellStyle name="Cálculo 5 6 5 3 2" xfId="18241"/>
    <cellStyle name="Cálculo 5 6 5 4" xfId="18243"/>
    <cellStyle name="Cálculo 5 6 6" xfId="9444"/>
    <cellStyle name="Cálculo 5 6 6 2" xfId="18240"/>
    <cellStyle name="Cálculo 5 6 7" xfId="9445"/>
    <cellStyle name="Cálculo 5 6 7 2" xfId="18239"/>
    <cellStyle name="Cálculo 5 6 8" xfId="26521"/>
    <cellStyle name="Cálculo 5 7" xfId="9446"/>
    <cellStyle name="Cálculo 5 7 2" xfId="9447"/>
    <cellStyle name="Cálculo 5 7 2 2" xfId="18237"/>
    <cellStyle name="Cálculo 5 7 3" xfId="9448"/>
    <cellStyle name="Cálculo 5 7 3 2" xfId="18236"/>
    <cellStyle name="Cálculo 5 7 4" xfId="18238"/>
    <cellStyle name="Cálculo 5 8" xfId="9449"/>
    <cellStyle name="Cálculo 5 8 2" xfId="18235"/>
    <cellStyle name="Cálculo 5 9" xfId="9450"/>
    <cellStyle name="Cálculo 5 9 2" xfId="18234"/>
    <cellStyle name="Cálculo 6" xfId="1721"/>
    <cellStyle name="Cálculo 6 10" xfId="30584"/>
    <cellStyle name="Cálculo 6 2" xfId="1722"/>
    <cellStyle name="Cálculo 6 2 2" xfId="4458"/>
    <cellStyle name="Cálculo 6 2 2 2" xfId="9451"/>
    <cellStyle name="Cálculo 6 2 2 2 2" xfId="9452"/>
    <cellStyle name="Cálculo 6 2 2 2 2 2" xfId="18232"/>
    <cellStyle name="Cálculo 6 2 2 2 3" xfId="9453"/>
    <cellStyle name="Cálculo 6 2 2 2 3 2" xfId="18231"/>
    <cellStyle name="Cálculo 6 2 2 2 4" xfId="18233"/>
    <cellStyle name="Cálculo 6 2 2 3" xfId="9454"/>
    <cellStyle name="Cálculo 6 2 2 3 2" xfId="9455"/>
    <cellStyle name="Cálculo 6 2 2 3 2 2" xfId="18229"/>
    <cellStyle name="Cálculo 6 2 2 3 3" xfId="9456"/>
    <cellStyle name="Cálculo 6 2 2 3 3 2" xfId="18228"/>
    <cellStyle name="Cálculo 6 2 2 3 4" xfId="18230"/>
    <cellStyle name="Cálculo 6 2 2 4" xfId="9457"/>
    <cellStyle name="Cálculo 6 2 2 4 2" xfId="9458"/>
    <cellStyle name="Cálculo 6 2 2 4 2 2" xfId="18226"/>
    <cellStyle name="Cálculo 6 2 2 4 3" xfId="9459"/>
    <cellStyle name="Cálculo 6 2 2 4 3 2" xfId="18225"/>
    <cellStyle name="Cálculo 6 2 2 4 4" xfId="18227"/>
    <cellStyle name="Cálculo 6 2 2 5" xfId="9460"/>
    <cellStyle name="Cálculo 6 2 2 5 2" xfId="9461"/>
    <cellStyle name="Cálculo 6 2 2 5 2 2" xfId="18223"/>
    <cellStyle name="Cálculo 6 2 2 5 3" xfId="9462"/>
    <cellStyle name="Cálculo 6 2 2 5 3 2" xfId="18222"/>
    <cellStyle name="Cálculo 6 2 2 5 4" xfId="18224"/>
    <cellStyle name="Cálculo 6 2 2 6" xfId="9463"/>
    <cellStyle name="Cálculo 6 2 2 6 2" xfId="18221"/>
    <cellStyle name="Cálculo 6 2 2 7" xfId="9464"/>
    <cellStyle name="Cálculo 6 2 2 7 2" xfId="18220"/>
    <cellStyle name="Cálculo 6 2 2 8" xfId="27071"/>
    <cellStyle name="Cálculo 6 2 3" xfId="4304"/>
    <cellStyle name="Cálculo 6 2 3 2" xfId="9465"/>
    <cellStyle name="Cálculo 6 2 3 2 2" xfId="9466"/>
    <cellStyle name="Cálculo 6 2 3 2 2 2" xfId="18218"/>
    <cellStyle name="Cálculo 6 2 3 2 3" xfId="9467"/>
    <cellStyle name="Cálculo 6 2 3 2 3 2" xfId="18217"/>
    <cellStyle name="Cálculo 6 2 3 2 4" xfId="18219"/>
    <cellStyle name="Cálculo 6 2 3 3" xfId="9468"/>
    <cellStyle name="Cálculo 6 2 3 3 2" xfId="9469"/>
    <cellStyle name="Cálculo 6 2 3 3 2 2" xfId="18215"/>
    <cellStyle name="Cálculo 6 2 3 3 3" xfId="9470"/>
    <cellStyle name="Cálculo 6 2 3 3 3 2" xfId="18214"/>
    <cellStyle name="Cálculo 6 2 3 3 4" xfId="18216"/>
    <cellStyle name="Cálculo 6 2 3 4" xfId="9471"/>
    <cellStyle name="Cálculo 6 2 3 4 2" xfId="9472"/>
    <cellStyle name="Cálculo 6 2 3 4 2 2" xfId="18212"/>
    <cellStyle name="Cálculo 6 2 3 4 3" xfId="9473"/>
    <cellStyle name="Cálculo 6 2 3 4 3 2" xfId="18211"/>
    <cellStyle name="Cálculo 6 2 3 4 4" xfId="18213"/>
    <cellStyle name="Cálculo 6 2 3 5" xfId="9474"/>
    <cellStyle name="Cálculo 6 2 3 5 2" xfId="9475"/>
    <cellStyle name="Cálculo 6 2 3 5 2 2" xfId="18209"/>
    <cellStyle name="Cálculo 6 2 3 5 3" xfId="9476"/>
    <cellStyle name="Cálculo 6 2 3 5 3 2" xfId="18208"/>
    <cellStyle name="Cálculo 6 2 3 5 4" xfId="18210"/>
    <cellStyle name="Cálculo 6 2 3 6" xfId="9477"/>
    <cellStyle name="Cálculo 6 2 3 6 2" xfId="18207"/>
    <cellStyle name="Cálculo 6 2 3 7" xfId="9478"/>
    <cellStyle name="Cálculo 6 2 3 7 2" xfId="18206"/>
    <cellStyle name="Cálculo 6 2 3 8" xfId="19853"/>
    <cellStyle name="Cálculo 6 2 4" xfId="5122"/>
    <cellStyle name="Cálculo 6 2 4 2" xfId="9479"/>
    <cellStyle name="Cálculo 6 2 4 2 2" xfId="9480"/>
    <cellStyle name="Cálculo 6 2 4 2 2 2" xfId="18204"/>
    <cellStyle name="Cálculo 6 2 4 2 3" xfId="9481"/>
    <cellStyle name="Cálculo 6 2 4 2 3 2" xfId="18202"/>
    <cellStyle name="Cálculo 6 2 4 2 4" xfId="18205"/>
    <cellStyle name="Cálculo 6 2 4 3" xfId="9482"/>
    <cellStyle name="Cálculo 6 2 4 3 2" xfId="9483"/>
    <cellStyle name="Cálculo 6 2 4 3 2 2" xfId="18200"/>
    <cellStyle name="Cálculo 6 2 4 3 3" xfId="9484"/>
    <cellStyle name="Cálculo 6 2 4 3 3 2" xfId="18199"/>
    <cellStyle name="Cálculo 6 2 4 3 4" xfId="18201"/>
    <cellStyle name="Cálculo 6 2 4 4" xfId="9485"/>
    <cellStyle name="Cálculo 6 2 4 4 2" xfId="9486"/>
    <cellStyle name="Cálculo 6 2 4 4 2 2" xfId="18197"/>
    <cellStyle name="Cálculo 6 2 4 4 3" xfId="9487"/>
    <cellStyle name="Cálculo 6 2 4 4 3 2" xfId="18195"/>
    <cellStyle name="Cálculo 6 2 4 4 4" xfId="18198"/>
    <cellStyle name="Cálculo 6 2 4 5" xfId="9488"/>
    <cellStyle name="Cálculo 6 2 4 5 2" xfId="9489"/>
    <cellStyle name="Cálculo 6 2 4 5 2 2" xfId="18193"/>
    <cellStyle name="Cálculo 6 2 4 5 3" xfId="9490"/>
    <cellStyle name="Cálculo 6 2 4 5 3 2" xfId="18192"/>
    <cellStyle name="Cálculo 6 2 4 5 4" xfId="18194"/>
    <cellStyle name="Cálculo 6 2 4 6" xfId="9491"/>
    <cellStyle name="Cálculo 6 2 4 6 2" xfId="18191"/>
    <cellStyle name="Cálculo 6 2 4 7" xfId="9492"/>
    <cellStyle name="Cálculo 6 2 4 7 2" xfId="18190"/>
    <cellStyle name="Cálculo 6 2 4 8" xfId="26520"/>
    <cellStyle name="Cálculo 6 2 5" xfId="9493"/>
    <cellStyle name="Cálculo 6 2 5 2" xfId="9494"/>
    <cellStyle name="Cálculo 6 2 5 2 2" xfId="18188"/>
    <cellStyle name="Cálculo 6 2 5 3" xfId="9495"/>
    <cellStyle name="Cálculo 6 2 5 3 2" xfId="18187"/>
    <cellStyle name="Cálculo 6 2 5 4" xfId="18189"/>
    <cellStyle name="Cálculo 6 2 6" xfId="9496"/>
    <cellStyle name="Cálculo 6 2 6 2" xfId="18186"/>
    <cellStyle name="Cálculo 6 2 7" xfId="9497"/>
    <cellStyle name="Cálculo 6 2 7 2" xfId="18185"/>
    <cellStyle name="Cálculo 6 2 8" xfId="30583"/>
    <cellStyle name="Cálculo 6 3" xfId="1723"/>
    <cellStyle name="Cálculo 6 3 2" xfId="4336"/>
    <cellStyle name="Cálculo 6 3 2 2" xfId="9498"/>
    <cellStyle name="Cálculo 6 3 2 2 2" xfId="9499"/>
    <cellStyle name="Cálculo 6 3 2 2 2 2" xfId="18183"/>
    <cellStyle name="Cálculo 6 3 2 2 3" xfId="9500"/>
    <cellStyle name="Cálculo 6 3 2 2 3 2" xfId="18182"/>
    <cellStyle name="Cálculo 6 3 2 2 4" xfId="18184"/>
    <cellStyle name="Cálculo 6 3 2 3" xfId="9501"/>
    <cellStyle name="Cálculo 6 3 2 3 2" xfId="9502"/>
    <cellStyle name="Cálculo 6 3 2 3 2 2" xfId="18180"/>
    <cellStyle name="Cálculo 6 3 2 3 3" xfId="9503"/>
    <cellStyle name="Cálculo 6 3 2 3 3 2" xfId="18179"/>
    <cellStyle name="Cálculo 6 3 2 3 4" xfId="18181"/>
    <cellStyle name="Cálculo 6 3 2 4" xfId="9504"/>
    <cellStyle name="Cálculo 6 3 2 4 2" xfId="9505"/>
    <cellStyle name="Cálculo 6 3 2 4 2 2" xfId="18177"/>
    <cellStyle name="Cálculo 6 3 2 4 3" xfId="9506"/>
    <cellStyle name="Cálculo 6 3 2 4 3 2" xfId="18176"/>
    <cellStyle name="Cálculo 6 3 2 4 4" xfId="18178"/>
    <cellStyle name="Cálculo 6 3 2 5" xfId="9507"/>
    <cellStyle name="Cálculo 6 3 2 5 2" xfId="9508"/>
    <cellStyle name="Cálculo 6 3 2 5 2 2" xfId="18174"/>
    <cellStyle name="Cálculo 6 3 2 5 3" xfId="9509"/>
    <cellStyle name="Cálculo 6 3 2 5 3 2" xfId="18173"/>
    <cellStyle name="Cálculo 6 3 2 5 4" xfId="18175"/>
    <cellStyle name="Cálculo 6 3 2 6" xfId="9510"/>
    <cellStyle name="Cálculo 6 3 2 6 2" xfId="18172"/>
    <cellStyle name="Cálculo 6 3 2 7" xfId="9511"/>
    <cellStyle name="Cálculo 6 3 2 7 2" xfId="18171"/>
    <cellStyle name="Cálculo 6 3 2 8" xfId="27240"/>
    <cellStyle name="Cálculo 6 3 3" xfId="4305"/>
    <cellStyle name="Cálculo 6 3 3 2" xfId="9512"/>
    <cellStyle name="Cálculo 6 3 3 2 2" xfId="9513"/>
    <cellStyle name="Cálculo 6 3 3 2 2 2" xfId="18169"/>
    <cellStyle name="Cálculo 6 3 3 2 3" xfId="9514"/>
    <cellStyle name="Cálculo 6 3 3 2 3 2" xfId="30818"/>
    <cellStyle name="Cálculo 6 3 3 2 4" xfId="18170"/>
    <cellStyle name="Cálculo 6 3 3 3" xfId="9515"/>
    <cellStyle name="Cálculo 6 3 3 3 2" xfId="9516"/>
    <cellStyle name="Cálculo 6 3 3 3 2 2" xfId="30820"/>
    <cellStyle name="Cálculo 6 3 3 3 3" xfId="9517"/>
    <cellStyle name="Cálculo 6 3 3 3 3 2" xfId="30821"/>
    <cellStyle name="Cálculo 6 3 3 3 4" xfId="30819"/>
    <cellStyle name="Cálculo 6 3 3 4" xfId="9518"/>
    <cellStyle name="Cálculo 6 3 3 4 2" xfId="9519"/>
    <cellStyle name="Cálculo 6 3 3 4 2 2" xfId="30823"/>
    <cellStyle name="Cálculo 6 3 3 4 3" xfId="9520"/>
    <cellStyle name="Cálculo 6 3 3 4 3 2" xfId="30824"/>
    <cellStyle name="Cálculo 6 3 3 4 4" xfId="30822"/>
    <cellStyle name="Cálculo 6 3 3 5" xfId="9521"/>
    <cellStyle name="Cálculo 6 3 3 5 2" xfId="9522"/>
    <cellStyle name="Cálculo 6 3 3 5 2 2" xfId="30826"/>
    <cellStyle name="Cálculo 6 3 3 5 3" xfId="9523"/>
    <cellStyle name="Cálculo 6 3 3 5 3 2" xfId="30827"/>
    <cellStyle name="Cálculo 6 3 3 5 4" xfId="30825"/>
    <cellStyle name="Cálculo 6 3 3 6" xfId="9524"/>
    <cellStyle name="Cálculo 6 3 3 6 2" xfId="30828"/>
    <cellStyle name="Cálculo 6 3 3 7" xfId="9525"/>
    <cellStyle name="Cálculo 6 3 3 7 2" xfId="30829"/>
    <cellStyle name="Cálculo 6 3 3 8" xfId="19852"/>
    <cellStyle name="Cálculo 6 3 4" xfId="5123"/>
    <cellStyle name="Cálculo 6 3 4 2" xfId="9526"/>
    <cellStyle name="Cálculo 6 3 4 2 2" xfId="9527"/>
    <cellStyle name="Cálculo 6 3 4 2 2 2" xfId="30831"/>
    <cellStyle name="Cálculo 6 3 4 2 3" xfId="9528"/>
    <cellStyle name="Cálculo 6 3 4 2 3 2" xfId="30832"/>
    <cellStyle name="Cálculo 6 3 4 2 4" xfId="30830"/>
    <cellStyle name="Cálculo 6 3 4 3" xfId="9529"/>
    <cellStyle name="Cálculo 6 3 4 3 2" xfId="9530"/>
    <cellStyle name="Cálculo 6 3 4 3 2 2" xfId="30834"/>
    <cellStyle name="Cálculo 6 3 4 3 3" xfId="9531"/>
    <cellStyle name="Cálculo 6 3 4 3 3 2" xfId="30835"/>
    <cellStyle name="Cálculo 6 3 4 3 4" xfId="30833"/>
    <cellStyle name="Cálculo 6 3 4 4" xfId="9532"/>
    <cellStyle name="Cálculo 6 3 4 4 2" xfId="9533"/>
    <cellStyle name="Cálculo 6 3 4 4 2 2" xfId="30837"/>
    <cellStyle name="Cálculo 6 3 4 4 3" xfId="9534"/>
    <cellStyle name="Cálculo 6 3 4 4 3 2" xfId="30838"/>
    <cellStyle name="Cálculo 6 3 4 4 4" xfId="30836"/>
    <cellStyle name="Cálculo 6 3 4 5" xfId="9535"/>
    <cellStyle name="Cálculo 6 3 4 5 2" xfId="9536"/>
    <cellStyle name="Cálculo 6 3 4 5 2 2" xfId="30840"/>
    <cellStyle name="Cálculo 6 3 4 5 3" xfId="9537"/>
    <cellStyle name="Cálculo 6 3 4 5 3 2" xfId="30841"/>
    <cellStyle name="Cálculo 6 3 4 5 4" xfId="30839"/>
    <cellStyle name="Cálculo 6 3 4 6" xfId="9538"/>
    <cellStyle name="Cálculo 6 3 4 6 2" xfId="30842"/>
    <cellStyle name="Cálculo 6 3 4 7" xfId="9539"/>
    <cellStyle name="Cálculo 6 3 4 7 2" xfId="30843"/>
    <cellStyle name="Cálculo 6 3 4 8" xfId="20506"/>
    <cellStyle name="Cálculo 6 3 5" xfId="9540"/>
    <cellStyle name="Cálculo 6 3 5 2" xfId="9541"/>
    <cellStyle name="Cálculo 6 3 5 2 2" xfId="30845"/>
    <cellStyle name="Cálculo 6 3 5 3" xfId="9542"/>
    <cellStyle name="Cálculo 6 3 5 3 2" xfId="30846"/>
    <cellStyle name="Cálculo 6 3 5 4" xfId="30844"/>
    <cellStyle name="Cálculo 6 3 6" xfId="9543"/>
    <cellStyle name="Cálculo 6 3 6 2" xfId="30847"/>
    <cellStyle name="Cálculo 6 3 7" xfId="9544"/>
    <cellStyle name="Cálculo 6 3 7 2" xfId="30848"/>
    <cellStyle name="Cálculo 6 3 8" xfId="30582"/>
    <cellStyle name="Cálculo 6 4" xfId="4337"/>
    <cellStyle name="Cálculo 6 4 2" xfId="9545"/>
    <cellStyle name="Cálculo 6 4 2 2" xfId="9546"/>
    <cellStyle name="Cálculo 6 4 2 2 2" xfId="30850"/>
    <cellStyle name="Cálculo 6 4 2 3" xfId="9547"/>
    <cellStyle name="Cálculo 6 4 2 3 2" xfId="30851"/>
    <cellStyle name="Cálculo 6 4 2 4" xfId="30849"/>
    <cellStyle name="Cálculo 6 4 3" xfId="9548"/>
    <cellStyle name="Cálculo 6 4 3 2" xfId="9549"/>
    <cellStyle name="Cálculo 6 4 3 2 2" xfId="30853"/>
    <cellStyle name="Cálculo 6 4 3 3" xfId="9550"/>
    <cellStyle name="Cálculo 6 4 3 3 2" xfId="30854"/>
    <cellStyle name="Cálculo 6 4 3 4" xfId="30852"/>
    <cellStyle name="Cálculo 6 4 4" xfId="9551"/>
    <cellStyle name="Cálculo 6 4 4 2" xfId="9552"/>
    <cellStyle name="Cálculo 6 4 4 2 2" xfId="30856"/>
    <cellStyle name="Cálculo 6 4 4 3" xfId="9553"/>
    <cellStyle name="Cálculo 6 4 4 3 2" xfId="30857"/>
    <cellStyle name="Cálculo 6 4 4 4" xfId="30855"/>
    <cellStyle name="Cálculo 6 4 5" xfId="9554"/>
    <cellStyle name="Cálculo 6 4 5 2" xfId="9555"/>
    <cellStyle name="Cálculo 6 4 5 2 2" xfId="30859"/>
    <cellStyle name="Cálculo 6 4 5 3" xfId="9556"/>
    <cellStyle name="Cálculo 6 4 5 3 2" xfId="30860"/>
    <cellStyle name="Cálculo 6 4 5 4" xfId="30858"/>
    <cellStyle name="Cálculo 6 4 6" xfId="9557"/>
    <cellStyle name="Cálculo 6 4 6 2" xfId="30861"/>
    <cellStyle name="Cálculo 6 4 7" xfId="9558"/>
    <cellStyle name="Cálculo 6 4 7 2" xfId="30862"/>
    <cellStyle name="Cálculo 6 4 8" xfId="27239"/>
    <cellStyle name="Cálculo 6 5" xfId="4056"/>
    <cellStyle name="Cálculo 6 5 2" xfId="9559"/>
    <cellStyle name="Cálculo 6 5 2 2" xfId="9560"/>
    <cellStyle name="Cálculo 6 5 2 2 2" xfId="30864"/>
    <cellStyle name="Cálculo 6 5 2 3" xfId="9561"/>
    <cellStyle name="Cálculo 6 5 2 3 2" xfId="30865"/>
    <cellStyle name="Cálculo 6 5 2 4" xfId="30863"/>
    <cellStyle name="Cálculo 6 5 3" xfId="9562"/>
    <cellStyle name="Cálculo 6 5 3 2" xfId="9563"/>
    <cellStyle name="Cálculo 6 5 3 2 2" xfId="30867"/>
    <cellStyle name="Cálculo 6 5 3 3" xfId="9564"/>
    <cellStyle name="Cálculo 6 5 3 3 2" xfId="30868"/>
    <cellStyle name="Cálculo 6 5 3 4" xfId="30866"/>
    <cellStyle name="Cálculo 6 5 4" xfId="9565"/>
    <cellStyle name="Cálculo 6 5 4 2" xfId="9566"/>
    <cellStyle name="Cálculo 6 5 4 2 2" xfId="30870"/>
    <cellStyle name="Cálculo 6 5 4 3" xfId="9567"/>
    <cellStyle name="Cálculo 6 5 4 3 2" xfId="30871"/>
    <cellStyle name="Cálculo 6 5 4 4" xfId="30869"/>
    <cellStyle name="Cálculo 6 5 5" xfId="9568"/>
    <cellStyle name="Cálculo 6 5 5 2" xfId="9569"/>
    <cellStyle name="Cálculo 6 5 5 2 2" xfId="30873"/>
    <cellStyle name="Cálculo 6 5 5 3" xfId="9570"/>
    <cellStyle name="Cálculo 6 5 5 3 2" xfId="30874"/>
    <cellStyle name="Cálculo 6 5 5 4" xfId="30872"/>
    <cellStyle name="Cálculo 6 5 6" xfId="9571"/>
    <cellStyle name="Cálculo 6 5 6 2" xfId="30875"/>
    <cellStyle name="Cálculo 6 5 7" xfId="9572"/>
    <cellStyle name="Cálculo 6 5 7 2" xfId="30876"/>
    <cellStyle name="Cálculo 6 5 8" xfId="19872"/>
    <cellStyle name="Cálculo 6 6" xfId="5124"/>
    <cellStyle name="Cálculo 6 6 2" xfId="9573"/>
    <cellStyle name="Cálculo 6 6 2 2" xfId="9574"/>
    <cellStyle name="Cálculo 6 6 2 2 2" xfId="30878"/>
    <cellStyle name="Cálculo 6 6 2 3" xfId="9575"/>
    <cellStyle name="Cálculo 6 6 2 3 2" xfId="30879"/>
    <cellStyle name="Cálculo 6 6 2 4" xfId="30877"/>
    <cellStyle name="Cálculo 6 6 3" xfId="9576"/>
    <cellStyle name="Cálculo 6 6 3 2" xfId="9577"/>
    <cellStyle name="Cálculo 6 6 3 2 2" xfId="30881"/>
    <cellStyle name="Cálculo 6 6 3 3" xfId="9578"/>
    <cellStyle name="Cálculo 6 6 3 3 2" xfId="30882"/>
    <cellStyle name="Cálculo 6 6 3 4" xfId="30880"/>
    <cellStyle name="Cálculo 6 6 4" xfId="9579"/>
    <cellStyle name="Cálculo 6 6 4 2" xfId="9580"/>
    <cellStyle name="Cálculo 6 6 4 2 2" xfId="30884"/>
    <cellStyle name="Cálculo 6 6 4 3" xfId="9581"/>
    <cellStyle name="Cálculo 6 6 4 3 2" xfId="30885"/>
    <cellStyle name="Cálculo 6 6 4 4" xfId="30883"/>
    <cellStyle name="Cálculo 6 6 5" xfId="9582"/>
    <cellStyle name="Cálculo 6 6 5 2" xfId="9583"/>
    <cellStyle name="Cálculo 6 6 5 2 2" xfId="30887"/>
    <cellStyle name="Cálculo 6 6 5 3" xfId="9584"/>
    <cellStyle name="Cálculo 6 6 5 3 2" xfId="30888"/>
    <cellStyle name="Cálculo 6 6 5 4" xfId="30886"/>
    <cellStyle name="Cálculo 6 6 6" xfId="9585"/>
    <cellStyle name="Cálculo 6 6 6 2" xfId="30889"/>
    <cellStyle name="Cálculo 6 6 7" xfId="9586"/>
    <cellStyle name="Cálculo 6 6 7 2" xfId="30890"/>
    <cellStyle name="Cálculo 6 6 8" xfId="26519"/>
    <cellStyle name="Cálculo 6 7" xfId="9587"/>
    <cellStyle name="Cálculo 6 7 2" xfId="9588"/>
    <cellStyle name="Cálculo 6 7 2 2" xfId="30892"/>
    <cellStyle name="Cálculo 6 7 3" xfId="9589"/>
    <cellStyle name="Cálculo 6 7 3 2" xfId="30893"/>
    <cellStyle name="Cálculo 6 7 4" xfId="30891"/>
    <cellStyle name="Cálculo 6 8" xfId="9590"/>
    <cellStyle name="Cálculo 6 8 2" xfId="30894"/>
    <cellStyle name="Cálculo 6 9" xfId="9591"/>
    <cellStyle name="Cálculo 6 9 2" xfId="30895"/>
    <cellStyle name="Cálculo 7" xfId="1724"/>
    <cellStyle name="Cálculo 7 10" xfId="30581"/>
    <cellStyle name="Cálculo 7 2" xfId="1725"/>
    <cellStyle name="Cálculo 7 2 2" xfId="4334"/>
    <cellStyle name="Cálculo 7 2 2 2" xfId="9592"/>
    <cellStyle name="Cálculo 7 2 2 2 2" xfId="9593"/>
    <cellStyle name="Cálculo 7 2 2 2 2 2" xfId="30897"/>
    <cellStyle name="Cálculo 7 2 2 2 3" xfId="9594"/>
    <cellStyle name="Cálculo 7 2 2 2 3 2" xfId="30898"/>
    <cellStyle name="Cálculo 7 2 2 2 4" xfId="30896"/>
    <cellStyle name="Cálculo 7 2 2 3" xfId="9595"/>
    <cellStyle name="Cálculo 7 2 2 3 2" xfId="9596"/>
    <cellStyle name="Cálculo 7 2 2 3 2 2" xfId="30900"/>
    <cellStyle name="Cálculo 7 2 2 3 3" xfId="9597"/>
    <cellStyle name="Cálculo 7 2 2 3 3 2" xfId="30901"/>
    <cellStyle name="Cálculo 7 2 2 3 4" xfId="30899"/>
    <cellStyle name="Cálculo 7 2 2 4" xfId="9598"/>
    <cellStyle name="Cálculo 7 2 2 4 2" xfId="9599"/>
    <cellStyle name="Cálculo 7 2 2 4 2 2" xfId="30903"/>
    <cellStyle name="Cálculo 7 2 2 4 3" xfId="9600"/>
    <cellStyle name="Cálculo 7 2 2 4 3 2" xfId="30904"/>
    <cellStyle name="Cálculo 7 2 2 4 4" xfId="30902"/>
    <cellStyle name="Cálculo 7 2 2 5" xfId="9601"/>
    <cellStyle name="Cálculo 7 2 2 5 2" xfId="9602"/>
    <cellStyle name="Cálculo 7 2 2 5 2 2" xfId="30906"/>
    <cellStyle name="Cálculo 7 2 2 5 3" xfId="9603"/>
    <cellStyle name="Cálculo 7 2 2 5 3 2" xfId="30907"/>
    <cellStyle name="Cálculo 7 2 2 5 4" xfId="30905"/>
    <cellStyle name="Cálculo 7 2 2 6" xfId="9604"/>
    <cellStyle name="Cálculo 7 2 2 6 2" xfId="30908"/>
    <cellStyle name="Cálculo 7 2 2 7" xfId="9605"/>
    <cellStyle name="Cálculo 7 2 2 7 2" xfId="30909"/>
    <cellStyle name="Cálculo 7 2 2 8" xfId="27242"/>
    <cellStyle name="Cálculo 7 2 3" xfId="4457"/>
    <cellStyle name="Cálculo 7 2 3 2" xfId="9606"/>
    <cellStyle name="Cálculo 7 2 3 2 2" xfId="9607"/>
    <cellStyle name="Cálculo 7 2 3 2 2 2" xfId="30911"/>
    <cellStyle name="Cálculo 7 2 3 2 3" xfId="9608"/>
    <cellStyle name="Cálculo 7 2 3 2 3 2" xfId="30912"/>
    <cellStyle name="Cálculo 7 2 3 2 4" xfId="30910"/>
    <cellStyle name="Cálculo 7 2 3 3" xfId="9609"/>
    <cellStyle name="Cálculo 7 2 3 3 2" xfId="9610"/>
    <cellStyle name="Cálculo 7 2 3 3 2 2" xfId="30914"/>
    <cellStyle name="Cálculo 7 2 3 3 3" xfId="9611"/>
    <cellStyle name="Cálculo 7 2 3 3 3 2" xfId="30915"/>
    <cellStyle name="Cálculo 7 2 3 3 4" xfId="30913"/>
    <cellStyle name="Cálculo 7 2 3 4" xfId="9612"/>
    <cellStyle name="Cálculo 7 2 3 4 2" xfId="9613"/>
    <cellStyle name="Cálculo 7 2 3 4 2 2" xfId="30917"/>
    <cellStyle name="Cálculo 7 2 3 4 3" xfId="9614"/>
    <cellStyle name="Cálculo 7 2 3 4 3 2" xfId="30918"/>
    <cellStyle name="Cálculo 7 2 3 4 4" xfId="30916"/>
    <cellStyle name="Cálculo 7 2 3 5" xfId="9615"/>
    <cellStyle name="Cálculo 7 2 3 5 2" xfId="9616"/>
    <cellStyle name="Cálculo 7 2 3 5 2 2" xfId="30920"/>
    <cellStyle name="Cálculo 7 2 3 5 3" xfId="9617"/>
    <cellStyle name="Cálculo 7 2 3 5 3 2" xfId="30921"/>
    <cellStyle name="Cálculo 7 2 3 5 4" xfId="30919"/>
    <cellStyle name="Cálculo 7 2 3 6" xfId="9618"/>
    <cellStyle name="Cálculo 7 2 3 6 2" xfId="30922"/>
    <cellStyle name="Cálculo 7 2 3 7" xfId="9619"/>
    <cellStyle name="Cálculo 7 2 3 7 2" xfId="30923"/>
    <cellStyle name="Cálculo 7 2 3 8" xfId="27072"/>
    <cellStyle name="Cálculo 7 2 4" xfId="5125"/>
    <cellStyle name="Cálculo 7 2 4 2" xfId="9620"/>
    <cellStyle name="Cálculo 7 2 4 2 2" xfId="9621"/>
    <cellStyle name="Cálculo 7 2 4 2 2 2" xfId="30925"/>
    <cellStyle name="Cálculo 7 2 4 2 3" xfId="9622"/>
    <cellStyle name="Cálculo 7 2 4 2 3 2" xfId="30926"/>
    <cellStyle name="Cálculo 7 2 4 2 4" xfId="30924"/>
    <cellStyle name="Cálculo 7 2 4 3" xfId="9623"/>
    <cellStyle name="Cálculo 7 2 4 3 2" xfId="9624"/>
    <cellStyle name="Cálculo 7 2 4 3 2 2" xfId="30928"/>
    <cellStyle name="Cálculo 7 2 4 3 3" xfId="9625"/>
    <cellStyle name="Cálculo 7 2 4 3 3 2" xfId="30929"/>
    <cellStyle name="Cálculo 7 2 4 3 4" xfId="30927"/>
    <cellStyle name="Cálculo 7 2 4 4" xfId="9626"/>
    <cellStyle name="Cálculo 7 2 4 4 2" xfId="9627"/>
    <cellStyle name="Cálculo 7 2 4 4 2 2" xfId="30931"/>
    <cellStyle name="Cálculo 7 2 4 4 3" xfId="9628"/>
    <cellStyle name="Cálculo 7 2 4 4 3 2" xfId="30932"/>
    <cellStyle name="Cálculo 7 2 4 4 4" xfId="30930"/>
    <cellStyle name="Cálculo 7 2 4 5" xfId="9629"/>
    <cellStyle name="Cálculo 7 2 4 5 2" xfId="9630"/>
    <cellStyle name="Cálculo 7 2 4 5 2 2" xfId="30934"/>
    <cellStyle name="Cálculo 7 2 4 5 3" xfId="9631"/>
    <cellStyle name="Cálculo 7 2 4 5 3 2" xfId="30935"/>
    <cellStyle name="Cálculo 7 2 4 5 4" xfId="30933"/>
    <cellStyle name="Cálculo 7 2 4 6" xfId="9632"/>
    <cellStyle name="Cálculo 7 2 4 6 2" xfId="30936"/>
    <cellStyle name="Cálculo 7 2 4 7" xfId="9633"/>
    <cellStyle name="Cálculo 7 2 4 7 2" xfId="30937"/>
    <cellStyle name="Cálculo 7 2 4 8" xfId="26518"/>
    <cellStyle name="Cálculo 7 2 5" xfId="9634"/>
    <cellStyle name="Cálculo 7 2 5 2" xfId="9635"/>
    <cellStyle name="Cálculo 7 2 5 2 2" xfId="30939"/>
    <cellStyle name="Cálculo 7 2 5 3" xfId="9636"/>
    <cellStyle name="Cálculo 7 2 5 3 2" xfId="30940"/>
    <cellStyle name="Cálculo 7 2 5 4" xfId="30938"/>
    <cellStyle name="Cálculo 7 2 6" xfId="9637"/>
    <cellStyle name="Cálculo 7 2 6 2" xfId="30941"/>
    <cellStyle name="Cálculo 7 2 7" xfId="9638"/>
    <cellStyle name="Cálculo 7 2 7 2" xfId="30942"/>
    <cellStyle name="Cálculo 7 2 8" xfId="30580"/>
    <cellStyle name="Cálculo 7 3" xfId="1726"/>
    <cellStyle name="Cálculo 7 3 2" xfId="4333"/>
    <cellStyle name="Cálculo 7 3 2 2" xfId="9639"/>
    <cellStyle name="Cálculo 7 3 2 2 2" xfId="9640"/>
    <cellStyle name="Cálculo 7 3 2 2 2 2" xfId="30944"/>
    <cellStyle name="Cálculo 7 3 2 2 3" xfId="9641"/>
    <cellStyle name="Cálculo 7 3 2 2 3 2" xfId="30945"/>
    <cellStyle name="Cálculo 7 3 2 2 4" xfId="30943"/>
    <cellStyle name="Cálculo 7 3 2 3" xfId="9642"/>
    <cellStyle name="Cálculo 7 3 2 3 2" xfId="9643"/>
    <cellStyle name="Cálculo 7 3 2 3 2 2" xfId="30947"/>
    <cellStyle name="Cálculo 7 3 2 3 3" xfId="9644"/>
    <cellStyle name="Cálculo 7 3 2 3 3 2" xfId="30948"/>
    <cellStyle name="Cálculo 7 3 2 3 4" xfId="30946"/>
    <cellStyle name="Cálculo 7 3 2 4" xfId="9645"/>
    <cellStyle name="Cálculo 7 3 2 4 2" xfId="9646"/>
    <cellStyle name="Cálculo 7 3 2 4 2 2" xfId="30950"/>
    <cellStyle name="Cálculo 7 3 2 4 3" xfId="9647"/>
    <cellStyle name="Cálculo 7 3 2 4 3 2" xfId="30951"/>
    <cellStyle name="Cálculo 7 3 2 4 4" xfId="30949"/>
    <cellStyle name="Cálculo 7 3 2 5" xfId="9648"/>
    <cellStyle name="Cálculo 7 3 2 5 2" xfId="9649"/>
    <cellStyle name="Cálculo 7 3 2 5 2 2" xfId="30953"/>
    <cellStyle name="Cálculo 7 3 2 5 3" xfId="9650"/>
    <cellStyle name="Cálculo 7 3 2 5 3 2" xfId="30954"/>
    <cellStyle name="Cálculo 7 3 2 5 4" xfId="30952"/>
    <cellStyle name="Cálculo 7 3 2 6" xfId="9651"/>
    <cellStyle name="Cálculo 7 3 2 6 2" xfId="30955"/>
    <cellStyle name="Cálculo 7 3 2 7" xfId="9652"/>
    <cellStyle name="Cálculo 7 3 2 7 2" xfId="30956"/>
    <cellStyle name="Cálculo 7 3 2 8" xfId="27243"/>
    <cellStyle name="Cálculo 7 3 3" xfId="4105"/>
    <cellStyle name="Cálculo 7 3 3 2" xfId="9653"/>
    <cellStyle name="Cálculo 7 3 3 2 2" xfId="9654"/>
    <cellStyle name="Cálculo 7 3 3 2 2 2" xfId="30958"/>
    <cellStyle name="Cálculo 7 3 3 2 3" xfId="9655"/>
    <cellStyle name="Cálculo 7 3 3 2 3 2" xfId="30959"/>
    <cellStyle name="Cálculo 7 3 3 2 4" xfId="30957"/>
    <cellStyle name="Cálculo 7 3 3 3" xfId="9656"/>
    <cellStyle name="Cálculo 7 3 3 3 2" xfId="9657"/>
    <cellStyle name="Cálculo 7 3 3 3 2 2" xfId="30961"/>
    <cellStyle name="Cálculo 7 3 3 3 3" xfId="9658"/>
    <cellStyle name="Cálculo 7 3 3 3 3 2" xfId="30962"/>
    <cellStyle name="Cálculo 7 3 3 3 4" xfId="30960"/>
    <cellStyle name="Cálculo 7 3 3 4" xfId="9659"/>
    <cellStyle name="Cálculo 7 3 3 4 2" xfId="9660"/>
    <cellStyle name="Cálculo 7 3 3 4 2 2" xfId="30964"/>
    <cellStyle name="Cálculo 7 3 3 4 3" xfId="9661"/>
    <cellStyle name="Cálculo 7 3 3 4 3 2" xfId="30965"/>
    <cellStyle name="Cálculo 7 3 3 4 4" xfId="30963"/>
    <cellStyle name="Cálculo 7 3 3 5" xfId="9662"/>
    <cellStyle name="Cálculo 7 3 3 5 2" xfId="9663"/>
    <cellStyle name="Cálculo 7 3 3 5 2 2" xfId="30967"/>
    <cellStyle name="Cálculo 7 3 3 5 3" xfId="9664"/>
    <cellStyle name="Cálculo 7 3 3 5 3 2" xfId="30968"/>
    <cellStyle name="Cálculo 7 3 3 5 4" xfId="30966"/>
    <cellStyle name="Cálculo 7 3 3 6" xfId="9665"/>
    <cellStyle name="Cálculo 7 3 3 6 2" xfId="30969"/>
    <cellStyle name="Cálculo 7 3 3 7" xfId="9666"/>
    <cellStyle name="Cálculo 7 3 3 7 2" xfId="30970"/>
    <cellStyle name="Cálculo 7 3 3 8" xfId="27381"/>
    <cellStyle name="Cálculo 7 3 4" xfId="5126"/>
    <cellStyle name="Cálculo 7 3 4 2" xfId="9667"/>
    <cellStyle name="Cálculo 7 3 4 2 2" xfId="9668"/>
    <cellStyle name="Cálculo 7 3 4 2 2 2" xfId="30972"/>
    <cellStyle name="Cálculo 7 3 4 2 3" xfId="9669"/>
    <cellStyle name="Cálculo 7 3 4 2 3 2" xfId="30973"/>
    <cellStyle name="Cálculo 7 3 4 2 4" xfId="30971"/>
    <cellStyle name="Cálculo 7 3 4 3" xfId="9670"/>
    <cellStyle name="Cálculo 7 3 4 3 2" xfId="9671"/>
    <cellStyle name="Cálculo 7 3 4 3 2 2" xfId="30975"/>
    <cellStyle name="Cálculo 7 3 4 3 3" xfId="9672"/>
    <cellStyle name="Cálculo 7 3 4 3 3 2" xfId="30976"/>
    <cellStyle name="Cálculo 7 3 4 3 4" xfId="30974"/>
    <cellStyle name="Cálculo 7 3 4 4" xfId="9673"/>
    <cellStyle name="Cálculo 7 3 4 4 2" xfId="9674"/>
    <cellStyle name="Cálculo 7 3 4 4 2 2" xfId="30978"/>
    <cellStyle name="Cálculo 7 3 4 4 3" xfId="9675"/>
    <cellStyle name="Cálculo 7 3 4 4 3 2" xfId="30979"/>
    <cellStyle name="Cálculo 7 3 4 4 4" xfId="30977"/>
    <cellStyle name="Cálculo 7 3 4 5" xfId="9676"/>
    <cellStyle name="Cálculo 7 3 4 5 2" xfId="9677"/>
    <cellStyle name="Cálculo 7 3 4 5 2 2" xfId="30981"/>
    <cellStyle name="Cálculo 7 3 4 5 3" xfId="9678"/>
    <cellStyle name="Cálculo 7 3 4 5 3 2" xfId="30982"/>
    <cellStyle name="Cálculo 7 3 4 5 4" xfId="30980"/>
    <cellStyle name="Cálculo 7 3 4 6" xfId="9679"/>
    <cellStyle name="Cálculo 7 3 4 6 2" xfId="30983"/>
    <cellStyle name="Cálculo 7 3 4 7" xfId="9680"/>
    <cellStyle name="Cálculo 7 3 4 7 2" xfId="30984"/>
    <cellStyle name="Cálculo 7 3 4 8" xfId="26517"/>
    <cellStyle name="Cálculo 7 3 5" xfId="9681"/>
    <cellStyle name="Cálculo 7 3 5 2" xfId="9682"/>
    <cellStyle name="Cálculo 7 3 5 2 2" xfId="30986"/>
    <cellStyle name="Cálculo 7 3 5 3" xfId="9683"/>
    <cellStyle name="Cálculo 7 3 5 3 2" xfId="30987"/>
    <cellStyle name="Cálculo 7 3 5 4" xfId="30985"/>
    <cellStyle name="Cálculo 7 3 6" xfId="9684"/>
    <cellStyle name="Cálculo 7 3 6 2" xfId="30988"/>
    <cellStyle name="Cálculo 7 3 7" xfId="9685"/>
    <cellStyle name="Cálculo 7 3 7 2" xfId="30989"/>
    <cellStyle name="Cálculo 7 3 8" xfId="30579"/>
    <cellStyle name="Cálculo 7 4" xfId="4335"/>
    <cellStyle name="Cálculo 7 4 2" xfId="9686"/>
    <cellStyle name="Cálculo 7 4 2 2" xfId="9687"/>
    <cellStyle name="Cálculo 7 4 2 2 2" xfId="30991"/>
    <cellStyle name="Cálculo 7 4 2 3" xfId="9688"/>
    <cellStyle name="Cálculo 7 4 2 3 2" xfId="30992"/>
    <cellStyle name="Cálculo 7 4 2 4" xfId="30990"/>
    <cellStyle name="Cálculo 7 4 3" xfId="9689"/>
    <cellStyle name="Cálculo 7 4 3 2" xfId="9690"/>
    <cellStyle name="Cálculo 7 4 3 2 2" xfId="30994"/>
    <cellStyle name="Cálculo 7 4 3 3" xfId="9691"/>
    <cellStyle name="Cálculo 7 4 3 3 2" xfId="30995"/>
    <cellStyle name="Cálculo 7 4 3 4" xfId="30993"/>
    <cellStyle name="Cálculo 7 4 4" xfId="9692"/>
    <cellStyle name="Cálculo 7 4 4 2" xfId="9693"/>
    <cellStyle name="Cálculo 7 4 4 2 2" xfId="30997"/>
    <cellStyle name="Cálculo 7 4 4 3" xfId="9694"/>
    <cellStyle name="Cálculo 7 4 4 3 2" xfId="30998"/>
    <cellStyle name="Cálculo 7 4 4 4" xfId="30996"/>
    <cellStyle name="Cálculo 7 4 5" xfId="9695"/>
    <cellStyle name="Cálculo 7 4 5 2" xfId="9696"/>
    <cellStyle name="Cálculo 7 4 5 2 2" xfId="31000"/>
    <cellStyle name="Cálculo 7 4 5 3" xfId="9697"/>
    <cellStyle name="Cálculo 7 4 5 3 2" xfId="31001"/>
    <cellStyle name="Cálculo 7 4 5 4" xfId="30999"/>
    <cellStyle name="Cálculo 7 4 6" xfId="9698"/>
    <cellStyle name="Cálculo 7 4 6 2" xfId="31002"/>
    <cellStyle name="Cálculo 7 4 7" xfId="9699"/>
    <cellStyle name="Cálculo 7 4 7 2" xfId="31003"/>
    <cellStyle name="Cálculo 7 4 8" xfId="27241"/>
    <cellStyle name="Cálculo 7 5" xfId="4306"/>
    <cellStyle name="Cálculo 7 5 2" xfId="9700"/>
    <cellStyle name="Cálculo 7 5 2 2" xfId="9701"/>
    <cellStyle name="Cálculo 7 5 2 2 2" xfId="31005"/>
    <cellStyle name="Cálculo 7 5 2 3" xfId="9702"/>
    <cellStyle name="Cálculo 7 5 2 3 2" xfId="31006"/>
    <cellStyle name="Cálculo 7 5 2 4" xfId="31004"/>
    <cellStyle name="Cálculo 7 5 3" xfId="9703"/>
    <cellStyle name="Cálculo 7 5 3 2" xfId="9704"/>
    <cellStyle name="Cálculo 7 5 3 2 2" xfId="31008"/>
    <cellStyle name="Cálculo 7 5 3 3" xfId="9705"/>
    <cellStyle name="Cálculo 7 5 3 3 2" xfId="31009"/>
    <cellStyle name="Cálculo 7 5 3 4" xfId="31007"/>
    <cellStyle name="Cálculo 7 5 4" xfId="9706"/>
    <cellStyle name="Cálculo 7 5 4 2" xfId="9707"/>
    <cellStyle name="Cálculo 7 5 4 2 2" xfId="31011"/>
    <cellStyle name="Cálculo 7 5 4 3" xfId="9708"/>
    <cellStyle name="Cálculo 7 5 4 3 2" xfId="31012"/>
    <cellStyle name="Cálculo 7 5 4 4" xfId="31010"/>
    <cellStyle name="Cálculo 7 5 5" xfId="9709"/>
    <cellStyle name="Cálculo 7 5 5 2" xfId="9710"/>
    <cellStyle name="Cálculo 7 5 5 2 2" xfId="31014"/>
    <cellStyle name="Cálculo 7 5 5 3" xfId="9711"/>
    <cellStyle name="Cálculo 7 5 5 3 2" xfId="31015"/>
    <cellStyle name="Cálculo 7 5 5 4" xfId="31013"/>
    <cellStyle name="Cálculo 7 5 6" xfId="9712"/>
    <cellStyle name="Cálculo 7 5 6 2" xfId="31016"/>
    <cellStyle name="Cálculo 7 5 7" xfId="9713"/>
    <cellStyle name="Cálculo 7 5 7 2" xfId="31017"/>
    <cellStyle name="Cálculo 7 5 8" xfId="19851"/>
    <cellStyle name="Cálculo 7 6" xfId="5127"/>
    <cellStyle name="Cálculo 7 6 2" xfId="9714"/>
    <cellStyle name="Cálculo 7 6 2 2" xfId="9715"/>
    <cellStyle name="Cálculo 7 6 2 2 2" xfId="31019"/>
    <cellStyle name="Cálculo 7 6 2 3" xfId="9716"/>
    <cellStyle name="Cálculo 7 6 2 3 2" xfId="31020"/>
    <cellStyle name="Cálculo 7 6 2 4" xfId="31018"/>
    <cellStyle name="Cálculo 7 6 3" xfId="9717"/>
    <cellStyle name="Cálculo 7 6 3 2" xfId="9718"/>
    <cellStyle name="Cálculo 7 6 3 2 2" xfId="31022"/>
    <cellStyle name="Cálculo 7 6 3 3" xfId="9719"/>
    <cellStyle name="Cálculo 7 6 3 3 2" xfId="31023"/>
    <cellStyle name="Cálculo 7 6 3 4" xfId="31021"/>
    <cellStyle name="Cálculo 7 6 4" xfId="9720"/>
    <cellStyle name="Cálculo 7 6 4 2" xfId="9721"/>
    <cellStyle name="Cálculo 7 6 4 2 2" xfId="31025"/>
    <cellStyle name="Cálculo 7 6 4 3" xfId="9722"/>
    <cellStyle name="Cálculo 7 6 4 3 2" xfId="31026"/>
    <cellStyle name="Cálculo 7 6 4 4" xfId="31024"/>
    <cellStyle name="Cálculo 7 6 5" xfId="9723"/>
    <cellStyle name="Cálculo 7 6 5 2" xfId="9724"/>
    <cellStyle name="Cálculo 7 6 5 2 2" xfId="31028"/>
    <cellStyle name="Cálculo 7 6 5 3" xfId="9725"/>
    <cellStyle name="Cálculo 7 6 5 3 2" xfId="31029"/>
    <cellStyle name="Cálculo 7 6 5 4" xfId="31027"/>
    <cellStyle name="Cálculo 7 6 6" xfId="9726"/>
    <cellStyle name="Cálculo 7 6 6 2" xfId="31030"/>
    <cellStyle name="Cálculo 7 6 7" xfId="9727"/>
    <cellStyle name="Cálculo 7 6 7 2" xfId="31031"/>
    <cellStyle name="Cálculo 7 6 8" xfId="26516"/>
    <cellStyle name="Cálculo 7 7" xfId="9728"/>
    <cellStyle name="Cálculo 7 7 2" xfId="9729"/>
    <cellStyle name="Cálculo 7 7 2 2" xfId="31033"/>
    <cellStyle name="Cálculo 7 7 3" xfId="9730"/>
    <cellStyle name="Cálculo 7 7 3 2" xfId="31034"/>
    <cellStyle name="Cálculo 7 7 4" xfId="31032"/>
    <cellStyle name="Cálculo 7 8" xfId="9731"/>
    <cellStyle name="Cálculo 7 8 2" xfId="31035"/>
    <cellStyle name="Cálculo 7 9" xfId="9732"/>
    <cellStyle name="Cálculo 7 9 2" xfId="31036"/>
    <cellStyle name="Cálculo 8" xfId="1727"/>
    <cellStyle name="Cálculo 8 10" xfId="30578"/>
    <cellStyle name="Cálculo 8 2" xfId="1728"/>
    <cellStyle name="Cálculo 8 2 2" xfId="4331"/>
    <cellStyle name="Cálculo 8 2 2 2" xfId="9733"/>
    <cellStyle name="Cálculo 8 2 2 2 2" xfId="9734"/>
    <cellStyle name="Cálculo 8 2 2 2 2 2" xfId="31038"/>
    <cellStyle name="Cálculo 8 2 2 2 3" xfId="9735"/>
    <cellStyle name="Cálculo 8 2 2 2 3 2" xfId="31039"/>
    <cellStyle name="Cálculo 8 2 2 2 4" xfId="31037"/>
    <cellStyle name="Cálculo 8 2 2 3" xfId="9736"/>
    <cellStyle name="Cálculo 8 2 2 3 2" xfId="9737"/>
    <cellStyle name="Cálculo 8 2 2 3 2 2" xfId="31041"/>
    <cellStyle name="Cálculo 8 2 2 3 3" xfId="9738"/>
    <cellStyle name="Cálculo 8 2 2 3 3 2" xfId="31042"/>
    <cellStyle name="Cálculo 8 2 2 3 4" xfId="31040"/>
    <cellStyle name="Cálculo 8 2 2 4" xfId="9739"/>
    <cellStyle name="Cálculo 8 2 2 4 2" xfId="9740"/>
    <cellStyle name="Cálculo 8 2 2 4 2 2" xfId="31044"/>
    <cellStyle name="Cálculo 8 2 2 4 3" xfId="9741"/>
    <cellStyle name="Cálculo 8 2 2 4 3 2" xfId="31045"/>
    <cellStyle name="Cálculo 8 2 2 4 4" xfId="31043"/>
    <cellStyle name="Cálculo 8 2 2 5" xfId="9742"/>
    <cellStyle name="Cálculo 8 2 2 5 2" xfId="9743"/>
    <cellStyle name="Cálculo 8 2 2 5 2 2" xfId="31047"/>
    <cellStyle name="Cálculo 8 2 2 5 3" xfId="9744"/>
    <cellStyle name="Cálculo 8 2 2 5 3 2" xfId="31048"/>
    <cellStyle name="Cálculo 8 2 2 5 4" xfId="31046"/>
    <cellStyle name="Cálculo 8 2 2 6" xfId="9745"/>
    <cellStyle name="Cálculo 8 2 2 6 2" xfId="31049"/>
    <cellStyle name="Cálculo 8 2 2 7" xfId="9746"/>
    <cellStyle name="Cálculo 8 2 2 7 2" xfId="31050"/>
    <cellStyle name="Cálculo 8 2 2 8" xfId="27245"/>
    <cellStyle name="Cálculo 8 2 3" xfId="4307"/>
    <cellStyle name="Cálculo 8 2 3 2" xfId="9747"/>
    <cellStyle name="Cálculo 8 2 3 2 2" xfId="9748"/>
    <cellStyle name="Cálculo 8 2 3 2 2 2" xfId="31052"/>
    <cellStyle name="Cálculo 8 2 3 2 3" xfId="9749"/>
    <cellStyle name="Cálculo 8 2 3 2 3 2" xfId="31053"/>
    <cellStyle name="Cálculo 8 2 3 2 4" xfId="31051"/>
    <cellStyle name="Cálculo 8 2 3 3" xfId="9750"/>
    <cellStyle name="Cálculo 8 2 3 3 2" xfId="9751"/>
    <cellStyle name="Cálculo 8 2 3 3 2 2" xfId="31055"/>
    <cellStyle name="Cálculo 8 2 3 3 3" xfId="9752"/>
    <cellStyle name="Cálculo 8 2 3 3 3 2" xfId="31056"/>
    <cellStyle name="Cálculo 8 2 3 3 4" xfId="31054"/>
    <cellStyle name="Cálculo 8 2 3 4" xfId="9753"/>
    <cellStyle name="Cálculo 8 2 3 4 2" xfId="9754"/>
    <cellStyle name="Cálculo 8 2 3 4 2 2" xfId="31058"/>
    <cellStyle name="Cálculo 8 2 3 4 3" xfId="9755"/>
    <cellStyle name="Cálculo 8 2 3 4 3 2" xfId="31059"/>
    <cellStyle name="Cálculo 8 2 3 4 4" xfId="31057"/>
    <cellStyle name="Cálculo 8 2 3 5" xfId="9756"/>
    <cellStyle name="Cálculo 8 2 3 5 2" xfId="9757"/>
    <cellStyle name="Cálculo 8 2 3 5 2 2" xfId="31061"/>
    <cellStyle name="Cálculo 8 2 3 5 3" xfId="9758"/>
    <cellStyle name="Cálculo 8 2 3 5 3 2" xfId="31062"/>
    <cellStyle name="Cálculo 8 2 3 5 4" xfId="31060"/>
    <cellStyle name="Cálculo 8 2 3 6" xfId="9759"/>
    <cellStyle name="Cálculo 8 2 3 6 2" xfId="31063"/>
    <cellStyle name="Cálculo 8 2 3 7" xfId="9760"/>
    <cellStyle name="Cálculo 8 2 3 7 2" xfId="31064"/>
    <cellStyle name="Cálculo 8 2 3 8" xfId="19850"/>
    <cellStyle name="Cálculo 8 2 4" xfId="5128"/>
    <cellStyle name="Cálculo 8 2 4 2" xfId="9761"/>
    <cellStyle name="Cálculo 8 2 4 2 2" xfId="9762"/>
    <cellStyle name="Cálculo 8 2 4 2 2 2" xfId="31066"/>
    <cellStyle name="Cálculo 8 2 4 2 3" xfId="9763"/>
    <cellStyle name="Cálculo 8 2 4 2 3 2" xfId="31067"/>
    <cellStyle name="Cálculo 8 2 4 2 4" xfId="31065"/>
    <cellStyle name="Cálculo 8 2 4 3" xfId="9764"/>
    <cellStyle name="Cálculo 8 2 4 3 2" xfId="9765"/>
    <cellStyle name="Cálculo 8 2 4 3 2 2" xfId="31069"/>
    <cellStyle name="Cálculo 8 2 4 3 3" xfId="9766"/>
    <cellStyle name="Cálculo 8 2 4 3 3 2" xfId="31070"/>
    <cellStyle name="Cálculo 8 2 4 3 4" xfId="31068"/>
    <cellStyle name="Cálculo 8 2 4 4" xfId="9767"/>
    <cellStyle name="Cálculo 8 2 4 4 2" xfId="9768"/>
    <cellStyle name="Cálculo 8 2 4 4 2 2" xfId="31072"/>
    <cellStyle name="Cálculo 8 2 4 4 3" xfId="9769"/>
    <cellStyle name="Cálculo 8 2 4 4 3 2" xfId="31073"/>
    <cellStyle name="Cálculo 8 2 4 4 4" xfId="31071"/>
    <cellStyle name="Cálculo 8 2 4 5" xfId="9770"/>
    <cellStyle name="Cálculo 8 2 4 5 2" xfId="9771"/>
    <cellStyle name="Cálculo 8 2 4 5 2 2" xfId="31075"/>
    <cellStyle name="Cálculo 8 2 4 5 3" xfId="9772"/>
    <cellStyle name="Cálculo 8 2 4 5 3 2" xfId="31076"/>
    <cellStyle name="Cálculo 8 2 4 5 4" xfId="31074"/>
    <cellStyle name="Cálculo 8 2 4 6" xfId="9773"/>
    <cellStyle name="Cálculo 8 2 4 6 2" xfId="31077"/>
    <cellStyle name="Cálculo 8 2 4 7" xfId="9774"/>
    <cellStyle name="Cálculo 8 2 4 7 2" xfId="31078"/>
    <cellStyle name="Cálculo 8 2 4 8" xfId="26515"/>
    <cellStyle name="Cálculo 8 2 5" xfId="9775"/>
    <cellStyle name="Cálculo 8 2 5 2" xfId="9776"/>
    <cellStyle name="Cálculo 8 2 5 2 2" xfId="31080"/>
    <cellStyle name="Cálculo 8 2 5 3" xfId="9777"/>
    <cellStyle name="Cálculo 8 2 5 3 2" xfId="31081"/>
    <cellStyle name="Cálculo 8 2 5 4" xfId="31079"/>
    <cellStyle name="Cálculo 8 2 6" xfId="9778"/>
    <cellStyle name="Cálculo 8 2 6 2" xfId="31082"/>
    <cellStyle name="Cálculo 8 2 7" xfId="9779"/>
    <cellStyle name="Cálculo 8 2 7 2" xfId="31083"/>
    <cellStyle name="Cálculo 8 2 8" xfId="30577"/>
    <cellStyle name="Cálculo 8 3" xfId="1729"/>
    <cellStyle name="Cálculo 8 3 2" xfId="4330"/>
    <cellStyle name="Cálculo 8 3 2 2" xfId="9780"/>
    <cellStyle name="Cálculo 8 3 2 2 2" xfId="9781"/>
    <cellStyle name="Cálculo 8 3 2 2 2 2" xfId="31085"/>
    <cellStyle name="Cálculo 8 3 2 2 3" xfId="9782"/>
    <cellStyle name="Cálculo 8 3 2 2 3 2" xfId="31086"/>
    <cellStyle name="Cálculo 8 3 2 2 4" xfId="31084"/>
    <cellStyle name="Cálculo 8 3 2 3" xfId="9783"/>
    <cellStyle name="Cálculo 8 3 2 3 2" xfId="9784"/>
    <cellStyle name="Cálculo 8 3 2 3 2 2" xfId="31088"/>
    <cellStyle name="Cálculo 8 3 2 3 3" xfId="9785"/>
    <cellStyle name="Cálculo 8 3 2 3 3 2" xfId="31089"/>
    <cellStyle name="Cálculo 8 3 2 3 4" xfId="31087"/>
    <cellStyle name="Cálculo 8 3 2 4" xfId="9786"/>
    <cellStyle name="Cálculo 8 3 2 4 2" xfId="9787"/>
    <cellStyle name="Cálculo 8 3 2 4 2 2" xfId="31091"/>
    <cellStyle name="Cálculo 8 3 2 4 3" xfId="9788"/>
    <cellStyle name="Cálculo 8 3 2 4 3 2" xfId="31092"/>
    <cellStyle name="Cálculo 8 3 2 4 4" xfId="31090"/>
    <cellStyle name="Cálculo 8 3 2 5" xfId="9789"/>
    <cellStyle name="Cálculo 8 3 2 5 2" xfId="9790"/>
    <cellStyle name="Cálculo 8 3 2 5 2 2" xfId="31094"/>
    <cellStyle name="Cálculo 8 3 2 5 3" xfId="9791"/>
    <cellStyle name="Cálculo 8 3 2 5 3 2" xfId="31095"/>
    <cellStyle name="Cálculo 8 3 2 5 4" xfId="31093"/>
    <cellStyle name="Cálculo 8 3 2 6" xfId="9792"/>
    <cellStyle name="Cálculo 8 3 2 6 2" xfId="31096"/>
    <cellStyle name="Cálculo 8 3 2 7" xfId="9793"/>
    <cellStyle name="Cálculo 8 3 2 7 2" xfId="31097"/>
    <cellStyle name="Cálculo 8 3 2 8" xfId="27246"/>
    <cellStyle name="Cálculo 8 3 3" xfId="4559"/>
    <cellStyle name="Cálculo 8 3 3 2" xfId="9794"/>
    <cellStyle name="Cálculo 8 3 3 2 2" xfId="9795"/>
    <cellStyle name="Cálculo 8 3 3 2 2 2" xfId="31099"/>
    <cellStyle name="Cálculo 8 3 3 2 3" xfId="9796"/>
    <cellStyle name="Cálculo 8 3 3 2 3 2" xfId="31100"/>
    <cellStyle name="Cálculo 8 3 3 2 4" xfId="31098"/>
    <cellStyle name="Cálculo 8 3 3 3" xfId="9797"/>
    <cellStyle name="Cálculo 8 3 3 3 2" xfId="9798"/>
    <cellStyle name="Cálculo 8 3 3 3 2 2" xfId="31102"/>
    <cellStyle name="Cálculo 8 3 3 3 3" xfId="9799"/>
    <cellStyle name="Cálculo 8 3 3 3 3 2" xfId="31103"/>
    <cellStyle name="Cálculo 8 3 3 3 4" xfId="31101"/>
    <cellStyle name="Cálculo 8 3 3 4" xfId="9800"/>
    <cellStyle name="Cálculo 8 3 3 4 2" xfId="9801"/>
    <cellStyle name="Cálculo 8 3 3 4 2 2" xfId="31105"/>
    <cellStyle name="Cálculo 8 3 3 4 3" xfId="9802"/>
    <cellStyle name="Cálculo 8 3 3 4 3 2" xfId="31106"/>
    <cellStyle name="Cálculo 8 3 3 4 4" xfId="31104"/>
    <cellStyle name="Cálculo 8 3 3 5" xfId="9803"/>
    <cellStyle name="Cálculo 8 3 3 5 2" xfId="9804"/>
    <cellStyle name="Cálculo 8 3 3 5 2 2" xfId="31108"/>
    <cellStyle name="Cálculo 8 3 3 5 3" xfId="9805"/>
    <cellStyle name="Cálculo 8 3 3 5 3 2" xfId="31109"/>
    <cellStyle name="Cálculo 8 3 3 5 4" xfId="31107"/>
    <cellStyle name="Cálculo 8 3 3 6" xfId="9806"/>
    <cellStyle name="Cálculo 8 3 3 6 2" xfId="31110"/>
    <cellStyle name="Cálculo 8 3 3 7" xfId="9807"/>
    <cellStyle name="Cálculo 8 3 3 7 2" xfId="31111"/>
    <cellStyle name="Cálculo 8 3 3 8" xfId="27041"/>
    <cellStyle name="Cálculo 8 3 4" xfId="5129"/>
    <cellStyle name="Cálculo 8 3 4 2" xfId="9808"/>
    <cellStyle name="Cálculo 8 3 4 2 2" xfId="9809"/>
    <cellStyle name="Cálculo 8 3 4 2 2 2" xfId="31113"/>
    <cellStyle name="Cálculo 8 3 4 2 3" xfId="9810"/>
    <cellStyle name="Cálculo 8 3 4 2 3 2" xfId="31114"/>
    <cellStyle name="Cálculo 8 3 4 2 4" xfId="31112"/>
    <cellStyle name="Cálculo 8 3 4 3" xfId="9811"/>
    <cellStyle name="Cálculo 8 3 4 3 2" xfId="9812"/>
    <cellStyle name="Cálculo 8 3 4 3 2 2" xfId="31116"/>
    <cellStyle name="Cálculo 8 3 4 3 3" xfId="9813"/>
    <cellStyle name="Cálculo 8 3 4 3 3 2" xfId="31117"/>
    <cellStyle name="Cálculo 8 3 4 3 4" xfId="31115"/>
    <cellStyle name="Cálculo 8 3 4 4" xfId="9814"/>
    <cellStyle name="Cálculo 8 3 4 4 2" xfId="9815"/>
    <cellStyle name="Cálculo 8 3 4 4 2 2" xfId="31119"/>
    <cellStyle name="Cálculo 8 3 4 4 3" xfId="9816"/>
    <cellStyle name="Cálculo 8 3 4 4 3 2" xfId="31120"/>
    <cellStyle name="Cálculo 8 3 4 4 4" xfId="31118"/>
    <cellStyle name="Cálculo 8 3 4 5" xfId="9817"/>
    <cellStyle name="Cálculo 8 3 4 5 2" xfId="9818"/>
    <cellStyle name="Cálculo 8 3 4 5 2 2" xfId="31122"/>
    <cellStyle name="Cálculo 8 3 4 5 3" xfId="9819"/>
    <cellStyle name="Cálculo 8 3 4 5 3 2" xfId="31123"/>
    <cellStyle name="Cálculo 8 3 4 5 4" xfId="31121"/>
    <cellStyle name="Cálculo 8 3 4 6" xfId="9820"/>
    <cellStyle name="Cálculo 8 3 4 6 2" xfId="31124"/>
    <cellStyle name="Cálculo 8 3 4 7" xfId="9821"/>
    <cellStyle name="Cálculo 8 3 4 7 2" xfId="31125"/>
    <cellStyle name="Cálculo 8 3 4 8" xfId="26514"/>
    <cellStyle name="Cálculo 8 3 5" xfId="9822"/>
    <cellStyle name="Cálculo 8 3 5 2" xfId="9823"/>
    <cellStyle name="Cálculo 8 3 5 2 2" xfId="31127"/>
    <cellStyle name="Cálculo 8 3 5 3" xfId="9824"/>
    <cellStyle name="Cálculo 8 3 5 3 2" xfId="31128"/>
    <cellStyle name="Cálculo 8 3 5 4" xfId="31126"/>
    <cellStyle name="Cálculo 8 3 6" xfId="9825"/>
    <cellStyle name="Cálculo 8 3 6 2" xfId="31129"/>
    <cellStyle name="Cálculo 8 3 7" xfId="9826"/>
    <cellStyle name="Cálculo 8 3 7 2" xfId="31130"/>
    <cellStyle name="Cálculo 8 3 8" xfId="30576"/>
    <cellStyle name="Cálculo 8 4" xfId="4332"/>
    <cellStyle name="Cálculo 8 4 2" xfId="9827"/>
    <cellStyle name="Cálculo 8 4 2 2" xfId="9828"/>
    <cellStyle name="Cálculo 8 4 2 2 2" xfId="31132"/>
    <cellStyle name="Cálculo 8 4 2 3" xfId="9829"/>
    <cellStyle name="Cálculo 8 4 2 3 2" xfId="31133"/>
    <cellStyle name="Cálculo 8 4 2 4" xfId="31131"/>
    <cellStyle name="Cálculo 8 4 3" xfId="9830"/>
    <cellStyle name="Cálculo 8 4 3 2" xfId="9831"/>
    <cellStyle name="Cálculo 8 4 3 2 2" xfId="31135"/>
    <cellStyle name="Cálculo 8 4 3 3" xfId="9832"/>
    <cellStyle name="Cálculo 8 4 3 3 2" xfId="31136"/>
    <cellStyle name="Cálculo 8 4 3 4" xfId="31134"/>
    <cellStyle name="Cálculo 8 4 4" xfId="9833"/>
    <cellStyle name="Cálculo 8 4 4 2" xfId="9834"/>
    <cellStyle name="Cálculo 8 4 4 2 2" xfId="31138"/>
    <cellStyle name="Cálculo 8 4 4 3" xfId="9835"/>
    <cellStyle name="Cálculo 8 4 4 3 2" xfId="31139"/>
    <cellStyle name="Cálculo 8 4 4 4" xfId="31137"/>
    <cellStyle name="Cálculo 8 4 5" xfId="9836"/>
    <cellStyle name="Cálculo 8 4 5 2" xfId="9837"/>
    <cellStyle name="Cálculo 8 4 5 2 2" xfId="31141"/>
    <cellStyle name="Cálculo 8 4 5 3" xfId="9838"/>
    <cellStyle name="Cálculo 8 4 5 3 2" xfId="31142"/>
    <cellStyle name="Cálculo 8 4 5 4" xfId="31140"/>
    <cellStyle name="Cálculo 8 4 6" xfId="9839"/>
    <cellStyle name="Cálculo 8 4 6 2" xfId="31143"/>
    <cellStyle name="Cálculo 8 4 7" xfId="9840"/>
    <cellStyle name="Cálculo 8 4 7 2" xfId="31144"/>
    <cellStyle name="Cálculo 8 4 8" xfId="27244"/>
    <cellStyle name="Cálculo 8 5" xfId="4533"/>
    <cellStyle name="Cálculo 8 5 2" xfId="9841"/>
    <cellStyle name="Cálculo 8 5 2 2" xfId="9842"/>
    <cellStyle name="Cálculo 8 5 2 2 2" xfId="31146"/>
    <cellStyle name="Cálculo 8 5 2 3" xfId="9843"/>
    <cellStyle name="Cálculo 8 5 2 3 2" xfId="31147"/>
    <cellStyle name="Cálculo 8 5 2 4" xfId="31145"/>
    <cellStyle name="Cálculo 8 5 3" xfId="9844"/>
    <cellStyle name="Cálculo 8 5 3 2" xfId="9845"/>
    <cellStyle name="Cálculo 8 5 3 2 2" xfId="31149"/>
    <cellStyle name="Cálculo 8 5 3 3" xfId="9846"/>
    <cellStyle name="Cálculo 8 5 3 3 2" xfId="31150"/>
    <cellStyle name="Cálculo 8 5 3 4" xfId="31148"/>
    <cellStyle name="Cálculo 8 5 4" xfId="9847"/>
    <cellStyle name="Cálculo 8 5 4 2" xfId="9848"/>
    <cellStyle name="Cálculo 8 5 4 2 2" xfId="31152"/>
    <cellStyle name="Cálculo 8 5 4 3" xfId="9849"/>
    <cellStyle name="Cálculo 8 5 4 3 2" xfId="31153"/>
    <cellStyle name="Cálculo 8 5 4 4" xfId="31151"/>
    <cellStyle name="Cálculo 8 5 5" xfId="9850"/>
    <cellStyle name="Cálculo 8 5 5 2" xfId="9851"/>
    <cellStyle name="Cálculo 8 5 5 2 2" xfId="31155"/>
    <cellStyle name="Cálculo 8 5 5 3" xfId="9852"/>
    <cellStyle name="Cálculo 8 5 5 3 2" xfId="31156"/>
    <cellStyle name="Cálculo 8 5 5 4" xfId="31154"/>
    <cellStyle name="Cálculo 8 5 6" xfId="9853"/>
    <cellStyle name="Cálculo 8 5 6 2" xfId="31157"/>
    <cellStyle name="Cálculo 8 5 7" xfId="9854"/>
    <cellStyle name="Cálculo 8 5 7 2" xfId="31158"/>
    <cellStyle name="Cálculo 8 5 8" xfId="27049"/>
    <cellStyle name="Cálculo 8 6" xfId="5130"/>
    <cellStyle name="Cálculo 8 6 2" xfId="9855"/>
    <cellStyle name="Cálculo 8 6 2 2" xfId="9856"/>
    <cellStyle name="Cálculo 8 6 2 2 2" xfId="31160"/>
    <cellStyle name="Cálculo 8 6 2 3" xfId="9857"/>
    <cellStyle name="Cálculo 8 6 2 3 2" xfId="31161"/>
    <cellStyle name="Cálculo 8 6 2 4" xfId="31159"/>
    <cellStyle name="Cálculo 8 6 3" xfId="9858"/>
    <cellStyle name="Cálculo 8 6 3 2" xfId="9859"/>
    <cellStyle name="Cálculo 8 6 3 2 2" xfId="31163"/>
    <cellStyle name="Cálculo 8 6 3 3" xfId="9860"/>
    <cellStyle name="Cálculo 8 6 3 3 2" xfId="31164"/>
    <cellStyle name="Cálculo 8 6 3 4" xfId="31162"/>
    <cellStyle name="Cálculo 8 6 4" xfId="9861"/>
    <cellStyle name="Cálculo 8 6 4 2" xfId="9862"/>
    <cellStyle name="Cálculo 8 6 4 2 2" xfId="31166"/>
    <cellStyle name="Cálculo 8 6 4 3" xfId="9863"/>
    <cellStyle name="Cálculo 8 6 4 3 2" xfId="31167"/>
    <cellStyle name="Cálculo 8 6 4 4" xfId="31165"/>
    <cellStyle name="Cálculo 8 6 5" xfId="9864"/>
    <cellStyle name="Cálculo 8 6 5 2" xfId="9865"/>
    <cellStyle name="Cálculo 8 6 5 2 2" xfId="31169"/>
    <cellStyle name="Cálculo 8 6 5 3" xfId="9866"/>
    <cellStyle name="Cálculo 8 6 5 3 2" xfId="31170"/>
    <cellStyle name="Cálculo 8 6 5 4" xfId="31168"/>
    <cellStyle name="Cálculo 8 6 6" xfId="9867"/>
    <cellStyle name="Cálculo 8 6 6 2" xfId="31171"/>
    <cellStyle name="Cálculo 8 6 7" xfId="9868"/>
    <cellStyle name="Cálculo 8 6 7 2" xfId="31172"/>
    <cellStyle name="Cálculo 8 6 8" xfId="26513"/>
    <cellStyle name="Cálculo 8 7" xfId="9869"/>
    <cellStyle name="Cálculo 8 7 2" xfId="9870"/>
    <cellStyle name="Cálculo 8 7 2 2" xfId="31174"/>
    <cellStyle name="Cálculo 8 7 3" xfId="9871"/>
    <cellStyle name="Cálculo 8 7 3 2" xfId="31175"/>
    <cellStyle name="Cálculo 8 7 4" xfId="31173"/>
    <cellStyle name="Cálculo 8 8" xfId="9872"/>
    <cellStyle name="Cálculo 8 8 2" xfId="31176"/>
    <cellStyle name="Cálculo 8 9" xfId="9873"/>
    <cellStyle name="Cálculo 8 9 2" xfId="31177"/>
    <cellStyle name="Cálculo 9" xfId="1730"/>
    <cellStyle name="Cálculo 9 10" xfId="30575"/>
    <cellStyle name="Cálculo 9 2" xfId="1731"/>
    <cellStyle name="Cálculo 9 2 2" xfId="4502"/>
    <cellStyle name="Cálculo 9 2 2 2" xfId="9874"/>
    <cellStyle name="Cálculo 9 2 2 2 2" xfId="9875"/>
    <cellStyle name="Cálculo 9 2 2 2 2 2" xfId="31179"/>
    <cellStyle name="Cálculo 9 2 2 2 3" xfId="9876"/>
    <cellStyle name="Cálculo 9 2 2 2 3 2" xfId="31180"/>
    <cellStyle name="Cálculo 9 2 2 2 4" xfId="31178"/>
    <cellStyle name="Cálculo 9 2 2 3" xfId="9877"/>
    <cellStyle name="Cálculo 9 2 2 3 2" xfId="9878"/>
    <cellStyle name="Cálculo 9 2 2 3 2 2" xfId="31182"/>
    <cellStyle name="Cálculo 9 2 2 3 3" xfId="9879"/>
    <cellStyle name="Cálculo 9 2 2 3 3 2" xfId="31183"/>
    <cellStyle name="Cálculo 9 2 2 3 4" xfId="31181"/>
    <cellStyle name="Cálculo 9 2 2 4" xfId="9880"/>
    <cellStyle name="Cálculo 9 2 2 4 2" xfId="9881"/>
    <cellStyle name="Cálculo 9 2 2 4 2 2" xfId="31185"/>
    <cellStyle name="Cálculo 9 2 2 4 3" xfId="9882"/>
    <cellStyle name="Cálculo 9 2 2 4 3 2" xfId="31186"/>
    <cellStyle name="Cálculo 9 2 2 4 4" xfId="31184"/>
    <cellStyle name="Cálculo 9 2 2 5" xfId="9883"/>
    <cellStyle name="Cálculo 9 2 2 5 2" xfId="9884"/>
    <cellStyle name="Cálculo 9 2 2 5 2 2" xfId="31188"/>
    <cellStyle name="Cálculo 9 2 2 5 3" xfId="9885"/>
    <cellStyle name="Cálculo 9 2 2 5 3 2" xfId="31189"/>
    <cellStyle name="Cálculo 9 2 2 5 4" xfId="31187"/>
    <cellStyle name="Cálculo 9 2 2 6" xfId="9886"/>
    <cellStyle name="Cálculo 9 2 2 6 2" xfId="31190"/>
    <cellStyle name="Cálculo 9 2 2 7" xfId="9887"/>
    <cellStyle name="Cálculo 9 2 2 7 2" xfId="31191"/>
    <cellStyle name="Cálculo 9 2 2 8" xfId="27058"/>
    <cellStyle name="Cálculo 9 2 3" xfId="4309"/>
    <cellStyle name="Cálculo 9 2 3 2" xfId="9888"/>
    <cellStyle name="Cálculo 9 2 3 2 2" xfId="9889"/>
    <cellStyle name="Cálculo 9 2 3 2 2 2" xfId="31193"/>
    <cellStyle name="Cálculo 9 2 3 2 3" xfId="9890"/>
    <cellStyle name="Cálculo 9 2 3 2 3 2" xfId="31194"/>
    <cellStyle name="Cálculo 9 2 3 2 4" xfId="31192"/>
    <cellStyle name="Cálculo 9 2 3 3" xfId="9891"/>
    <cellStyle name="Cálculo 9 2 3 3 2" xfId="9892"/>
    <cellStyle name="Cálculo 9 2 3 3 2 2" xfId="31196"/>
    <cellStyle name="Cálculo 9 2 3 3 3" xfId="9893"/>
    <cellStyle name="Cálculo 9 2 3 3 3 2" xfId="31197"/>
    <cellStyle name="Cálculo 9 2 3 3 4" xfId="31195"/>
    <cellStyle name="Cálculo 9 2 3 4" xfId="9894"/>
    <cellStyle name="Cálculo 9 2 3 4 2" xfId="9895"/>
    <cellStyle name="Cálculo 9 2 3 4 2 2" xfId="31199"/>
    <cellStyle name="Cálculo 9 2 3 4 3" xfId="9896"/>
    <cellStyle name="Cálculo 9 2 3 4 3 2" xfId="31200"/>
    <cellStyle name="Cálculo 9 2 3 4 4" xfId="31198"/>
    <cellStyle name="Cálculo 9 2 3 5" xfId="9897"/>
    <cellStyle name="Cálculo 9 2 3 5 2" xfId="9898"/>
    <cellStyle name="Cálculo 9 2 3 5 2 2" xfId="31202"/>
    <cellStyle name="Cálculo 9 2 3 5 3" xfId="9899"/>
    <cellStyle name="Cálculo 9 2 3 5 3 2" xfId="31203"/>
    <cellStyle name="Cálculo 9 2 3 5 4" xfId="31201"/>
    <cellStyle name="Cálculo 9 2 3 6" xfId="9900"/>
    <cellStyle name="Cálculo 9 2 3 6 2" xfId="31204"/>
    <cellStyle name="Cálculo 9 2 3 7" xfId="9901"/>
    <cellStyle name="Cálculo 9 2 3 7 2" xfId="31205"/>
    <cellStyle name="Cálculo 9 2 3 8" xfId="19848"/>
    <cellStyle name="Cálculo 9 2 4" xfId="5131"/>
    <cellStyle name="Cálculo 9 2 4 2" xfId="9902"/>
    <cellStyle name="Cálculo 9 2 4 2 2" xfId="9903"/>
    <cellStyle name="Cálculo 9 2 4 2 2 2" xfId="31207"/>
    <cellStyle name="Cálculo 9 2 4 2 3" xfId="9904"/>
    <cellStyle name="Cálculo 9 2 4 2 3 2" xfId="31208"/>
    <cellStyle name="Cálculo 9 2 4 2 4" xfId="31206"/>
    <cellStyle name="Cálculo 9 2 4 3" xfId="9905"/>
    <cellStyle name="Cálculo 9 2 4 3 2" xfId="9906"/>
    <cellStyle name="Cálculo 9 2 4 3 2 2" xfId="31210"/>
    <cellStyle name="Cálculo 9 2 4 3 3" xfId="9907"/>
    <cellStyle name="Cálculo 9 2 4 3 3 2" xfId="31211"/>
    <cellStyle name="Cálculo 9 2 4 3 4" xfId="31209"/>
    <cellStyle name="Cálculo 9 2 4 4" xfId="9908"/>
    <cellStyle name="Cálculo 9 2 4 4 2" xfId="9909"/>
    <cellStyle name="Cálculo 9 2 4 4 2 2" xfId="31213"/>
    <cellStyle name="Cálculo 9 2 4 4 3" xfId="9910"/>
    <cellStyle name="Cálculo 9 2 4 4 3 2" xfId="31214"/>
    <cellStyle name="Cálculo 9 2 4 4 4" xfId="31212"/>
    <cellStyle name="Cálculo 9 2 4 5" xfId="9911"/>
    <cellStyle name="Cálculo 9 2 4 5 2" xfId="9912"/>
    <cellStyle name="Cálculo 9 2 4 5 2 2" xfId="31216"/>
    <cellStyle name="Cálculo 9 2 4 5 3" xfId="9913"/>
    <cellStyle name="Cálculo 9 2 4 5 3 2" xfId="31217"/>
    <cellStyle name="Cálculo 9 2 4 5 4" xfId="31215"/>
    <cellStyle name="Cálculo 9 2 4 6" xfId="9914"/>
    <cellStyle name="Cálculo 9 2 4 6 2" xfId="31218"/>
    <cellStyle name="Cálculo 9 2 4 7" xfId="9915"/>
    <cellStyle name="Cálculo 9 2 4 7 2" xfId="31219"/>
    <cellStyle name="Cálculo 9 2 4 8" xfId="26512"/>
    <cellStyle name="Cálculo 9 2 5" xfId="9916"/>
    <cellStyle name="Cálculo 9 2 5 2" xfId="9917"/>
    <cellStyle name="Cálculo 9 2 5 2 2" xfId="31221"/>
    <cellStyle name="Cálculo 9 2 5 3" xfId="9918"/>
    <cellStyle name="Cálculo 9 2 5 3 2" xfId="31222"/>
    <cellStyle name="Cálculo 9 2 5 4" xfId="31220"/>
    <cellStyle name="Cálculo 9 2 6" xfId="9919"/>
    <cellStyle name="Cálculo 9 2 6 2" xfId="31223"/>
    <cellStyle name="Cálculo 9 2 7" xfId="9920"/>
    <cellStyle name="Cálculo 9 2 7 2" xfId="31224"/>
    <cellStyle name="Cálculo 9 2 8" xfId="30574"/>
    <cellStyle name="Cálculo 9 3" xfId="1732"/>
    <cellStyle name="Cálculo 9 3 2" xfId="4328"/>
    <cellStyle name="Cálculo 9 3 2 2" xfId="9921"/>
    <cellStyle name="Cálculo 9 3 2 2 2" xfId="9922"/>
    <cellStyle name="Cálculo 9 3 2 2 2 2" xfId="31226"/>
    <cellStyle name="Cálculo 9 3 2 2 3" xfId="9923"/>
    <cellStyle name="Cálculo 9 3 2 2 3 2" xfId="31227"/>
    <cellStyle name="Cálculo 9 3 2 2 4" xfId="31225"/>
    <cellStyle name="Cálculo 9 3 2 3" xfId="9924"/>
    <cellStyle name="Cálculo 9 3 2 3 2" xfId="9925"/>
    <cellStyle name="Cálculo 9 3 2 3 2 2" xfId="31229"/>
    <cellStyle name="Cálculo 9 3 2 3 3" xfId="9926"/>
    <cellStyle name="Cálculo 9 3 2 3 3 2" xfId="31230"/>
    <cellStyle name="Cálculo 9 3 2 3 4" xfId="31228"/>
    <cellStyle name="Cálculo 9 3 2 4" xfId="9927"/>
    <cellStyle name="Cálculo 9 3 2 4 2" xfId="9928"/>
    <cellStyle name="Cálculo 9 3 2 4 2 2" xfId="31232"/>
    <cellStyle name="Cálculo 9 3 2 4 3" xfId="9929"/>
    <cellStyle name="Cálculo 9 3 2 4 3 2" xfId="31233"/>
    <cellStyle name="Cálculo 9 3 2 4 4" xfId="31231"/>
    <cellStyle name="Cálculo 9 3 2 5" xfId="9930"/>
    <cellStyle name="Cálculo 9 3 2 5 2" xfId="9931"/>
    <cellStyle name="Cálculo 9 3 2 5 2 2" xfId="31235"/>
    <cellStyle name="Cálculo 9 3 2 5 3" xfId="9932"/>
    <cellStyle name="Cálculo 9 3 2 5 3 2" xfId="31236"/>
    <cellStyle name="Cálculo 9 3 2 5 4" xfId="31234"/>
    <cellStyle name="Cálculo 9 3 2 6" xfId="9933"/>
    <cellStyle name="Cálculo 9 3 2 6 2" xfId="31237"/>
    <cellStyle name="Cálculo 9 3 2 7" xfId="9934"/>
    <cellStyle name="Cálculo 9 3 2 7 2" xfId="31238"/>
    <cellStyle name="Cálculo 9 3 2 8" xfId="27248"/>
    <cellStyle name="Cálculo 9 3 3" xfId="4310"/>
    <cellStyle name="Cálculo 9 3 3 2" xfId="9935"/>
    <cellStyle name="Cálculo 9 3 3 2 2" xfId="9936"/>
    <cellStyle name="Cálculo 9 3 3 2 2 2" xfId="31240"/>
    <cellStyle name="Cálculo 9 3 3 2 3" xfId="9937"/>
    <cellStyle name="Cálculo 9 3 3 2 3 2" xfId="31241"/>
    <cellStyle name="Cálculo 9 3 3 2 4" xfId="31239"/>
    <cellStyle name="Cálculo 9 3 3 3" xfId="9938"/>
    <cellStyle name="Cálculo 9 3 3 3 2" xfId="9939"/>
    <cellStyle name="Cálculo 9 3 3 3 2 2" xfId="31243"/>
    <cellStyle name="Cálculo 9 3 3 3 3" xfId="9940"/>
    <cellStyle name="Cálculo 9 3 3 3 3 2" xfId="31244"/>
    <cellStyle name="Cálculo 9 3 3 3 4" xfId="31242"/>
    <cellStyle name="Cálculo 9 3 3 4" xfId="9941"/>
    <cellStyle name="Cálculo 9 3 3 4 2" xfId="9942"/>
    <cellStyle name="Cálculo 9 3 3 4 2 2" xfId="31246"/>
    <cellStyle name="Cálculo 9 3 3 4 3" xfId="9943"/>
    <cellStyle name="Cálculo 9 3 3 4 3 2" xfId="31247"/>
    <cellStyle name="Cálculo 9 3 3 4 4" xfId="31245"/>
    <cellStyle name="Cálculo 9 3 3 5" xfId="9944"/>
    <cellStyle name="Cálculo 9 3 3 5 2" xfId="9945"/>
    <cellStyle name="Cálculo 9 3 3 5 2 2" xfId="31249"/>
    <cellStyle name="Cálculo 9 3 3 5 3" xfId="9946"/>
    <cellStyle name="Cálculo 9 3 3 5 3 2" xfId="31250"/>
    <cellStyle name="Cálculo 9 3 3 5 4" xfId="31248"/>
    <cellStyle name="Cálculo 9 3 3 6" xfId="9947"/>
    <cellStyle name="Cálculo 9 3 3 6 2" xfId="31251"/>
    <cellStyle name="Cálculo 9 3 3 7" xfId="9948"/>
    <cellStyle name="Cálculo 9 3 3 7 2" xfId="31252"/>
    <cellStyle name="Cálculo 9 3 3 8" xfId="27261"/>
    <cellStyle name="Cálculo 9 3 4" xfId="5132"/>
    <cellStyle name="Cálculo 9 3 4 2" xfId="9949"/>
    <cellStyle name="Cálculo 9 3 4 2 2" xfId="9950"/>
    <cellStyle name="Cálculo 9 3 4 2 2 2" xfId="31254"/>
    <cellStyle name="Cálculo 9 3 4 2 3" xfId="9951"/>
    <cellStyle name="Cálculo 9 3 4 2 3 2" xfId="31255"/>
    <cellStyle name="Cálculo 9 3 4 2 4" xfId="31253"/>
    <cellStyle name="Cálculo 9 3 4 3" xfId="9952"/>
    <cellStyle name="Cálculo 9 3 4 3 2" xfId="9953"/>
    <cellStyle name="Cálculo 9 3 4 3 2 2" xfId="31257"/>
    <cellStyle name="Cálculo 9 3 4 3 3" xfId="9954"/>
    <cellStyle name="Cálculo 9 3 4 3 3 2" xfId="31258"/>
    <cellStyle name="Cálculo 9 3 4 3 4" xfId="31256"/>
    <cellStyle name="Cálculo 9 3 4 4" xfId="9955"/>
    <cellStyle name="Cálculo 9 3 4 4 2" xfId="9956"/>
    <cellStyle name="Cálculo 9 3 4 4 2 2" xfId="31260"/>
    <cellStyle name="Cálculo 9 3 4 4 3" xfId="9957"/>
    <cellStyle name="Cálculo 9 3 4 4 3 2" xfId="31261"/>
    <cellStyle name="Cálculo 9 3 4 4 4" xfId="31259"/>
    <cellStyle name="Cálculo 9 3 4 5" xfId="9958"/>
    <cellStyle name="Cálculo 9 3 4 5 2" xfId="9959"/>
    <cellStyle name="Cálculo 9 3 4 5 2 2" xfId="31263"/>
    <cellStyle name="Cálculo 9 3 4 5 3" xfId="9960"/>
    <cellStyle name="Cálculo 9 3 4 5 3 2" xfId="31264"/>
    <cellStyle name="Cálculo 9 3 4 5 4" xfId="31262"/>
    <cellStyle name="Cálculo 9 3 4 6" xfId="9961"/>
    <cellStyle name="Cálculo 9 3 4 6 2" xfId="31265"/>
    <cellStyle name="Cálculo 9 3 4 7" xfId="9962"/>
    <cellStyle name="Cálculo 9 3 4 7 2" xfId="31266"/>
    <cellStyle name="Cálculo 9 3 4 8" xfId="26511"/>
    <cellStyle name="Cálculo 9 3 5" xfId="9963"/>
    <cellStyle name="Cálculo 9 3 5 2" xfId="9964"/>
    <cellStyle name="Cálculo 9 3 5 2 2" xfId="31268"/>
    <cellStyle name="Cálculo 9 3 5 3" xfId="9965"/>
    <cellStyle name="Cálculo 9 3 5 3 2" xfId="31269"/>
    <cellStyle name="Cálculo 9 3 5 4" xfId="31267"/>
    <cellStyle name="Cálculo 9 3 6" xfId="9966"/>
    <cellStyle name="Cálculo 9 3 6 2" xfId="31270"/>
    <cellStyle name="Cálculo 9 3 7" xfId="9967"/>
    <cellStyle name="Cálculo 9 3 7 2" xfId="31271"/>
    <cellStyle name="Cálculo 9 3 8" xfId="30573"/>
    <cellStyle name="Cálculo 9 4" xfId="4329"/>
    <cellStyle name="Cálculo 9 4 2" xfId="9968"/>
    <cellStyle name="Cálculo 9 4 2 2" xfId="9969"/>
    <cellStyle name="Cálculo 9 4 2 2 2" xfId="31273"/>
    <cellStyle name="Cálculo 9 4 2 3" xfId="9970"/>
    <cellStyle name="Cálculo 9 4 2 3 2" xfId="31274"/>
    <cellStyle name="Cálculo 9 4 2 4" xfId="31272"/>
    <cellStyle name="Cálculo 9 4 3" xfId="9971"/>
    <cellStyle name="Cálculo 9 4 3 2" xfId="9972"/>
    <cellStyle name="Cálculo 9 4 3 2 2" xfId="31276"/>
    <cellStyle name="Cálculo 9 4 3 3" xfId="9973"/>
    <cellStyle name="Cálculo 9 4 3 3 2" xfId="31277"/>
    <cellStyle name="Cálculo 9 4 3 4" xfId="31275"/>
    <cellStyle name="Cálculo 9 4 4" xfId="9974"/>
    <cellStyle name="Cálculo 9 4 4 2" xfId="9975"/>
    <cellStyle name="Cálculo 9 4 4 2 2" xfId="31279"/>
    <cellStyle name="Cálculo 9 4 4 3" xfId="9976"/>
    <cellStyle name="Cálculo 9 4 4 3 2" xfId="31280"/>
    <cellStyle name="Cálculo 9 4 4 4" xfId="31278"/>
    <cellStyle name="Cálculo 9 4 5" xfId="9977"/>
    <cellStyle name="Cálculo 9 4 5 2" xfId="9978"/>
    <cellStyle name="Cálculo 9 4 5 2 2" xfId="31282"/>
    <cellStyle name="Cálculo 9 4 5 3" xfId="9979"/>
    <cellStyle name="Cálculo 9 4 5 3 2" xfId="31283"/>
    <cellStyle name="Cálculo 9 4 5 4" xfId="31281"/>
    <cellStyle name="Cálculo 9 4 6" xfId="9980"/>
    <cellStyle name="Cálculo 9 4 6 2" xfId="31284"/>
    <cellStyle name="Cálculo 9 4 7" xfId="9981"/>
    <cellStyle name="Cálculo 9 4 7 2" xfId="31285"/>
    <cellStyle name="Cálculo 9 4 8" xfId="27247"/>
    <cellStyle name="Cálculo 9 5" xfId="4308"/>
    <cellStyle name="Cálculo 9 5 2" xfId="9982"/>
    <cellStyle name="Cálculo 9 5 2 2" xfId="9983"/>
    <cellStyle name="Cálculo 9 5 2 2 2" xfId="31287"/>
    <cellStyle name="Cálculo 9 5 2 3" xfId="9984"/>
    <cellStyle name="Cálculo 9 5 2 3 2" xfId="31288"/>
    <cellStyle name="Cálculo 9 5 2 4" xfId="31286"/>
    <cellStyle name="Cálculo 9 5 3" xfId="9985"/>
    <cellStyle name="Cálculo 9 5 3 2" xfId="9986"/>
    <cellStyle name="Cálculo 9 5 3 2 2" xfId="31290"/>
    <cellStyle name="Cálculo 9 5 3 3" xfId="9987"/>
    <cellStyle name="Cálculo 9 5 3 3 2" xfId="31291"/>
    <cellStyle name="Cálculo 9 5 3 4" xfId="31289"/>
    <cellStyle name="Cálculo 9 5 4" xfId="9988"/>
    <cellStyle name="Cálculo 9 5 4 2" xfId="9989"/>
    <cellStyle name="Cálculo 9 5 4 2 2" xfId="31293"/>
    <cellStyle name="Cálculo 9 5 4 3" xfId="9990"/>
    <cellStyle name="Cálculo 9 5 4 3 2" xfId="31294"/>
    <cellStyle name="Cálculo 9 5 4 4" xfId="31292"/>
    <cellStyle name="Cálculo 9 5 5" xfId="9991"/>
    <cellStyle name="Cálculo 9 5 5 2" xfId="9992"/>
    <cellStyle name="Cálculo 9 5 5 2 2" xfId="31296"/>
    <cellStyle name="Cálculo 9 5 5 3" xfId="9993"/>
    <cellStyle name="Cálculo 9 5 5 3 2" xfId="31297"/>
    <cellStyle name="Cálculo 9 5 5 4" xfId="31295"/>
    <cellStyle name="Cálculo 9 5 6" xfId="9994"/>
    <cellStyle name="Cálculo 9 5 6 2" xfId="31298"/>
    <cellStyle name="Cálculo 9 5 7" xfId="9995"/>
    <cellStyle name="Cálculo 9 5 7 2" xfId="31299"/>
    <cellStyle name="Cálculo 9 5 8" xfId="19849"/>
    <cellStyle name="Cálculo 9 6" xfId="5133"/>
    <cellStyle name="Cálculo 9 6 2" xfId="9996"/>
    <cellStyle name="Cálculo 9 6 2 2" xfId="9997"/>
    <cellStyle name="Cálculo 9 6 2 2 2" xfId="31301"/>
    <cellStyle name="Cálculo 9 6 2 3" xfId="9998"/>
    <cellStyle name="Cálculo 9 6 2 3 2" xfId="31302"/>
    <cellStyle name="Cálculo 9 6 2 4" xfId="31300"/>
    <cellStyle name="Cálculo 9 6 3" xfId="9999"/>
    <cellStyle name="Cálculo 9 6 3 2" xfId="10000"/>
    <cellStyle name="Cálculo 9 6 3 2 2" xfId="31304"/>
    <cellStyle name="Cálculo 9 6 3 3" xfId="10001"/>
    <cellStyle name="Cálculo 9 6 3 3 2" xfId="31305"/>
    <cellStyle name="Cálculo 9 6 3 4" xfId="31303"/>
    <cellStyle name="Cálculo 9 6 4" xfId="10002"/>
    <cellStyle name="Cálculo 9 6 4 2" xfId="10003"/>
    <cellStyle name="Cálculo 9 6 4 2 2" xfId="31307"/>
    <cellStyle name="Cálculo 9 6 4 3" xfId="10004"/>
    <cellStyle name="Cálculo 9 6 4 3 2" xfId="31308"/>
    <cellStyle name="Cálculo 9 6 4 4" xfId="31306"/>
    <cellStyle name="Cálculo 9 6 5" xfId="10005"/>
    <cellStyle name="Cálculo 9 6 5 2" xfId="10006"/>
    <cellStyle name="Cálculo 9 6 5 2 2" xfId="31310"/>
    <cellStyle name="Cálculo 9 6 5 3" xfId="10007"/>
    <cellStyle name="Cálculo 9 6 5 3 2" xfId="31311"/>
    <cellStyle name="Cálculo 9 6 5 4" xfId="31309"/>
    <cellStyle name="Cálculo 9 6 6" xfId="10008"/>
    <cellStyle name="Cálculo 9 6 6 2" xfId="31312"/>
    <cellStyle name="Cálculo 9 6 7" xfId="10009"/>
    <cellStyle name="Cálculo 9 6 7 2" xfId="31313"/>
    <cellStyle name="Cálculo 9 6 8" xfId="26510"/>
    <cellStyle name="Cálculo 9 7" xfId="10010"/>
    <cellStyle name="Cálculo 9 7 2" xfId="10011"/>
    <cellStyle name="Cálculo 9 7 2 2" xfId="31315"/>
    <cellStyle name="Cálculo 9 7 3" xfId="10012"/>
    <cellStyle name="Cálculo 9 7 3 2" xfId="31316"/>
    <cellStyle name="Cálculo 9 7 4" xfId="31314"/>
    <cellStyle name="Cálculo 9 8" xfId="10013"/>
    <cellStyle name="Cálculo 9 8 2" xfId="31317"/>
    <cellStyle name="Cálculo 9 9" xfId="10014"/>
    <cellStyle name="Cálculo 9 9 2" xfId="31318"/>
    <cellStyle name="Caleb Header" xfId="1733"/>
    <cellStyle name="Caleb Header 2" xfId="1734"/>
    <cellStyle name="Caleb Header 2 2" xfId="5134"/>
    <cellStyle name="Caleb Header 2 2 10" xfId="26509"/>
    <cellStyle name="Caleb Header 2 2 2" xfId="5135"/>
    <cellStyle name="Caleb Header 2 2 2 2" xfId="10015"/>
    <cellStyle name="Caleb Header 2 2 2 2 2" xfId="10016"/>
    <cellStyle name="Caleb Header 2 2 2 2 2 2" xfId="25602"/>
    <cellStyle name="Caleb Header 2 2 2 2 2 3" xfId="31320"/>
    <cellStyle name="Caleb Header 2 2 2 2 3" xfId="10017"/>
    <cellStyle name="Caleb Header 2 2 2 2 3 2" xfId="25603"/>
    <cellStyle name="Caleb Header 2 2 2 2 3 3" xfId="31321"/>
    <cellStyle name="Caleb Header 2 2 2 2 4" xfId="25601"/>
    <cellStyle name="Caleb Header 2 2 2 2 5" xfId="31319"/>
    <cellStyle name="Caleb Header 2 2 2 3" xfId="10018"/>
    <cellStyle name="Caleb Header 2 2 2 3 2" xfId="10019"/>
    <cellStyle name="Caleb Header 2 2 2 3 2 2" xfId="25605"/>
    <cellStyle name="Caleb Header 2 2 2 3 2 3" xfId="31323"/>
    <cellStyle name="Caleb Header 2 2 2 3 3" xfId="10020"/>
    <cellStyle name="Caleb Header 2 2 2 3 3 2" xfId="25606"/>
    <cellStyle name="Caleb Header 2 2 2 3 3 3" xfId="31324"/>
    <cellStyle name="Caleb Header 2 2 2 3 4" xfId="25604"/>
    <cellStyle name="Caleb Header 2 2 2 3 5" xfId="31322"/>
    <cellStyle name="Caleb Header 2 2 2 4" xfId="10021"/>
    <cellStyle name="Caleb Header 2 2 2 4 2" xfId="10022"/>
    <cellStyle name="Caleb Header 2 2 2 4 2 2" xfId="25608"/>
    <cellStyle name="Caleb Header 2 2 2 4 2 3" xfId="31326"/>
    <cellStyle name="Caleb Header 2 2 2 4 3" xfId="10023"/>
    <cellStyle name="Caleb Header 2 2 2 4 3 2" xfId="25609"/>
    <cellStyle name="Caleb Header 2 2 2 4 3 3" xfId="31327"/>
    <cellStyle name="Caleb Header 2 2 2 4 4" xfId="25607"/>
    <cellStyle name="Caleb Header 2 2 2 4 5" xfId="31325"/>
    <cellStyle name="Caleb Header 2 2 2 5" xfId="10024"/>
    <cellStyle name="Caleb Header 2 2 2 5 2" xfId="25610"/>
    <cellStyle name="Caleb Header 2 2 2 5 3" xfId="31328"/>
    <cellStyle name="Caleb Header 2 2 2 6" xfId="10025"/>
    <cellStyle name="Caleb Header 2 2 2 6 2" xfId="25611"/>
    <cellStyle name="Caleb Header 2 2 2 6 3" xfId="31329"/>
    <cellStyle name="Caleb Header 2 2 2 7" xfId="21035"/>
    <cellStyle name="Caleb Header 2 2 2 8" xfId="26508"/>
    <cellStyle name="Caleb Header 2 2 3" xfId="5136"/>
    <cellStyle name="Caleb Header 2 2 3 2" xfId="10026"/>
    <cellStyle name="Caleb Header 2 2 3 2 2" xfId="10027"/>
    <cellStyle name="Caleb Header 2 2 3 2 2 2" xfId="25613"/>
    <cellStyle name="Caleb Header 2 2 3 2 2 3" xfId="31331"/>
    <cellStyle name="Caleb Header 2 2 3 2 3" xfId="10028"/>
    <cellStyle name="Caleb Header 2 2 3 2 3 2" xfId="25614"/>
    <cellStyle name="Caleb Header 2 2 3 2 3 3" xfId="31332"/>
    <cellStyle name="Caleb Header 2 2 3 2 4" xfId="25612"/>
    <cellStyle name="Caleb Header 2 2 3 2 5" xfId="31330"/>
    <cellStyle name="Caleb Header 2 2 3 3" xfId="10029"/>
    <cellStyle name="Caleb Header 2 2 3 3 2" xfId="10030"/>
    <cellStyle name="Caleb Header 2 2 3 3 2 2" xfId="25616"/>
    <cellStyle name="Caleb Header 2 2 3 3 2 3" xfId="31334"/>
    <cellStyle name="Caleb Header 2 2 3 3 3" xfId="10031"/>
    <cellStyle name="Caleb Header 2 2 3 3 3 2" xfId="25617"/>
    <cellStyle name="Caleb Header 2 2 3 3 3 3" xfId="31335"/>
    <cellStyle name="Caleb Header 2 2 3 3 4" xfId="25615"/>
    <cellStyle name="Caleb Header 2 2 3 3 5" xfId="31333"/>
    <cellStyle name="Caleb Header 2 2 3 4" xfId="10032"/>
    <cellStyle name="Caleb Header 2 2 3 4 2" xfId="10033"/>
    <cellStyle name="Caleb Header 2 2 3 4 2 2" xfId="25619"/>
    <cellStyle name="Caleb Header 2 2 3 4 2 3" xfId="31337"/>
    <cellStyle name="Caleb Header 2 2 3 4 3" xfId="10034"/>
    <cellStyle name="Caleb Header 2 2 3 4 3 2" xfId="25620"/>
    <cellStyle name="Caleb Header 2 2 3 4 3 3" xfId="31338"/>
    <cellStyle name="Caleb Header 2 2 3 4 4" xfId="25618"/>
    <cellStyle name="Caleb Header 2 2 3 4 5" xfId="31336"/>
    <cellStyle name="Caleb Header 2 2 3 5" xfId="10035"/>
    <cellStyle name="Caleb Header 2 2 3 5 2" xfId="25621"/>
    <cellStyle name="Caleb Header 2 2 3 5 3" xfId="31339"/>
    <cellStyle name="Caleb Header 2 2 3 6" xfId="10036"/>
    <cellStyle name="Caleb Header 2 2 3 6 2" xfId="25622"/>
    <cellStyle name="Caleb Header 2 2 3 6 3" xfId="31340"/>
    <cellStyle name="Caleb Header 2 2 3 7" xfId="21036"/>
    <cellStyle name="Caleb Header 2 2 3 8" xfId="26507"/>
    <cellStyle name="Caleb Header 2 2 4" xfId="5137"/>
    <cellStyle name="Caleb Header 2 2 4 2" xfId="10037"/>
    <cellStyle name="Caleb Header 2 2 4 2 2" xfId="10038"/>
    <cellStyle name="Caleb Header 2 2 4 2 2 2" xfId="25624"/>
    <cellStyle name="Caleb Header 2 2 4 2 2 3" xfId="31342"/>
    <cellStyle name="Caleb Header 2 2 4 2 3" xfId="10039"/>
    <cellStyle name="Caleb Header 2 2 4 2 3 2" xfId="25625"/>
    <cellStyle name="Caleb Header 2 2 4 2 3 3" xfId="31343"/>
    <cellStyle name="Caleb Header 2 2 4 2 4" xfId="25623"/>
    <cellStyle name="Caleb Header 2 2 4 2 5" xfId="31341"/>
    <cellStyle name="Caleb Header 2 2 4 3" xfId="10040"/>
    <cellStyle name="Caleb Header 2 2 4 3 2" xfId="10041"/>
    <cellStyle name="Caleb Header 2 2 4 3 2 2" xfId="25627"/>
    <cellStyle name="Caleb Header 2 2 4 3 2 3" xfId="31345"/>
    <cellStyle name="Caleb Header 2 2 4 3 3" xfId="10042"/>
    <cellStyle name="Caleb Header 2 2 4 3 3 2" xfId="25628"/>
    <cellStyle name="Caleb Header 2 2 4 3 3 3" xfId="31346"/>
    <cellStyle name="Caleb Header 2 2 4 3 4" xfId="25626"/>
    <cellStyle name="Caleb Header 2 2 4 3 5" xfId="31344"/>
    <cellStyle name="Caleb Header 2 2 4 4" xfId="10043"/>
    <cellStyle name="Caleb Header 2 2 4 4 2" xfId="10044"/>
    <cellStyle name="Caleb Header 2 2 4 4 2 2" xfId="25630"/>
    <cellStyle name="Caleb Header 2 2 4 4 2 3" xfId="31348"/>
    <cellStyle name="Caleb Header 2 2 4 4 3" xfId="10045"/>
    <cellStyle name="Caleb Header 2 2 4 4 3 2" xfId="25631"/>
    <cellStyle name="Caleb Header 2 2 4 4 3 3" xfId="31349"/>
    <cellStyle name="Caleb Header 2 2 4 4 4" xfId="25629"/>
    <cellStyle name="Caleb Header 2 2 4 4 5" xfId="31347"/>
    <cellStyle name="Caleb Header 2 2 4 5" xfId="10046"/>
    <cellStyle name="Caleb Header 2 2 4 5 2" xfId="25632"/>
    <cellStyle name="Caleb Header 2 2 4 5 3" xfId="31350"/>
    <cellStyle name="Caleb Header 2 2 4 6" xfId="10047"/>
    <cellStyle name="Caleb Header 2 2 4 6 2" xfId="25633"/>
    <cellStyle name="Caleb Header 2 2 4 6 3" xfId="31351"/>
    <cellStyle name="Caleb Header 2 2 4 7" xfId="21037"/>
    <cellStyle name="Caleb Header 2 2 4 8" xfId="26506"/>
    <cellStyle name="Caleb Header 2 2 5" xfId="10048"/>
    <cellStyle name="Caleb Header 2 2 5 2" xfId="10049"/>
    <cellStyle name="Caleb Header 2 2 5 2 2" xfId="25635"/>
    <cellStyle name="Caleb Header 2 2 5 2 3" xfId="31353"/>
    <cellStyle name="Caleb Header 2 2 5 3" xfId="10050"/>
    <cellStyle name="Caleb Header 2 2 5 3 2" xfId="25636"/>
    <cellStyle name="Caleb Header 2 2 5 3 3" xfId="31354"/>
    <cellStyle name="Caleb Header 2 2 5 4" xfId="25634"/>
    <cellStyle name="Caleb Header 2 2 5 5" xfId="31352"/>
    <cellStyle name="Caleb Header 2 2 6" xfId="10051"/>
    <cellStyle name="Caleb Header 2 2 6 2" xfId="10052"/>
    <cellStyle name="Caleb Header 2 2 6 2 2" xfId="25638"/>
    <cellStyle name="Caleb Header 2 2 6 2 3" xfId="31356"/>
    <cellStyle name="Caleb Header 2 2 6 3" xfId="10053"/>
    <cellStyle name="Caleb Header 2 2 6 3 2" xfId="25639"/>
    <cellStyle name="Caleb Header 2 2 6 3 3" xfId="31357"/>
    <cellStyle name="Caleb Header 2 2 6 4" xfId="25637"/>
    <cellStyle name="Caleb Header 2 2 6 5" xfId="31355"/>
    <cellStyle name="Caleb Header 2 2 7" xfId="10054"/>
    <cellStyle name="Caleb Header 2 2 7 2" xfId="25640"/>
    <cellStyle name="Caleb Header 2 2 7 3" xfId="31358"/>
    <cellStyle name="Caleb Header 2 2 8" xfId="10055"/>
    <cellStyle name="Caleb Header 2 2 8 2" xfId="25641"/>
    <cellStyle name="Caleb Header 2 2 8 3" xfId="31359"/>
    <cellStyle name="Caleb Header 2 2 9" xfId="21034"/>
    <cellStyle name="Caleb Header 2 3" xfId="10056"/>
    <cellStyle name="Caleb Header 2 3 2" xfId="10057"/>
    <cellStyle name="Caleb Header 2 3 2 2" xfId="25643"/>
    <cellStyle name="Caleb Header 2 3 2 3" xfId="31361"/>
    <cellStyle name="Caleb Header 2 3 3" xfId="10058"/>
    <cellStyle name="Caleb Header 2 3 3 2" xfId="25644"/>
    <cellStyle name="Caleb Header 2 3 3 3" xfId="31362"/>
    <cellStyle name="Caleb Header 2 3 4" xfId="25642"/>
    <cellStyle name="Caleb Header 2 3 5" xfId="31360"/>
    <cellStyle name="Caleb Header 2 4" xfId="10059"/>
    <cellStyle name="Caleb Header 2 4 2" xfId="10060"/>
    <cellStyle name="Caleb Header 2 4 2 2" xfId="25646"/>
    <cellStyle name="Caleb Header 2 4 2 3" xfId="31364"/>
    <cellStyle name="Caleb Header 2 4 3" xfId="10061"/>
    <cellStyle name="Caleb Header 2 4 3 2" xfId="25647"/>
    <cellStyle name="Caleb Header 2 4 3 3" xfId="31365"/>
    <cellStyle name="Caleb Header 2 4 4" xfId="25645"/>
    <cellStyle name="Caleb Header 2 4 5" xfId="31363"/>
    <cellStyle name="Caleb Header 2 5" xfId="10062"/>
    <cellStyle name="Caleb Header 2 5 2" xfId="25648"/>
    <cellStyle name="Caleb Header 2 5 3" xfId="31366"/>
    <cellStyle name="Caleb Header 2 6" xfId="10063"/>
    <cellStyle name="Caleb Header 2 6 2" xfId="25649"/>
    <cellStyle name="Caleb Header 2 6 3" xfId="31367"/>
    <cellStyle name="Caleb Header 2 7" xfId="19295"/>
    <cellStyle name="Caleb Header 2 8" xfId="30571"/>
    <cellStyle name="Caleb Header 3" xfId="5138"/>
    <cellStyle name="Caleb Header 3 10" xfId="20108"/>
    <cellStyle name="Caleb Header 3 2" xfId="5139"/>
    <cellStyle name="Caleb Header 3 2 2" xfId="10064"/>
    <cellStyle name="Caleb Header 3 2 2 2" xfId="10065"/>
    <cellStyle name="Caleb Header 3 2 2 2 2" xfId="25651"/>
    <cellStyle name="Caleb Header 3 2 2 2 3" xfId="31369"/>
    <cellStyle name="Caleb Header 3 2 2 3" xfId="10066"/>
    <cellStyle name="Caleb Header 3 2 2 3 2" xfId="25652"/>
    <cellStyle name="Caleb Header 3 2 2 3 3" xfId="31370"/>
    <cellStyle name="Caleb Header 3 2 2 4" xfId="25650"/>
    <cellStyle name="Caleb Header 3 2 2 5" xfId="31368"/>
    <cellStyle name="Caleb Header 3 2 3" xfId="10067"/>
    <cellStyle name="Caleb Header 3 2 3 2" xfId="10068"/>
    <cellStyle name="Caleb Header 3 2 3 2 2" xfId="25654"/>
    <cellStyle name="Caleb Header 3 2 3 2 3" xfId="31372"/>
    <cellStyle name="Caleb Header 3 2 3 3" xfId="10069"/>
    <cellStyle name="Caleb Header 3 2 3 3 2" xfId="25655"/>
    <cellStyle name="Caleb Header 3 2 3 3 3" xfId="31373"/>
    <cellStyle name="Caleb Header 3 2 3 4" xfId="25653"/>
    <cellStyle name="Caleb Header 3 2 3 5" xfId="31371"/>
    <cellStyle name="Caleb Header 3 2 4" xfId="10070"/>
    <cellStyle name="Caleb Header 3 2 4 2" xfId="10071"/>
    <cellStyle name="Caleb Header 3 2 4 2 2" xfId="25657"/>
    <cellStyle name="Caleb Header 3 2 4 2 3" xfId="31375"/>
    <cellStyle name="Caleb Header 3 2 4 3" xfId="10072"/>
    <cellStyle name="Caleb Header 3 2 4 3 2" xfId="25658"/>
    <cellStyle name="Caleb Header 3 2 4 3 3" xfId="31376"/>
    <cellStyle name="Caleb Header 3 2 4 4" xfId="25656"/>
    <cellStyle name="Caleb Header 3 2 4 5" xfId="31374"/>
    <cellStyle name="Caleb Header 3 2 5" xfId="10073"/>
    <cellStyle name="Caleb Header 3 2 5 2" xfId="25659"/>
    <cellStyle name="Caleb Header 3 2 5 3" xfId="31377"/>
    <cellStyle name="Caleb Header 3 2 6" xfId="10074"/>
    <cellStyle name="Caleb Header 3 2 6 2" xfId="25660"/>
    <cellStyle name="Caleb Header 3 2 6 3" xfId="31378"/>
    <cellStyle name="Caleb Header 3 2 7" xfId="21039"/>
    <cellStyle name="Caleb Header 3 2 8" xfId="19815"/>
    <cellStyle name="Caleb Header 3 3" xfId="5140"/>
    <cellStyle name="Caleb Header 3 3 2" xfId="10075"/>
    <cellStyle name="Caleb Header 3 3 2 2" xfId="10076"/>
    <cellStyle name="Caleb Header 3 3 2 2 2" xfId="25662"/>
    <cellStyle name="Caleb Header 3 3 2 2 3" xfId="31380"/>
    <cellStyle name="Caleb Header 3 3 2 3" xfId="10077"/>
    <cellStyle name="Caleb Header 3 3 2 3 2" xfId="25663"/>
    <cellStyle name="Caleb Header 3 3 2 3 3" xfId="31381"/>
    <cellStyle name="Caleb Header 3 3 2 4" xfId="25661"/>
    <cellStyle name="Caleb Header 3 3 2 5" xfId="31379"/>
    <cellStyle name="Caleb Header 3 3 3" xfId="10078"/>
    <cellStyle name="Caleb Header 3 3 3 2" xfId="10079"/>
    <cellStyle name="Caleb Header 3 3 3 2 2" xfId="25665"/>
    <cellStyle name="Caleb Header 3 3 3 2 3" xfId="31383"/>
    <cellStyle name="Caleb Header 3 3 3 3" xfId="10080"/>
    <cellStyle name="Caleb Header 3 3 3 3 2" xfId="25666"/>
    <cellStyle name="Caleb Header 3 3 3 3 3" xfId="31384"/>
    <cellStyle name="Caleb Header 3 3 3 4" xfId="25664"/>
    <cellStyle name="Caleb Header 3 3 3 5" xfId="31382"/>
    <cellStyle name="Caleb Header 3 3 4" xfId="10081"/>
    <cellStyle name="Caleb Header 3 3 4 2" xfId="10082"/>
    <cellStyle name="Caleb Header 3 3 4 2 2" xfId="25668"/>
    <cellStyle name="Caleb Header 3 3 4 2 3" xfId="31386"/>
    <cellStyle name="Caleb Header 3 3 4 3" xfId="10083"/>
    <cellStyle name="Caleb Header 3 3 4 3 2" xfId="25669"/>
    <cellStyle name="Caleb Header 3 3 4 3 3" xfId="31387"/>
    <cellStyle name="Caleb Header 3 3 4 4" xfId="25667"/>
    <cellStyle name="Caleb Header 3 3 4 5" xfId="31385"/>
    <cellStyle name="Caleb Header 3 3 5" xfId="10084"/>
    <cellStyle name="Caleb Header 3 3 5 2" xfId="25670"/>
    <cellStyle name="Caleb Header 3 3 5 3" xfId="31388"/>
    <cellStyle name="Caleb Header 3 3 6" xfId="10085"/>
    <cellStyle name="Caleb Header 3 3 6 2" xfId="25671"/>
    <cellStyle name="Caleb Header 3 3 6 3" xfId="31389"/>
    <cellStyle name="Caleb Header 3 3 7" xfId="21040"/>
    <cellStyle name="Caleb Header 3 3 8" xfId="19814"/>
    <cellStyle name="Caleb Header 3 4" xfId="5141"/>
    <cellStyle name="Caleb Header 3 4 2" xfId="10086"/>
    <cellStyle name="Caleb Header 3 4 2 2" xfId="10087"/>
    <cellStyle name="Caleb Header 3 4 2 2 2" xfId="25673"/>
    <cellStyle name="Caleb Header 3 4 2 2 3" xfId="31391"/>
    <cellStyle name="Caleb Header 3 4 2 3" xfId="10088"/>
    <cellStyle name="Caleb Header 3 4 2 3 2" xfId="25674"/>
    <cellStyle name="Caleb Header 3 4 2 3 3" xfId="31392"/>
    <cellStyle name="Caleb Header 3 4 2 4" xfId="25672"/>
    <cellStyle name="Caleb Header 3 4 2 5" xfId="31390"/>
    <cellStyle name="Caleb Header 3 4 3" xfId="10089"/>
    <cellStyle name="Caleb Header 3 4 3 2" xfId="10090"/>
    <cellStyle name="Caleb Header 3 4 3 2 2" xfId="25676"/>
    <cellStyle name="Caleb Header 3 4 3 2 3" xfId="31394"/>
    <cellStyle name="Caleb Header 3 4 3 3" xfId="10091"/>
    <cellStyle name="Caleb Header 3 4 3 3 2" xfId="25677"/>
    <cellStyle name="Caleb Header 3 4 3 3 3" xfId="31395"/>
    <cellStyle name="Caleb Header 3 4 3 4" xfId="25675"/>
    <cellStyle name="Caleb Header 3 4 3 5" xfId="31393"/>
    <cellStyle name="Caleb Header 3 4 4" xfId="10092"/>
    <cellStyle name="Caleb Header 3 4 4 2" xfId="10093"/>
    <cellStyle name="Caleb Header 3 4 4 2 2" xfId="25679"/>
    <cellStyle name="Caleb Header 3 4 4 2 3" xfId="31397"/>
    <cellStyle name="Caleb Header 3 4 4 3" xfId="10094"/>
    <cellStyle name="Caleb Header 3 4 4 3 2" xfId="25680"/>
    <cellStyle name="Caleb Header 3 4 4 3 3" xfId="31398"/>
    <cellStyle name="Caleb Header 3 4 4 4" xfId="25678"/>
    <cellStyle name="Caleb Header 3 4 4 5" xfId="31396"/>
    <cellStyle name="Caleb Header 3 4 5" xfId="10095"/>
    <cellStyle name="Caleb Header 3 4 5 2" xfId="25681"/>
    <cellStyle name="Caleb Header 3 4 5 3" xfId="31399"/>
    <cellStyle name="Caleb Header 3 4 6" xfId="10096"/>
    <cellStyle name="Caleb Header 3 4 6 2" xfId="25682"/>
    <cellStyle name="Caleb Header 3 4 6 3" xfId="31400"/>
    <cellStyle name="Caleb Header 3 4 7" xfId="21041"/>
    <cellStyle name="Caleb Header 3 4 8" xfId="26505"/>
    <cellStyle name="Caleb Header 3 5" xfId="10097"/>
    <cellStyle name="Caleb Header 3 5 2" xfId="10098"/>
    <cellStyle name="Caleb Header 3 5 2 2" xfId="25684"/>
    <cellStyle name="Caleb Header 3 5 2 3" xfId="31402"/>
    <cellStyle name="Caleb Header 3 5 3" xfId="10099"/>
    <cellStyle name="Caleb Header 3 5 3 2" xfId="25685"/>
    <cellStyle name="Caleb Header 3 5 3 3" xfId="31403"/>
    <cellStyle name="Caleb Header 3 5 4" xfId="25683"/>
    <cellStyle name="Caleb Header 3 5 5" xfId="31401"/>
    <cellStyle name="Caleb Header 3 6" xfId="10100"/>
    <cellStyle name="Caleb Header 3 6 2" xfId="10101"/>
    <cellStyle name="Caleb Header 3 6 2 2" xfId="25687"/>
    <cellStyle name="Caleb Header 3 6 2 3" xfId="31405"/>
    <cellStyle name="Caleb Header 3 6 3" xfId="10102"/>
    <cellStyle name="Caleb Header 3 6 3 2" xfId="25688"/>
    <cellStyle name="Caleb Header 3 6 3 3" xfId="31406"/>
    <cellStyle name="Caleb Header 3 6 4" xfId="25686"/>
    <cellStyle name="Caleb Header 3 6 5" xfId="31404"/>
    <cellStyle name="Caleb Header 3 7" xfId="10103"/>
    <cellStyle name="Caleb Header 3 7 2" xfId="25689"/>
    <cellStyle name="Caleb Header 3 7 3" xfId="31407"/>
    <cellStyle name="Caleb Header 3 8" xfId="10104"/>
    <cellStyle name="Caleb Header 3 8 2" xfId="25690"/>
    <cellStyle name="Caleb Header 3 8 3" xfId="31408"/>
    <cellStyle name="Caleb Header 3 9" xfId="21038"/>
    <cellStyle name="Caleb Header 4" xfId="10105"/>
    <cellStyle name="Caleb Header 4 2" xfId="10106"/>
    <cellStyle name="Caleb Header 4 2 2" xfId="25692"/>
    <cellStyle name="Caleb Header 4 2 3" xfId="31410"/>
    <cellStyle name="Caleb Header 4 3" xfId="10107"/>
    <cellStyle name="Caleb Header 4 3 2" xfId="25693"/>
    <cellStyle name="Caleb Header 4 3 3" xfId="31411"/>
    <cellStyle name="Caleb Header 4 4" xfId="25691"/>
    <cellStyle name="Caleb Header 4 5" xfId="31409"/>
    <cellStyle name="Caleb Header 5" xfId="10108"/>
    <cellStyle name="Caleb Header 5 2" xfId="10109"/>
    <cellStyle name="Caleb Header 5 2 2" xfId="25695"/>
    <cellStyle name="Caleb Header 5 2 3" xfId="31413"/>
    <cellStyle name="Caleb Header 5 3" xfId="10110"/>
    <cellStyle name="Caleb Header 5 3 2" xfId="25696"/>
    <cellStyle name="Caleb Header 5 3 3" xfId="31414"/>
    <cellStyle name="Caleb Header 5 4" xfId="25694"/>
    <cellStyle name="Caleb Header 5 5" xfId="31412"/>
    <cellStyle name="Caleb Header 6" xfId="10111"/>
    <cellStyle name="Caleb Header 6 2" xfId="25697"/>
    <cellStyle name="Caleb Header 6 3" xfId="31415"/>
    <cellStyle name="Caleb Header 7" xfId="10112"/>
    <cellStyle name="Caleb Header 7 2" xfId="25698"/>
    <cellStyle name="Caleb Header 7 3" xfId="31416"/>
    <cellStyle name="Caleb Header 8" xfId="19294"/>
    <cellStyle name="Caleb Header 9" xfId="30572"/>
    <cellStyle name="Cambiar to&amp;do" xfId="1735"/>
    <cellStyle name="Cambiar to&amp;do 2" xfId="1736"/>
    <cellStyle name="Cambiar to&amp;do 2 2" xfId="1737"/>
    <cellStyle name="Cambiar to&amp;do 3" xfId="1738"/>
    <cellStyle name="Cancel" xfId="1739"/>
    <cellStyle name="cárky_CTD" xfId="1740"/>
    <cellStyle name="Case" xfId="1741"/>
    <cellStyle name="category" xfId="1742"/>
    <cellStyle name="Celda de comprobación" xfId="35" builtinId="23" customBuiltin="1"/>
    <cellStyle name="Celda de comprobación 2" xfId="1743"/>
    <cellStyle name="Celda de comprobación 3" xfId="1744"/>
    <cellStyle name="Celda de comprobación 4" xfId="1745"/>
    <cellStyle name="Celda de comprobación 5" xfId="1746"/>
    <cellStyle name="Celda de comprobación 6" xfId="1747"/>
    <cellStyle name="Celda de comprobación 7" xfId="1748"/>
    <cellStyle name="Celda de comprobación 8" xfId="1749"/>
    <cellStyle name="Celda de comprobación 9" xfId="1750"/>
    <cellStyle name="Celda vinculada" xfId="34" builtinId="24" customBuiltin="1"/>
    <cellStyle name="Celda vinculada 2" xfId="1751"/>
    <cellStyle name="Celda vinculada 3" xfId="1752"/>
    <cellStyle name="Celda vinculada 4" xfId="1753"/>
    <cellStyle name="Celda vinculada 5" xfId="1754"/>
    <cellStyle name="Celda vinculada 6" xfId="1755"/>
    <cellStyle name="Celda vinculada 7" xfId="1756"/>
    <cellStyle name="Celda vinculada 8" xfId="1757"/>
    <cellStyle name="Celda vinculada 9" xfId="1758"/>
    <cellStyle name="Célula de Verificação" xfId="1759"/>
    <cellStyle name="Célula Vinculada" xfId="1760"/>
    <cellStyle name="Cents" xfId="1761"/>
    <cellStyle name="Cents 10" xfId="19322"/>
    <cellStyle name="Cents 2" xfId="1762"/>
    <cellStyle name="Cents 2 2" xfId="3937"/>
    <cellStyle name="Cents 2 2 2" xfId="10113"/>
    <cellStyle name="Cents 2 2 2 2" xfId="10114"/>
    <cellStyle name="Cents 2 2 2 2 2" xfId="25700"/>
    <cellStyle name="Cents 2 2 2 3" xfId="25699"/>
    <cellStyle name="Cents 2 2 3" xfId="10115"/>
    <cellStyle name="Cents 2 2 3 2" xfId="10116"/>
    <cellStyle name="Cents 2 2 3 2 2" xfId="25702"/>
    <cellStyle name="Cents 2 2 3 3" xfId="25701"/>
    <cellStyle name="Cents 2 2 4" xfId="10117"/>
    <cellStyle name="Cents 2 2 4 2" xfId="25703"/>
    <cellStyle name="Cents 2 2 5" xfId="20092"/>
    <cellStyle name="Cents 2 3" xfId="5142"/>
    <cellStyle name="Cents 2 3 2" xfId="10118"/>
    <cellStyle name="Cents 2 3 2 2" xfId="10119"/>
    <cellStyle name="Cents 2 3 2 2 2" xfId="25705"/>
    <cellStyle name="Cents 2 3 2 3" xfId="25704"/>
    <cellStyle name="Cents 2 3 3" xfId="10120"/>
    <cellStyle name="Cents 2 3 3 2" xfId="10121"/>
    <cellStyle name="Cents 2 3 3 2 2" xfId="25707"/>
    <cellStyle name="Cents 2 3 3 3" xfId="25706"/>
    <cellStyle name="Cents 2 3 4" xfId="10122"/>
    <cellStyle name="Cents 2 3 4 2" xfId="25708"/>
    <cellStyle name="Cents 2 3 5" xfId="21042"/>
    <cellStyle name="Cents 2 4" xfId="10123"/>
    <cellStyle name="Cents 2 4 2" xfId="10124"/>
    <cellStyle name="Cents 2 4 2 2" xfId="25710"/>
    <cellStyle name="Cents 2 4 3" xfId="25709"/>
    <cellStyle name="Cents 2 5" xfId="10125"/>
    <cellStyle name="Cents 2 5 2" xfId="10126"/>
    <cellStyle name="Cents 2 5 2 2" xfId="25712"/>
    <cellStyle name="Cents 2 5 3" xfId="25711"/>
    <cellStyle name="Cents 2 6" xfId="10127"/>
    <cellStyle name="Cents 2 6 2" xfId="10128"/>
    <cellStyle name="Cents 2 6 2 2" xfId="25714"/>
    <cellStyle name="Cents 2 6 3" xfId="25713"/>
    <cellStyle name="Cents 2 7" xfId="10129"/>
    <cellStyle name="Cents 2 7 2" xfId="25715"/>
    <cellStyle name="Cents 2 8" xfId="19323"/>
    <cellStyle name="Cents 3" xfId="1763"/>
    <cellStyle name="Cents 3 2" xfId="3938"/>
    <cellStyle name="Cents 3 2 2" xfId="10130"/>
    <cellStyle name="Cents 3 2 2 2" xfId="10131"/>
    <cellStyle name="Cents 3 2 2 2 2" xfId="25717"/>
    <cellStyle name="Cents 3 2 2 3" xfId="25716"/>
    <cellStyle name="Cents 3 2 3" xfId="10132"/>
    <cellStyle name="Cents 3 2 3 2" xfId="10133"/>
    <cellStyle name="Cents 3 2 3 2 2" xfId="25719"/>
    <cellStyle name="Cents 3 2 3 3" xfId="25718"/>
    <cellStyle name="Cents 3 2 4" xfId="10134"/>
    <cellStyle name="Cents 3 2 4 2" xfId="25720"/>
    <cellStyle name="Cents 3 2 5" xfId="20093"/>
    <cellStyle name="Cents 3 3" xfId="5143"/>
    <cellStyle name="Cents 3 3 2" xfId="10135"/>
    <cellStyle name="Cents 3 3 2 2" xfId="10136"/>
    <cellStyle name="Cents 3 3 2 2 2" xfId="25722"/>
    <cellStyle name="Cents 3 3 2 3" xfId="25721"/>
    <cellStyle name="Cents 3 3 3" xfId="10137"/>
    <cellStyle name="Cents 3 3 3 2" xfId="10138"/>
    <cellStyle name="Cents 3 3 3 2 2" xfId="25724"/>
    <cellStyle name="Cents 3 3 3 3" xfId="25723"/>
    <cellStyle name="Cents 3 3 4" xfId="10139"/>
    <cellStyle name="Cents 3 3 4 2" xfId="25725"/>
    <cellStyle name="Cents 3 3 5" xfId="21043"/>
    <cellStyle name="Cents 3 4" xfId="10140"/>
    <cellStyle name="Cents 3 4 2" xfId="10141"/>
    <cellStyle name="Cents 3 4 2 2" xfId="25727"/>
    <cellStyle name="Cents 3 4 3" xfId="25726"/>
    <cellStyle name="Cents 3 5" xfId="10142"/>
    <cellStyle name="Cents 3 5 2" xfId="10143"/>
    <cellStyle name="Cents 3 5 2 2" xfId="25729"/>
    <cellStyle name="Cents 3 5 3" xfId="25728"/>
    <cellStyle name="Cents 3 6" xfId="10144"/>
    <cellStyle name="Cents 3 6 2" xfId="10145"/>
    <cellStyle name="Cents 3 6 2 2" xfId="25731"/>
    <cellStyle name="Cents 3 6 3" xfId="25730"/>
    <cellStyle name="Cents 3 7" xfId="10146"/>
    <cellStyle name="Cents 3 7 2" xfId="25732"/>
    <cellStyle name="Cents 3 8" xfId="19324"/>
    <cellStyle name="Cents 4" xfId="3936"/>
    <cellStyle name="Cents 4 2" xfId="10147"/>
    <cellStyle name="Cents 4 2 2" xfId="10148"/>
    <cellStyle name="Cents 4 2 2 2" xfId="25734"/>
    <cellStyle name="Cents 4 2 3" xfId="25733"/>
    <cellStyle name="Cents 4 3" xfId="10149"/>
    <cellStyle name="Cents 4 3 2" xfId="10150"/>
    <cellStyle name="Cents 4 3 2 2" xfId="25736"/>
    <cellStyle name="Cents 4 3 3" xfId="25735"/>
    <cellStyle name="Cents 4 4" xfId="10151"/>
    <cellStyle name="Cents 4 4 2" xfId="25737"/>
    <cellStyle name="Cents 4 5" xfId="20091"/>
    <cellStyle name="Cents 5" xfId="5144"/>
    <cellStyle name="Cents 5 2" xfId="10152"/>
    <cellStyle name="Cents 5 2 2" xfId="10153"/>
    <cellStyle name="Cents 5 2 2 2" xfId="25739"/>
    <cellStyle name="Cents 5 2 3" xfId="25738"/>
    <cellStyle name="Cents 5 3" xfId="10154"/>
    <cellStyle name="Cents 5 3 2" xfId="10155"/>
    <cellStyle name="Cents 5 3 2 2" xfId="25741"/>
    <cellStyle name="Cents 5 3 3" xfId="25740"/>
    <cellStyle name="Cents 5 4" xfId="10156"/>
    <cellStyle name="Cents 5 4 2" xfId="25742"/>
    <cellStyle name="Cents 5 5" xfId="21044"/>
    <cellStyle name="Cents 6" xfId="10157"/>
    <cellStyle name="Cents 6 2" xfId="10158"/>
    <cellStyle name="Cents 6 2 2" xfId="25744"/>
    <cellStyle name="Cents 6 3" xfId="25743"/>
    <cellStyle name="Cents 7" xfId="10159"/>
    <cellStyle name="Cents 7 2" xfId="10160"/>
    <cellStyle name="Cents 7 2 2" xfId="25746"/>
    <cellStyle name="Cents 7 3" xfId="25745"/>
    <cellStyle name="Cents 8" xfId="10161"/>
    <cellStyle name="Cents 8 2" xfId="10162"/>
    <cellStyle name="Cents 8 2 2" xfId="25748"/>
    <cellStyle name="Cents 8 3" xfId="25747"/>
    <cellStyle name="Cents 9" xfId="10163"/>
    <cellStyle name="Cents 9 2" xfId="25749"/>
    <cellStyle name="check" xfId="1764"/>
    <cellStyle name="check 2" xfId="5145"/>
    <cellStyle name="check 2 2" xfId="10164"/>
    <cellStyle name="check 2 2 2" xfId="10165"/>
    <cellStyle name="check 2 2 2 2" xfId="25751"/>
    <cellStyle name="check 2 2 2 3" xfId="31418"/>
    <cellStyle name="check 2 2 3" xfId="25750"/>
    <cellStyle name="check 2 2 4" xfId="31417"/>
    <cellStyle name="check 2 3" xfId="10166"/>
    <cellStyle name="check 2 3 2" xfId="25752"/>
    <cellStyle name="check 2 3 3" xfId="31419"/>
    <cellStyle name="check 2 4" xfId="21045"/>
    <cellStyle name="check 2 5" xfId="26504"/>
    <cellStyle name="check 3" xfId="5146"/>
    <cellStyle name="check 3 2" xfId="10167"/>
    <cellStyle name="check 3 2 2" xfId="10168"/>
    <cellStyle name="check 3 2 2 2" xfId="25754"/>
    <cellStyle name="check 3 2 2 3" xfId="31421"/>
    <cellStyle name="check 3 2 3" xfId="25753"/>
    <cellStyle name="check 3 2 4" xfId="31420"/>
    <cellStyle name="check 3 3" xfId="10169"/>
    <cellStyle name="check 3 3 2" xfId="25755"/>
    <cellStyle name="check 3 3 3" xfId="31422"/>
    <cellStyle name="check 3 4" xfId="21046"/>
    <cellStyle name="check 3 5" xfId="26503"/>
    <cellStyle name="check 4" xfId="5147"/>
    <cellStyle name="check 4 2" xfId="10170"/>
    <cellStyle name="check 4 2 2" xfId="10171"/>
    <cellStyle name="check 4 2 2 2" xfId="25757"/>
    <cellStyle name="check 4 2 2 3" xfId="31424"/>
    <cellStyle name="check 4 2 3" xfId="10172"/>
    <cellStyle name="check 4 2 3 2" xfId="25758"/>
    <cellStyle name="check 4 2 3 3" xfId="31425"/>
    <cellStyle name="check 4 2 4" xfId="25756"/>
    <cellStyle name="check 4 2 5" xfId="31423"/>
    <cellStyle name="check 4 3" xfId="10173"/>
    <cellStyle name="check 4 3 2" xfId="10174"/>
    <cellStyle name="check 4 3 2 2" xfId="25760"/>
    <cellStyle name="check 4 3 2 3" xfId="31427"/>
    <cellStyle name="check 4 3 3" xfId="25759"/>
    <cellStyle name="check 4 3 4" xfId="31426"/>
    <cellStyle name="check 4 4" xfId="10175"/>
    <cellStyle name="check 4 4 2" xfId="25761"/>
    <cellStyle name="check 4 4 3" xfId="31428"/>
    <cellStyle name="check 4 5" xfId="21047"/>
    <cellStyle name="check 4 6" xfId="26502"/>
    <cellStyle name="check 5" xfId="10176"/>
    <cellStyle name="check 5 2" xfId="10177"/>
    <cellStyle name="check 5 2 2" xfId="25763"/>
    <cellStyle name="check 5 2 3" xfId="31430"/>
    <cellStyle name="check 5 3" xfId="25762"/>
    <cellStyle name="check 5 4" xfId="31429"/>
    <cellStyle name="check 6" xfId="10178"/>
    <cellStyle name="check 6 2" xfId="25764"/>
    <cellStyle name="check 6 3" xfId="31431"/>
    <cellStyle name="check 7" xfId="30555"/>
    <cellStyle name="Check Cell 2" xfId="1765"/>
    <cellStyle name="Check Cell 2 2" xfId="1766"/>
    <cellStyle name="Check Cell 3" xfId="1767"/>
    <cellStyle name="Chico" xfId="1768"/>
    <cellStyle name="co" xfId="1769"/>
    <cellStyle name="Code" xfId="1770"/>
    <cellStyle name="Col Heads" xfId="1771"/>
    <cellStyle name="Col Heads 2" xfId="1772"/>
    <cellStyle name="Col Heads 2 2" xfId="3980"/>
    <cellStyle name="Col Heads 2 2 2" xfId="5148"/>
    <cellStyle name="Col Heads 2 2 2 2" xfId="10179"/>
    <cellStyle name="Col Heads 2 2 2 2 2" xfId="25765"/>
    <cellStyle name="Col Heads 2 2 2 3" xfId="10180"/>
    <cellStyle name="Col Heads 2 2 2 3 2" xfId="10181"/>
    <cellStyle name="Col Heads 2 2 2 3 2 2" xfId="25767"/>
    <cellStyle name="Col Heads 2 2 2 3 3" xfId="10182"/>
    <cellStyle name="Col Heads 2 2 2 3 3 2" xfId="25768"/>
    <cellStyle name="Col Heads 2 2 2 3 4" xfId="25766"/>
    <cellStyle name="Col Heads 2 2 2 4" xfId="10183"/>
    <cellStyle name="Col Heads 2 2 2 4 2" xfId="25769"/>
    <cellStyle name="Col Heads 2 2 2 5" xfId="21048"/>
    <cellStyle name="Col Heads 2 2 3" xfId="5149"/>
    <cellStyle name="Col Heads 2 2 3 2" xfId="10184"/>
    <cellStyle name="Col Heads 2 2 3 2 2" xfId="25770"/>
    <cellStyle name="Col Heads 2 2 3 3" xfId="10185"/>
    <cellStyle name="Col Heads 2 2 3 3 2" xfId="10186"/>
    <cellStyle name="Col Heads 2 2 3 3 2 2" xfId="25772"/>
    <cellStyle name="Col Heads 2 2 3 3 3" xfId="10187"/>
    <cellStyle name="Col Heads 2 2 3 3 3 2" xfId="25773"/>
    <cellStyle name="Col Heads 2 2 3 3 4" xfId="25771"/>
    <cellStyle name="Col Heads 2 2 3 4" xfId="10188"/>
    <cellStyle name="Col Heads 2 2 3 4 2" xfId="25774"/>
    <cellStyle name="Col Heads 2 2 3 5" xfId="21049"/>
    <cellStyle name="Col Heads 2 2 4" xfId="10189"/>
    <cellStyle name="Col Heads 2 2 4 2" xfId="25775"/>
    <cellStyle name="Col Heads 2 2 5" xfId="10190"/>
    <cellStyle name="Col Heads 2 2 5 2" xfId="10191"/>
    <cellStyle name="Col Heads 2 2 5 2 2" xfId="25777"/>
    <cellStyle name="Col Heads 2 2 5 3" xfId="10192"/>
    <cellStyle name="Col Heads 2 2 5 3 2" xfId="25778"/>
    <cellStyle name="Col Heads 2 2 5 4" xfId="25776"/>
    <cellStyle name="Col Heads 2 2 6" xfId="10193"/>
    <cellStyle name="Col Heads 2 2 6 2" xfId="25779"/>
    <cellStyle name="Col Heads 2 2 7" xfId="10194"/>
    <cellStyle name="Col Heads 2 2 7 2" xfId="10195"/>
    <cellStyle name="Col Heads 2 2 7 2 2" xfId="25781"/>
    <cellStyle name="Col Heads 2 2 7 3" xfId="25780"/>
    <cellStyle name="Col Heads 2 2 8" xfId="20131"/>
    <cellStyle name="Col Heads 2 3" xfId="10196"/>
    <cellStyle name="Col Heads 2 3 2" xfId="25782"/>
    <cellStyle name="Col Heads 2 4" xfId="19333"/>
    <cellStyle name="Col Heads 3" xfId="1773"/>
    <cellStyle name="Col Heads 3 2" xfId="3981"/>
    <cellStyle name="Col Heads 3 2 2" xfId="5150"/>
    <cellStyle name="Col Heads 3 2 2 2" xfId="10197"/>
    <cellStyle name="Col Heads 3 2 2 2 2" xfId="25783"/>
    <cellStyle name="Col Heads 3 2 2 3" xfId="10198"/>
    <cellStyle name="Col Heads 3 2 2 3 2" xfId="10199"/>
    <cellStyle name="Col Heads 3 2 2 3 2 2" xfId="25785"/>
    <cellStyle name="Col Heads 3 2 2 3 3" xfId="10200"/>
    <cellStyle name="Col Heads 3 2 2 3 3 2" xfId="25786"/>
    <cellStyle name="Col Heads 3 2 2 3 4" xfId="25784"/>
    <cellStyle name="Col Heads 3 2 2 4" xfId="10201"/>
    <cellStyle name="Col Heads 3 2 2 4 2" xfId="25787"/>
    <cellStyle name="Col Heads 3 2 2 5" xfId="21050"/>
    <cellStyle name="Col Heads 3 2 3" xfId="5151"/>
    <cellStyle name="Col Heads 3 2 3 2" xfId="10202"/>
    <cellStyle name="Col Heads 3 2 3 2 2" xfId="25788"/>
    <cellStyle name="Col Heads 3 2 3 3" xfId="10203"/>
    <cellStyle name="Col Heads 3 2 3 3 2" xfId="10204"/>
    <cellStyle name="Col Heads 3 2 3 3 2 2" xfId="25790"/>
    <cellStyle name="Col Heads 3 2 3 3 3" xfId="10205"/>
    <cellStyle name="Col Heads 3 2 3 3 3 2" xfId="25791"/>
    <cellStyle name="Col Heads 3 2 3 3 4" xfId="25789"/>
    <cellStyle name="Col Heads 3 2 3 4" xfId="10206"/>
    <cellStyle name="Col Heads 3 2 3 4 2" xfId="25792"/>
    <cellStyle name="Col Heads 3 2 3 5" xfId="21051"/>
    <cellStyle name="Col Heads 3 2 4" xfId="10207"/>
    <cellStyle name="Col Heads 3 2 4 2" xfId="25793"/>
    <cellStyle name="Col Heads 3 2 5" xfId="10208"/>
    <cellStyle name="Col Heads 3 2 5 2" xfId="10209"/>
    <cellStyle name="Col Heads 3 2 5 2 2" xfId="25795"/>
    <cellStyle name="Col Heads 3 2 5 3" xfId="10210"/>
    <cellStyle name="Col Heads 3 2 5 3 2" xfId="25796"/>
    <cellStyle name="Col Heads 3 2 5 4" xfId="25794"/>
    <cellStyle name="Col Heads 3 2 6" xfId="10211"/>
    <cellStyle name="Col Heads 3 2 6 2" xfId="25797"/>
    <cellStyle name="Col Heads 3 2 7" xfId="10212"/>
    <cellStyle name="Col Heads 3 2 7 2" xfId="10213"/>
    <cellStyle name="Col Heads 3 2 7 2 2" xfId="25799"/>
    <cellStyle name="Col Heads 3 2 7 3" xfId="25798"/>
    <cellStyle name="Col Heads 3 2 8" xfId="20132"/>
    <cellStyle name="Col Heads 3 3" xfId="10214"/>
    <cellStyle name="Col Heads 3 3 2" xfId="25800"/>
    <cellStyle name="Col Heads 3 4" xfId="19334"/>
    <cellStyle name="Col Heads 4" xfId="3979"/>
    <cellStyle name="Col Heads 4 2" xfId="5152"/>
    <cellStyle name="Col Heads 4 2 2" xfId="10215"/>
    <cellStyle name="Col Heads 4 2 2 2" xfId="25801"/>
    <cellStyle name="Col Heads 4 2 3" xfId="10216"/>
    <cellStyle name="Col Heads 4 2 3 2" xfId="10217"/>
    <cellStyle name="Col Heads 4 2 3 2 2" xfId="25803"/>
    <cellStyle name="Col Heads 4 2 3 3" xfId="10218"/>
    <cellStyle name="Col Heads 4 2 3 3 2" xfId="25804"/>
    <cellStyle name="Col Heads 4 2 3 4" xfId="25802"/>
    <cellStyle name="Col Heads 4 2 4" xfId="10219"/>
    <cellStyle name="Col Heads 4 2 4 2" xfId="25805"/>
    <cellStyle name="Col Heads 4 2 5" xfId="21052"/>
    <cellStyle name="Col Heads 4 3" xfId="5153"/>
    <cellStyle name="Col Heads 4 3 2" xfId="10220"/>
    <cellStyle name="Col Heads 4 3 2 2" xfId="25806"/>
    <cellStyle name="Col Heads 4 3 3" xfId="10221"/>
    <cellStyle name="Col Heads 4 3 3 2" xfId="10222"/>
    <cellStyle name="Col Heads 4 3 3 2 2" xfId="25808"/>
    <cellStyle name="Col Heads 4 3 3 3" xfId="10223"/>
    <cellStyle name="Col Heads 4 3 3 3 2" xfId="25809"/>
    <cellStyle name="Col Heads 4 3 3 4" xfId="25807"/>
    <cellStyle name="Col Heads 4 3 4" xfId="10224"/>
    <cellStyle name="Col Heads 4 3 4 2" xfId="25810"/>
    <cellStyle name="Col Heads 4 3 5" xfId="21053"/>
    <cellStyle name="Col Heads 4 4" xfId="10225"/>
    <cellStyle name="Col Heads 4 4 2" xfId="25811"/>
    <cellStyle name="Col Heads 4 5" xfId="10226"/>
    <cellStyle name="Col Heads 4 5 2" xfId="10227"/>
    <cellStyle name="Col Heads 4 5 2 2" xfId="25813"/>
    <cellStyle name="Col Heads 4 5 3" xfId="10228"/>
    <cellStyle name="Col Heads 4 5 3 2" xfId="25814"/>
    <cellStyle name="Col Heads 4 5 4" xfId="25812"/>
    <cellStyle name="Col Heads 4 6" xfId="10229"/>
    <cellStyle name="Col Heads 4 6 2" xfId="25815"/>
    <cellStyle name="Col Heads 4 7" xfId="10230"/>
    <cellStyle name="Col Heads 4 7 2" xfId="10231"/>
    <cellStyle name="Col Heads 4 7 2 2" xfId="25817"/>
    <cellStyle name="Col Heads 4 7 3" xfId="25816"/>
    <cellStyle name="Col Heads 4 8" xfId="20130"/>
    <cellStyle name="Col Heads 5" xfId="10232"/>
    <cellStyle name="Col Heads 5 2" xfId="25818"/>
    <cellStyle name="Col Heads 6" xfId="19332"/>
    <cellStyle name="Collegamento ipertestuale" xfId="1774"/>
    <cellStyle name="Color_Anna" xfId="1775"/>
    <cellStyle name="Comma  - Style1" xfId="1776"/>
    <cellStyle name="Comma  - Style1 2" xfId="1777"/>
    <cellStyle name="Comma  - Style1 3" xfId="1778"/>
    <cellStyle name="Comma  - Style2" xfId="1779"/>
    <cellStyle name="Comma  - Style2 2" xfId="1780"/>
    <cellStyle name="Comma  - Style2 3" xfId="1781"/>
    <cellStyle name="Comma  - Style3" xfId="1782"/>
    <cellStyle name="Comma  - Style3 2" xfId="1783"/>
    <cellStyle name="Comma  - Style3 3" xfId="1784"/>
    <cellStyle name="Comma  - Style4" xfId="1785"/>
    <cellStyle name="Comma  - Style4 2" xfId="1786"/>
    <cellStyle name="Comma  - Style4 3" xfId="1787"/>
    <cellStyle name="Comma  - Style5" xfId="1788"/>
    <cellStyle name="Comma  - Style5 2" xfId="1789"/>
    <cellStyle name="Comma  - Style5 3" xfId="1790"/>
    <cellStyle name="Comma  - Style6" xfId="1791"/>
    <cellStyle name="Comma  - Style6 2" xfId="1792"/>
    <cellStyle name="Comma  - Style6 3" xfId="1793"/>
    <cellStyle name="Comma  - Style7" xfId="1794"/>
    <cellStyle name="Comma  - Style7 2" xfId="1795"/>
    <cellStyle name="Comma  - Style7 3" xfId="1796"/>
    <cellStyle name="Comma  - Style8" xfId="1797"/>
    <cellStyle name="Comma  - Style8 2" xfId="1798"/>
    <cellStyle name="Comma  - Style8 3" xfId="1799"/>
    <cellStyle name="Comma (0,0)" xfId="1800"/>
    <cellStyle name="Comma (0,0) -" xfId="1801"/>
    <cellStyle name="Comma (0,0) incl." xfId="1802"/>
    <cellStyle name="Comma (0,0) N/A" xfId="1803"/>
    <cellStyle name="Comma (0,0) TBD" xfId="1804"/>
    <cellStyle name="Comma (0,0) TBD-" xfId="1805"/>
    <cellStyle name="Comma (0,0)_Tab 1" xfId="1806"/>
    <cellStyle name="Comma (0,00)" xfId="1807"/>
    <cellStyle name="Comma (0,00) -" xfId="1808"/>
    <cellStyle name="Comma (0,00) incl." xfId="1809"/>
    <cellStyle name="Comma (0,00) N/A" xfId="1810"/>
    <cellStyle name="Comma (0,00) TBD" xfId="1811"/>
    <cellStyle name="Comma (0,00) TBD-" xfId="1812"/>
    <cellStyle name="Comma (0,000)" xfId="1813"/>
    <cellStyle name="Comma (0,000) -" xfId="1814"/>
    <cellStyle name="Comma (0,000) incl." xfId="1815"/>
    <cellStyle name="Comma (0,000) N/A" xfId="1816"/>
    <cellStyle name="Comma (0,000) TBD" xfId="1817"/>
    <cellStyle name="Comma (0,000) TBD-" xfId="1818"/>
    <cellStyle name="COMMA (2)" xfId="1819"/>
    <cellStyle name="Comma [0] -" xfId="1820"/>
    <cellStyle name="Comma [0] incl." xfId="1821"/>
    <cellStyle name="Comma [0] N/A" xfId="1822"/>
    <cellStyle name="Comma [0] TBD" xfId="1823"/>
    <cellStyle name="Comma [0] TBD-" xfId="1824"/>
    <cellStyle name="Comma [0]; --" xfId="1825"/>
    <cellStyle name="Comma [00]" xfId="1826"/>
    <cellStyle name="Comma [1]" xfId="1827"/>
    <cellStyle name="comma [2]" xfId="1828"/>
    <cellStyle name="comma [2] 2" xfId="1829"/>
    <cellStyle name="comma [2] 3" xfId="1830"/>
    <cellStyle name="Comma [3]" xfId="1831"/>
    <cellStyle name="Comma 0" xfId="1832"/>
    <cellStyle name="Comma 0*" xfId="1833"/>
    <cellStyle name="Comma 0_158105!" xfId="1834"/>
    <cellStyle name="Comma 10" xfId="1835"/>
    <cellStyle name="Comma 10 2" xfId="19396"/>
    <cellStyle name="Comma 11" xfId="1836"/>
    <cellStyle name="Comma 11 2" xfId="19397"/>
    <cellStyle name="Comma 12" xfId="1837"/>
    <cellStyle name="Comma 12 2" xfId="19398"/>
    <cellStyle name="Comma 13" xfId="1838"/>
    <cellStyle name="Comma 13 2" xfId="19399"/>
    <cellStyle name="Comma 14" xfId="1839"/>
    <cellStyle name="Comma 14 2" xfId="19400"/>
    <cellStyle name="Comma 15" xfId="1840"/>
    <cellStyle name="Comma 15 2" xfId="19401"/>
    <cellStyle name="Comma 16" xfId="1841"/>
    <cellStyle name="Comma 16 2" xfId="19402"/>
    <cellStyle name="Comma 17" xfId="1842"/>
    <cellStyle name="Comma 17 2" xfId="19403"/>
    <cellStyle name="Comma 18" xfId="1843"/>
    <cellStyle name="Comma 18 2" xfId="19404"/>
    <cellStyle name="Comma 19" xfId="1844"/>
    <cellStyle name="Comma 19 2" xfId="19405"/>
    <cellStyle name="Comma 2" xfId="478"/>
    <cellStyle name="Comma 2 10" xfId="1845"/>
    <cellStyle name="Comma 2 10 2" xfId="19406"/>
    <cellStyle name="Comma 2 11" xfId="1846"/>
    <cellStyle name="Comma 2 12" xfId="1847"/>
    <cellStyle name="Comma 2 2" xfId="1848"/>
    <cellStyle name="Comma 2 2 2" xfId="1849"/>
    <cellStyle name="Comma 2 2 2 2" xfId="1850"/>
    <cellStyle name="Comma 2 2 2 2 2" xfId="1851"/>
    <cellStyle name="Comma 2 2 2 2 2 2" xfId="1852"/>
    <cellStyle name="Comma 2 2 2 2 2 2 2" xfId="1853"/>
    <cellStyle name="Comma 2 2 2 2 2 2 2 2" xfId="1854"/>
    <cellStyle name="Comma 2 2 2 2 2 2 2 2 2" xfId="1855"/>
    <cellStyle name="Comma 2 2 2 2 2 2 2 2 2 2" xfId="1856"/>
    <cellStyle name="Comma 2 2 2 2 2 2 2 2 2 2 2" xfId="1857"/>
    <cellStyle name="Comma 2 2 2 2 2 2 2 2 2 2 2 2" xfId="1858"/>
    <cellStyle name="Comma 2 2 2 2 2 2 2 2 2 2 2 2 2" xfId="19419"/>
    <cellStyle name="Comma 2 2 2 2 2 2 2 2 2 2 2 3" xfId="19418"/>
    <cellStyle name="Comma 2 2 2 2 2 2 2 2 2 2 3" xfId="19417"/>
    <cellStyle name="Comma 2 2 2 2 2 2 2 2 2 3" xfId="1859"/>
    <cellStyle name="Comma 2 2 2 2 2 2 2 2 2 3 2" xfId="19420"/>
    <cellStyle name="Comma 2 2 2 2 2 2 2 2 2 4" xfId="19416"/>
    <cellStyle name="Comma 2 2 2 2 2 2 2 2 3" xfId="1860"/>
    <cellStyle name="Comma 2 2 2 2 2 2 2 2 3 2" xfId="1861"/>
    <cellStyle name="Comma 2 2 2 2 2 2 2 2 3 2 2" xfId="19422"/>
    <cellStyle name="Comma 2 2 2 2 2 2 2 2 3 3" xfId="19421"/>
    <cellStyle name="Comma 2 2 2 2 2 2 2 2 4" xfId="19415"/>
    <cellStyle name="Comma 2 2 2 2 2 2 2 3" xfId="1862"/>
    <cellStyle name="Comma 2 2 2 2 2 2 2 3 2" xfId="1863"/>
    <cellStyle name="Comma 2 2 2 2 2 2 2 3 2 2" xfId="1864"/>
    <cellStyle name="Comma 2 2 2 2 2 2 2 3 2 2 2" xfId="19425"/>
    <cellStyle name="Comma 2 2 2 2 2 2 2 3 2 3" xfId="19424"/>
    <cellStyle name="Comma 2 2 2 2 2 2 2 3 3" xfId="19423"/>
    <cellStyle name="Comma 2 2 2 2 2 2 2 4" xfId="1865"/>
    <cellStyle name="Comma 2 2 2 2 2 2 2 4 2" xfId="19426"/>
    <cellStyle name="Comma 2 2 2 2 2 2 2 5" xfId="19414"/>
    <cellStyle name="Comma 2 2 2 2 2 2 3" xfId="1866"/>
    <cellStyle name="Comma 2 2 2 2 2 2 3 2" xfId="1867"/>
    <cellStyle name="Comma 2 2 2 2 2 2 3 2 2" xfId="1868"/>
    <cellStyle name="Comma 2 2 2 2 2 2 3 2 2 2" xfId="1869"/>
    <cellStyle name="Comma 2 2 2 2 2 2 3 2 2 2 2" xfId="19430"/>
    <cellStyle name="Comma 2 2 2 2 2 2 3 2 2 3" xfId="19429"/>
    <cellStyle name="Comma 2 2 2 2 2 2 3 2 3" xfId="19428"/>
    <cellStyle name="Comma 2 2 2 2 2 2 3 3" xfId="1870"/>
    <cellStyle name="Comma 2 2 2 2 2 2 3 3 2" xfId="19431"/>
    <cellStyle name="Comma 2 2 2 2 2 2 3 4" xfId="19427"/>
    <cellStyle name="Comma 2 2 2 2 2 2 4" xfId="1871"/>
    <cellStyle name="Comma 2 2 2 2 2 2 4 2" xfId="1872"/>
    <cellStyle name="Comma 2 2 2 2 2 2 4 2 2" xfId="19433"/>
    <cellStyle name="Comma 2 2 2 2 2 2 4 3" xfId="19432"/>
    <cellStyle name="Comma 2 2 2 2 2 2 5" xfId="19413"/>
    <cellStyle name="Comma 2 2 2 2 2 3" xfId="1873"/>
    <cellStyle name="Comma 2 2 2 2 2 3 2" xfId="1874"/>
    <cellStyle name="Comma 2 2 2 2 2 3 2 2" xfId="1875"/>
    <cellStyle name="Comma 2 2 2 2 2 3 2 2 2" xfId="1876"/>
    <cellStyle name="Comma 2 2 2 2 2 3 2 2 2 2" xfId="1877"/>
    <cellStyle name="Comma 2 2 2 2 2 3 2 2 2 2 2" xfId="19438"/>
    <cellStyle name="Comma 2 2 2 2 2 3 2 2 2 3" xfId="19437"/>
    <cellStyle name="Comma 2 2 2 2 2 3 2 2 3" xfId="19436"/>
    <cellStyle name="Comma 2 2 2 2 2 3 2 3" xfId="1878"/>
    <cellStyle name="Comma 2 2 2 2 2 3 2 3 2" xfId="19439"/>
    <cellStyle name="Comma 2 2 2 2 2 3 2 4" xfId="19435"/>
    <cellStyle name="Comma 2 2 2 2 2 3 3" xfId="1879"/>
    <cellStyle name="Comma 2 2 2 2 2 3 3 2" xfId="1880"/>
    <cellStyle name="Comma 2 2 2 2 2 3 3 2 2" xfId="19441"/>
    <cellStyle name="Comma 2 2 2 2 2 3 3 3" xfId="19440"/>
    <cellStyle name="Comma 2 2 2 2 2 3 4" xfId="19434"/>
    <cellStyle name="Comma 2 2 2 2 2 4" xfId="1881"/>
    <cellStyle name="Comma 2 2 2 2 2 4 2" xfId="1882"/>
    <cellStyle name="Comma 2 2 2 2 2 4 2 2" xfId="1883"/>
    <cellStyle name="Comma 2 2 2 2 2 4 2 2 2" xfId="19444"/>
    <cellStyle name="Comma 2 2 2 2 2 4 2 3" xfId="19443"/>
    <cellStyle name="Comma 2 2 2 2 2 4 3" xfId="19442"/>
    <cellStyle name="Comma 2 2 2 2 2 5" xfId="1884"/>
    <cellStyle name="Comma 2 2 2 2 2 5 2" xfId="19445"/>
    <cellStyle name="Comma 2 2 2 2 2 6" xfId="19412"/>
    <cellStyle name="Comma 2 2 2 2 3" xfId="1885"/>
    <cellStyle name="Comma 2 2 2 2 3 2" xfId="1886"/>
    <cellStyle name="Comma 2 2 2 2 3 2 2" xfId="1887"/>
    <cellStyle name="Comma 2 2 2 2 3 2 2 2" xfId="1888"/>
    <cellStyle name="Comma 2 2 2 2 3 2 2 2 2" xfId="1889"/>
    <cellStyle name="Comma 2 2 2 2 3 2 2 2 2 2" xfId="1890"/>
    <cellStyle name="Comma 2 2 2 2 3 2 2 2 2 2 2" xfId="19451"/>
    <cellStyle name="Comma 2 2 2 2 3 2 2 2 2 3" xfId="19450"/>
    <cellStyle name="Comma 2 2 2 2 3 2 2 2 3" xfId="19449"/>
    <cellStyle name="Comma 2 2 2 2 3 2 2 3" xfId="1891"/>
    <cellStyle name="Comma 2 2 2 2 3 2 2 3 2" xfId="19452"/>
    <cellStyle name="Comma 2 2 2 2 3 2 2 4" xfId="19448"/>
    <cellStyle name="Comma 2 2 2 2 3 2 3" xfId="1892"/>
    <cellStyle name="Comma 2 2 2 2 3 2 3 2" xfId="1893"/>
    <cellStyle name="Comma 2 2 2 2 3 2 3 2 2" xfId="19454"/>
    <cellStyle name="Comma 2 2 2 2 3 2 3 3" xfId="19453"/>
    <cellStyle name="Comma 2 2 2 2 3 2 4" xfId="19447"/>
    <cellStyle name="Comma 2 2 2 2 3 3" xfId="1894"/>
    <cellStyle name="Comma 2 2 2 2 3 3 2" xfId="1895"/>
    <cellStyle name="Comma 2 2 2 2 3 3 2 2" xfId="1896"/>
    <cellStyle name="Comma 2 2 2 2 3 3 2 2 2" xfId="19457"/>
    <cellStyle name="Comma 2 2 2 2 3 3 2 3" xfId="19456"/>
    <cellStyle name="Comma 2 2 2 2 3 3 3" xfId="19455"/>
    <cellStyle name="Comma 2 2 2 2 3 4" xfId="1897"/>
    <cellStyle name="Comma 2 2 2 2 3 4 2" xfId="19458"/>
    <cellStyle name="Comma 2 2 2 2 3 5" xfId="19446"/>
    <cellStyle name="Comma 2 2 2 2 4" xfId="1898"/>
    <cellStyle name="Comma 2 2 2 2 4 2" xfId="1899"/>
    <cellStyle name="Comma 2 2 2 2 4 2 2" xfId="1900"/>
    <cellStyle name="Comma 2 2 2 2 4 2 2 2" xfId="1901"/>
    <cellStyle name="Comma 2 2 2 2 4 2 2 2 2" xfId="19462"/>
    <cellStyle name="Comma 2 2 2 2 4 2 2 3" xfId="19461"/>
    <cellStyle name="Comma 2 2 2 2 4 2 3" xfId="19460"/>
    <cellStyle name="Comma 2 2 2 2 4 3" xfId="1902"/>
    <cellStyle name="Comma 2 2 2 2 4 3 2" xfId="19463"/>
    <cellStyle name="Comma 2 2 2 2 4 4" xfId="19459"/>
    <cellStyle name="Comma 2 2 2 2 5" xfId="1903"/>
    <cellStyle name="Comma 2 2 2 2 5 2" xfId="1904"/>
    <cellStyle name="Comma 2 2 2 2 5 2 2" xfId="19465"/>
    <cellStyle name="Comma 2 2 2 2 5 3" xfId="19464"/>
    <cellStyle name="Comma 2 2 2 2 6" xfId="19411"/>
    <cellStyle name="Comma 2 2 2 3" xfId="1905"/>
    <cellStyle name="Comma 2 2 2 3 2" xfId="1906"/>
    <cellStyle name="Comma 2 2 2 3 2 2" xfId="1907"/>
    <cellStyle name="Comma 2 2 2 3 2 2 2" xfId="1908"/>
    <cellStyle name="Comma 2 2 2 3 2 2 2 2" xfId="1909"/>
    <cellStyle name="Comma 2 2 2 3 2 2 2 2 2" xfId="1910"/>
    <cellStyle name="Comma 2 2 2 3 2 2 2 2 2 2" xfId="1911"/>
    <cellStyle name="Comma 2 2 2 3 2 2 2 2 2 2 2" xfId="19472"/>
    <cellStyle name="Comma 2 2 2 3 2 2 2 2 2 3" xfId="19471"/>
    <cellStyle name="Comma 2 2 2 3 2 2 2 2 3" xfId="19470"/>
    <cellStyle name="Comma 2 2 2 3 2 2 2 3" xfId="1912"/>
    <cellStyle name="Comma 2 2 2 3 2 2 2 3 2" xfId="19473"/>
    <cellStyle name="Comma 2 2 2 3 2 2 2 4" xfId="19469"/>
    <cellStyle name="Comma 2 2 2 3 2 2 3" xfId="1913"/>
    <cellStyle name="Comma 2 2 2 3 2 2 3 2" xfId="1914"/>
    <cellStyle name="Comma 2 2 2 3 2 2 3 2 2" xfId="19475"/>
    <cellStyle name="Comma 2 2 2 3 2 2 3 3" xfId="19474"/>
    <cellStyle name="Comma 2 2 2 3 2 2 4" xfId="19468"/>
    <cellStyle name="Comma 2 2 2 3 2 3" xfId="1915"/>
    <cellStyle name="Comma 2 2 2 3 2 3 2" xfId="1916"/>
    <cellStyle name="Comma 2 2 2 3 2 3 2 2" xfId="1917"/>
    <cellStyle name="Comma 2 2 2 3 2 3 2 2 2" xfId="19478"/>
    <cellStyle name="Comma 2 2 2 3 2 3 2 3" xfId="19477"/>
    <cellStyle name="Comma 2 2 2 3 2 3 3" xfId="19476"/>
    <cellStyle name="Comma 2 2 2 3 2 4" xfId="1918"/>
    <cellStyle name="Comma 2 2 2 3 2 4 2" xfId="19479"/>
    <cellStyle name="Comma 2 2 2 3 2 5" xfId="19467"/>
    <cellStyle name="Comma 2 2 2 3 3" xfId="1919"/>
    <cellStyle name="Comma 2 2 2 3 3 2" xfId="1920"/>
    <cellStyle name="Comma 2 2 2 3 3 2 2" xfId="1921"/>
    <cellStyle name="Comma 2 2 2 3 3 2 2 2" xfId="1922"/>
    <cellStyle name="Comma 2 2 2 3 3 2 2 2 2" xfId="19483"/>
    <cellStyle name="Comma 2 2 2 3 3 2 2 3" xfId="19482"/>
    <cellStyle name="Comma 2 2 2 3 3 2 3" xfId="19481"/>
    <cellStyle name="Comma 2 2 2 3 3 3" xfId="1923"/>
    <cellStyle name="Comma 2 2 2 3 3 3 2" xfId="19484"/>
    <cellStyle name="Comma 2 2 2 3 3 4" xfId="19480"/>
    <cellStyle name="Comma 2 2 2 3 4" xfId="1924"/>
    <cellStyle name="Comma 2 2 2 3 4 2" xfId="1925"/>
    <cellStyle name="Comma 2 2 2 3 4 2 2" xfId="19486"/>
    <cellStyle name="Comma 2 2 2 3 4 3" xfId="19485"/>
    <cellStyle name="Comma 2 2 2 3 5" xfId="19466"/>
    <cellStyle name="Comma 2 2 2 4" xfId="1926"/>
    <cellStyle name="Comma 2 2 2 4 2" xfId="1927"/>
    <cellStyle name="Comma 2 2 2 4 2 2" xfId="1928"/>
    <cellStyle name="Comma 2 2 2 4 2 2 2" xfId="1929"/>
    <cellStyle name="Comma 2 2 2 4 2 2 2 2" xfId="1930"/>
    <cellStyle name="Comma 2 2 2 4 2 2 2 2 2" xfId="19491"/>
    <cellStyle name="Comma 2 2 2 4 2 2 2 3" xfId="19490"/>
    <cellStyle name="Comma 2 2 2 4 2 2 3" xfId="19489"/>
    <cellStyle name="Comma 2 2 2 4 2 3" xfId="1931"/>
    <cellStyle name="Comma 2 2 2 4 2 3 2" xfId="19492"/>
    <cellStyle name="Comma 2 2 2 4 2 4" xfId="19488"/>
    <cellStyle name="Comma 2 2 2 4 3" xfId="1932"/>
    <cellStyle name="Comma 2 2 2 4 3 2" xfId="1933"/>
    <cellStyle name="Comma 2 2 2 4 3 2 2" xfId="19494"/>
    <cellStyle name="Comma 2 2 2 4 3 3" xfId="19493"/>
    <cellStyle name="Comma 2 2 2 4 4" xfId="19487"/>
    <cellStyle name="Comma 2 2 2 5" xfId="1934"/>
    <cellStyle name="Comma 2 2 2 5 2" xfId="1935"/>
    <cellStyle name="Comma 2 2 2 5 2 2" xfId="1936"/>
    <cellStyle name="Comma 2 2 2 5 2 2 2" xfId="19497"/>
    <cellStyle name="Comma 2 2 2 5 2 3" xfId="19496"/>
    <cellStyle name="Comma 2 2 2 5 3" xfId="19495"/>
    <cellStyle name="Comma 2 2 2 6" xfId="1937"/>
    <cellStyle name="Comma 2 2 2 6 2" xfId="19498"/>
    <cellStyle name="Comma 2 2 3" xfId="1938"/>
    <cellStyle name="Comma 2 2 3 2" xfId="1939"/>
    <cellStyle name="Comma 2 2 3 2 2" xfId="1940"/>
    <cellStyle name="Comma 2 2 3 2 2 2" xfId="1941"/>
    <cellStyle name="Comma 2 2 3 2 2 2 2" xfId="1942"/>
    <cellStyle name="Comma 2 2 3 2 2 2 2 2" xfId="1943"/>
    <cellStyle name="Comma 2 2 3 2 2 2 2 2 2" xfId="1944"/>
    <cellStyle name="Comma 2 2 3 2 2 2 2 2 2 2" xfId="1945"/>
    <cellStyle name="Comma 2 2 3 2 2 2 2 2 2 2 2" xfId="19506"/>
    <cellStyle name="Comma 2 2 3 2 2 2 2 2 2 3" xfId="19505"/>
    <cellStyle name="Comma 2 2 3 2 2 2 2 2 3" xfId="19504"/>
    <cellStyle name="Comma 2 2 3 2 2 2 2 3" xfId="1946"/>
    <cellStyle name="Comma 2 2 3 2 2 2 2 3 2" xfId="19507"/>
    <cellStyle name="Comma 2 2 3 2 2 2 2 4" xfId="19503"/>
    <cellStyle name="Comma 2 2 3 2 2 2 3" xfId="1947"/>
    <cellStyle name="Comma 2 2 3 2 2 2 3 2" xfId="1948"/>
    <cellStyle name="Comma 2 2 3 2 2 2 3 2 2" xfId="19509"/>
    <cellStyle name="Comma 2 2 3 2 2 2 3 3" xfId="19508"/>
    <cellStyle name="Comma 2 2 3 2 2 2 4" xfId="19502"/>
    <cellStyle name="Comma 2 2 3 2 2 3" xfId="1949"/>
    <cellStyle name="Comma 2 2 3 2 2 3 2" xfId="1950"/>
    <cellStyle name="Comma 2 2 3 2 2 3 2 2" xfId="1951"/>
    <cellStyle name="Comma 2 2 3 2 2 3 2 2 2" xfId="19512"/>
    <cellStyle name="Comma 2 2 3 2 2 3 2 3" xfId="19511"/>
    <cellStyle name="Comma 2 2 3 2 2 3 3" xfId="19510"/>
    <cellStyle name="Comma 2 2 3 2 2 4" xfId="1952"/>
    <cellStyle name="Comma 2 2 3 2 2 4 2" xfId="19513"/>
    <cellStyle name="Comma 2 2 3 2 2 5" xfId="19501"/>
    <cellStyle name="Comma 2 2 3 2 3" xfId="1953"/>
    <cellStyle name="Comma 2 2 3 2 3 2" xfId="1954"/>
    <cellStyle name="Comma 2 2 3 2 3 2 2" xfId="1955"/>
    <cellStyle name="Comma 2 2 3 2 3 2 2 2" xfId="1956"/>
    <cellStyle name="Comma 2 2 3 2 3 2 2 2 2" xfId="19517"/>
    <cellStyle name="Comma 2 2 3 2 3 2 2 3" xfId="19516"/>
    <cellStyle name="Comma 2 2 3 2 3 2 3" xfId="19515"/>
    <cellStyle name="Comma 2 2 3 2 3 3" xfId="1957"/>
    <cellStyle name="Comma 2 2 3 2 3 3 2" xfId="19518"/>
    <cellStyle name="Comma 2 2 3 2 3 4" xfId="19514"/>
    <cellStyle name="Comma 2 2 3 2 4" xfId="1958"/>
    <cellStyle name="Comma 2 2 3 2 4 2" xfId="1959"/>
    <cellStyle name="Comma 2 2 3 2 4 2 2" xfId="19520"/>
    <cellStyle name="Comma 2 2 3 2 4 3" xfId="19519"/>
    <cellStyle name="Comma 2 2 3 2 5" xfId="19500"/>
    <cellStyle name="Comma 2 2 3 3" xfId="1960"/>
    <cellStyle name="Comma 2 2 3 3 2" xfId="1961"/>
    <cellStyle name="Comma 2 2 3 3 2 2" xfId="1962"/>
    <cellStyle name="Comma 2 2 3 3 2 2 2" xfId="1963"/>
    <cellStyle name="Comma 2 2 3 3 2 2 2 2" xfId="1964"/>
    <cellStyle name="Comma 2 2 3 3 2 2 2 2 2" xfId="19525"/>
    <cellStyle name="Comma 2 2 3 3 2 2 2 3" xfId="19524"/>
    <cellStyle name="Comma 2 2 3 3 2 2 3" xfId="19523"/>
    <cellStyle name="Comma 2 2 3 3 2 3" xfId="1965"/>
    <cellStyle name="Comma 2 2 3 3 2 3 2" xfId="19526"/>
    <cellStyle name="Comma 2 2 3 3 2 4" xfId="19522"/>
    <cellStyle name="Comma 2 2 3 3 3" xfId="1966"/>
    <cellStyle name="Comma 2 2 3 3 3 2" xfId="1967"/>
    <cellStyle name="Comma 2 2 3 3 3 2 2" xfId="19528"/>
    <cellStyle name="Comma 2 2 3 3 3 3" xfId="19527"/>
    <cellStyle name="Comma 2 2 3 3 4" xfId="19521"/>
    <cellStyle name="Comma 2 2 3 4" xfId="1968"/>
    <cellStyle name="Comma 2 2 3 4 2" xfId="1969"/>
    <cellStyle name="Comma 2 2 3 4 2 2" xfId="1970"/>
    <cellStyle name="Comma 2 2 3 4 2 2 2" xfId="19531"/>
    <cellStyle name="Comma 2 2 3 4 2 3" xfId="19530"/>
    <cellStyle name="Comma 2 2 3 4 3" xfId="19529"/>
    <cellStyle name="Comma 2 2 3 5" xfId="1971"/>
    <cellStyle name="Comma 2 2 3 5 2" xfId="19532"/>
    <cellStyle name="Comma 2 2 4" xfId="1972"/>
    <cellStyle name="Comma 2 2 4 2" xfId="1973"/>
    <cellStyle name="Comma 2 2 4 2 2" xfId="1974"/>
    <cellStyle name="Comma 2 2 4 2 2 2" xfId="1975"/>
    <cellStyle name="Comma 2 2 4 2 2 2 2" xfId="1976"/>
    <cellStyle name="Comma 2 2 4 2 2 2 2 2" xfId="1977"/>
    <cellStyle name="Comma 2 2 4 2 2 2 2 2 2" xfId="19538"/>
    <cellStyle name="Comma 2 2 4 2 2 2 2 3" xfId="19537"/>
    <cellStyle name="Comma 2 2 4 2 2 2 3" xfId="19536"/>
    <cellStyle name="Comma 2 2 4 2 2 3" xfId="1978"/>
    <cellStyle name="Comma 2 2 4 2 2 3 2" xfId="19539"/>
    <cellStyle name="Comma 2 2 4 2 2 4" xfId="19535"/>
    <cellStyle name="Comma 2 2 4 2 3" xfId="1979"/>
    <cellStyle name="Comma 2 2 4 2 3 2" xfId="1980"/>
    <cellStyle name="Comma 2 2 4 2 3 2 2" xfId="19541"/>
    <cellStyle name="Comma 2 2 4 2 3 3" xfId="19540"/>
    <cellStyle name="Comma 2 2 4 2 4" xfId="19534"/>
    <cellStyle name="Comma 2 2 4 3" xfId="1981"/>
    <cellStyle name="Comma 2 2 4 3 2" xfId="1982"/>
    <cellStyle name="Comma 2 2 4 3 2 2" xfId="1983"/>
    <cellStyle name="Comma 2 2 4 3 2 2 2" xfId="19544"/>
    <cellStyle name="Comma 2 2 4 3 2 3" xfId="19543"/>
    <cellStyle name="Comma 2 2 4 3 3" xfId="19542"/>
    <cellStyle name="Comma 2 2 4 4" xfId="1984"/>
    <cellStyle name="Comma 2 2 4 4 2" xfId="19545"/>
    <cellStyle name="Comma 2 2 5" xfId="1985"/>
    <cellStyle name="Comma 2 2 5 2" xfId="1986"/>
    <cellStyle name="Comma 2 2 5 2 2" xfId="1987"/>
    <cellStyle name="Comma 2 2 5 2 2 2" xfId="1988"/>
    <cellStyle name="Comma 2 2 5 2 2 2 2" xfId="19549"/>
    <cellStyle name="Comma 2 2 5 2 2 3" xfId="19548"/>
    <cellStyle name="Comma 2 2 5 2 3" xfId="19547"/>
    <cellStyle name="Comma 2 2 5 3" xfId="1989"/>
    <cellStyle name="Comma 2 2 5 3 2" xfId="19550"/>
    <cellStyle name="Comma 2 2 5 4" xfId="19546"/>
    <cellStyle name="Comma 2 2 6" xfId="1990"/>
    <cellStyle name="Comma 2 2 6 2" xfId="1991"/>
    <cellStyle name="Comma 2 2 6 2 2" xfId="19552"/>
    <cellStyle name="Comma 2 2 6 3" xfId="19551"/>
    <cellStyle name="Comma 2 2 7" xfId="1992"/>
    <cellStyle name="Comma 2 2 7 2" xfId="19553"/>
    <cellStyle name="Comma 2 2 7 3" xfId="37738"/>
    <cellStyle name="Comma 2 2 8" xfId="19409"/>
    <cellStyle name="Comma 2 3" xfId="1993"/>
    <cellStyle name="Comma 2 3 2" xfId="1994"/>
    <cellStyle name="Comma 2 3 2 2" xfId="1995"/>
    <cellStyle name="Comma 2 3 2 2 2" xfId="19556"/>
    <cellStyle name="Comma 2 3 2 3" xfId="19555"/>
    <cellStyle name="Comma 2 3 3" xfId="1996"/>
    <cellStyle name="Comma 2 3 3 2" xfId="19557"/>
    <cellStyle name="Comma 2 3 4" xfId="1997"/>
    <cellStyle name="Comma 2 3 4 2" xfId="19558"/>
    <cellStyle name="Comma 2 3 5" xfId="19554"/>
    <cellStyle name="Comma 2 4" xfId="1998"/>
    <cellStyle name="Comma 2 4 2" xfId="1999"/>
    <cellStyle name="Comma 2 4 2 2" xfId="19560"/>
    <cellStyle name="Comma 2 4 3" xfId="2000"/>
    <cellStyle name="Comma 2 4 3 2" xfId="19561"/>
    <cellStyle name="Comma 2 4 4" xfId="2001"/>
    <cellStyle name="Comma 2 4 4 2" xfId="19562"/>
    <cellStyle name="Comma 2 4 5" xfId="2002"/>
    <cellStyle name="Comma 2 4 5 2" xfId="19563"/>
    <cellStyle name="Comma 2 4 6" xfId="2003"/>
    <cellStyle name="Comma 2 4 6 2" xfId="19564"/>
    <cellStyle name="Comma 2 4 7" xfId="19559"/>
    <cellStyle name="Comma 2 5" xfId="2004"/>
    <cellStyle name="Comma 2 5 2" xfId="2005"/>
    <cellStyle name="Comma 2 5 2 2" xfId="19566"/>
    <cellStyle name="Comma 2 5 3" xfId="19565"/>
    <cellStyle name="Comma 2 6" xfId="2006"/>
    <cellStyle name="Comma 2 6 2" xfId="19567"/>
    <cellStyle name="Comma 2 7" xfId="2007"/>
    <cellStyle name="Comma 2 7 2" xfId="19568"/>
    <cellStyle name="Comma 2 8" xfId="2008"/>
    <cellStyle name="Comma 2 8 2" xfId="19569"/>
    <cellStyle name="Comma 2 9" xfId="2009"/>
    <cellStyle name="Comma 2 9 2" xfId="19570"/>
    <cellStyle name="Comma 2*" xfId="2010"/>
    <cellStyle name="Comma 2_Triumph_Model_EK" xfId="2011"/>
    <cellStyle name="Comma 20" xfId="2012"/>
    <cellStyle name="Comma 20 2" xfId="19573"/>
    <cellStyle name="Comma 21" xfId="2013"/>
    <cellStyle name="Comma 21 2" xfId="19574"/>
    <cellStyle name="Comma 22" xfId="2014"/>
    <cellStyle name="Comma 22 2" xfId="2015"/>
    <cellStyle name="Comma 22 2 2" xfId="19576"/>
    <cellStyle name="Comma 22 3" xfId="19575"/>
    <cellStyle name="Comma 23" xfId="2016"/>
    <cellStyle name="Comma 23 2" xfId="19577"/>
    <cellStyle name="Comma 24" xfId="2017"/>
    <cellStyle name="Comma 24 2" xfId="2018"/>
    <cellStyle name="Comma 24 2 2" xfId="19579"/>
    <cellStyle name="Comma 24 3" xfId="19578"/>
    <cellStyle name="Comma 25" xfId="2019"/>
    <cellStyle name="Comma 25 2" xfId="19580"/>
    <cellStyle name="Comma 26" xfId="2020"/>
    <cellStyle name="Comma 26 2" xfId="2021"/>
    <cellStyle name="Comma 26 2 2" xfId="19582"/>
    <cellStyle name="Comma 26 3" xfId="19581"/>
    <cellStyle name="Comma 27" xfId="2022"/>
    <cellStyle name="Comma 27 2" xfId="2023"/>
    <cellStyle name="Comma 27 2 2" xfId="19584"/>
    <cellStyle name="Comma 27 3" xfId="19583"/>
    <cellStyle name="Comma 28" xfId="2024"/>
    <cellStyle name="Comma 29" xfId="2025"/>
    <cellStyle name="Comma 29 2" xfId="19586"/>
    <cellStyle name="Comma 3" xfId="2026"/>
    <cellStyle name="Comma 3 2" xfId="2027"/>
    <cellStyle name="Comma 3 2 2" xfId="2028"/>
    <cellStyle name="Comma 3 2 2 2" xfId="19589"/>
    <cellStyle name="Comma 3 2 3" xfId="19588"/>
    <cellStyle name="Comma 3 3" xfId="2029"/>
    <cellStyle name="Comma 3 3 2" xfId="19590"/>
    <cellStyle name="Comma 3 4" xfId="2030"/>
    <cellStyle name="Comma 3 4 2" xfId="19591"/>
    <cellStyle name="Comma 3 5" xfId="2031"/>
    <cellStyle name="Comma 3 5 2" xfId="2032"/>
    <cellStyle name="Comma 3 5 2 2" xfId="19593"/>
    <cellStyle name="Comma 3 5 3" xfId="19592"/>
    <cellStyle name="Comma 3 6" xfId="2033"/>
    <cellStyle name="Comma 3 6 2" xfId="19594"/>
    <cellStyle name="Comma 3 7" xfId="19587"/>
    <cellStyle name="Comma 3*" xfId="2034"/>
    <cellStyle name="Comma 30" xfId="2035"/>
    <cellStyle name="Comma 30 2" xfId="19596"/>
    <cellStyle name="Comma 31" xfId="2036"/>
    <cellStyle name="Comma 31 2" xfId="19597"/>
    <cellStyle name="Comma 32" xfId="2037"/>
    <cellStyle name="Comma 32 2" xfId="19598"/>
    <cellStyle name="Comma 33" xfId="2038"/>
    <cellStyle name="Comma 33 2" xfId="19599"/>
    <cellStyle name="Comma 34" xfId="2039"/>
    <cellStyle name="Comma 34 2" xfId="2040"/>
    <cellStyle name="Comma 34 2 2" xfId="10233"/>
    <cellStyle name="Comma 34 2 2 2" xfId="25819"/>
    <cellStyle name="Comma 34 2 3" xfId="19601"/>
    <cellStyle name="Comma 34 3" xfId="2041"/>
    <cellStyle name="Comma 34 3 2" xfId="10234"/>
    <cellStyle name="Comma 34 3 2 2" xfId="25820"/>
    <cellStyle name="Comma 34 3 3" xfId="19602"/>
    <cellStyle name="Comma 34 4" xfId="10235"/>
    <cellStyle name="Comma 34 4 2" xfId="25821"/>
    <cellStyle name="Comma 34 5" xfId="19600"/>
    <cellStyle name="Comma 35" xfId="2042"/>
    <cellStyle name="Comma 35 2" xfId="2043"/>
    <cellStyle name="Comma 35 2 2" xfId="19604"/>
    <cellStyle name="Comma 35 3" xfId="2044"/>
    <cellStyle name="Comma 35 3 2" xfId="19605"/>
    <cellStyle name="Comma 35 4" xfId="19603"/>
    <cellStyle name="Comma 36" xfId="2045"/>
    <cellStyle name="Comma 36 2" xfId="19606"/>
    <cellStyle name="Comma 37" xfId="2046"/>
    <cellStyle name="Comma 37 2" xfId="19607"/>
    <cellStyle name="Comma 38" xfId="3911"/>
    <cellStyle name="Comma 4" xfId="2047"/>
    <cellStyle name="Comma 4 2" xfId="2048"/>
    <cellStyle name="Comma 4 2 2" xfId="19609"/>
    <cellStyle name="Comma 4 3" xfId="19608"/>
    <cellStyle name="Comma 5" xfId="2049"/>
    <cellStyle name="Comma 5 2" xfId="10236"/>
    <cellStyle name="Comma 5 2 2" xfId="25822"/>
    <cellStyle name="Comma 5 3" xfId="19610"/>
    <cellStyle name="Comma 6" xfId="2050"/>
    <cellStyle name="Comma 6 2" xfId="19611"/>
    <cellStyle name="Comma 7" xfId="2051"/>
    <cellStyle name="Comma 7 2" xfId="19612"/>
    <cellStyle name="Comma 8" xfId="2052"/>
    <cellStyle name="Comma 8 2" xfId="2053"/>
    <cellStyle name="Comma 8 2 2" xfId="19614"/>
    <cellStyle name="Comma 8 3" xfId="19613"/>
    <cellStyle name="Comma 9" xfId="2054"/>
    <cellStyle name="Comma 9 2" xfId="19615"/>
    <cellStyle name="Comma Cents" xfId="2055"/>
    <cellStyle name="Comma Cents 2" xfId="2056"/>
    <cellStyle name="Comma Cents 3" xfId="2057"/>
    <cellStyle name="comma zerodec" xfId="2058"/>
    <cellStyle name="Comma*" xfId="2059"/>
    <cellStyle name="Comma, 0 Dec, Parens, Zero -" xfId="2060"/>
    <cellStyle name="Comma,0" xfId="2061"/>
    <cellStyle name="Comma,1" xfId="2062"/>
    <cellStyle name="Comma,2" xfId="2063"/>
    <cellStyle name="Comma[0]" xfId="2064"/>
    <cellStyle name="Comma[2]" xfId="2065"/>
    <cellStyle name="Comma0" xfId="2066"/>
    <cellStyle name="Comma0 - Estilo2" xfId="2067"/>
    <cellStyle name="Comma0 - Modelo1" xfId="2068"/>
    <cellStyle name="Comma0 - Style1" xfId="2069"/>
    <cellStyle name="Comma0 - Style3" xfId="2070"/>
    <cellStyle name="Comma0 - Style5" xfId="2071"/>
    <cellStyle name="Comma0 2" xfId="2072"/>
    <cellStyle name="Comma0 3" xfId="2073"/>
    <cellStyle name="Comma1 - Modelo2" xfId="2074"/>
    <cellStyle name="Comma1 - Style1" xfId="2075"/>
    <cellStyle name="Comma1 - Style2" xfId="2076"/>
    <cellStyle name="comma-d" xfId="2077"/>
    <cellStyle name="Comps - Comma" xfId="2078"/>
    <cellStyle name="Comps - Percent" xfId="2079"/>
    <cellStyle name="Copied" xfId="2080"/>
    <cellStyle name="Copied 2" xfId="2081"/>
    <cellStyle name="Copied 3" xfId="2082"/>
    <cellStyle name="Cuadro 1" xfId="2083"/>
    <cellStyle name="Cuadro 2" xfId="2084"/>
    <cellStyle name="Curren - Style2" xfId="2085"/>
    <cellStyle name="Curren - Style4" xfId="2086"/>
    <cellStyle name="Currency - Pounds" xfId="2087"/>
    <cellStyle name="Currency (0)" xfId="2088"/>
    <cellStyle name="Currency (0) -" xfId="2089"/>
    <cellStyle name="Currency (0) 10" xfId="10237"/>
    <cellStyle name="Currency (0) 10 2" xfId="10238"/>
    <cellStyle name="Currency (0) 10 2 2" xfId="25824"/>
    <cellStyle name="Currency (0) 10 3" xfId="25823"/>
    <cellStyle name="Currency (0) 11" xfId="19649"/>
    <cellStyle name="Currency (0) 12" xfId="20066"/>
    <cellStyle name="Currency (0) 2" xfId="10239"/>
    <cellStyle name="Currency (0) 2 2" xfId="10240"/>
    <cellStyle name="Currency (0) 2 2 2" xfId="25826"/>
    <cellStyle name="Currency (0) 2 3" xfId="25825"/>
    <cellStyle name="Currency (0) 3" xfId="10241"/>
    <cellStyle name="Currency (0) 3 2" xfId="10242"/>
    <cellStyle name="Currency (0) 3 2 2" xfId="25828"/>
    <cellStyle name="Currency (0) 3 3" xfId="25827"/>
    <cellStyle name="Currency (0) 4" xfId="10243"/>
    <cellStyle name="Currency (0) 4 2" xfId="10244"/>
    <cellStyle name="Currency (0) 4 2 2" xfId="25830"/>
    <cellStyle name="Currency (0) 4 3" xfId="25829"/>
    <cellStyle name="Currency (0) 5" xfId="10245"/>
    <cellStyle name="Currency (0) 5 2" xfId="10246"/>
    <cellStyle name="Currency (0) 5 2 2" xfId="25832"/>
    <cellStyle name="Currency (0) 5 3" xfId="25831"/>
    <cellStyle name="Currency (0) 6" xfId="10247"/>
    <cellStyle name="Currency (0) 6 2" xfId="10248"/>
    <cellStyle name="Currency (0) 6 2 2" xfId="25834"/>
    <cellStyle name="Currency (0) 6 3" xfId="25833"/>
    <cellStyle name="Currency (0) 7" xfId="10249"/>
    <cellStyle name="Currency (0) 7 2" xfId="10250"/>
    <cellStyle name="Currency (0) 7 2 2" xfId="25836"/>
    <cellStyle name="Currency (0) 7 3" xfId="25835"/>
    <cellStyle name="Currency (0) 8" xfId="10251"/>
    <cellStyle name="Currency (0) 8 2" xfId="10252"/>
    <cellStyle name="Currency (0) 8 2 2" xfId="25838"/>
    <cellStyle name="Currency (0) 8 3" xfId="25837"/>
    <cellStyle name="Currency (0) 9" xfId="10253"/>
    <cellStyle name="Currency (0) 9 2" xfId="10254"/>
    <cellStyle name="Currency (0) 9 2 2" xfId="25840"/>
    <cellStyle name="Currency (0) 9 3" xfId="25839"/>
    <cellStyle name="Currency (0) incl." xfId="2090"/>
    <cellStyle name="Currency (0) N/A" xfId="2091"/>
    <cellStyle name="Currency (0) TBD" xfId="2092"/>
    <cellStyle name="Currency (0) TBD-" xfId="2093"/>
    <cellStyle name="Currency (2)" xfId="2094"/>
    <cellStyle name="Currency (2) 2" xfId="10255"/>
    <cellStyle name="Currency (2) 2 2" xfId="10256"/>
    <cellStyle name="Currency (2) 2 2 2" xfId="25842"/>
    <cellStyle name="Currency (2) 2 3" xfId="25841"/>
    <cellStyle name="Currency (2) 3" xfId="19655"/>
    <cellStyle name="Currency [0,0]" xfId="2095"/>
    <cellStyle name="Currency [0,0] -" xfId="2096"/>
    <cellStyle name="Currency [0,0] incl." xfId="2097"/>
    <cellStyle name="Currency [0,0] N/A" xfId="2098"/>
    <cellStyle name="Currency [0,0] TBD" xfId="2099"/>
    <cellStyle name="Currency [0,0] TBD-" xfId="2100"/>
    <cellStyle name="Currency [0,00]" xfId="2101"/>
    <cellStyle name="Currency [0,00] -" xfId="2102"/>
    <cellStyle name="Currency [0,00] incl." xfId="2103"/>
    <cellStyle name="Currency [0,00] N/A" xfId="2104"/>
    <cellStyle name="Currency [0,00] TBD" xfId="2105"/>
    <cellStyle name="Currency [0,00] TBD-" xfId="2106"/>
    <cellStyle name="Currency [0,00]_Europe Region" xfId="2107"/>
    <cellStyle name="Currency [0,000]" xfId="2108"/>
    <cellStyle name="Currency [0,000] -" xfId="2109"/>
    <cellStyle name="Currency [0,000] incl." xfId="2110"/>
    <cellStyle name="Currency [0,000] N/A" xfId="2111"/>
    <cellStyle name="Currency [0,000] TBD" xfId="2112"/>
    <cellStyle name="Currency [0,000] TBD-" xfId="2113"/>
    <cellStyle name="Currency [0] _FCG032A" xfId="2114"/>
    <cellStyle name="Currency [0] 4_x0007_CG306D" xfId="2115"/>
    <cellStyle name="Currency [0]; --" xfId="2116"/>
    <cellStyle name="Currency [00]" xfId="2117"/>
    <cellStyle name="Currency [1]" xfId="2118"/>
    <cellStyle name="Currency [2]" xfId="2119"/>
    <cellStyle name="Currency [2] 2" xfId="3939"/>
    <cellStyle name="Currency [2] 2 2" xfId="10257"/>
    <cellStyle name="Currency [2] 2 2 2" xfId="25843"/>
    <cellStyle name="Currency [2] 2 3" xfId="20094"/>
    <cellStyle name="Currency [2] 3" xfId="10258"/>
    <cellStyle name="Currency [2] 3 2" xfId="25844"/>
    <cellStyle name="Currency [2] 4" xfId="19669"/>
    <cellStyle name="Currency [3]" xfId="2120"/>
    <cellStyle name="Currency 0" xfId="2121"/>
    <cellStyle name="Currency 2" xfId="2122"/>
    <cellStyle name="Currency 2 2" xfId="10259"/>
    <cellStyle name="Currency 2 2 2" xfId="10260"/>
    <cellStyle name="Currency 2 2 2 2" xfId="25846"/>
    <cellStyle name="Currency 2 2 3" xfId="25845"/>
    <cellStyle name="Currency 2 3" xfId="10261"/>
    <cellStyle name="Currency 2 3 2" xfId="25847"/>
    <cellStyle name="Currency 2 4" xfId="19672"/>
    <cellStyle name="Currency 2*" xfId="2123"/>
    <cellStyle name="Currency 2_Balances de escisión" xfId="2124"/>
    <cellStyle name="Currency 3" xfId="2125"/>
    <cellStyle name="Currency 3 2" xfId="3940"/>
    <cellStyle name="Currency 3 2 2" xfId="10262"/>
    <cellStyle name="Currency 3 2 2 2" xfId="25848"/>
    <cellStyle name="Currency 3 2 3" xfId="20095"/>
    <cellStyle name="Currency 3 3" xfId="10263"/>
    <cellStyle name="Currency 3 3 2" xfId="25849"/>
    <cellStyle name="Currency 3 4" xfId="19675"/>
    <cellStyle name="Currency 3*" xfId="2126"/>
    <cellStyle name="Currency 4" xfId="2127"/>
    <cellStyle name="Currency 5" xfId="2128"/>
    <cellStyle name="Currency 5 2" xfId="2129"/>
    <cellStyle name="Currency 5 2 2" xfId="3941"/>
    <cellStyle name="Currency 5 2 2 2" xfId="10264"/>
    <cellStyle name="Currency 5 2 2 2 2" xfId="25850"/>
    <cellStyle name="Currency 5 2 2 3" xfId="20096"/>
    <cellStyle name="Currency 5 2 3" xfId="10265"/>
    <cellStyle name="Currency 5 2 3 2" xfId="25851"/>
    <cellStyle name="Currency 5 2 4" xfId="19679"/>
    <cellStyle name="Currency 5 3" xfId="2130"/>
    <cellStyle name="Currency 5 3 2" xfId="10266"/>
    <cellStyle name="Currency 5 3 2 2" xfId="10267"/>
    <cellStyle name="Currency 5 3 2 2 2" xfId="25853"/>
    <cellStyle name="Currency 5 3 2 3" xfId="25852"/>
    <cellStyle name="Currency 5 3 3" xfId="19680"/>
    <cellStyle name="Currency 5 4" xfId="2131"/>
    <cellStyle name="Currency 5 4 2" xfId="10268"/>
    <cellStyle name="Currency 5 4 2 2" xfId="10269"/>
    <cellStyle name="Currency 5 4 2 2 2" xfId="25855"/>
    <cellStyle name="Currency 5 4 2 3" xfId="25854"/>
    <cellStyle name="Currency 5 4 3" xfId="19681"/>
    <cellStyle name="Currency 5 5" xfId="10270"/>
    <cellStyle name="Currency 5 5 2" xfId="10271"/>
    <cellStyle name="Currency 5 5 2 2" xfId="25857"/>
    <cellStyle name="Currency 5 5 3" xfId="25856"/>
    <cellStyle name="Currency 5 6" xfId="19678"/>
    <cellStyle name="Currency 6" xfId="3913"/>
    <cellStyle name="Currency 6 2" xfId="10272"/>
    <cellStyle name="Currency 6 2 2" xfId="10273"/>
    <cellStyle name="Currency 6 2 2 2" xfId="25859"/>
    <cellStyle name="Currency 6 2 3" xfId="25858"/>
    <cellStyle name="Currency 6 3" xfId="10274"/>
    <cellStyle name="Currency 6 3 2" xfId="25860"/>
    <cellStyle name="Currency 6 4" xfId="20082"/>
    <cellStyle name="currency rate" xfId="2132"/>
    <cellStyle name="currency rate 2" xfId="5154"/>
    <cellStyle name="currency rate 2 2" xfId="5155"/>
    <cellStyle name="currency rate 2 2 2" xfId="10275"/>
    <cellStyle name="currency rate 2 2 2 2" xfId="10276"/>
    <cellStyle name="currency rate 2 2 2 2 2" xfId="25862"/>
    <cellStyle name="currency rate 2 2 2 2 3" xfId="31433"/>
    <cellStyle name="currency rate 2 2 2 3" xfId="10277"/>
    <cellStyle name="currency rate 2 2 2 3 2" xfId="25863"/>
    <cellStyle name="currency rate 2 2 2 3 3" xfId="31434"/>
    <cellStyle name="currency rate 2 2 2 4" xfId="25861"/>
    <cellStyle name="currency rate 2 2 2 5" xfId="31432"/>
    <cellStyle name="currency rate 2 2 3" xfId="10278"/>
    <cellStyle name="currency rate 2 2 3 2" xfId="10279"/>
    <cellStyle name="currency rate 2 2 3 2 2" xfId="25865"/>
    <cellStyle name="currency rate 2 2 3 2 3" xfId="31436"/>
    <cellStyle name="currency rate 2 2 3 3" xfId="25864"/>
    <cellStyle name="currency rate 2 2 3 4" xfId="31435"/>
    <cellStyle name="currency rate 2 2 4" xfId="10280"/>
    <cellStyle name="currency rate 2 2 4 2" xfId="25866"/>
    <cellStyle name="currency rate 2 2 4 3" xfId="31437"/>
    <cellStyle name="currency rate 2 2 5" xfId="21055"/>
    <cellStyle name="currency rate 2 2 6" xfId="26500"/>
    <cellStyle name="currency rate 2 3" xfId="10281"/>
    <cellStyle name="currency rate 2 3 2" xfId="10282"/>
    <cellStyle name="currency rate 2 3 2 2" xfId="25868"/>
    <cellStyle name="currency rate 2 3 2 3" xfId="31439"/>
    <cellStyle name="currency rate 2 3 3" xfId="10283"/>
    <cellStyle name="currency rate 2 3 3 2" xfId="25869"/>
    <cellStyle name="currency rate 2 3 3 3" xfId="31440"/>
    <cellStyle name="currency rate 2 3 4" xfId="25867"/>
    <cellStyle name="currency rate 2 3 5" xfId="31438"/>
    <cellStyle name="currency rate 2 4" xfId="10284"/>
    <cellStyle name="currency rate 2 4 2" xfId="10285"/>
    <cellStyle name="currency rate 2 4 2 2" xfId="25871"/>
    <cellStyle name="currency rate 2 4 2 3" xfId="31442"/>
    <cellStyle name="currency rate 2 4 3" xfId="25870"/>
    <cellStyle name="currency rate 2 4 4" xfId="31441"/>
    <cellStyle name="currency rate 2 5" xfId="10286"/>
    <cellStyle name="currency rate 2 5 2" xfId="25872"/>
    <cellStyle name="currency rate 2 5 3" xfId="31443"/>
    <cellStyle name="currency rate 2 6" xfId="21054"/>
    <cellStyle name="currency rate 2 7" xfId="26501"/>
    <cellStyle name="currency rate 3" xfId="5156"/>
    <cellStyle name="currency rate 3 2" xfId="10287"/>
    <cellStyle name="currency rate 3 2 2" xfId="10288"/>
    <cellStyle name="currency rate 3 2 2 2" xfId="25874"/>
    <cellStyle name="currency rate 3 2 2 3" xfId="31445"/>
    <cellStyle name="currency rate 3 2 3" xfId="10289"/>
    <cellStyle name="currency rate 3 2 3 2" xfId="25875"/>
    <cellStyle name="currency rate 3 2 3 3" xfId="31446"/>
    <cellStyle name="currency rate 3 2 4" xfId="25873"/>
    <cellStyle name="currency rate 3 2 5" xfId="31444"/>
    <cellStyle name="currency rate 3 3" xfId="10290"/>
    <cellStyle name="currency rate 3 3 2" xfId="25876"/>
    <cellStyle name="currency rate 3 3 3" xfId="31447"/>
    <cellStyle name="currency rate 3 4" xfId="21056"/>
    <cellStyle name="currency rate 3 5" xfId="26499"/>
    <cellStyle name="currency rate 4" xfId="10291"/>
    <cellStyle name="currency rate 4 2" xfId="10292"/>
    <cellStyle name="currency rate 4 2 2" xfId="25878"/>
    <cellStyle name="currency rate 4 2 3" xfId="31449"/>
    <cellStyle name="currency rate 4 3" xfId="10293"/>
    <cellStyle name="currency rate 4 3 2" xfId="25879"/>
    <cellStyle name="currency rate 4 3 3" xfId="31450"/>
    <cellStyle name="currency rate 4 4" xfId="25877"/>
    <cellStyle name="currency rate 4 5" xfId="31448"/>
    <cellStyle name="currency rate 5" xfId="10294"/>
    <cellStyle name="currency rate 5 2" xfId="10295"/>
    <cellStyle name="currency rate 5 2 2" xfId="25881"/>
    <cellStyle name="currency rate 5 2 3" xfId="31452"/>
    <cellStyle name="currency rate 5 3" xfId="25880"/>
    <cellStyle name="currency rate 5 4" xfId="31451"/>
    <cellStyle name="currency rate 6" xfId="10296"/>
    <cellStyle name="currency rate 6 2" xfId="25882"/>
    <cellStyle name="currency rate 6 3" xfId="31453"/>
    <cellStyle name="currency rate 7" xfId="19682"/>
    <cellStyle name="currency rate 8" xfId="17934"/>
    <cellStyle name="Currency$[0]" xfId="2133"/>
    <cellStyle name="Currency$[2]" xfId="2134"/>
    <cellStyle name="Currency*" xfId="2135"/>
    <cellStyle name="Currency,0" xfId="2136"/>
    <cellStyle name="Currency,2" xfId="2137"/>
    <cellStyle name="Currency\[0]" xfId="2138"/>
    <cellStyle name="Currency0" xfId="2139"/>
    <cellStyle name="Currency0 2" xfId="2140"/>
    <cellStyle name="Currency0 3" xfId="2141"/>
    <cellStyle name="Currency1" xfId="2142"/>
    <cellStyle name="Currency1 2" xfId="3942"/>
    <cellStyle name="Currency1 2 2" xfId="10297"/>
    <cellStyle name="Currency1 2 2 2" xfId="25883"/>
    <cellStyle name="Currency1 2 3" xfId="20097"/>
    <cellStyle name="Currency1 3" xfId="10298"/>
    <cellStyle name="Currency1 3 2" xfId="25884"/>
    <cellStyle name="Currency1 4" xfId="19692"/>
    <cellStyle name="Currency2" xfId="2143"/>
    <cellStyle name="Cyan" xfId="2144"/>
    <cellStyle name="D.Cyan" xfId="2145"/>
    <cellStyle name="Dan" xfId="2146"/>
    <cellStyle name="DANIEL" xfId="2147"/>
    <cellStyle name="Dash" xfId="2148"/>
    <cellStyle name="Dash 2" xfId="2149"/>
    <cellStyle name="Dash 3" xfId="2150"/>
    <cellStyle name="dat.General" xfId="2151"/>
    <cellStyle name="dat.General.or" xfId="2152"/>
    <cellStyle name="dat.US$" xfId="2153"/>
    <cellStyle name="dat.US$.or" xfId="2154"/>
    <cellStyle name="Data" xfId="2155"/>
    <cellStyle name="Data 2" xfId="5157"/>
    <cellStyle name="DataBases" xfId="2156"/>
    <cellStyle name="DataToHide" xfId="2157"/>
    <cellStyle name="Date" xfId="2158"/>
    <cellStyle name="Date - Style4" xfId="2159"/>
    <cellStyle name="Date [D-M-Y]" xfId="2160"/>
    <cellStyle name="Date [M/D/Y]" xfId="2161"/>
    <cellStyle name="Date [M/Y]" xfId="2162"/>
    <cellStyle name="Date [mmm-d-yyyy]" xfId="2163"/>
    <cellStyle name="Date [MMM-YY]" xfId="2164"/>
    <cellStyle name="Date [mmm-yyyy]" xfId="2165"/>
    <cellStyle name="Date [mmm-yyyy] 2" xfId="2166"/>
    <cellStyle name="Date [mmm-yyyy] 2 2" xfId="3983"/>
    <cellStyle name="Date [mmm-yyyy] 2 2 2" xfId="5158"/>
    <cellStyle name="Date [mmm-yyyy] 2 2 2 2" xfId="10299"/>
    <cellStyle name="Date [mmm-yyyy] 2 2 2 2 2" xfId="25885"/>
    <cellStyle name="Date [mmm-yyyy] 2 2 2 3" xfId="10300"/>
    <cellStyle name="Date [mmm-yyyy] 2 2 2 3 2" xfId="10301"/>
    <cellStyle name="Date [mmm-yyyy] 2 2 2 3 2 2" xfId="25887"/>
    <cellStyle name="Date [mmm-yyyy] 2 2 2 3 3" xfId="10302"/>
    <cellStyle name="Date [mmm-yyyy] 2 2 2 3 3 2" xfId="25888"/>
    <cellStyle name="Date [mmm-yyyy] 2 2 2 3 4" xfId="25886"/>
    <cellStyle name="Date [mmm-yyyy] 2 2 2 4" xfId="10303"/>
    <cellStyle name="Date [mmm-yyyy] 2 2 2 4 2" xfId="25889"/>
    <cellStyle name="Date [mmm-yyyy] 2 2 2 5" xfId="21058"/>
    <cellStyle name="Date [mmm-yyyy] 2 2 3" xfId="5159"/>
    <cellStyle name="Date [mmm-yyyy] 2 2 3 2" xfId="10304"/>
    <cellStyle name="Date [mmm-yyyy] 2 2 3 2 2" xfId="25890"/>
    <cellStyle name="Date [mmm-yyyy] 2 2 3 3" xfId="10305"/>
    <cellStyle name="Date [mmm-yyyy] 2 2 3 3 2" xfId="10306"/>
    <cellStyle name="Date [mmm-yyyy] 2 2 3 3 2 2" xfId="25892"/>
    <cellStyle name="Date [mmm-yyyy] 2 2 3 3 3" xfId="10307"/>
    <cellStyle name="Date [mmm-yyyy] 2 2 3 3 3 2" xfId="25893"/>
    <cellStyle name="Date [mmm-yyyy] 2 2 3 3 4" xfId="25891"/>
    <cellStyle name="Date [mmm-yyyy] 2 2 3 4" xfId="10308"/>
    <cellStyle name="Date [mmm-yyyy] 2 2 3 4 2" xfId="25894"/>
    <cellStyle name="Date [mmm-yyyy] 2 2 3 5" xfId="21059"/>
    <cellStyle name="Date [mmm-yyyy] 2 2 4" xfId="10309"/>
    <cellStyle name="Date [mmm-yyyy] 2 2 4 2" xfId="25895"/>
    <cellStyle name="Date [mmm-yyyy] 2 2 5" xfId="10310"/>
    <cellStyle name="Date [mmm-yyyy] 2 2 5 2" xfId="10311"/>
    <cellStyle name="Date [mmm-yyyy] 2 2 5 2 2" xfId="25897"/>
    <cellStyle name="Date [mmm-yyyy] 2 2 5 3" xfId="10312"/>
    <cellStyle name="Date [mmm-yyyy] 2 2 5 3 2" xfId="25898"/>
    <cellStyle name="Date [mmm-yyyy] 2 2 5 4" xfId="25896"/>
    <cellStyle name="Date [mmm-yyyy] 2 2 6" xfId="10313"/>
    <cellStyle name="Date [mmm-yyyy] 2 2 6 2" xfId="25899"/>
    <cellStyle name="Date [mmm-yyyy] 2 2 7" xfId="10314"/>
    <cellStyle name="Date [mmm-yyyy] 2 2 7 2" xfId="10315"/>
    <cellStyle name="Date [mmm-yyyy] 2 2 7 2 2" xfId="25901"/>
    <cellStyle name="Date [mmm-yyyy] 2 2 7 3" xfId="25900"/>
    <cellStyle name="Date [mmm-yyyy] 2 2 8" xfId="20134"/>
    <cellStyle name="Date [mmm-yyyy] 2 3" xfId="10316"/>
    <cellStyle name="Date [mmm-yyyy] 2 3 2" xfId="25902"/>
    <cellStyle name="Date [mmm-yyyy] 2 4" xfId="19716"/>
    <cellStyle name="Date [mmm-yyyy] 3" xfId="2167"/>
    <cellStyle name="Date [mmm-yyyy] 3 2" xfId="3984"/>
    <cellStyle name="Date [mmm-yyyy] 3 2 2" xfId="5160"/>
    <cellStyle name="Date [mmm-yyyy] 3 2 2 2" xfId="10317"/>
    <cellStyle name="Date [mmm-yyyy] 3 2 2 2 2" xfId="25903"/>
    <cellStyle name="Date [mmm-yyyy] 3 2 2 3" xfId="10318"/>
    <cellStyle name="Date [mmm-yyyy] 3 2 2 3 2" xfId="10319"/>
    <cellStyle name="Date [mmm-yyyy] 3 2 2 3 2 2" xfId="25905"/>
    <cellStyle name="Date [mmm-yyyy] 3 2 2 3 3" xfId="10320"/>
    <cellStyle name="Date [mmm-yyyy] 3 2 2 3 3 2" xfId="25906"/>
    <cellStyle name="Date [mmm-yyyy] 3 2 2 3 4" xfId="25904"/>
    <cellStyle name="Date [mmm-yyyy] 3 2 2 4" xfId="10321"/>
    <cellStyle name="Date [mmm-yyyy] 3 2 2 4 2" xfId="25907"/>
    <cellStyle name="Date [mmm-yyyy] 3 2 2 5" xfId="21060"/>
    <cellStyle name="Date [mmm-yyyy] 3 2 3" xfId="5161"/>
    <cellStyle name="Date [mmm-yyyy] 3 2 3 2" xfId="10322"/>
    <cellStyle name="Date [mmm-yyyy] 3 2 3 2 2" xfId="25908"/>
    <cellStyle name="Date [mmm-yyyy] 3 2 3 3" xfId="10323"/>
    <cellStyle name="Date [mmm-yyyy] 3 2 3 3 2" xfId="10324"/>
    <cellStyle name="Date [mmm-yyyy] 3 2 3 3 2 2" xfId="25910"/>
    <cellStyle name="Date [mmm-yyyy] 3 2 3 3 3" xfId="10325"/>
    <cellStyle name="Date [mmm-yyyy] 3 2 3 3 3 2" xfId="25911"/>
    <cellStyle name="Date [mmm-yyyy] 3 2 3 3 4" xfId="25909"/>
    <cellStyle name="Date [mmm-yyyy] 3 2 3 4" xfId="10326"/>
    <cellStyle name="Date [mmm-yyyy] 3 2 3 4 2" xfId="25912"/>
    <cellStyle name="Date [mmm-yyyy] 3 2 3 5" xfId="21061"/>
    <cellStyle name="Date [mmm-yyyy] 3 2 4" xfId="10327"/>
    <cellStyle name="Date [mmm-yyyy] 3 2 4 2" xfId="25913"/>
    <cellStyle name="Date [mmm-yyyy] 3 2 5" xfId="10328"/>
    <cellStyle name="Date [mmm-yyyy] 3 2 5 2" xfId="10329"/>
    <cellStyle name="Date [mmm-yyyy] 3 2 5 2 2" xfId="25915"/>
    <cellStyle name="Date [mmm-yyyy] 3 2 5 3" xfId="10330"/>
    <cellStyle name="Date [mmm-yyyy] 3 2 5 3 2" xfId="25916"/>
    <cellStyle name="Date [mmm-yyyy] 3 2 5 4" xfId="25914"/>
    <cellStyle name="Date [mmm-yyyy] 3 2 6" xfId="10331"/>
    <cellStyle name="Date [mmm-yyyy] 3 2 6 2" xfId="25917"/>
    <cellStyle name="Date [mmm-yyyy] 3 2 7" xfId="10332"/>
    <cellStyle name="Date [mmm-yyyy] 3 2 7 2" xfId="10333"/>
    <cellStyle name="Date [mmm-yyyy] 3 2 7 2 2" xfId="25919"/>
    <cellStyle name="Date [mmm-yyyy] 3 2 7 3" xfId="25918"/>
    <cellStyle name="Date [mmm-yyyy] 3 2 8" xfId="20135"/>
    <cellStyle name="Date [mmm-yyyy] 3 3" xfId="10334"/>
    <cellStyle name="Date [mmm-yyyy] 3 3 2" xfId="25920"/>
    <cellStyle name="Date [mmm-yyyy] 3 4" xfId="19717"/>
    <cellStyle name="Date [mmm-yyyy] 4" xfId="3982"/>
    <cellStyle name="Date [mmm-yyyy] 4 2" xfId="5162"/>
    <cellStyle name="Date [mmm-yyyy] 4 2 2" xfId="10335"/>
    <cellStyle name="Date [mmm-yyyy] 4 2 2 2" xfId="25921"/>
    <cellStyle name="Date [mmm-yyyy] 4 2 3" xfId="10336"/>
    <cellStyle name="Date [mmm-yyyy] 4 2 3 2" xfId="10337"/>
    <cellStyle name="Date [mmm-yyyy] 4 2 3 2 2" xfId="25923"/>
    <cellStyle name="Date [mmm-yyyy] 4 2 3 3" xfId="10338"/>
    <cellStyle name="Date [mmm-yyyy] 4 2 3 3 2" xfId="25924"/>
    <cellStyle name="Date [mmm-yyyy] 4 2 3 4" xfId="25922"/>
    <cellStyle name="Date [mmm-yyyy] 4 2 4" xfId="10339"/>
    <cellStyle name="Date [mmm-yyyy] 4 2 4 2" xfId="25925"/>
    <cellStyle name="Date [mmm-yyyy] 4 2 5" xfId="21062"/>
    <cellStyle name="Date [mmm-yyyy] 4 3" xfId="5163"/>
    <cellStyle name="Date [mmm-yyyy] 4 3 2" xfId="10340"/>
    <cellStyle name="Date [mmm-yyyy] 4 3 2 2" xfId="25926"/>
    <cellStyle name="Date [mmm-yyyy] 4 3 3" xfId="10341"/>
    <cellStyle name="Date [mmm-yyyy] 4 3 3 2" xfId="10342"/>
    <cellStyle name="Date [mmm-yyyy] 4 3 3 2 2" xfId="25928"/>
    <cellStyle name="Date [mmm-yyyy] 4 3 3 3" xfId="10343"/>
    <cellStyle name="Date [mmm-yyyy] 4 3 3 3 2" xfId="25929"/>
    <cellStyle name="Date [mmm-yyyy] 4 3 3 4" xfId="25927"/>
    <cellStyle name="Date [mmm-yyyy] 4 3 4" xfId="10344"/>
    <cellStyle name="Date [mmm-yyyy] 4 3 4 2" xfId="25930"/>
    <cellStyle name="Date [mmm-yyyy] 4 3 5" xfId="21063"/>
    <cellStyle name="Date [mmm-yyyy] 4 4" xfId="10345"/>
    <cellStyle name="Date [mmm-yyyy] 4 4 2" xfId="25931"/>
    <cellStyle name="Date [mmm-yyyy] 4 5" xfId="10346"/>
    <cellStyle name="Date [mmm-yyyy] 4 5 2" xfId="10347"/>
    <cellStyle name="Date [mmm-yyyy] 4 5 2 2" xfId="25933"/>
    <cellStyle name="Date [mmm-yyyy] 4 5 3" xfId="10348"/>
    <cellStyle name="Date [mmm-yyyy] 4 5 3 2" xfId="25934"/>
    <cellStyle name="Date [mmm-yyyy] 4 5 4" xfId="25932"/>
    <cellStyle name="Date [mmm-yyyy] 4 6" xfId="10349"/>
    <cellStyle name="Date [mmm-yyyy] 4 6 2" xfId="25935"/>
    <cellStyle name="Date [mmm-yyyy] 4 7" xfId="10350"/>
    <cellStyle name="Date [mmm-yyyy] 4 7 2" xfId="10351"/>
    <cellStyle name="Date [mmm-yyyy] 4 7 2 2" xfId="25937"/>
    <cellStyle name="Date [mmm-yyyy] 4 7 3" xfId="25936"/>
    <cellStyle name="Date [mmm-yyyy] 4 8" xfId="20133"/>
    <cellStyle name="Date [mmm-yyyy] 5" xfId="10352"/>
    <cellStyle name="Date [mmm-yyyy] 5 2" xfId="25938"/>
    <cellStyle name="Date [mmm-yyyy] 6" xfId="19715"/>
    <cellStyle name="Date [Y]" xfId="2168"/>
    <cellStyle name="Date [Y] 2" xfId="2169"/>
    <cellStyle name="Date [Y] 2 2" xfId="2170"/>
    <cellStyle name="Date [Y] 2 2 2" xfId="3987"/>
    <cellStyle name="Date [Y] 2 2 2 2" xfId="5164"/>
    <cellStyle name="Date [Y] 2 2 2 2 2" xfId="10353"/>
    <cellStyle name="Date [Y] 2 2 2 2 2 2" xfId="25939"/>
    <cellStyle name="Date [Y] 2 2 2 2 3" xfId="10354"/>
    <cellStyle name="Date [Y] 2 2 2 2 3 2" xfId="10355"/>
    <cellStyle name="Date [Y] 2 2 2 2 3 2 2" xfId="25941"/>
    <cellStyle name="Date [Y] 2 2 2 2 3 3" xfId="10356"/>
    <cellStyle name="Date [Y] 2 2 2 2 3 3 2" xfId="25942"/>
    <cellStyle name="Date [Y] 2 2 2 2 3 4" xfId="25940"/>
    <cellStyle name="Date [Y] 2 2 2 2 4" xfId="10357"/>
    <cellStyle name="Date [Y] 2 2 2 2 4 2" xfId="25943"/>
    <cellStyle name="Date [Y] 2 2 2 2 5" xfId="21064"/>
    <cellStyle name="Date [Y] 2 2 2 3" xfId="5165"/>
    <cellStyle name="Date [Y] 2 2 2 3 2" xfId="10358"/>
    <cellStyle name="Date [Y] 2 2 2 3 2 2" xfId="25944"/>
    <cellStyle name="Date [Y] 2 2 2 3 3" xfId="10359"/>
    <cellStyle name="Date [Y] 2 2 2 3 3 2" xfId="10360"/>
    <cellStyle name="Date [Y] 2 2 2 3 3 2 2" xfId="25946"/>
    <cellStyle name="Date [Y] 2 2 2 3 3 3" xfId="10361"/>
    <cellStyle name="Date [Y] 2 2 2 3 3 3 2" xfId="25947"/>
    <cellStyle name="Date [Y] 2 2 2 3 3 4" xfId="25945"/>
    <cellStyle name="Date [Y] 2 2 2 3 4" xfId="10362"/>
    <cellStyle name="Date [Y] 2 2 2 3 4 2" xfId="25948"/>
    <cellStyle name="Date [Y] 2 2 2 3 5" xfId="21065"/>
    <cellStyle name="Date [Y] 2 2 2 4" xfId="10363"/>
    <cellStyle name="Date [Y] 2 2 2 4 2" xfId="25949"/>
    <cellStyle name="Date [Y] 2 2 2 5" xfId="10364"/>
    <cellStyle name="Date [Y] 2 2 2 5 2" xfId="10365"/>
    <cellStyle name="Date [Y] 2 2 2 5 2 2" xfId="25951"/>
    <cellStyle name="Date [Y] 2 2 2 5 3" xfId="10366"/>
    <cellStyle name="Date [Y] 2 2 2 5 3 2" xfId="25952"/>
    <cellStyle name="Date [Y] 2 2 2 5 4" xfId="25950"/>
    <cellStyle name="Date [Y] 2 2 2 6" xfId="10367"/>
    <cellStyle name="Date [Y] 2 2 2 6 2" xfId="25953"/>
    <cellStyle name="Date [Y] 2 2 2 7" xfId="10368"/>
    <cellStyle name="Date [Y] 2 2 2 7 2" xfId="10369"/>
    <cellStyle name="Date [Y] 2 2 2 7 2 2" xfId="25955"/>
    <cellStyle name="Date [Y] 2 2 2 7 3" xfId="25954"/>
    <cellStyle name="Date [Y] 2 2 2 8" xfId="20138"/>
    <cellStyle name="Date [Y] 2 2 3" xfId="10370"/>
    <cellStyle name="Date [Y] 2 2 3 2" xfId="25956"/>
    <cellStyle name="Date [Y] 2 2 4" xfId="19720"/>
    <cellStyle name="Date [Y] 2 3" xfId="2171"/>
    <cellStyle name="Date [Y] 2 3 2" xfId="3988"/>
    <cellStyle name="Date [Y] 2 3 2 2" xfId="5166"/>
    <cellStyle name="Date [Y] 2 3 2 2 2" xfId="10371"/>
    <cellStyle name="Date [Y] 2 3 2 2 2 2" xfId="25957"/>
    <cellStyle name="Date [Y] 2 3 2 2 3" xfId="10372"/>
    <cellStyle name="Date [Y] 2 3 2 2 3 2" xfId="10373"/>
    <cellStyle name="Date [Y] 2 3 2 2 3 2 2" xfId="25959"/>
    <cellStyle name="Date [Y] 2 3 2 2 3 3" xfId="10374"/>
    <cellStyle name="Date [Y] 2 3 2 2 3 3 2" xfId="25960"/>
    <cellStyle name="Date [Y] 2 3 2 2 3 4" xfId="25958"/>
    <cellStyle name="Date [Y] 2 3 2 2 4" xfId="10375"/>
    <cellStyle name="Date [Y] 2 3 2 2 4 2" xfId="25961"/>
    <cellStyle name="Date [Y] 2 3 2 2 5" xfId="21066"/>
    <cellStyle name="Date [Y] 2 3 2 3" xfId="5167"/>
    <cellStyle name="Date [Y] 2 3 2 3 2" xfId="10376"/>
    <cellStyle name="Date [Y] 2 3 2 3 2 2" xfId="25962"/>
    <cellStyle name="Date [Y] 2 3 2 3 3" xfId="10377"/>
    <cellStyle name="Date [Y] 2 3 2 3 3 2" xfId="10378"/>
    <cellStyle name="Date [Y] 2 3 2 3 3 2 2" xfId="25964"/>
    <cellStyle name="Date [Y] 2 3 2 3 3 3" xfId="10379"/>
    <cellStyle name="Date [Y] 2 3 2 3 3 3 2" xfId="25965"/>
    <cellStyle name="Date [Y] 2 3 2 3 3 4" xfId="25963"/>
    <cellStyle name="Date [Y] 2 3 2 3 4" xfId="10380"/>
    <cellStyle name="Date [Y] 2 3 2 3 4 2" xfId="25966"/>
    <cellStyle name="Date [Y] 2 3 2 3 5" xfId="21067"/>
    <cellStyle name="Date [Y] 2 3 2 4" xfId="10381"/>
    <cellStyle name="Date [Y] 2 3 2 4 2" xfId="25967"/>
    <cellStyle name="Date [Y] 2 3 2 5" xfId="10382"/>
    <cellStyle name="Date [Y] 2 3 2 5 2" xfId="10383"/>
    <cellStyle name="Date [Y] 2 3 2 5 2 2" xfId="25969"/>
    <cellStyle name="Date [Y] 2 3 2 5 3" xfId="10384"/>
    <cellStyle name="Date [Y] 2 3 2 5 3 2" xfId="25970"/>
    <cellStyle name="Date [Y] 2 3 2 5 4" xfId="25968"/>
    <cellStyle name="Date [Y] 2 3 2 6" xfId="10385"/>
    <cellStyle name="Date [Y] 2 3 2 6 2" xfId="25971"/>
    <cellStyle name="Date [Y] 2 3 2 7" xfId="10386"/>
    <cellStyle name="Date [Y] 2 3 2 7 2" xfId="10387"/>
    <cellStyle name="Date [Y] 2 3 2 7 2 2" xfId="25973"/>
    <cellStyle name="Date [Y] 2 3 2 7 3" xfId="25972"/>
    <cellStyle name="Date [Y] 2 3 2 8" xfId="20139"/>
    <cellStyle name="Date [Y] 2 3 3" xfId="10388"/>
    <cellStyle name="Date [Y] 2 3 3 2" xfId="25974"/>
    <cellStyle name="Date [Y] 2 3 4" xfId="19721"/>
    <cellStyle name="Date [Y] 2 4" xfId="3986"/>
    <cellStyle name="Date [Y] 2 4 2" xfId="5168"/>
    <cellStyle name="Date [Y] 2 4 2 2" xfId="10389"/>
    <cellStyle name="Date [Y] 2 4 2 2 2" xfId="25975"/>
    <cellStyle name="Date [Y] 2 4 2 3" xfId="10390"/>
    <cellStyle name="Date [Y] 2 4 2 3 2" xfId="10391"/>
    <cellStyle name="Date [Y] 2 4 2 3 2 2" xfId="25977"/>
    <cellStyle name="Date [Y] 2 4 2 3 3" xfId="10392"/>
    <cellStyle name="Date [Y] 2 4 2 3 3 2" xfId="25978"/>
    <cellStyle name="Date [Y] 2 4 2 3 4" xfId="25976"/>
    <cellStyle name="Date [Y] 2 4 2 4" xfId="10393"/>
    <cellStyle name="Date [Y] 2 4 2 4 2" xfId="25979"/>
    <cellStyle name="Date [Y] 2 4 2 5" xfId="21068"/>
    <cellStyle name="Date [Y] 2 4 3" xfId="5169"/>
    <cellStyle name="Date [Y] 2 4 3 2" xfId="10394"/>
    <cellStyle name="Date [Y] 2 4 3 2 2" xfId="25980"/>
    <cellStyle name="Date [Y] 2 4 3 3" xfId="10395"/>
    <cellStyle name="Date [Y] 2 4 3 3 2" xfId="10396"/>
    <cellStyle name="Date [Y] 2 4 3 3 2 2" xfId="25982"/>
    <cellStyle name="Date [Y] 2 4 3 3 3" xfId="10397"/>
    <cellStyle name="Date [Y] 2 4 3 3 3 2" xfId="25983"/>
    <cellStyle name="Date [Y] 2 4 3 3 4" xfId="25981"/>
    <cellStyle name="Date [Y] 2 4 3 4" xfId="10398"/>
    <cellStyle name="Date [Y] 2 4 3 4 2" xfId="25984"/>
    <cellStyle name="Date [Y] 2 4 3 5" xfId="21069"/>
    <cellStyle name="Date [Y] 2 4 4" xfId="10399"/>
    <cellStyle name="Date [Y] 2 4 4 2" xfId="25985"/>
    <cellStyle name="Date [Y] 2 4 5" xfId="10400"/>
    <cellStyle name="Date [Y] 2 4 5 2" xfId="10401"/>
    <cellStyle name="Date [Y] 2 4 5 2 2" xfId="25987"/>
    <cellStyle name="Date [Y] 2 4 5 3" xfId="10402"/>
    <cellStyle name="Date [Y] 2 4 5 3 2" xfId="25988"/>
    <cellStyle name="Date [Y] 2 4 5 4" xfId="25986"/>
    <cellStyle name="Date [Y] 2 4 6" xfId="10403"/>
    <cellStyle name="Date [Y] 2 4 6 2" xfId="25989"/>
    <cellStyle name="Date [Y] 2 4 7" xfId="10404"/>
    <cellStyle name="Date [Y] 2 4 7 2" xfId="10405"/>
    <cellStyle name="Date [Y] 2 4 7 2 2" xfId="25991"/>
    <cellStyle name="Date [Y] 2 4 7 3" xfId="25990"/>
    <cellStyle name="Date [Y] 2 4 8" xfId="20137"/>
    <cellStyle name="Date [Y] 2 5" xfId="10406"/>
    <cellStyle name="Date [Y] 2 5 2" xfId="25992"/>
    <cellStyle name="Date [Y] 2 6" xfId="19719"/>
    <cellStyle name="Date [Y] 3" xfId="2172"/>
    <cellStyle name="Date [Y] 3 2" xfId="2173"/>
    <cellStyle name="Date [Y] 3 2 2" xfId="3990"/>
    <cellStyle name="Date [Y] 3 2 2 2" xfId="5170"/>
    <cellStyle name="Date [Y] 3 2 2 2 2" xfId="10407"/>
    <cellStyle name="Date [Y] 3 2 2 2 2 2" xfId="25993"/>
    <cellStyle name="Date [Y] 3 2 2 2 3" xfId="10408"/>
    <cellStyle name="Date [Y] 3 2 2 2 3 2" xfId="10409"/>
    <cellStyle name="Date [Y] 3 2 2 2 3 2 2" xfId="25995"/>
    <cellStyle name="Date [Y] 3 2 2 2 3 3" xfId="10410"/>
    <cellStyle name="Date [Y] 3 2 2 2 3 3 2" xfId="25996"/>
    <cellStyle name="Date [Y] 3 2 2 2 3 4" xfId="25994"/>
    <cellStyle name="Date [Y] 3 2 2 2 4" xfId="10411"/>
    <cellStyle name="Date [Y] 3 2 2 2 4 2" xfId="25997"/>
    <cellStyle name="Date [Y] 3 2 2 2 5" xfId="21070"/>
    <cellStyle name="Date [Y] 3 2 2 3" xfId="5171"/>
    <cellStyle name="Date [Y] 3 2 2 3 2" xfId="10412"/>
    <cellStyle name="Date [Y] 3 2 2 3 2 2" xfId="25998"/>
    <cellStyle name="Date [Y] 3 2 2 3 3" xfId="10413"/>
    <cellStyle name="Date [Y] 3 2 2 3 3 2" xfId="10414"/>
    <cellStyle name="Date [Y] 3 2 2 3 3 2 2" xfId="26000"/>
    <cellStyle name="Date [Y] 3 2 2 3 3 3" xfId="10415"/>
    <cellStyle name="Date [Y] 3 2 2 3 3 3 2" xfId="26001"/>
    <cellStyle name="Date [Y] 3 2 2 3 3 4" xfId="25999"/>
    <cellStyle name="Date [Y] 3 2 2 3 4" xfId="10416"/>
    <cellStyle name="Date [Y] 3 2 2 3 4 2" xfId="26002"/>
    <cellStyle name="Date [Y] 3 2 2 3 5" xfId="21071"/>
    <cellStyle name="Date [Y] 3 2 2 4" xfId="10417"/>
    <cellStyle name="Date [Y] 3 2 2 4 2" xfId="26003"/>
    <cellStyle name="Date [Y] 3 2 2 5" xfId="10418"/>
    <cellStyle name="Date [Y] 3 2 2 5 2" xfId="10419"/>
    <cellStyle name="Date [Y] 3 2 2 5 2 2" xfId="26005"/>
    <cellStyle name="Date [Y] 3 2 2 5 3" xfId="10420"/>
    <cellStyle name="Date [Y] 3 2 2 5 3 2" xfId="26006"/>
    <cellStyle name="Date [Y] 3 2 2 5 4" xfId="26004"/>
    <cellStyle name="Date [Y] 3 2 2 6" xfId="10421"/>
    <cellStyle name="Date [Y] 3 2 2 6 2" xfId="26007"/>
    <cellStyle name="Date [Y] 3 2 2 7" xfId="10422"/>
    <cellStyle name="Date [Y] 3 2 2 7 2" xfId="10423"/>
    <cellStyle name="Date [Y] 3 2 2 7 2 2" xfId="26009"/>
    <cellStyle name="Date [Y] 3 2 2 7 3" xfId="26008"/>
    <cellStyle name="Date [Y] 3 2 2 8" xfId="20141"/>
    <cellStyle name="Date [Y] 3 2 3" xfId="10424"/>
    <cellStyle name="Date [Y] 3 2 3 2" xfId="26010"/>
    <cellStyle name="Date [Y] 3 2 4" xfId="19723"/>
    <cellStyle name="Date [Y] 3 3" xfId="2174"/>
    <cellStyle name="Date [Y] 3 3 2" xfId="3991"/>
    <cellStyle name="Date [Y] 3 3 2 2" xfId="5172"/>
    <cellStyle name="Date [Y] 3 3 2 2 2" xfId="10425"/>
    <cellStyle name="Date [Y] 3 3 2 2 2 2" xfId="26011"/>
    <cellStyle name="Date [Y] 3 3 2 2 3" xfId="10426"/>
    <cellStyle name="Date [Y] 3 3 2 2 3 2" xfId="10427"/>
    <cellStyle name="Date [Y] 3 3 2 2 3 2 2" xfId="26013"/>
    <cellStyle name="Date [Y] 3 3 2 2 3 3" xfId="10428"/>
    <cellStyle name="Date [Y] 3 3 2 2 3 3 2" xfId="26014"/>
    <cellStyle name="Date [Y] 3 3 2 2 3 4" xfId="26012"/>
    <cellStyle name="Date [Y] 3 3 2 2 4" xfId="10429"/>
    <cellStyle name="Date [Y] 3 3 2 2 4 2" xfId="26015"/>
    <cellStyle name="Date [Y] 3 3 2 2 5" xfId="21072"/>
    <cellStyle name="Date [Y] 3 3 2 3" xfId="5173"/>
    <cellStyle name="Date [Y] 3 3 2 3 2" xfId="10430"/>
    <cellStyle name="Date [Y] 3 3 2 3 2 2" xfId="26016"/>
    <cellStyle name="Date [Y] 3 3 2 3 3" xfId="10431"/>
    <cellStyle name="Date [Y] 3 3 2 3 3 2" xfId="10432"/>
    <cellStyle name="Date [Y] 3 3 2 3 3 2 2" xfId="26018"/>
    <cellStyle name="Date [Y] 3 3 2 3 3 3" xfId="10433"/>
    <cellStyle name="Date [Y] 3 3 2 3 3 3 2" xfId="26019"/>
    <cellStyle name="Date [Y] 3 3 2 3 3 4" xfId="26017"/>
    <cellStyle name="Date [Y] 3 3 2 3 4" xfId="10434"/>
    <cellStyle name="Date [Y] 3 3 2 3 4 2" xfId="26020"/>
    <cellStyle name="Date [Y] 3 3 2 3 5" xfId="21073"/>
    <cellStyle name="Date [Y] 3 3 2 4" xfId="10435"/>
    <cellStyle name="Date [Y] 3 3 2 4 2" xfId="26021"/>
    <cellStyle name="Date [Y] 3 3 2 5" xfId="10436"/>
    <cellStyle name="Date [Y] 3 3 2 5 2" xfId="10437"/>
    <cellStyle name="Date [Y] 3 3 2 5 2 2" xfId="26023"/>
    <cellStyle name="Date [Y] 3 3 2 5 3" xfId="10438"/>
    <cellStyle name="Date [Y] 3 3 2 5 3 2" xfId="26024"/>
    <cellStyle name="Date [Y] 3 3 2 5 4" xfId="26022"/>
    <cellStyle name="Date [Y] 3 3 2 6" xfId="10439"/>
    <cellStyle name="Date [Y] 3 3 2 6 2" xfId="26025"/>
    <cellStyle name="Date [Y] 3 3 2 7" xfId="10440"/>
    <cellStyle name="Date [Y] 3 3 2 7 2" xfId="10441"/>
    <cellStyle name="Date [Y] 3 3 2 7 2 2" xfId="26027"/>
    <cellStyle name="Date [Y] 3 3 2 7 3" xfId="26026"/>
    <cellStyle name="Date [Y] 3 3 2 8" xfId="20142"/>
    <cellStyle name="Date [Y] 3 3 3" xfId="10442"/>
    <cellStyle name="Date [Y] 3 3 3 2" xfId="26028"/>
    <cellStyle name="Date [Y] 3 3 4" xfId="19724"/>
    <cellStyle name="Date [Y] 3 4" xfId="3989"/>
    <cellStyle name="Date [Y] 3 4 2" xfId="5174"/>
    <cellStyle name="Date [Y] 3 4 2 2" xfId="10443"/>
    <cellStyle name="Date [Y] 3 4 2 2 2" xfId="26029"/>
    <cellStyle name="Date [Y] 3 4 2 3" xfId="10444"/>
    <cellStyle name="Date [Y] 3 4 2 3 2" xfId="10445"/>
    <cellStyle name="Date [Y] 3 4 2 3 2 2" xfId="26031"/>
    <cellStyle name="Date [Y] 3 4 2 3 3" xfId="10446"/>
    <cellStyle name="Date [Y] 3 4 2 3 3 2" xfId="26032"/>
    <cellStyle name="Date [Y] 3 4 2 3 4" xfId="26030"/>
    <cellStyle name="Date [Y] 3 4 2 4" xfId="10447"/>
    <cellStyle name="Date [Y] 3 4 2 4 2" xfId="26033"/>
    <cellStyle name="Date [Y] 3 4 2 5" xfId="21074"/>
    <cellStyle name="Date [Y] 3 4 3" xfId="5175"/>
    <cellStyle name="Date [Y] 3 4 3 2" xfId="10448"/>
    <cellStyle name="Date [Y] 3 4 3 2 2" xfId="26034"/>
    <cellStyle name="Date [Y] 3 4 3 3" xfId="10449"/>
    <cellStyle name="Date [Y] 3 4 3 3 2" xfId="10450"/>
    <cellStyle name="Date [Y] 3 4 3 3 2 2" xfId="26036"/>
    <cellStyle name="Date [Y] 3 4 3 3 3" xfId="10451"/>
    <cellStyle name="Date [Y] 3 4 3 3 3 2" xfId="26037"/>
    <cellStyle name="Date [Y] 3 4 3 3 4" xfId="26035"/>
    <cellStyle name="Date [Y] 3 4 3 4" xfId="10452"/>
    <cellStyle name="Date [Y] 3 4 3 4 2" xfId="26038"/>
    <cellStyle name="Date [Y] 3 4 3 5" xfId="21075"/>
    <cellStyle name="Date [Y] 3 4 4" xfId="10453"/>
    <cellStyle name="Date [Y] 3 4 4 2" xfId="26039"/>
    <cellStyle name="Date [Y] 3 4 5" xfId="10454"/>
    <cellStyle name="Date [Y] 3 4 5 2" xfId="10455"/>
    <cellStyle name="Date [Y] 3 4 5 2 2" xfId="26041"/>
    <cellStyle name="Date [Y] 3 4 5 3" xfId="10456"/>
    <cellStyle name="Date [Y] 3 4 5 3 2" xfId="26042"/>
    <cellStyle name="Date [Y] 3 4 5 4" xfId="26040"/>
    <cellStyle name="Date [Y] 3 4 6" xfId="10457"/>
    <cellStyle name="Date [Y] 3 4 6 2" xfId="26043"/>
    <cellStyle name="Date [Y] 3 4 7" xfId="10458"/>
    <cellStyle name="Date [Y] 3 4 7 2" xfId="10459"/>
    <cellStyle name="Date [Y] 3 4 7 2 2" xfId="26045"/>
    <cellStyle name="Date [Y] 3 4 7 3" xfId="26044"/>
    <cellStyle name="Date [Y] 3 4 8" xfId="20140"/>
    <cellStyle name="Date [Y] 3 5" xfId="10460"/>
    <cellStyle name="Date [Y] 3 5 2" xfId="26046"/>
    <cellStyle name="Date [Y] 3 6" xfId="19722"/>
    <cellStyle name="Date [Y] 4" xfId="2175"/>
    <cellStyle name="Date [Y] 4 2" xfId="3992"/>
    <cellStyle name="Date [Y] 4 2 2" xfId="5176"/>
    <cellStyle name="Date [Y] 4 2 2 2" xfId="10461"/>
    <cellStyle name="Date [Y] 4 2 2 2 2" xfId="26047"/>
    <cellStyle name="Date [Y] 4 2 2 3" xfId="10462"/>
    <cellStyle name="Date [Y] 4 2 2 3 2" xfId="10463"/>
    <cellStyle name="Date [Y] 4 2 2 3 2 2" xfId="26049"/>
    <cellStyle name="Date [Y] 4 2 2 3 3" xfId="10464"/>
    <cellStyle name="Date [Y] 4 2 2 3 3 2" xfId="26050"/>
    <cellStyle name="Date [Y] 4 2 2 3 4" xfId="26048"/>
    <cellStyle name="Date [Y] 4 2 2 4" xfId="10465"/>
    <cellStyle name="Date [Y] 4 2 2 4 2" xfId="26051"/>
    <cellStyle name="Date [Y] 4 2 2 5" xfId="21076"/>
    <cellStyle name="Date [Y] 4 2 3" xfId="5177"/>
    <cellStyle name="Date [Y] 4 2 3 2" xfId="10466"/>
    <cellStyle name="Date [Y] 4 2 3 2 2" xfId="26052"/>
    <cellStyle name="Date [Y] 4 2 3 3" xfId="10467"/>
    <cellStyle name="Date [Y] 4 2 3 3 2" xfId="10468"/>
    <cellStyle name="Date [Y] 4 2 3 3 2 2" xfId="26054"/>
    <cellStyle name="Date [Y] 4 2 3 3 3" xfId="10469"/>
    <cellStyle name="Date [Y] 4 2 3 3 3 2" xfId="26055"/>
    <cellStyle name="Date [Y] 4 2 3 3 4" xfId="26053"/>
    <cellStyle name="Date [Y] 4 2 3 4" xfId="10470"/>
    <cellStyle name="Date [Y] 4 2 3 4 2" xfId="26056"/>
    <cellStyle name="Date [Y] 4 2 3 5" xfId="21077"/>
    <cellStyle name="Date [Y] 4 2 4" xfId="10471"/>
    <cellStyle name="Date [Y] 4 2 4 2" xfId="26057"/>
    <cellStyle name="Date [Y] 4 2 5" xfId="10472"/>
    <cellStyle name="Date [Y] 4 2 5 2" xfId="10473"/>
    <cellStyle name="Date [Y] 4 2 5 2 2" xfId="26059"/>
    <cellStyle name="Date [Y] 4 2 5 3" xfId="10474"/>
    <cellStyle name="Date [Y] 4 2 5 3 2" xfId="26060"/>
    <cellStyle name="Date [Y] 4 2 5 4" xfId="26058"/>
    <cellStyle name="Date [Y] 4 2 6" xfId="10475"/>
    <cellStyle name="Date [Y] 4 2 6 2" xfId="26061"/>
    <cellStyle name="Date [Y] 4 2 7" xfId="10476"/>
    <cellStyle name="Date [Y] 4 2 7 2" xfId="10477"/>
    <cellStyle name="Date [Y] 4 2 7 2 2" xfId="26063"/>
    <cellStyle name="Date [Y] 4 2 7 3" xfId="26062"/>
    <cellStyle name="Date [Y] 4 2 8" xfId="20143"/>
    <cellStyle name="Date [Y] 4 3" xfId="10478"/>
    <cellStyle name="Date [Y] 4 3 2" xfId="26064"/>
    <cellStyle name="Date [Y] 4 4" xfId="19725"/>
    <cellStyle name="Date [Y] 5" xfId="2176"/>
    <cellStyle name="Date [Y] 5 2" xfId="3993"/>
    <cellStyle name="Date [Y] 5 2 2" xfId="5178"/>
    <cellStyle name="Date [Y] 5 2 2 2" xfId="10479"/>
    <cellStyle name="Date [Y] 5 2 2 2 2" xfId="26065"/>
    <cellStyle name="Date [Y] 5 2 2 3" xfId="10480"/>
    <cellStyle name="Date [Y] 5 2 2 3 2" xfId="10481"/>
    <cellStyle name="Date [Y] 5 2 2 3 2 2" xfId="26067"/>
    <cellStyle name="Date [Y] 5 2 2 3 3" xfId="10482"/>
    <cellStyle name="Date [Y] 5 2 2 3 3 2" xfId="26068"/>
    <cellStyle name="Date [Y] 5 2 2 3 4" xfId="26066"/>
    <cellStyle name="Date [Y] 5 2 2 4" xfId="10483"/>
    <cellStyle name="Date [Y] 5 2 2 4 2" xfId="26069"/>
    <cellStyle name="Date [Y] 5 2 2 5" xfId="21078"/>
    <cellStyle name="Date [Y] 5 2 3" xfId="5179"/>
    <cellStyle name="Date [Y] 5 2 3 2" xfId="10484"/>
    <cellStyle name="Date [Y] 5 2 3 2 2" xfId="26070"/>
    <cellStyle name="Date [Y] 5 2 3 3" xfId="10485"/>
    <cellStyle name="Date [Y] 5 2 3 3 2" xfId="10486"/>
    <cellStyle name="Date [Y] 5 2 3 3 2 2" xfId="26072"/>
    <cellStyle name="Date [Y] 5 2 3 3 3" xfId="10487"/>
    <cellStyle name="Date [Y] 5 2 3 3 3 2" xfId="26073"/>
    <cellStyle name="Date [Y] 5 2 3 3 4" xfId="26071"/>
    <cellStyle name="Date [Y] 5 2 3 4" xfId="10488"/>
    <cellStyle name="Date [Y] 5 2 3 4 2" xfId="26074"/>
    <cellStyle name="Date [Y] 5 2 3 5" xfId="21079"/>
    <cellStyle name="Date [Y] 5 2 4" xfId="10489"/>
    <cellStyle name="Date [Y] 5 2 4 2" xfId="26075"/>
    <cellStyle name="Date [Y] 5 2 5" xfId="10490"/>
    <cellStyle name="Date [Y] 5 2 5 2" xfId="10491"/>
    <cellStyle name="Date [Y] 5 2 5 2 2" xfId="26077"/>
    <cellStyle name="Date [Y] 5 2 5 3" xfId="10492"/>
    <cellStyle name="Date [Y] 5 2 5 3 2" xfId="26078"/>
    <cellStyle name="Date [Y] 5 2 5 4" xfId="26076"/>
    <cellStyle name="Date [Y] 5 2 6" xfId="10493"/>
    <cellStyle name="Date [Y] 5 2 6 2" xfId="26079"/>
    <cellStyle name="Date [Y] 5 2 7" xfId="10494"/>
    <cellStyle name="Date [Y] 5 2 7 2" xfId="10495"/>
    <cellStyle name="Date [Y] 5 2 7 2 2" xfId="26081"/>
    <cellStyle name="Date [Y] 5 2 7 3" xfId="26080"/>
    <cellStyle name="Date [Y] 5 2 8" xfId="20144"/>
    <cellStyle name="Date [Y] 5 3" xfId="10496"/>
    <cellStyle name="Date [Y] 5 3 2" xfId="26082"/>
    <cellStyle name="Date [Y] 5 4" xfId="19726"/>
    <cellStyle name="Date [Y] 6" xfId="3985"/>
    <cellStyle name="Date [Y] 6 2" xfId="5180"/>
    <cellStyle name="Date [Y] 6 2 2" xfId="10497"/>
    <cellStyle name="Date [Y] 6 2 2 2" xfId="26083"/>
    <cellStyle name="Date [Y] 6 2 3" xfId="10498"/>
    <cellStyle name="Date [Y] 6 2 3 2" xfId="10499"/>
    <cellStyle name="Date [Y] 6 2 3 2 2" xfId="26085"/>
    <cellStyle name="Date [Y] 6 2 3 3" xfId="10500"/>
    <cellStyle name="Date [Y] 6 2 3 3 2" xfId="26086"/>
    <cellStyle name="Date [Y] 6 2 3 4" xfId="26084"/>
    <cellStyle name="Date [Y] 6 2 4" xfId="10501"/>
    <cellStyle name="Date [Y] 6 2 4 2" xfId="26087"/>
    <cellStyle name="Date [Y] 6 2 5" xfId="21080"/>
    <cellStyle name="Date [Y] 6 3" xfId="5181"/>
    <cellStyle name="Date [Y] 6 3 2" xfId="10502"/>
    <cellStyle name="Date [Y] 6 3 2 2" xfId="26088"/>
    <cellStyle name="Date [Y] 6 3 3" xfId="10503"/>
    <cellStyle name="Date [Y] 6 3 3 2" xfId="10504"/>
    <cellStyle name="Date [Y] 6 3 3 2 2" xfId="26090"/>
    <cellStyle name="Date [Y] 6 3 3 3" xfId="10505"/>
    <cellStyle name="Date [Y] 6 3 3 3 2" xfId="26091"/>
    <cellStyle name="Date [Y] 6 3 3 4" xfId="26089"/>
    <cellStyle name="Date [Y] 6 3 4" xfId="10506"/>
    <cellStyle name="Date [Y] 6 3 4 2" xfId="26092"/>
    <cellStyle name="Date [Y] 6 3 5" xfId="21081"/>
    <cellStyle name="Date [Y] 6 4" xfId="10507"/>
    <cellStyle name="Date [Y] 6 4 2" xfId="26093"/>
    <cellStyle name="Date [Y] 6 5" xfId="10508"/>
    <cellStyle name="Date [Y] 6 5 2" xfId="10509"/>
    <cellStyle name="Date [Y] 6 5 2 2" xfId="26095"/>
    <cellStyle name="Date [Y] 6 5 3" xfId="10510"/>
    <cellStyle name="Date [Y] 6 5 3 2" xfId="26096"/>
    <cellStyle name="Date [Y] 6 5 4" xfId="26094"/>
    <cellStyle name="Date [Y] 6 6" xfId="10511"/>
    <cellStyle name="Date [Y] 6 6 2" xfId="26097"/>
    <cellStyle name="Date [Y] 6 7" xfId="10512"/>
    <cellStyle name="Date [Y] 6 7 2" xfId="10513"/>
    <cellStyle name="Date [Y] 6 7 2 2" xfId="26099"/>
    <cellStyle name="Date [Y] 6 7 3" xfId="26098"/>
    <cellStyle name="Date [Y] 6 8" xfId="20136"/>
    <cellStyle name="Date [Y] 7" xfId="10514"/>
    <cellStyle name="Date [Y] 7 2" xfId="26100"/>
    <cellStyle name="Date [Y] 8" xfId="19718"/>
    <cellStyle name="Date 2" xfId="2177"/>
    <cellStyle name="Date 3" xfId="2178"/>
    <cellStyle name="Date Aligned" xfId="2179"/>
    <cellStyle name="Date Aligned*" xfId="2180"/>
    <cellStyle name="Date Aligned_Triumph_Model_EK" xfId="2181"/>
    <cellStyle name="Date format" xfId="2182"/>
    <cellStyle name="Date format 2" xfId="2183"/>
    <cellStyle name="Date format 2 2" xfId="3995"/>
    <cellStyle name="Date format 2 2 2" xfId="5182"/>
    <cellStyle name="Date format 2 2 2 2" xfId="10515"/>
    <cellStyle name="Date format 2 2 2 2 2" xfId="26101"/>
    <cellStyle name="Date format 2 2 2 3" xfId="10516"/>
    <cellStyle name="Date format 2 2 2 3 2" xfId="10517"/>
    <cellStyle name="Date format 2 2 2 3 2 2" xfId="26103"/>
    <cellStyle name="Date format 2 2 2 3 3" xfId="10518"/>
    <cellStyle name="Date format 2 2 2 3 3 2" xfId="26104"/>
    <cellStyle name="Date format 2 2 2 3 4" xfId="26102"/>
    <cellStyle name="Date format 2 2 2 4" xfId="10519"/>
    <cellStyle name="Date format 2 2 2 4 2" xfId="26105"/>
    <cellStyle name="Date format 2 2 2 5" xfId="21082"/>
    <cellStyle name="Date format 2 2 3" xfId="5183"/>
    <cellStyle name="Date format 2 2 3 2" xfId="10520"/>
    <cellStyle name="Date format 2 2 3 2 2" xfId="26106"/>
    <cellStyle name="Date format 2 2 3 3" xfId="10521"/>
    <cellStyle name="Date format 2 2 3 3 2" xfId="10522"/>
    <cellStyle name="Date format 2 2 3 3 2 2" xfId="26108"/>
    <cellStyle name="Date format 2 2 3 3 3" xfId="10523"/>
    <cellStyle name="Date format 2 2 3 3 3 2" xfId="26109"/>
    <cellStyle name="Date format 2 2 3 3 4" xfId="26107"/>
    <cellStyle name="Date format 2 2 3 4" xfId="10524"/>
    <cellStyle name="Date format 2 2 3 4 2" xfId="26110"/>
    <cellStyle name="Date format 2 2 3 5" xfId="21083"/>
    <cellStyle name="Date format 2 2 4" xfId="10525"/>
    <cellStyle name="Date format 2 2 4 2" xfId="26111"/>
    <cellStyle name="Date format 2 2 5" xfId="10526"/>
    <cellStyle name="Date format 2 2 5 2" xfId="10527"/>
    <cellStyle name="Date format 2 2 5 2 2" xfId="26113"/>
    <cellStyle name="Date format 2 2 5 3" xfId="10528"/>
    <cellStyle name="Date format 2 2 5 3 2" xfId="26114"/>
    <cellStyle name="Date format 2 2 5 4" xfId="26112"/>
    <cellStyle name="Date format 2 2 6" xfId="10529"/>
    <cellStyle name="Date format 2 2 6 2" xfId="26115"/>
    <cellStyle name="Date format 2 2 7" xfId="10530"/>
    <cellStyle name="Date format 2 2 7 2" xfId="10531"/>
    <cellStyle name="Date format 2 2 7 2 2" xfId="26117"/>
    <cellStyle name="Date format 2 2 7 3" xfId="26116"/>
    <cellStyle name="Date format 2 2 8" xfId="20146"/>
    <cellStyle name="Date format 2 3" xfId="10532"/>
    <cellStyle name="Date format 2 3 2" xfId="26118"/>
    <cellStyle name="Date format 2 4" xfId="19733"/>
    <cellStyle name="Date format 3" xfId="2184"/>
    <cellStyle name="Date format 3 2" xfId="3996"/>
    <cellStyle name="Date format 3 2 2" xfId="5184"/>
    <cellStyle name="Date format 3 2 2 2" xfId="10533"/>
    <cellStyle name="Date format 3 2 2 2 2" xfId="26119"/>
    <cellStyle name="Date format 3 2 2 3" xfId="10534"/>
    <cellStyle name="Date format 3 2 2 3 2" xfId="10535"/>
    <cellStyle name="Date format 3 2 2 3 2 2" xfId="26121"/>
    <cellStyle name="Date format 3 2 2 3 3" xfId="10536"/>
    <cellStyle name="Date format 3 2 2 3 3 2" xfId="26122"/>
    <cellStyle name="Date format 3 2 2 3 4" xfId="26120"/>
    <cellStyle name="Date format 3 2 2 4" xfId="10537"/>
    <cellStyle name="Date format 3 2 2 4 2" xfId="26123"/>
    <cellStyle name="Date format 3 2 2 5" xfId="21084"/>
    <cellStyle name="Date format 3 2 3" xfId="5185"/>
    <cellStyle name="Date format 3 2 3 2" xfId="10538"/>
    <cellStyle name="Date format 3 2 3 2 2" xfId="26124"/>
    <cellStyle name="Date format 3 2 3 3" xfId="10539"/>
    <cellStyle name="Date format 3 2 3 3 2" xfId="10540"/>
    <cellStyle name="Date format 3 2 3 3 2 2" xfId="26126"/>
    <cellStyle name="Date format 3 2 3 3 3" xfId="10541"/>
    <cellStyle name="Date format 3 2 3 3 3 2" xfId="26127"/>
    <cellStyle name="Date format 3 2 3 3 4" xfId="26125"/>
    <cellStyle name="Date format 3 2 3 4" xfId="10542"/>
    <cellStyle name="Date format 3 2 3 4 2" xfId="26128"/>
    <cellStyle name="Date format 3 2 3 5" xfId="21085"/>
    <cellStyle name="Date format 3 2 4" xfId="10543"/>
    <cellStyle name="Date format 3 2 4 2" xfId="26129"/>
    <cellStyle name="Date format 3 2 5" xfId="10544"/>
    <cellStyle name="Date format 3 2 5 2" xfId="10545"/>
    <cellStyle name="Date format 3 2 5 2 2" xfId="26131"/>
    <cellStyle name="Date format 3 2 5 3" xfId="10546"/>
    <cellStyle name="Date format 3 2 5 3 2" xfId="26132"/>
    <cellStyle name="Date format 3 2 5 4" xfId="26130"/>
    <cellStyle name="Date format 3 2 6" xfId="10547"/>
    <cellStyle name="Date format 3 2 6 2" xfId="26133"/>
    <cellStyle name="Date format 3 2 7" xfId="10548"/>
    <cellStyle name="Date format 3 2 7 2" xfId="10549"/>
    <cellStyle name="Date format 3 2 7 2 2" xfId="26135"/>
    <cellStyle name="Date format 3 2 7 3" xfId="26134"/>
    <cellStyle name="Date format 3 2 8" xfId="20147"/>
    <cellStyle name="Date format 3 3" xfId="10550"/>
    <cellStyle name="Date format 3 3 2" xfId="26136"/>
    <cellStyle name="Date format 3 4" xfId="19734"/>
    <cellStyle name="Date format 4" xfId="3994"/>
    <cellStyle name="Date format 4 2" xfId="5186"/>
    <cellStyle name="Date format 4 2 2" xfId="10551"/>
    <cellStyle name="Date format 4 2 2 2" xfId="26137"/>
    <cellStyle name="Date format 4 2 3" xfId="10552"/>
    <cellStyle name="Date format 4 2 3 2" xfId="10553"/>
    <cellStyle name="Date format 4 2 3 2 2" xfId="26139"/>
    <cellStyle name="Date format 4 2 3 3" xfId="10554"/>
    <cellStyle name="Date format 4 2 3 3 2" xfId="26140"/>
    <cellStyle name="Date format 4 2 3 4" xfId="26138"/>
    <cellStyle name="Date format 4 2 4" xfId="10555"/>
    <cellStyle name="Date format 4 2 4 2" xfId="26141"/>
    <cellStyle name="Date format 4 2 5" xfId="21086"/>
    <cellStyle name="Date format 4 3" xfId="5187"/>
    <cellStyle name="Date format 4 3 2" xfId="10556"/>
    <cellStyle name="Date format 4 3 2 2" xfId="26142"/>
    <cellStyle name="Date format 4 3 3" xfId="10557"/>
    <cellStyle name="Date format 4 3 3 2" xfId="10558"/>
    <cellStyle name="Date format 4 3 3 2 2" xfId="26144"/>
    <cellStyle name="Date format 4 3 3 3" xfId="10559"/>
    <cellStyle name="Date format 4 3 3 3 2" xfId="26145"/>
    <cellStyle name="Date format 4 3 3 4" xfId="26143"/>
    <cellStyle name="Date format 4 3 4" xfId="10560"/>
    <cellStyle name="Date format 4 3 4 2" xfId="26146"/>
    <cellStyle name="Date format 4 3 5" xfId="21087"/>
    <cellStyle name="Date format 4 4" xfId="10561"/>
    <cellStyle name="Date format 4 4 2" xfId="26147"/>
    <cellStyle name="Date format 4 5" xfId="10562"/>
    <cellStyle name="Date format 4 5 2" xfId="10563"/>
    <cellStyle name="Date format 4 5 2 2" xfId="26149"/>
    <cellStyle name="Date format 4 5 3" xfId="10564"/>
    <cellStyle name="Date format 4 5 3 2" xfId="26150"/>
    <cellStyle name="Date format 4 5 4" xfId="26148"/>
    <cellStyle name="Date format 4 6" xfId="10565"/>
    <cellStyle name="Date format 4 6 2" xfId="26151"/>
    <cellStyle name="Date format 4 7" xfId="10566"/>
    <cellStyle name="Date format 4 7 2" xfId="10567"/>
    <cellStyle name="Date format 4 7 2 2" xfId="26153"/>
    <cellStyle name="Date format 4 7 3" xfId="26152"/>
    <cellStyle name="Date format 4 8" xfId="20145"/>
    <cellStyle name="Date format 5" xfId="10568"/>
    <cellStyle name="Date format 5 2" xfId="26154"/>
    <cellStyle name="Date format 6" xfId="19732"/>
    <cellStyle name="Date Short" xfId="2185"/>
    <cellStyle name="Date_AR GAAP Anexo OPM S.A" xfId="2186"/>
    <cellStyle name="Date1" xfId="2187"/>
    <cellStyle name="Date2" xfId="2188"/>
    <cellStyle name="DateTime" xfId="2189"/>
    <cellStyle name="Date-Time" xfId="2190"/>
    <cellStyle name="DblLineDollarAcct" xfId="2191"/>
    <cellStyle name="DblLinePercent" xfId="2192"/>
    <cellStyle name="DEC1" xfId="2193"/>
    <cellStyle name="DEC1 10" xfId="30204"/>
    <cellStyle name="DEC1 2" xfId="2194"/>
    <cellStyle name="DEC1 2 2" xfId="3944"/>
    <cellStyle name="DEC1 2 2 10" xfId="27393"/>
    <cellStyle name="DEC1 2 2 2" xfId="4589"/>
    <cellStyle name="DEC1 2 2 2 2" xfId="10569"/>
    <cellStyle name="DEC1 2 2 2 2 2" xfId="10570"/>
    <cellStyle name="DEC1 2 2 2 2 2 2" xfId="26156"/>
    <cellStyle name="DEC1 2 2 2 2 2 3" xfId="31455"/>
    <cellStyle name="DEC1 2 2 2 2 3" xfId="10571"/>
    <cellStyle name="DEC1 2 2 2 2 3 2" xfId="26157"/>
    <cellStyle name="DEC1 2 2 2 2 3 3" xfId="31456"/>
    <cellStyle name="DEC1 2 2 2 2 4" xfId="26155"/>
    <cellStyle name="DEC1 2 2 2 2 5" xfId="31454"/>
    <cellStyle name="DEC1 2 2 2 3" xfId="10572"/>
    <cellStyle name="DEC1 2 2 2 3 2" xfId="10573"/>
    <cellStyle name="DEC1 2 2 2 3 2 2" xfId="26159"/>
    <cellStyle name="DEC1 2 2 2 3 2 3" xfId="31458"/>
    <cellStyle name="DEC1 2 2 2 3 3" xfId="10574"/>
    <cellStyle name="DEC1 2 2 2 3 3 2" xfId="26160"/>
    <cellStyle name="DEC1 2 2 2 3 3 3" xfId="31459"/>
    <cellStyle name="DEC1 2 2 2 3 4" xfId="26158"/>
    <cellStyle name="DEC1 2 2 2 3 5" xfId="31457"/>
    <cellStyle name="DEC1 2 2 2 4" xfId="10575"/>
    <cellStyle name="DEC1 2 2 2 4 2" xfId="10576"/>
    <cellStyle name="DEC1 2 2 2 4 2 2" xfId="26162"/>
    <cellStyle name="DEC1 2 2 2 4 2 3" xfId="31461"/>
    <cellStyle name="DEC1 2 2 2 4 3" xfId="10577"/>
    <cellStyle name="DEC1 2 2 2 4 3 2" xfId="26163"/>
    <cellStyle name="DEC1 2 2 2 4 3 3" xfId="31462"/>
    <cellStyle name="DEC1 2 2 2 4 4" xfId="26161"/>
    <cellStyle name="DEC1 2 2 2 4 5" xfId="31460"/>
    <cellStyle name="DEC1 2 2 2 5" xfId="10578"/>
    <cellStyle name="DEC1 2 2 2 5 2" xfId="26164"/>
    <cellStyle name="DEC1 2 2 2 5 3" xfId="31463"/>
    <cellStyle name="DEC1 2 2 2 6" xfId="10579"/>
    <cellStyle name="DEC1 2 2 2 6 2" xfId="26165"/>
    <cellStyle name="DEC1 2 2 2 6 3" xfId="31464"/>
    <cellStyle name="DEC1 2 2 2 7" xfId="20514"/>
    <cellStyle name="DEC1 2 2 2 8" xfId="19837"/>
    <cellStyle name="DEC1 2 2 3" xfId="4640"/>
    <cellStyle name="DEC1 2 2 3 2" xfId="10580"/>
    <cellStyle name="DEC1 2 2 3 2 2" xfId="10581"/>
    <cellStyle name="DEC1 2 2 3 2 2 2" xfId="26167"/>
    <cellStyle name="DEC1 2 2 3 2 2 3" xfId="31466"/>
    <cellStyle name="DEC1 2 2 3 2 3" xfId="10582"/>
    <cellStyle name="DEC1 2 2 3 2 3 2" xfId="26168"/>
    <cellStyle name="DEC1 2 2 3 2 3 3" xfId="31467"/>
    <cellStyle name="DEC1 2 2 3 2 4" xfId="26166"/>
    <cellStyle name="DEC1 2 2 3 2 5" xfId="31465"/>
    <cellStyle name="DEC1 2 2 3 3" xfId="10583"/>
    <cellStyle name="DEC1 2 2 3 3 2" xfId="10584"/>
    <cellStyle name="DEC1 2 2 3 3 2 2" xfId="26170"/>
    <cellStyle name="DEC1 2 2 3 3 2 3" xfId="31469"/>
    <cellStyle name="DEC1 2 2 3 3 3" xfId="10585"/>
    <cellStyle name="DEC1 2 2 3 3 3 2" xfId="26171"/>
    <cellStyle name="DEC1 2 2 3 3 3 3" xfId="31470"/>
    <cellStyle name="DEC1 2 2 3 3 4" xfId="26169"/>
    <cellStyle name="DEC1 2 2 3 3 5" xfId="31468"/>
    <cellStyle name="DEC1 2 2 3 4" xfId="10586"/>
    <cellStyle name="DEC1 2 2 3 4 2" xfId="10587"/>
    <cellStyle name="DEC1 2 2 3 4 2 2" xfId="26173"/>
    <cellStyle name="DEC1 2 2 3 4 2 3" xfId="31472"/>
    <cellStyle name="DEC1 2 2 3 4 3" xfId="10588"/>
    <cellStyle name="DEC1 2 2 3 4 3 2" xfId="26174"/>
    <cellStyle name="DEC1 2 2 3 4 3 3" xfId="31473"/>
    <cellStyle name="DEC1 2 2 3 4 4" xfId="26172"/>
    <cellStyle name="DEC1 2 2 3 4 5" xfId="31471"/>
    <cellStyle name="DEC1 2 2 3 5" xfId="10589"/>
    <cellStyle name="DEC1 2 2 3 5 2" xfId="26175"/>
    <cellStyle name="DEC1 2 2 3 5 3" xfId="31474"/>
    <cellStyle name="DEC1 2 2 3 6" xfId="10590"/>
    <cellStyle name="DEC1 2 2 3 6 2" xfId="26176"/>
    <cellStyle name="DEC1 2 2 3 6 3" xfId="31475"/>
    <cellStyle name="DEC1 2 2 3 7" xfId="20555"/>
    <cellStyle name="DEC1 2 2 3 8" xfId="26833"/>
    <cellStyle name="DEC1 2 2 4" xfId="4666"/>
    <cellStyle name="DEC1 2 2 4 2" xfId="10591"/>
    <cellStyle name="DEC1 2 2 4 2 2" xfId="10592"/>
    <cellStyle name="DEC1 2 2 4 2 2 2" xfId="26178"/>
    <cellStyle name="DEC1 2 2 4 2 2 3" xfId="31477"/>
    <cellStyle name="DEC1 2 2 4 2 3" xfId="10593"/>
    <cellStyle name="DEC1 2 2 4 2 3 2" xfId="26179"/>
    <cellStyle name="DEC1 2 2 4 2 3 3" xfId="31478"/>
    <cellStyle name="DEC1 2 2 4 2 4" xfId="26177"/>
    <cellStyle name="DEC1 2 2 4 2 5" xfId="31476"/>
    <cellStyle name="DEC1 2 2 4 3" xfId="10594"/>
    <cellStyle name="DEC1 2 2 4 3 2" xfId="10595"/>
    <cellStyle name="DEC1 2 2 4 3 2 2" xfId="26181"/>
    <cellStyle name="DEC1 2 2 4 3 2 3" xfId="31480"/>
    <cellStyle name="DEC1 2 2 4 3 3" xfId="10596"/>
    <cellStyle name="DEC1 2 2 4 3 3 2" xfId="26182"/>
    <cellStyle name="DEC1 2 2 4 3 3 3" xfId="31481"/>
    <cellStyle name="DEC1 2 2 4 3 4" xfId="26180"/>
    <cellStyle name="DEC1 2 2 4 3 5" xfId="31479"/>
    <cellStyle name="DEC1 2 2 4 4" xfId="10597"/>
    <cellStyle name="DEC1 2 2 4 4 2" xfId="10598"/>
    <cellStyle name="DEC1 2 2 4 4 2 2" xfId="26184"/>
    <cellStyle name="DEC1 2 2 4 4 2 3" xfId="31483"/>
    <cellStyle name="DEC1 2 2 4 4 3" xfId="10599"/>
    <cellStyle name="DEC1 2 2 4 4 3 2" xfId="26185"/>
    <cellStyle name="DEC1 2 2 4 4 3 3" xfId="31484"/>
    <cellStyle name="DEC1 2 2 4 4 4" xfId="26183"/>
    <cellStyle name="DEC1 2 2 4 4 5" xfId="31482"/>
    <cellStyle name="DEC1 2 2 4 5" xfId="10600"/>
    <cellStyle name="DEC1 2 2 4 5 2" xfId="26186"/>
    <cellStyle name="DEC1 2 2 4 5 3" xfId="31485"/>
    <cellStyle name="DEC1 2 2 4 6" xfId="10601"/>
    <cellStyle name="DEC1 2 2 4 6 2" xfId="26187"/>
    <cellStyle name="DEC1 2 2 4 6 3" xfId="31486"/>
    <cellStyle name="DEC1 2 2 4 7" xfId="20579"/>
    <cellStyle name="DEC1 2 2 4 8" xfId="26827"/>
    <cellStyle name="DEC1 2 2 5" xfId="10602"/>
    <cellStyle name="DEC1 2 2 5 2" xfId="10603"/>
    <cellStyle name="DEC1 2 2 5 2 2" xfId="26189"/>
    <cellStyle name="DEC1 2 2 5 2 3" xfId="31488"/>
    <cellStyle name="DEC1 2 2 5 3" xfId="10604"/>
    <cellStyle name="DEC1 2 2 5 3 2" xfId="26190"/>
    <cellStyle name="DEC1 2 2 5 3 3" xfId="31489"/>
    <cellStyle name="DEC1 2 2 5 4" xfId="26188"/>
    <cellStyle name="DEC1 2 2 5 5" xfId="31487"/>
    <cellStyle name="DEC1 2 2 6" xfId="10605"/>
    <cellStyle name="DEC1 2 2 6 2" xfId="10606"/>
    <cellStyle name="DEC1 2 2 6 2 2" xfId="26192"/>
    <cellStyle name="DEC1 2 2 6 2 3" xfId="31491"/>
    <cellStyle name="DEC1 2 2 6 3" xfId="10607"/>
    <cellStyle name="DEC1 2 2 6 3 2" xfId="26193"/>
    <cellStyle name="DEC1 2 2 6 3 3" xfId="31492"/>
    <cellStyle name="DEC1 2 2 6 4" xfId="26191"/>
    <cellStyle name="DEC1 2 2 6 5" xfId="31490"/>
    <cellStyle name="DEC1 2 2 7" xfId="10608"/>
    <cellStyle name="DEC1 2 2 7 2" xfId="26194"/>
    <cellStyle name="DEC1 2 2 7 3" xfId="31493"/>
    <cellStyle name="DEC1 2 2 8" xfId="10609"/>
    <cellStyle name="DEC1 2 2 8 2" xfId="26195"/>
    <cellStyle name="DEC1 2 2 8 3" xfId="31494"/>
    <cellStyle name="DEC1 2 2 9" xfId="20099"/>
    <cellStyle name="DEC1 2 3" xfId="10610"/>
    <cellStyle name="DEC1 2 3 2" xfId="10611"/>
    <cellStyle name="DEC1 2 3 2 2" xfId="26197"/>
    <cellStyle name="DEC1 2 3 2 3" xfId="31496"/>
    <cellStyle name="DEC1 2 3 3" xfId="10612"/>
    <cellStyle name="DEC1 2 3 3 2" xfId="26198"/>
    <cellStyle name="DEC1 2 3 3 3" xfId="31497"/>
    <cellStyle name="DEC1 2 3 4" xfId="26196"/>
    <cellStyle name="DEC1 2 3 5" xfId="31495"/>
    <cellStyle name="DEC1 2 4" xfId="10613"/>
    <cellStyle name="DEC1 2 4 2" xfId="10614"/>
    <cellStyle name="DEC1 2 4 2 2" xfId="26200"/>
    <cellStyle name="DEC1 2 4 2 3" xfId="31499"/>
    <cellStyle name="DEC1 2 4 3" xfId="10615"/>
    <cellStyle name="DEC1 2 4 3 2" xfId="26201"/>
    <cellStyle name="DEC1 2 4 3 3" xfId="31500"/>
    <cellStyle name="DEC1 2 4 4" xfId="26199"/>
    <cellStyle name="DEC1 2 4 5" xfId="31498"/>
    <cellStyle name="DEC1 2 5" xfId="10616"/>
    <cellStyle name="DEC1 2 5 2" xfId="26202"/>
    <cellStyle name="DEC1 2 5 3" xfId="31501"/>
    <cellStyle name="DEC1 2 6" xfId="10617"/>
    <cellStyle name="DEC1 2 6 2" xfId="26203"/>
    <cellStyle name="DEC1 2 6 3" xfId="31502"/>
    <cellStyle name="DEC1 2 7" xfId="19744"/>
    <cellStyle name="DEC1 2 8" xfId="30203"/>
    <cellStyle name="DEC1 3" xfId="2195"/>
    <cellStyle name="DEC1 3 2" xfId="3945"/>
    <cellStyle name="DEC1 3 2 10" xfId="27392"/>
    <cellStyle name="DEC1 3 2 2" xfId="4590"/>
    <cellStyle name="DEC1 3 2 2 2" xfId="10618"/>
    <cellStyle name="DEC1 3 2 2 2 2" xfId="10619"/>
    <cellStyle name="DEC1 3 2 2 2 2 2" xfId="26205"/>
    <cellStyle name="DEC1 3 2 2 2 2 3" xfId="31504"/>
    <cellStyle name="DEC1 3 2 2 2 3" xfId="10620"/>
    <cellStyle name="DEC1 3 2 2 2 3 2" xfId="26206"/>
    <cellStyle name="DEC1 3 2 2 2 3 3" xfId="31505"/>
    <cellStyle name="DEC1 3 2 2 2 4" xfId="26204"/>
    <cellStyle name="DEC1 3 2 2 2 5" xfId="31503"/>
    <cellStyle name="DEC1 3 2 2 3" xfId="10621"/>
    <cellStyle name="DEC1 3 2 2 3 2" xfId="10622"/>
    <cellStyle name="DEC1 3 2 2 3 2 2" xfId="26208"/>
    <cellStyle name="DEC1 3 2 2 3 2 3" xfId="31507"/>
    <cellStyle name="DEC1 3 2 2 3 3" xfId="10623"/>
    <cellStyle name="DEC1 3 2 2 3 3 2" xfId="26209"/>
    <cellStyle name="DEC1 3 2 2 3 3 3" xfId="31508"/>
    <cellStyle name="DEC1 3 2 2 3 4" xfId="26207"/>
    <cellStyle name="DEC1 3 2 2 3 5" xfId="31506"/>
    <cellStyle name="DEC1 3 2 2 4" xfId="10624"/>
    <cellStyle name="DEC1 3 2 2 4 2" xfId="10625"/>
    <cellStyle name="DEC1 3 2 2 4 2 2" xfId="26211"/>
    <cellStyle name="DEC1 3 2 2 4 2 3" xfId="31510"/>
    <cellStyle name="DEC1 3 2 2 4 3" xfId="10626"/>
    <cellStyle name="DEC1 3 2 2 4 3 2" xfId="26212"/>
    <cellStyle name="DEC1 3 2 2 4 3 3" xfId="31511"/>
    <cellStyle name="DEC1 3 2 2 4 4" xfId="26210"/>
    <cellStyle name="DEC1 3 2 2 4 5" xfId="31509"/>
    <cellStyle name="DEC1 3 2 2 5" xfId="10627"/>
    <cellStyle name="DEC1 3 2 2 5 2" xfId="26213"/>
    <cellStyle name="DEC1 3 2 2 5 3" xfId="31512"/>
    <cellStyle name="DEC1 3 2 2 6" xfId="10628"/>
    <cellStyle name="DEC1 3 2 2 6 2" xfId="26214"/>
    <cellStyle name="DEC1 3 2 2 6 3" xfId="31513"/>
    <cellStyle name="DEC1 3 2 2 7" xfId="20515"/>
    <cellStyle name="DEC1 3 2 2 8" xfId="19836"/>
    <cellStyle name="DEC1 3 2 3" xfId="4641"/>
    <cellStyle name="DEC1 3 2 3 2" xfId="10629"/>
    <cellStyle name="DEC1 3 2 3 2 2" xfId="10630"/>
    <cellStyle name="DEC1 3 2 3 2 2 2" xfId="26216"/>
    <cellStyle name="DEC1 3 2 3 2 2 3" xfId="31515"/>
    <cellStyle name="DEC1 3 2 3 2 3" xfId="10631"/>
    <cellStyle name="DEC1 3 2 3 2 3 2" xfId="26217"/>
    <cellStyle name="DEC1 3 2 3 2 3 3" xfId="31516"/>
    <cellStyle name="DEC1 3 2 3 2 4" xfId="26215"/>
    <cellStyle name="DEC1 3 2 3 2 5" xfId="31514"/>
    <cellStyle name="DEC1 3 2 3 3" xfId="10632"/>
    <cellStyle name="DEC1 3 2 3 3 2" xfId="10633"/>
    <cellStyle name="DEC1 3 2 3 3 2 2" xfId="26219"/>
    <cellStyle name="DEC1 3 2 3 3 2 3" xfId="31518"/>
    <cellStyle name="DEC1 3 2 3 3 3" xfId="10634"/>
    <cellStyle name="DEC1 3 2 3 3 3 2" xfId="26220"/>
    <cellStyle name="DEC1 3 2 3 3 3 3" xfId="31519"/>
    <cellStyle name="DEC1 3 2 3 3 4" xfId="26218"/>
    <cellStyle name="DEC1 3 2 3 3 5" xfId="31517"/>
    <cellStyle name="DEC1 3 2 3 4" xfId="10635"/>
    <cellStyle name="DEC1 3 2 3 4 2" xfId="10636"/>
    <cellStyle name="DEC1 3 2 3 4 2 2" xfId="26222"/>
    <cellStyle name="DEC1 3 2 3 4 2 3" xfId="31521"/>
    <cellStyle name="DEC1 3 2 3 4 3" xfId="10637"/>
    <cellStyle name="DEC1 3 2 3 4 3 2" xfId="26223"/>
    <cellStyle name="DEC1 3 2 3 4 3 3" xfId="31522"/>
    <cellStyle name="DEC1 3 2 3 4 4" xfId="26221"/>
    <cellStyle name="DEC1 3 2 3 4 5" xfId="31520"/>
    <cellStyle name="DEC1 3 2 3 5" xfId="10638"/>
    <cellStyle name="DEC1 3 2 3 5 2" xfId="26224"/>
    <cellStyle name="DEC1 3 2 3 5 3" xfId="31523"/>
    <cellStyle name="DEC1 3 2 3 6" xfId="10639"/>
    <cellStyle name="DEC1 3 2 3 6 2" xfId="26225"/>
    <cellStyle name="DEC1 3 2 3 6 3" xfId="31524"/>
    <cellStyle name="DEC1 3 2 3 7" xfId="20556"/>
    <cellStyle name="DEC1 3 2 3 8" xfId="26832"/>
    <cellStyle name="DEC1 3 2 4" xfId="4667"/>
    <cellStyle name="DEC1 3 2 4 2" xfId="10640"/>
    <cellStyle name="DEC1 3 2 4 2 2" xfId="10641"/>
    <cellStyle name="DEC1 3 2 4 2 2 2" xfId="26227"/>
    <cellStyle name="DEC1 3 2 4 2 2 3" xfId="31526"/>
    <cellStyle name="DEC1 3 2 4 2 3" xfId="10642"/>
    <cellStyle name="DEC1 3 2 4 2 3 2" xfId="26228"/>
    <cellStyle name="DEC1 3 2 4 2 3 3" xfId="31527"/>
    <cellStyle name="DEC1 3 2 4 2 4" xfId="26226"/>
    <cellStyle name="DEC1 3 2 4 2 5" xfId="31525"/>
    <cellStyle name="DEC1 3 2 4 3" xfId="10643"/>
    <cellStyle name="DEC1 3 2 4 3 2" xfId="10644"/>
    <cellStyle name="DEC1 3 2 4 3 2 2" xfId="26230"/>
    <cellStyle name="DEC1 3 2 4 3 2 3" xfId="31529"/>
    <cellStyle name="DEC1 3 2 4 3 3" xfId="10645"/>
    <cellStyle name="DEC1 3 2 4 3 3 2" xfId="26231"/>
    <cellStyle name="DEC1 3 2 4 3 3 3" xfId="31530"/>
    <cellStyle name="DEC1 3 2 4 3 4" xfId="26229"/>
    <cellStyle name="DEC1 3 2 4 3 5" xfId="31528"/>
    <cellStyle name="DEC1 3 2 4 4" xfId="10646"/>
    <cellStyle name="DEC1 3 2 4 4 2" xfId="10647"/>
    <cellStyle name="DEC1 3 2 4 4 2 2" xfId="26233"/>
    <cellStyle name="DEC1 3 2 4 4 2 3" xfId="31532"/>
    <cellStyle name="DEC1 3 2 4 4 3" xfId="10648"/>
    <cellStyle name="DEC1 3 2 4 4 3 2" xfId="26234"/>
    <cellStyle name="DEC1 3 2 4 4 3 3" xfId="31533"/>
    <cellStyle name="DEC1 3 2 4 4 4" xfId="26232"/>
    <cellStyle name="DEC1 3 2 4 4 5" xfId="31531"/>
    <cellStyle name="DEC1 3 2 4 5" xfId="10649"/>
    <cellStyle name="DEC1 3 2 4 5 2" xfId="26235"/>
    <cellStyle name="DEC1 3 2 4 5 3" xfId="31534"/>
    <cellStyle name="DEC1 3 2 4 6" xfId="10650"/>
    <cellStyle name="DEC1 3 2 4 6 2" xfId="26236"/>
    <cellStyle name="DEC1 3 2 4 6 3" xfId="31535"/>
    <cellStyle name="DEC1 3 2 4 7" xfId="20580"/>
    <cellStyle name="DEC1 3 2 4 8" xfId="26826"/>
    <cellStyle name="DEC1 3 2 5" xfId="10651"/>
    <cellStyle name="DEC1 3 2 5 2" xfId="10652"/>
    <cellStyle name="DEC1 3 2 5 2 2" xfId="26238"/>
    <cellStyle name="DEC1 3 2 5 2 3" xfId="31537"/>
    <cellStyle name="DEC1 3 2 5 3" xfId="10653"/>
    <cellStyle name="DEC1 3 2 5 3 2" xfId="26239"/>
    <cellStyle name="DEC1 3 2 5 3 3" xfId="31538"/>
    <cellStyle name="DEC1 3 2 5 4" xfId="26237"/>
    <cellStyle name="DEC1 3 2 5 5" xfId="31536"/>
    <cellStyle name="DEC1 3 2 6" xfId="10654"/>
    <cellStyle name="DEC1 3 2 6 2" xfId="10655"/>
    <cellStyle name="DEC1 3 2 6 2 2" xfId="26241"/>
    <cellStyle name="DEC1 3 2 6 2 3" xfId="31540"/>
    <cellStyle name="DEC1 3 2 6 3" xfId="10656"/>
    <cellStyle name="DEC1 3 2 6 3 2" xfId="26242"/>
    <cellStyle name="DEC1 3 2 6 3 3" xfId="31541"/>
    <cellStyle name="DEC1 3 2 6 4" xfId="26240"/>
    <cellStyle name="DEC1 3 2 6 5" xfId="31539"/>
    <cellStyle name="DEC1 3 2 7" xfId="10657"/>
    <cellStyle name="DEC1 3 2 7 2" xfId="26243"/>
    <cellStyle name="DEC1 3 2 7 3" xfId="31542"/>
    <cellStyle name="DEC1 3 2 8" xfId="10658"/>
    <cellStyle name="DEC1 3 2 8 2" xfId="26244"/>
    <cellStyle name="DEC1 3 2 8 3" xfId="31543"/>
    <cellStyle name="DEC1 3 2 9" xfId="20100"/>
    <cellStyle name="DEC1 3 3" xfId="10659"/>
    <cellStyle name="DEC1 3 3 2" xfId="10660"/>
    <cellStyle name="DEC1 3 3 2 2" xfId="26246"/>
    <cellStyle name="DEC1 3 3 2 3" xfId="31545"/>
    <cellStyle name="DEC1 3 3 3" xfId="10661"/>
    <cellStyle name="DEC1 3 3 3 2" xfId="26247"/>
    <cellStyle name="DEC1 3 3 3 3" xfId="31546"/>
    <cellStyle name="DEC1 3 3 4" xfId="26245"/>
    <cellStyle name="DEC1 3 3 5" xfId="31544"/>
    <cellStyle name="DEC1 3 4" xfId="10662"/>
    <cellStyle name="DEC1 3 4 2" xfId="10663"/>
    <cellStyle name="DEC1 3 4 2 2" xfId="26249"/>
    <cellStyle name="DEC1 3 4 2 3" xfId="31548"/>
    <cellStyle name="DEC1 3 4 3" xfId="10664"/>
    <cellStyle name="DEC1 3 4 3 2" xfId="26250"/>
    <cellStyle name="DEC1 3 4 3 3" xfId="31549"/>
    <cellStyle name="DEC1 3 4 4" xfId="26248"/>
    <cellStyle name="DEC1 3 4 5" xfId="31547"/>
    <cellStyle name="DEC1 3 5" xfId="10665"/>
    <cellStyle name="DEC1 3 5 2" xfId="26251"/>
    <cellStyle name="DEC1 3 5 3" xfId="31550"/>
    <cellStyle name="DEC1 3 6" xfId="10666"/>
    <cellStyle name="DEC1 3 6 2" xfId="26252"/>
    <cellStyle name="DEC1 3 6 3" xfId="31551"/>
    <cellStyle name="DEC1 3 7" xfId="19745"/>
    <cellStyle name="DEC1 3 8" xfId="30202"/>
    <cellStyle name="DEC1 4" xfId="3943"/>
    <cellStyle name="DEC1 4 10" xfId="27394"/>
    <cellStyle name="DEC1 4 2" xfId="4588"/>
    <cellStyle name="DEC1 4 2 2" xfId="10667"/>
    <cellStyle name="DEC1 4 2 2 2" xfId="10668"/>
    <cellStyle name="DEC1 4 2 2 2 2" xfId="26254"/>
    <cellStyle name="DEC1 4 2 2 2 3" xfId="31553"/>
    <cellStyle name="DEC1 4 2 2 3" xfId="10669"/>
    <cellStyle name="DEC1 4 2 2 3 2" xfId="26255"/>
    <cellStyle name="DEC1 4 2 2 3 3" xfId="31554"/>
    <cellStyle name="DEC1 4 2 2 4" xfId="26253"/>
    <cellStyle name="DEC1 4 2 2 5" xfId="31552"/>
    <cellStyle name="DEC1 4 2 3" xfId="10670"/>
    <cellStyle name="DEC1 4 2 3 2" xfId="10671"/>
    <cellStyle name="DEC1 4 2 3 2 2" xfId="26257"/>
    <cellStyle name="DEC1 4 2 3 2 3" xfId="31556"/>
    <cellStyle name="DEC1 4 2 3 3" xfId="10672"/>
    <cellStyle name="DEC1 4 2 3 3 2" xfId="26258"/>
    <cellStyle name="DEC1 4 2 3 3 3" xfId="31557"/>
    <cellStyle name="DEC1 4 2 3 4" xfId="26256"/>
    <cellStyle name="DEC1 4 2 3 5" xfId="31555"/>
    <cellStyle name="DEC1 4 2 4" xfId="10673"/>
    <cellStyle name="DEC1 4 2 4 2" xfId="10674"/>
    <cellStyle name="DEC1 4 2 4 2 2" xfId="26260"/>
    <cellStyle name="DEC1 4 2 4 2 3" xfId="31559"/>
    <cellStyle name="DEC1 4 2 4 3" xfId="10675"/>
    <cellStyle name="DEC1 4 2 4 3 2" xfId="26261"/>
    <cellStyle name="DEC1 4 2 4 3 3" xfId="31560"/>
    <cellStyle name="DEC1 4 2 4 4" xfId="26259"/>
    <cellStyle name="DEC1 4 2 4 5" xfId="31558"/>
    <cellStyle name="DEC1 4 2 5" xfId="10676"/>
    <cellStyle name="DEC1 4 2 5 2" xfId="26262"/>
    <cellStyle name="DEC1 4 2 5 3" xfId="31561"/>
    <cellStyle name="DEC1 4 2 6" xfId="10677"/>
    <cellStyle name="DEC1 4 2 6 2" xfId="26263"/>
    <cellStyle name="DEC1 4 2 6 3" xfId="31562"/>
    <cellStyle name="DEC1 4 2 7" xfId="20513"/>
    <cellStyle name="DEC1 4 2 8" xfId="19838"/>
    <cellStyle name="DEC1 4 3" xfId="4639"/>
    <cellStyle name="DEC1 4 3 2" xfId="10678"/>
    <cellStyle name="DEC1 4 3 2 2" xfId="10679"/>
    <cellStyle name="DEC1 4 3 2 2 2" xfId="26265"/>
    <cellStyle name="DEC1 4 3 2 2 3" xfId="31564"/>
    <cellStyle name="DEC1 4 3 2 3" xfId="10680"/>
    <cellStyle name="DEC1 4 3 2 3 2" xfId="26266"/>
    <cellStyle name="DEC1 4 3 2 3 3" xfId="31565"/>
    <cellStyle name="DEC1 4 3 2 4" xfId="26264"/>
    <cellStyle name="DEC1 4 3 2 5" xfId="31563"/>
    <cellStyle name="DEC1 4 3 3" xfId="10681"/>
    <cellStyle name="DEC1 4 3 3 2" xfId="10682"/>
    <cellStyle name="DEC1 4 3 3 2 2" xfId="26268"/>
    <cellStyle name="DEC1 4 3 3 2 3" xfId="31567"/>
    <cellStyle name="DEC1 4 3 3 3" xfId="10683"/>
    <cellStyle name="DEC1 4 3 3 3 2" xfId="26269"/>
    <cellStyle name="DEC1 4 3 3 3 3" xfId="31568"/>
    <cellStyle name="DEC1 4 3 3 4" xfId="26267"/>
    <cellStyle name="DEC1 4 3 3 5" xfId="31566"/>
    <cellStyle name="DEC1 4 3 4" xfId="10684"/>
    <cellStyle name="DEC1 4 3 4 2" xfId="10685"/>
    <cellStyle name="DEC1 4 3 4 2 2" xfId="26271"/>
    <cellStyle name="DEC1 4 3 4 2 3" xfId="31570"/>
    <cellStyle name="DEC1 4 3 4 3" xfId="10686"/>
    <cellStyle name="DEC1 4 3 4 3 2" xfId="26272"/>
    <cellStyle name="DEC1 4 3 4 3 3" xfId="31571"/>
    <cellStyle name="DEC1 4 3 4 4" xfId="26270"/>
    <cellStyle name="DEC1 4 3 4 5" xfId="31569"/>
    <cellStyle name="DEC1 4 3 5" xfId="10687"/>
    <cellStyle name="DEC1 4 3 5 2" xfId="26273"/>
    <cellStyle name="DEC1 4 3 5 3" xfId="31572"/>
    <cellStyle name="DEC1 4 3 6" xfId="10688"/>
    <cellStyle name="DEC1 4 3 6 2" xfId="26274"/>
    <cellStyle name="DEC1 4 3 6 3" xfId="31573"/>
    <cellStyle name="DEC1 4 3 7" xfId="20554"/>
    <cellStyle name="DEC1 4 3 8" xfId="26834"/>
    <cellStyle name="DEC1 4 4" xfId="4665"/>
    <cellStyle name="DEC1 4 4 2" xfId="10689"/>
    <cellStyle name="DEC1 4 4 2 2" xfId="10690"/>
    <cellStyle name="DEC1 4 4 2 2 2" xfId="26276"/>
    <cellStyle name="DEC1 4 4 2 2 3" xfId="31575"/>
    <cellStyle name="DEC1 4 4 2 3" xfId="10691"/>
    <cellStyle name="DEC1 4 4 2 3 2" xfId="26277"/>
    <cellStyle name="DEC1 4 4 2 3 3" xfId="31576"/>
    <cellStyle name="DEC1 4 4 2 4" xfId="26275"/>
    <cellStyle name="DEC1 4 4 2 5" xfId="31574"/>
    <cellStyle name="DEC1 4 4 3" xfId="10692"/>
    <cellStyle name="DEC1 4 4 3 2" xfId="10693"/>
    <cellStyle name="DEC1 4 4 3 2 2" xfId="26279"/>
    <cellStyle name="DEC1 4 4 3 2 3" xfId="31578"/>
    <cellStyle name="DEC1 4 4 3 3" xfId="10694"/>
    <cellStyle name="DEC1 4 4 3 3 2" xfId="26280"/>
    <cellStyle name="DEC1 4 4 3 3 3" xfId="31579"/>
    <cellStyle name="DEC1 4 4 3 4" xfId="26278"/>
    <cellStyle name="DEC1 4 4 3 5" xfId="31577"/>
    <cellStyle name="DEC1 4 4 4" xfId="10695"/>
    <cellStyle name="DEC1 4 4 4 2" xfId="10696"/>
    <cellStyle name="DEC1 4 4 4 2 2" xfId="26282"/>
    <cellStyle name="DEC1 4 4 4 2 3" xfId="31581"/>
    <cellStyle name="DEC1 4 4 4 3" xfId="10697"/>
    <cellStyle name="DEC1 4 4 4 3 2" xfId="26283"/>
    <cellStyle name="DEC1 4 4 4 3 3" xfId="31582"/>
    <cellStyle name="DEC1 4 4 4 4" xfId="26281"/>
    <cellStyle name="DEC1 4 4 4 5" xfId="31580"/>
    <cellStyle name="DEC1 4 4 5" xfId="10698"/>
    <cellStyle name="DEC1 4 4 5 2" xfId="26284"/>
    <cellStyle name="DEC1 4 4 5 3" xfId="31583"/>
    <cellStyle name="DEC1 4 4 6" xfId="10699"/>
    <cellStyle name="DEC1 4 4 6 2" xfId="26285"/>
    <cellStyle name="DEC1 4 4 6 3" xfId="31584"/>
    <cellStyle name="DEC1 4 4 7" xfId="20578"/>
    <cellStyle name="DEC1 4 4 8" xfId="20344"/>
    <cellStyle name="DEC1 4 5" xfId="10700"/>
    <cellStyle name="DEC1 4 5 2" xfId="10701"/>
    <cellStyle name="DEC1 4 5 2 2" xfId="26287"/>
    <cellStyle name="DEC1 4 5 2 3" xfId="31586"/>
    <cellStyle name="DEC1 4 5 3" xfId="10702"/>
    <cellStyle name="DEC1 4 5 3 2" xfId="26288"/>
    <cellStyle name="DEC1 4 5 3 3" xfId="31587"/>
    <cellStyle name="DEC1 4 5 4" xfId="26286"/>
    <cellStyle name="DEC1 4 5 5" xfId="31585"/>
    <cellStyle name="DEC1 4 6" xfId="10703"/>
    <cellStyle name="DEC1 4 6 2" xfId="10704"/>
    <cellStyle name="DEC1 4 6 2 2" xfId="26290"/>
    <cellStyle name="DEC1 4 6 2 3" xfId="31589"/>
    <cellStyle name="DEC1 4 6 3" xfId="10705"/>
    <cellStyle name="DEC1 4 6 3 2" xfId="26291"/>
    <cellStyle name="DEC1 4 6 3 3" xfId="31590"/>
    <cellStyle name="DEC1 4 6 4" xfId="26289"/>
    <cellStyle name="DEC1 4 6 5" xfId="31588"/>
    <cellStyle name="DEC1 4 7" xfId="10706"/>
    <cellStyle name="DEC1 4 7 2" xfId="26292"/>
    <cellStyle name="DEC1 4 7 3" xfId="31591"/>
    <cellStyle name="DEC1 4 8" xfId="10707"/>
    <cellStyle name="DEC1 4 8 2" xfId="26293"/>
    <cellStyle name="DEC1 4 8 3" xfId="31592"/>
    <cellStyle name="DEC1 4 9" xfId="20098"/>
    <cellStyle name="DEC1 5" xfId="10708"/>
    <cellStyle name="DEC1 5 2" xfId="10709"/>
    <cellStyle name="DEC1 5 2 2" xfId="26295"/>
    <cellStyle name="DEC1 5 2 3" xfId="31594"/>
    <cellStyle name="DEC1 5 3" xfId="10710"/>
    <cellStyle name="DEC1 5 3 2" xfId="26296"/>
    <cellStyle name="DEC1 5 3 3" xfId="31595"/>
    <cellStyle name="DEC1 5 4" xfId="26294"/>
    <cellStyle name="DEC1 5 5" xfId="31593"/>
    <cellStyle name="DEC1 6" xfId="10711"/>
    <cellStyle name="DEC1 6 2" xfId="10712"/>
    <cellStyle name="DEC1 6 2 2" xfId="26298"/>
    <cellStyle name="DEC1 6 2 3" xfId="31597"/>
    <cellStyle name="DEC1 6 3" xfId="10713"/>
    <cellStyle name="DEC1 6 3 2" xfId="26299"/>
    <cellStyle name="DEC1 6 3 3" xfId="31598"/>
    <cellStyle name="DEC1 6 4" xfId="26297"/>
    <cellStyle name="DEC1 6 5" xfId="31596"/>
    <cellStyle name="DEC1 7" xfId="10714"/>
    <cellStyle name="DEC1 7 2" xfId="26300"/>
    <cellStyle name="DEC1 7 3" xfId="31599"/>
    <cellStyle name="DEC1 8" xfId="10715"/>
    <cellStyle name="DEC1 8 2" xfId="26301"/>
    <cellStyle name="DEC1 8 3" xfId="31600"/>
    <cellStyle name="DEC1 9" xfId="19743"/>
    <cellStyle name="Decimal 1" xfId="2196"/>
    <cellStyle name="Decimal 2" xfId="2197"/>
    <cellStyle name="Decimal 3" xfId="2198"/>
    <cellStyle name="DecimalOne" xfId="2199"/>
    <cellStyle name="DELTA" xfId="2200"/>
    <cellStyle name="DESCRIÇÃO" xfId="2201"/>
    <cellStyle name="DESCRIÇÃO 2" xfId="2202"/>
    <cellStyle name="DESCRIÇÃO 2 2" xfId="3947"/>
    <cellStyle name="DESCRIÇÃO 2 2 10" xfId="27391"/>
    <cellStyle name="DESCRIÇÃO 2 2 2" xfId="4622"/>
    <cellStyle name="DESCRIÇÃO 2 2 2 2" xfId="10716"/>
    <cellStyle name="DESCRIÇÃO 2 2 2 2 2" xfId="10717"/>
    <cellStyle name="DESCRIÇÃO 2 2 2 2 2 2" xfId="31602"/>
    <cellStyle name="DESCRIÇÃO 2 2 2 2 3" xfId="10718"/>
    <cellStyle name="DESCRIÇÃO 2 2 2 2 3 2" xfId="31603"/>
    <cellStyle name="DESCRIÇÃO 2 2 2 2 4" xfId="31601"/>
    <cellStyle name="DESCRIÇÃO 2 2 2 3" xfId="10719"/>
    <cellStyle name="DESCRIÇÃO 2 2 2 3 2" xfId="10720"/>
    <cellStyle name="DESCRIÇÃO 2 2 2 3 2 2" xfId="31605"/>
    <cellStyle name="DESCRIÇÃO 2 2 2 3 3" xfId="10721"/>
    <cellStyle name="DESCRIÇÃO 2 2 2 3 3 2" xfId="31606"/>
    <cellStyle name="DESCRIÇÃO 2 2 2 3 4" xfId="31604"/>
    <cellStyle name="DESCRIÇÃO 2 2 2 4" xfId="10722"/>
    <cellStyle name="DESCRIÇÃO 2 2 2 4 2" xfId="10723"/>
    <cellStyle name="DESCRIÇÃO 2 2 2 4 2 2" xfId="31608"/>
    <cellStyle name="DESCRIÇÃO 2 2 2 4 3" xfId="10724"/>
    <cellStyle name="DESCRIÇÃO 2 2 2 4 3 2" xfId="31609"/>
    <cellStyle name="DESCRIÇÃO 2 2 2 4 4" xfId="31607"/>
    <cellStyle name="DESCRIÇÃO 2 2 2 5" xfId="10725"/>
    <cellStyle name="DESCRIÇÃO 2 2 2 5 2" xfId="10726"/>
    <cellStyle name="DESCRIÇÃO 2 2 2 5 2 2" xfId="31611"/>
    <cellStyle name="DESCRIÇÃO 2 2 2 5 3" xfId="10727"/>
    <cellStyle name="DESCRIÇÃO 2 2 2 5 3 2" xfId="31612"/>
    <cellStyle name="DESCRIÇÃO 2 2 2 5 4" xfId="31610"/>
    <cellStyle name="DESCRIÇÃO 2 2 2 6" xfId="10728"/>
    <cellStyle name="DESCRIÇÃO 2 2 2 6 2" xfId="31613"/>
    <cellStyle name="DESCRIÇÃO 2 2 2 7" xfId="10729"/>
    <cellStyle name="DESCRIÇÃO 2 2 2 7 2" xfId="31614"/>
    <cellStyle name="DESCRIÇÃO 2 2 2 8" xfId="19830"/>
    <cellStyle name="DESCRIÇÃO 2 2 3" xfId="4652"/>
    <cellStyle name="DESCRIÇÃO 2 2 3 2" xfId="10730"/>
    <cellStyle name="DESCRIÇÃO 2 2 3 2 2" xfId="10731"/>
    <cellStyle name="DESCRIÇÃO 2 2 3 2 2 2" xfId="31616"/>
    <cellStyle name="DESCRIÇÃO 2 2 3 2 3" xfId="10732"/>
    <cellStyle name="DESCRIÇÃO 2 2 3 2 3 2" xfId="31617"/>
    <cellStyle name="DESCRIÇÃO 2 2 3 2 4" xfId="31615"/>
    <cellStyle name="DESCRIÇÃO 2 2 3 3" xfId="10733"/>
    <cellStyle name="DESCRIÇÃO 2 2 3 3 2" xfId="10734"/>
    <cellStyle name="DESCRIÇÃO 2 2 3 3 2 2" xfId="31619"/>
    <cellStyle name="DESCRIÇÃO 2 2 3 3 3" xfId="10735"/>
    <cellStyle name="DESCRIÇÃO 2 2 3 3 3 2" xfId="31620"/>
    <cellStyle name="DESCRIÇÃO 2 2 3 3 4" xfId="31618"/>
    <cellStyle name="DESCRIÇÃO 2 2 3 4" xfId="10736"/>
    <cellStyle name="DESCRIÇÃO 2 2 3 4 2" xfId="10737"/>
    <cellStyle name="DESCRIÇÃO 2 2 3 4 2 2" xfId="31622"/>
    <cellStyle name="DESCRIÇÃO 2 2 3 4 3" xfId="10738"/>
    <cellStyle name="DESCRIÇÃO 2 2 3 4 3 2" xfId="31623"/>
    <cellStyle name="DESCRIÇÃO 2 2 3 4 4" xfId="31621"/>
    <cellStyle name="DESCRIÇÃO 2 2 3 5" xfId="10739"/>
    <cellStyle name="DESCRIÇÃO 2 2 3 5 2" xfId="10740"/>
    <cellStyle name="DESCRIÇÃO 2 2 3 5 2 2" xfId="31625"/>
    <cellStyle name="DESCRIÇÃO 2 2 3 5 3" xfId="10741"/>
    <cellStyle name="DESCRIÇÃO 2 2 3 5 3 2" xfId="31626"/>
    <cellStyle name="DESCRIÇÃO 2 2 3 5 4" xfId="31624"/>
    <cellStyle name="DESCRIÇÃO 2 2 3 6" xfId="10742"/>
    <cellStyle name="DESCRIÇÃO 2 2 3 6 2" xfId="31627"/>
    <cellStyle name="DESCRIÇÃO 2 2 3 7" xfId="10743"/>
    <cellStyle name="DESCRIÇÃO 2 2 3 7 2" xfId="31628"/>
    <cellStyle name="DESCRIÇÃO 2 2 3 8" xfId="26829"/>
    <cellStyle name="DESCRIÇÃO 2 2 4" xfId="5188"/>
    <cellStyle name="DESCRIÇÃO 2 2 4 2" xfId="10744"/>
    <cellStyle name="DESCRIÇÃO 2 2 4 2 2" xfId="10745"/>
    <cellStyle name="DESCRIÇÃO 2 2 4 2 2 2" xfId="31630"/>
    <cellStyle name="DESCRIÇÃO 2 2 4 2 3" xfId="10746"/>
    <cellStyle name="DESCRIÇÃO 2 2 4 2 3 2" xfId="31631"/>
    <cellStyle name="DESCRIÇÃO 2 2 4 2 4" xfId="31629"/>
    <cellStyle name="DESCRIÇÃO 2 2 4 3" xfId="10747"/>
    <cellStyle name="DESCRIÇÃO 2 2 4 3 2" xfId="10748"/>
    <cellStyle name="DESCRIÇÃO 2 2 4 3 2 2" xfId="31633"/>
    <cellStyle name="DESCRIÇÃO 2 2 4 3 3" xfId="10749"/>
    <cellStyle name="DESCRIÇÃO 2 2 4 3 3 2" xfId="31634"/>
    <cellStyle name="DESCRIÇÃO 2 2 4 3 4" xfId="31632"/>
    <cellStyle name="DESCRIÇÃO 2 2 4 4" xfId="10750"/>
    <cellStyle name="DESCRIÇÃO 2 2 4 4 2" xfId="10751"/>
    <cellStyle name="DESCRIÇÃO 2 2 4 4 2 2" xfId="31636"/>
    <cellStyle name="DESCRIÇÃO 2 2 4 4 3" xfId="10752"/>
    <cellStyle name="DESCRIÇÃO 2 2 4 4 3 2" xfId="31637"/>
    <cellStyle name="DESCRIÇÃO 2 2 4 4 4" xfId="31635"/>
    <cellStyle name="DESCRIÇÃO 2 2 4 5" xfId="10753"/>
    <cellStyle name="DESCRIÇÃO 2 2 4 5 2" xfId="10754"/>
    <cellStyle name="DESCRIÇÃO 2 2 4 5 2 2" xfId="31639"/>
    <cellStyle name="DESCRIÇÃO 2 2 4 5 3" xfId="10755"/>
    <cellStyle name="DESCRIÇÃO 2 2 4 5 3 2" xfId="31640"/>
    <cellStyle name="DESCRIÇÃO 2 2 4 5 4" xfId="31638"/>
    <cellStyle name="DESCRIÇÃO 2 2 4 6" xfId="10756"/>
    <cellStyle name="DESCRIÇÃO 2 2 4 6 2" xfId="31641"/>
    <cellStyle name="DESCRIÇÃO 2 2 4 7" xfId="10757"/>
    <cellStyle name="DESCRIÇÃO 2 2 4 7 2" xfId="31642"/>
    <cellStyle name="DESCRIÇÃO 2 2 4 8" xfId="26498"/>
    <cellStyle name="DESCRIÇÃO 2 2 5" xfId="10758"/>
    <cellStyle name="DESCRIÇÃO 2 2 5 2" xfId="10759"/>
    <cellStyle name="DESCRIÇÃO 2 2 5 2 2" xfId="31644"/>
    <cellStyle name="DESCRIÇÃO 2 2 5 3" xfId="10760"/>
    <cellStyle name="DESCRIÇÃO 2 2 5 3 2" xfId="31645"/>
    <cellStyle name="DESCRIÇÃO 2 2 5 4" xfId="31643"/>
    <cellStyle name="DESCRIÇÃO 2 2 6" xfId="10761"/>
    <cellStyle name="DESCRIÇÃO 2 2 6 2" xfId="10762"/>
    <cellStyle name="DESCRIÇÃO 2 2 6 2 2" xfId="31647"/>
    <cellStyle name="DESCRIÇÃO 2 2 6 3" xfId="10763"/>
    <cellStyle name="DESCRIÇÃO 2 2 6 3 2" xfId="31648"/>
    <cellStyle name="DESCRIÇÃO 2 2 6 4" xfId="31646"/>
    <cellStyle name="DESCRIÇÃO 2 2 7" xfId="10764"/>
    <cellStyle name="DESCRIÇÃO 2 2 7 2" xfId="10765"/>
    <cellStyle name="DESCRIÇÃO 2 2 7 2 2" xfId="31650"/>
    <cellStyle name="DESCRIÇÃO 2 2 7 3" xfId="10766"/>
    <cellStyle name="DESCRIÇÃO 2 2 7 3 2" xfId="31651"/>
    <cellStyle name="DESCRIÇÃO 2 2 7 4" xfId="31649"/>
    <cellStyle name="DESCRIÇÃO 2 2 8" xfId="10767"/>
    <cellStyle name="DESCRIÇÃO 2 2 8 2" xfId="31652"/>
    <cellStyle name="DESCRIÇÃO 2 2 9" xfId="10768"/>
    <cellStyle name="DESCRIÇÃO 2 2 9 2" xfId="31653"/>
    <cellStyle name="DESCRIÇÃO 2 3" xfId="4311"/>
    <cellStyle name="DESCRIÇÃO 2 3 2" xfId="10769"/>
    <cellStyle name="DESCRIÇÃO 2 3 2 2" xfId="10770"/>
    <cellStyle name="DESCRIÇÃO 2 3 2 2 2" xfId="31655"/>
    <cellStyle name="DESCRIÇÃO 2 3 2 3" xfId="10771"/>
    <cellStyle name="DESCRIÇÃO 2 3 2 3 2" xfId="31656"/>
    <cellStyle name="DESCRIÇÃO 2 3 2 4" xfId="31654"/>
    <cellStyle name="DESCRIÇÃO 2 3 3" xfId="10772"/>
    <cellStyle name="DESCRIÇÃO 2 3 3 2" xfId="10773"/>
    <cellStyle name="DESCRIÇÃO 2 3 3 2 2" xfId="31658"/>
    <cellStyle name="DESCRIÇÃO 2 3 3 3" xfId="10774"/>
    <cellStyle name="DESCRIÇÃO 2 3 3 3 2" xfId="31659"/>
    <cellStyle name="DESCRIÇÃO 2 3 3 4" xfId="31657"/>
    <cellStyle name="DESCRIÇÃO 2 3 4" xfId="10775"/>
    <cellStyle name="DESCRIÇÃO 2 3 4 2" xfId="10776"/>
    <cellStyle name="DESCRIÇÃO 2 3 4 2 2" xfId="31661"/>
    <cellStyle name="DESCRIÇÃO 2 3 4 3" xfId="10777"/>
    <cellStyle name="DESCRIÇÃO 2 3 4 3 2" xfId="31662"/>
    <cellStyle name="DESCRIÇÃO 2 3 4 4" xfId="31660"/>
    <cellStyle name="DESCRIÇÃO 2 3 5" xfId="10778"/>
    <cellStyle name="DESCRIÇÃO 2 3 5 2" xfId="10779"/>
    <cellStyle name="DESCRIÇÃO 2 3 5 2 2" xfId="31664"/>
    <cellStyle name="DESCRIÇÃO 2 3 5 3" xfId="31663"/>
    <cellStyle name="DESCRIÇÃO 2 3 6" xfId="10780"/>
    <cellStyle name="DESCRIÇÃO 2 3 6 2" xfId="10781"/>
    <cellStyle name="DESCRIÇÃO 2 3 6 2 2" xfId="31666"/>
    <cellStyle name="DESCRIÇÃO 2 3 6 3" xfId="10782"/>
    <cellStyle name="DESCRIÇÃO 2 3 6 3 2" xfId="31667"/>
    <cellStyle name="DESCRIÇÃO 2 3 6 4" xfId="31665"/>
    <cellStyle name="DESCRIÇÃO 2 3 7" xfId="27260"/>
    <cellStyle name="DESCRIÇÃO 2 4" xfId="5189"/>
    <cellStyle name="DESCRIÇÃO 2 4 2" xfId="10783"/>
    <cellStyle name="DESCRIÇÃO 2 4 2 2" xfId="10784"/>
    <cellStyle name="DESCRIÇÃO 2 4 2 2 2" xfId="31669"/>
    <cellStyle name="DESCRIÇÃO 2 4 2 3" xfId="10785"/>
    <cellStyle name="DESCRIÇÃO 2 4 2 3 2" xfId="31670"/>
    <cellStyle name="DESCRIÇÃO 2 4 2 4" xfId="31668"/>
    <cellStyle name="DESCRIÇÃO 2 4 3" xfId="10786"/>
    <cellStyle name="DESCRIÇÃO 2 4 3 2" xfId="10787"/>
    <cellStyle name="DESCRIÇÃO 2 4 3 2 2" xfId="31672"/>
    <cellStyle name="DESCRIÇÃO 2 4 3 3" xfId="10788"/>
    <cellStyle name="DESCRIÇÃO 2 4 3 3 2" xfId="31673"/>
    <cellStyle name="DESCRIÇÃO 2 4 3 4" xfId="31671"/>
    <cellStyle name="DESCRIÇÃO 2 4 4" xfId="10789"/>
    <cellStyle name="DESCRIÇÃO 2 4 4 2" xfId="10790"/>
    <cellStyle name="DESCRIÇÃO 2 4 4 2 2" xfId="31675"/>
    <cellStyle name="DESCRIÇÃO 2 4 4 3" xfId="10791"/>
    <cellStyle name="DESCRIÇÃO 2 4 4 3 2" xfId="31676"/>
    <cellStyle name="DESCRIÇÃO 2 4 4 4" xfId="31674"/>
    <cellStyle name="DESCRIÇÃO 2 4 5" xfId="10792"/>
    <cellStyle name="DESCRIÇÃO 2 4 5 2" xfId="10793"/>
    <cellStyle name="DESCRIÇÃO 2 4 5 2 2" xfId="31678"/>
    <cellStyle name="DESCRIÇÃO 2 4 5 3" xfId="10794"/>
    <cellStyle name="DESCRIÇÃO 2 4 5 3 2" xfId="31679"/>
    <cellStyle name="DESCRIÇÃO 2 4 5 4" xfId="31677"/>
    <cellStyle name="DESCRIÇÃO 2 4 6" xfId="10795"/>
    <cellStyle name="DESCRIÇÃO 2 4 6 2" xfId="31680"/>
    <cellStyle name="DESCRIÇÃO 2 4 7" xfId="10796"/>
    <cellStyle name="DESCRIÇÃO 2 4 7 2" xfId="31681"/>
    <cellStyle name="DESCRIÇÃO 2 4 8" xfId="26497"/>
    <cellStyle name="DESCRIÇÃO 2 5" xfId="10797"/>
    <cellStyle name="DESCRIÇÃO 2 5 2" xfId="10798"/>
    <cellStyle name="DESCRIÇÃO 2 5 2 2" xfId="31683"/>
    <cellStyle name="DESCRIÇÃO 2 5 3" xfId="10799"/>
    <cellStyle name="DESCRIÇÃO 2 5 3 2" xfId="31684"/>
    <cellStyle name="DESCRIÇÃO 2 5 4" xfId="31682"/>
    <cellStyle name="DESCRIÇÃO 2 6" xfId="21451"/>
    <cellStyle name="DESCRIÇÃO 3" xfId="2203"/>
    <cellStyle name="DESCRIÇÃO 3 2" xfId="3948"/>
    <cellStyle name="DESCRIÇÃO 3 2 10" xfId="27390"/>
    <cellStyle name="DESCRIÇÃO 3 2 2" xfId="4623"/>
    <cellStyle name="DESCRIÇÃO 3 2 2 2" xfId="10800"/>
    <cellStyle name="DESCRIÇÃO 3 2 2 2 2" xfId="10801"/>
    <cellStyle name="DESCRIÇÃO 3 2 2 2 2 2" xfId="31686"/>
    <cellStyle name="DESCRIÇÃO 3 2 2 2 3" xfId="10802"/>
    <cellStyle name="DESCRIÇÃO 3 2 2 2 3 2" xfId="31687"/>
    <cellStyle name="DESCRIÇÃO 3 2 2 2 4" xfId="31685"/>
    <cellStyle name="DESCRIÇÃO 3 2 2 3" xfId="10803"/>
    <cellStyle name="DESCRIÇÃO 3 2 2 3 2" xfId="10804"/>
    <cellStyle name="DESCRIÇÃO 3 2 2 3 2 2" xfId="31689"/>
    <cellStyle name="DESCRIÇÃO 3 2 2 3 3" xfId="10805"/>
    <cellStyle name="DESCRIÇÃO 3 2 2 3 3 2" xfId="31690"/>
    <cellStyle name="DESCRIÇÃO 3 2 2 3 4" xfId="31688"/>
    <cellStyle name="DESCRIÇÃO 3 2 2 4" xfId="10806"/>
    <cellStyle name="DESCRIÇÃO 3 2 2 4 2" xfId="10807"/>
    <cellStyle name="DESCRIÇÃO 3 2 2 4 2 2" xfId="31692"/>
    <cellStyle name="DESCRIÇÃO 3 2 2 4 3" xfId="10808"/>
    <cellStyle name="DESCRIÇÃO 3 2 2 4 3 2" xfId="31693"/>
    <cellStyle name="DESCRIÇÃO 3 2 2 4 4" xfId="31691"/>
    <cellStyle name="DESCRIÇÃO 3 2 2 5" xfId="10809"/>
    <cellStyle name="DESCRIÇÃO 3 2 2 5 2" xfId="10810"/>
    <cellStyle name="DESCRIÇÃO 3 2 2 5 2 2" xfId="31695"/>
    <cellStyle name="DESCRIÇÃO 3 2 2 5 3" xfId="10811"/>
    <cellStyle name="DESCRIÇÃO 3 2 2 5 3 2" xfId="31696"/>
    <cellStyle name="DESCRIÇÃO 3 2 2 5 4" xfId="31694"/>
    <cellStyle name="DESCRIÇÃO 3 2 2 6" xfId="10812"/>
    <cellStyle name="DESCRIÇÃO 3 2 2 6 2" xfId="31697"/>
    <cellStyle name="DESCRIÇÃO 3 2 2 7" xfId="10813"/>
    <cellStyle name="DESCRIÇÃO 3 2 2 7 2" xfId="31698"/>
    <cellStyle name="DESCRIÇÃO 3 2 2 8" xfId="19829"/>
    <cellStyle name="DESCRIÇÃO 3 2 3" xfId="4653"/>
    <cellStyle name="DESCRIÇÃO 3 2 3 2" xfId="10814"/>
    <cellStyle name="DESCRIÇÃO 3 2 3 2 2" xfId="10815"/>
    <cellStyle name="DESCRIÇÃO 3 2 3 2 2 2" xfId="31700"/>
    <cellStyle name="DESCRIÇÃO 3 2 3 2 3" xfId="10816"/>
    <cellStyle name="DESCRIÇÃO 3 2 3 2 3 2" xfId="31701"/>
    <cellStyle name="DESCRIÇÃO 3 2 3 2 4" xfId="31699"/>
    <cellStyle name="DESCRIÇÃO 3 2 3 3" xfId="10817"/>
    <cellStyle name="DESCRIÇÃO 3 2 3 3 2" xfId="10818"/>
    <cellStyle name="DESCRIÇÃO 3 2 3 3 2 2" xfId="31703"/>
    <cellStyle name="DESCRIÇÃO 3 2 3 3 3" xfId="10819"/>
    <cellStyle name="DESCRIÇÃO 3 2 3 3 3 2" xfId="31704"/>
    <cellStyle name="DESCRIÇÃO 3 2 3 3 4" xfId="31702"/>
    <cellStyle name="DESCRIÇÃO 3 2 3 4" xfId="10820"/>
    <cellStyle name="DESCRIÇÃO 3 2 3 4 2" xfId="10821"/>
    <cellStyle name="DESCRIÇÃO 3 2 3 4 2 2" xfId="31706"/>
    <cellStyle name="DESCRIÇÃO 3 2 3 4 3" xfId="10822"/>
    <cellStyle name="DESCRIÇÃO 3 2 3 4 3 2" xfId="31707"/>
    <cellStyle name="DESCRIÇÃO 3 2 3 4 4" xfId="31705"/>
    <cellStyle name="DESCRIÇÃO 3 2 3 5" xfId="10823"/>
    <cellStyle name="DESCRIÇÃO 3 2 3 5 2" xfId="10824"/>
    <cellStyle name="DESCRIÇÃO 3 2 3 5 2 2" xfId="31709"/>
    <cellStyle name="DESCRIÇÃO 3 2 3 5 3" xfId="10825"/>
    <cellStyle name="DESCRIÇÃO 3 2 3 5 3 2" xfId="31710"/>
    <cellStyle name="DESCRIÇÃO 3 2 3 5 4" xfId="31708"/>
    <cellStyle name="DESCRIÇÃO 3 2 3 6" xfId="10826"/>
    <cellStyle name="DESCRIÇÃO 3 2 3 6 2" xfId="31711"/>
    <cellStyle name="DESCRIÇÃO 3 2 3 7" xfId="10827"/>
    <cellStyle name="DESCRIÇÃO 3 2 3 7 2" xfId="31712"/>
    <cellStyle name="DESCRIÇÃO 3 2 3 8" xfId="26828"/>
    <cellStyle name="DESCRIÇÃO 3 2 4" xfId="5190"/>
    <cellStyle name="DESCRIÇÃO 3 2 4 2" xfId="10828"/>
    <cellStyle name="DESCRIÇÃO 3 2 4 2 2" xfId="10829"/>
    <cellStyle name="DESCRIÇÃO 3 2 4 2 2 2" xfId="31714"/>
    <cellStyle name="DESCRIÇÃO 3 2 4 2 3" xfId="10830"/>
    <cellStyle name="DESCRIÇÃO 3 2 4 2 3 2" xfId="31715"/>
    <cellStyle name="DESCRIÇÃO 3 2 4 2 4" xfId="31713"/>
    <cellStyle name="DESCRIÇÃO 3 2 4 3" xfId="10831"/>
    <cellStyle name="DESCRIÇÃO 3 2 4 3 2" xfId="10832"/>
    <cellStyle name="DESCRIÇÃO 3 2 4 3 2 2" xfId="31717"/>
    <cellStyle name="DESCRIÇÃO 3 2 4 3 3" xfId="10833"/>
    <cellStyle name="DESCRIÇÃO 3 2 4 3 3 2" xfId="31718"/>
    <cellStyle name="DESCRIÇÃO 3 2 4 3 4" xfId="31716"/>
    <cellStyle name="DESCRIÇÃO 3 2 4 4" xfId="10834"/>
    <cellStyle name="DESCRIÇÃO 3 2 4 4 2" xfId="10835"/>
    <cellStyle name="DESCRIÇÃO 3 2 4 4 2 2" xfId="31720"/>
    <cellStyle name="DESCRIÇÃO 3 2 4 4 3" xfId="10836"/>
    <cellStyle name="DESCRIÇÃO 3 2 4 4 3 2" xfId="31721"/>
    <cellStyle name="DESCRIÇÃO 3 2 4 4 4" xfId="31719"/>
    <cellStyle name="DESCRIÇÃO 3 2 4 5" xfId="10837"/>
    <cellStyle name="DESCRIÇÃO 3 2 4 5 2" xfId="10838"/>
    <cellStyle name="DESCRIÇÃO 3 2 4 5 2 2" xfId="31723"/>
    <cellStyle name="DESCRIÇÃO 3 2 4 5 3" xfId="10839"/>
    <cellStyle name="DESCRIÇÃO 3 2 4 5 3 2" xfId="31724"/>
    <cellStyle name="DESCRIÇÃO 3 2 4 5 4" xfId="31722"/>
    <cellStyle name="DESCRIÇÃO 3 2 4 6" xfId="10840"/>
    <cellStyle name="DESCRIÇÃO 3 2 4 6 2" xfId="31725"/>
    <cellStyle name="DESCRIÇÃO 3 2 4 7" xfId="10841"/>
    <cellStyle name="DESCRIÇÃO 3 2 4 7 2" xfId="31726"/>
    <cellStyle name="DESCRIÇÃO 3 2 4 8" xfId="20333"/>
    <cellStyle name="DESCRIÇÃO 3 2 5" xfId="10842"/>
    <cellStyle name="DESCRIÇÃO 3 2 5 2" xfId="10843"/>
    <cellStyle name="DESCRIÇÃO 3 2 5 2 2" xfId="31728"/>
    <cellStyle name="DESCRIÇÃO 3 2 5 3" xfId="10844"/>
    <cellStyle name="DESCRIÇÃO 3 2 5 3 2" xfId="31729"/>
    <cellStyle name="DESCRIÇÃO 3 2 5 4" xfId="31727"/>
    <cellStyle name="DESCRIÇÃO 3 2 6" xfId="10845"/>
    <cellStyle name="DESCRIÇÃO 3 2 6 2" xfId="10846"/>
    <cellStyle name="DESCRIÇÃO 3 2 6 2 2" xfId="31731"/>
    <cellStyle name="DESCRIÇÃO 3 2 6 3" xfId="10847"/>
    <cellStyle name="DESCRIÇÃO 3 2 6 3 2" xfId="31732"/>
    <cellStyle name="DESCRIÇÃO 3 2 6 4" xfId="31730"/>
    <cellStyle name="DESCRIÇÃO 3 2 7" xfId="10848"/>
    <cellStyle name="DESCRIÇÃO 3 2 7 2" xfId="10849"/>
    <cellStyle name="DESCRIÇÃO 3 2 7 2 2" xfId="31734"/>
    <cellStyle name="DESCRIÇÃO 3 2 7 3" xfId="10850"/>
    <cellStyle name="DESCRIÇÃO 3 2 7 3 2" xfId="31735"/>
    <cellStyle name="DESCRIÇÃO 3 2 7 4" xfId="31733"/>
    <cellStyle name="DESCRIÇÃO 3 2 8" xfId="10851"/>
    <cellStyle name="DESCRIÇÃO 3 2 8 2" xfId="31736"/>
    <cellStyle name="DESCRIÇÃO 3 2 9" xfId="10852"/>
    <cellStyle name="DESCRIÇÃO 3 2 9 2" xfId="31737"/>
    <cellStyle name="DESCRIÇÃO 3 3" xfId="4650"/>
    <cellStyle name="DESCRIÇÃO 3 3 2" xfId="10853"/>
    <cellStyle name="DESCRIÇÃO 3 3 2 2" xfId="10854"/>
    <cellStyle name="DESCRIÇÃO 3 3 2 2 2" xfId="31739"/>
    <cellStyle name="DESCRIÇÃO 3 3 2 3" xfId="10855"/>
    <cellStyle name="DESCRIÇÃO 3 3 2 3 2" xfId="31740"/>
    <cellStyle name="DESCRIÇÃO 3 3 2 4" xfId="31738"/>
    <cellStyle name="DESCRIÇÃO 3 3 3" xfId="10856"/>
    <cellStyle name="DESCRIÇÃO 3 3 3 2" xfId="10857"/>
    <cellStyle name="DESCRIÇÃO 3 3 3 2 2" xfId="31742"/>
    <cellStyle name="DESCRIÇÃO 3 3 3 3" xfId="10858"/>
    <cellStyle name="DESCRIÇÃO 3 3 3 3 2" xfId="31743"/>
    <cellStyle name="DESCRIÇÃO 3 3 3 4" xfId="31741"/>
    <cellStyle name="DESCRIÇÃO 3 3 4" xfId="10859"/>
    <cellStyle name="DESCRIÇÃO 3 3 4 2" xfId="10860"/>
    <cellStyle name="DESCRIÇÃO 3 3 4 2 2" xfId="31745"/>
    <cellStyle name="DESCRIÇÃO 3 3 4 3" xfId="10861"/>
    <cellStyle name="DESCRIÇÃO 3 3 4 3 2" xfId="31746"/>
    <cellStyle name="DESCRIÇÃO 3 3 4 4" xfId="31744"/>
    <cellStyle name="DESCRIÇÃO 3 3 5" xfId="10862"/>
    <cellStyle name="DESCRIÇÃO 3 3 5 2" xfId="10863"/>
    <cellStyle name="DESCRIÇÃO 3 3 5 2 2" xfId="31748"/>
    <cellStyle name="DESCRIÇÃO 3 3 5 3" xfId="31747"/>
    <cellStyle name="DESCRIÇÃO 3 3 6" xfId="10864"/>
    <cellStyle name="DESCRIÇÃO 3 3 6 2" xfId="10865"/>
    <cellStyle name="DESCRIÇÃO 3 3 6 2 2" xfId="31750"/>
    <cellStyle name="DESCRIÇÃO 3 3 6 3" xfId="10866"/>
    <cellStyle name="DESCRIÇÃO 3 3 6 3 2" xfId="31751"/>
    <cellStyle name="DESCRIÇÃO 3 3 6 4" xfId="31749"/>
    <cellStyle name="DESCRIÇÃO 3 3 7" xfId="21103"/>
    <cellStyle name="DESCRIÇÃO 3 4" xfId="5191"/>
    <cellStyle name="DESCRIÇÃO 3 4 2" xfId="10867"/>
    <cellStyle name="DESCRIÇÃO 3 4 2 2" xfId="10868"/>
    <cellStyle name="DESCRIÇÃO 3 4 2 2 2" xfId="31753"/>
    <cellStyle name="DESCRIÇÃO 3 4 2 3" xfId="10869"/>
    <cellStyle name="DESCRIÇÃO 3 4 2 3 2" xfId="31754"/>
    <cellStyle name="DESCRIÇÃO 3 4 2 4" xfId="31752"/>
    <cellStyle name="DESCRIÇÃO 3 4 3" xfId="10870"/>
    <cellStyle name="DESCRIÇÃO 3 4 3 2" xfId="10871"/>
    <cellStyle name="DESCRIÇÃO 3 4 3 2 2" xfId="31756"/>
    <cellStyle name="DESCRIÇÃO 3 4 3 3" xfId="10872"/>
    <cellStyle name="DESCRIÇÃO 3 4 3 3 2" xfId="31757"/>
    <cellStyle name="DESCRIÇÃO 3 4 3 4" xfId="31755"/>
    <cellStyle name="DESCRIÇÃO 3 4 4" xfId="10873"/>
    <cellStyle name="DESCRIÇÃO 3 4 4 2" xfId="10874"/>
    <cellStyle name="DESCRIÇÃO 3 4 4 2 2" xfId="31759"/>
    <cellStyle name="DESCRIÇÃO 3 4 4 3" xfId="10875"/>
    <cellStyle name="DESCRIÇÃO 3 4 4 3 2" xfId="31760"/>
    <cellStyle name="DESCRIÇÃO 3 4 4 4" xfId="31758"/>
    <cellStyle name="DESCRIÇÃO 3 4 5" xfId="10876"/>
    <cellStyle name="DESCRIÇÃO 3 4 5 2" xfId="10877"/>
    <cellStyle name="DESCRIÇÃO 3 4 5 2 2" xfId="31762"/>
    <cellStyle name="DESCRIÇÃO 3 4 5 3" xfId="10878"/>
    <cellStyle name="DESCRIÇÃO 3 4 5 3 2" xfId="31763"/>
    <cellStyle name="DESCRIÇÃO 3 4 5 4" xfId="31761"/>
    <cellStyle name="DESCRIÇÃO 3 4 6" xfId="10879"/>
    <cellStyle name="DESCRIÇÃO 3 4 6 2" xfId="31764"/>
    <cellStyle name="DESCRIÇÃO 3 4 7" xfId="10880"/>
    <cellStyle name="DESCRIÇÃO 3 4 7 2" xfId="31765"/>
    <cellStyle name="DESCRIÇÃO 3 4 8" xfId="26496"/>
    <cellStyle name="DESCRIÇÃO 3 5" xfId="10881"/>
    <cellStyle name="DESCRIÇÃO 3 5 2" xfId="10882"/>
    <cellStyle name="DESCRIÇÃO 3 5 2 2" xfId="31767"/>
    <cellStyle name="DESCRIÇÃO 3 5 3" xfId="10883"/>
    <cellStyle name="DESCRIÇÃO 3 5 3 2" xfId="31768"/>
    <cellStyle name="DESCRIÇÃO 3 5 4" xfId="31766"/>
    <cellStyle name="DESCRIÇÃO 3 6" xfId="30200"/>
    <cellStyle name="DESCRIÇÃO 4" xfId="3946"/>
    <cellStyle name="DESCRIÇÃO 4 10" xfId="20203"/>
    <cellStyle name="DESCRIÇÃO 4 2" xfId="4621"/>
    <cellStyle name="DESCRIÇÃO 4 2 2" xfId="10884"/>
    <cellStyle name="DESCRIÇÃO 4 2 2 2" xfId="10885"/>
    <cellStyle name="DESCRIÇÃO 4 2 2 2 2" xfId="31770"/>
    <cellStyle name="DESCRIÇÃO 4 2 2 3" xfId="10886"/>
    <cellStyle name="DESCRIÇÃO 4 2 2 3 2" xfId="31771"/>
    <cellStyle name="DESCRIÇÃO 4 2 2 4" xfId="31769"/>
    <cellStyle name="DESCRIÇÃO 4 2 3" xfId="10887"/>
    <cellStyle name="DESCRIÇÃO 4 2 3 2" xfId="10888"/>
    <cellStyle name="DESCRIÇÃO 4 2 3 2 2" xfId="31773"/>
    <cellStyle name="DESCRIÇÃO 4 2 3 3" xfId="10889"/>
    <cellStyle name="DESCRIÇÃO 4 2 3 3 2" xfId="31774"/>
    <cellStyle name="DESCRIÇÃO 4 2 3 4" xfId="31772"/>
    <cellStyle name="DESCRIÇÃO 4 2 4" xfId="10890"/>
    <cellStyle name="DESCRIÇÃO 4 2 4 2" xfId="10891"/>
    <cellStyle name="DESCRIÇÃO 4 2 4 2 2" xfId="31776"/>
    <cellStyle name="DESCRIÇÃO 4 2 4 3" xfId="10892"/>
    <cellStyle name="DESCRIÇÃO 4 2 4 3 2" xfId="31777"/>
    <cellStyle name="DESCRIÇÃO 4 2 4 4" xfId="31775"/>
    <cellStyle name="DESCRIÇÃO 4 2 5" xfId="10893"/>
    <cellStyle name="DESCRIÇÃO 4 2 5 2" xfId="10894"/>
    <cellStyle name="DESCRIÇÃO 4 2 5 2 2" xfId="31779"/>
    <cellStyle name="DESCRIÇÃO 4 2 5 3" xfId="10895"/>
    <cellStyle name="DESCRIÇÃO 4 2 5 3 2" xfId="31780"/>
    <cellStyle name="DESCRIÇÃO 4 2 5 4" xfId="31778"/>
    <cellStyle name="DESCRIÇÃO 4 2 6" xfId="10896"/>
    <cellStyle name="DESCRIÇÃO 4 2 6 2" xfId="31781"/>
    <cellStyle name="DESCRIÇÃO 4 2 7" xfId="10897"/>
    <cellStyle name="DESCRIÇÃO 4 2 7 2" xfId="31782"/>
    <cellStyle name="DESCRIÇÃO 4 2 8" xfId="19831"/>
    <cellStyle name="DESCRIÇÃO 4 3" xfId="4651"/>
    <cellStyle name="DESCRIÇÃO 4 3 2" xfId="10898"/>
    <cellStyle name="DESCRIÇÃO 4 3 2 2" xfId="10899"/>
    <cellStyle name="DESCRIÇÃO 4 3 2 2 2" xfId="31784"/>
    <cellStyle name="DESCRIÇÃO 4 3 2 3" xfId="10900"/>
    <cellStyle name="DESCRIÇÃO 4 3 2 3 2" xfId="31785"/>
    <cellStyle name="DESCRIÇÃO 4 3 2 4" xfId="31783"/>
    <cellStyle name="DESCRIÇÃO 4 3 3" xfId="10901"/>
    <cellStyle name="DESCRIÇÃO 4 3 3 2" xfId="10902"/>
    <cellStyle name="DESCRIÇÃO 4 3 3 2 2" xfId="31787"/>
    <cellStyle name="DESCRIÇÃO 4 3 3 3" xfId="10903"/>
    <cellStyle name="DESCRIÇÃO 4 3 3 3 2" xfId="31788"/>
    <cellStyle name="DESCRIÇÃO 4 3 3 4" xfId="31786"/>
    <cellStyle name="DESCRIÇÃO 4 3 4" xfId="10904"/>
    <cellStyle name="DESCRIÇÃO 4 3 4 2" xfId="10905"/>
    <cellStyle name="DESCRIÇÃO 4 3 4 2 2" xfId="31790"/>
    <cellStyle name="DESCRIÇÃO 4 3 4 3" xfId="10906"/>
    <cellStyle name="DESCRIÇÃO 4 3 4 3 2" xfId="31791"/>
    <cellStyle name="DESCRIÇÃO 4 3 4 4" xfId="31789"/>
    <cellStyle name="DESCRIÇÃO 4 3 5" xfId="10907"/>
    <cellStyle name="DESCRIÇÃO 4 3 5 2" xfId="10908"/>
    <cellStyle name="DESCRIÇÃO 4 3 5 2 2" xfId="31793"/>
    <cellStyle name="DESCRIÇÃO 4 3 5 3" xfId="10909"/>
    <cellStyle name="DESCRIÇÃO 4 3 5 3 2" xfId="31794"/>
    <cellStyle name="DESCRIÇÃO 4 3 5 4" xfId="31792"/>
    <cellStyle name="DESCRIÇÃO 4 3 6" xfId="10910"/>
    <cellStyle name="DESCRIÇÃO 4 3 6 2" xfId="31795"/>
    <cellStyle name="DESCRIÇÃO 4 3 7" xfId="10911"/>
    <cellStyle name="DESCRIÇÃO 4 3 7 2" xfId="31796"/>
    <cellStyle name="DESCRIÇÃO 4 3 8" xfId="26830"/>
    <cellStyle name="DESCRIÇÃO 4 4" xfId="5192"/>
    <cellStyle name="DESCRIÇÃO 4 4 2" xfId="10912"/>
    <cellStyle name="DESCRIÇÃO 4 4 2 2" xfId="10913"/>
    <cellStyle name="DESCRIÇÃO 4 4 2 2 2" xfId="31798"/>
    <cellStyle name="DESCRIÇÃO 4 4 2 3" xfId="10914"/>
    <cellStyle name="DESCRIÇÃO 4 4 2 3 2" xfId="31799"/>
    <cellStyle name="DESCRIÇÃO 4 4 2 4" xfId="31797"/>
    <cellStyle name="DESCRIÇÃO 4 4 3" xfId="10915"/>
    <cellStyle name="DESCRIÇÃO 4 4 3 2" xfId="10916"/>
    <cellStyle name="DESCRIÇÃO 4 4 3 2 2" xfId="31801"/>
    <cellStyle name="DESCRIÇÃO 4 4 3 3" xfId="10917"/>
    <cellStyle name="DESCRIÇÃO 4 4 3 3 2" xfId="31802"/>
    <cellStyle name="DESCRIÇÃO 4 4 3 4" xfId="31800"/>
    <cellStyle name="DESCRIÇÃO 4 4 4" xfId="10918"/>
    <cellStyle name="DESCRIÇÃO 4 4 4 2" xfId="10919"/>
    <cellStyle name="DESCRIÇÃO 4 4 4 2 2" xfId="31804"/>
    <cellStyle name="DESCRIÇÃO 4 4 4 3" xfId="10920"/>
    <cellStyle name="DESCRIÇÃO 4 4 4 3 2" xfId="31805"/>
    <cellStyle name="DESCRIÇÃO 4 4 4 4" xfId="31803"/>
    <cellStyle name="DESCRIÇÃO 4 4 5" xfId="10921"/>
    <cellStyle name="DESCRIÇÃO 4 4 5 2" xfId="10922"/>
    <cellStyle name="DESCRIÇÃO 4 4 5 2 2" xfId="31807"/>
    <cellStyle name="DESCRIÇÃO 4 4 5 3" xfId="10923"/>
    <cellStyle name="DESCRIÇÃO 4 4 5 3 2" xfId="31808"/>
    <cellStyle name="DESCRIÇÃO 4 4 5 4" xfId="31806"/>
    <cellStyle name="DESCRIÇÃO 4 4 6" xfId="10924"/>
    <cellStyle name="DESCRIÇÃO 4 4 6 2" xfId="31809"/>
    <cellStyle name="DESCRIÇÃO 4 4 7" xfId="10925"/>
    <cellStyle name="DESCRIÇÃO 4 4 7 2" xfId="31810"/>
    <cellStyle name="DESCRIÇÃO 4 4 8" xfId="26495"/>
    <cellStyle name="DESCRIÇÃO 4 5" xfId="10926"/>
    <cellStyle name="DESCRIÇÃO 4 5 2" xfId="10927"/>
    <cellStyle name="DESCRIÇÃO 4 5 2 2" xfId="31812"/>
    <cellStyle name="DESCRIÇÃO 4 5 3" xfId="10928"/>
    <cellStyle name="DESCRIÇÃO 4 5 3 2" xfId="31813"/>
    <cellStyle name="DESCRIÇÃO 4 5 4" xfId="31811"/>
    <cellStyle name="DESCRIÇÃO 4 6" xfId="10929"/>
    <cellStyle name="DESCRIÇÃO 4 6 2" xfId="10930"/>
    <cellStyle name="DESCRIÇÃO 4 6 2 2" xfId="31815"/>
    <cellStyle name="DESCRIÇÃO 4 6 3" xfId="10931"/>
    <cellStyle name="DESCRIÇÃO 4 6 3 2" xfId="31816"/>
    <cellStyle name="DESCRIÇÃO 4 6 4" xfId="31814"/>
    <cellStyle name="DESCRIÇÃO 4 7" xfId="10932"/>
    <cellStyle name="DESCRIÇÃO 4 7 2" xfId="10933"/>
    <cellStyle name="DESCRIÇÃO 4 7 2 2" xfId="31818"/>
    <cellStyle name="DESCRIÇÃO 4 7 3" xfId="10934"/>
    <cellStyle name="DESCRIÇÃO 4 7 3 2" xfId="31819"/>
    <cellStyle name="DESCRIÇÃO 4 7 4" xfId="31817"/>
    <cellStyle name="DESCRIÇÃO 4 8" xfId="10935"/>
    <cellStyle name="DESCRIÇÃO 4 8 2" xfId="31820"/>
    <cellStyle name="DESCRIÇÃO 4 9" xfId="10936"/>
    <cellStyle name="DESCRIÇÃO 4 9 2" xfId="31821"/>
    <cellStyle name="DESCRIÇÃO 5" xfId="4649"/>
    <cellStyle name="DESCRIÇÃO 5 2" xfId="10937"/>
    <cellStyle name="DESCRIÇÃO 5 2 2" xfId="10938"/>
    <cellStyle name="DESCRIÇÃO 5 2 2 2" xfId="31823"/>
    <cellStyle name="DESCRIÇÃO 5 2 3" xfId="10939"/>
    <cellStyle name="DESCRIÇÃO 5 2 3 2" xfId="31824"/>
    <cellStyle name="DESCRIÇÃO 5 2 4" xfId="31822"/>
    <cellStyle name="DESCRIÇÃO 5 3" xfId="10940"/>
    <cellStyle name="DESCRIÇÃO 5 3 2" xfId="10941"/>
    <cellStyle name="DESCRIÇÃO 5 3 2 2" xfId="31826"/>
    <cellStyle name="DESCRIÇÃO 5 3 3" xfId="10942"/>
    <cellStyle name="DESCRIÇÃO 5 3 3 2" xfId="31827"/>
    <cellStyle name="DESCRIÇÃO 5 3 4" xfId="31825"/>
    <cellStyle name="DESCRIÇÃO 5 4" xfId="10943"/>
    <cellStyle name="DESCRIÇÃO 5 4 2" xfId="10944"/>
    <cellStyle name="DESCRIÇÃO 5 4 2 2" xfId="31829"/>
    <cellStyle name="DESCRIÇÃO 5 4 3" xfId="10945"/>
    <cellStyle name="DESCRIÇÃO 5 4 3 2" xfId="31830"/>
    <cellStyle name="DESCRIÇÃO 5 4 4" xfId="31828"/>
    <cellStyle name="DESCRIÇÃO 5 5" xfId="10946"/>
    <cellStyle name="DESCRIÇÃO 5 5 2" xfId="10947"/>
    <cellStyle name="DESCRIÇÃO 5 5 2 2" xfId="31832"/>
    <cellStyle name="DESCRIÇÃO 5 5 3" xfId="31831"/>
    <cellStyle name="DESCRIÇÃO 5 6" xfId="10948"/>
    <cellStyle name="DESCRIÇÃO 5 6 2" xfId="10949"/>
    <cellStyle name="DESCRIÇÃO 5 6 2 2" xfId="31834"/>
    <cellStyle name="DESCRIÇÃO 5 6 3" xfId="10950"/>
    <cellStyle name="DESCRIÇÃO 5 6 3 2" xfId="31835"/>
    <cellStyle name="DESCRIÇÃO 5 6 4" xfId="31833"/>
    <cellStyle name="DESCRIÇÃO 5 7" xfId="26831"/>
    <cellStyle name="DESCRIÇÃO 6" xfId="5193"/>
    <cellStyle name="DESCRIÇÃO 6 2" xfId="10951"/>
    <cellStyle name="DESCRIÇÃO 6 2 2" xfId="10952"/>
    <cellStyle name="DESCRIÇÃO 6 2 2 2" xfId="31837"/>
    <cellStyle name="DESCRIÇÃO 6 2 3" xfId="10953"/>
    <cellStyle name="DESCRIÇÃO 6 2 3 2" xfId="31838"/>
    <cellStyle name="DESCRIÇÃO 6 2 4" xfId="31836"/>
    <cellStyle name="DESCRIÇÃO 6 3" xfId="10954"/>
    <cellStyle name="DESCRIÇÃO 6 3 2" xfId="10955"/>
    <cellStyle name="DESCRIÇÃO 6 3 2 2" xfId="31840"/>
    <cellStyle name="DESCRIÇÃO 6 3 3" xfId="10956"/>
    <cellStyle name="DESCRIÇÃO 6 3 3 2" xfId="31841"/>
    <cellStyle name="DESCRIÇÃO 6 3 4" xfId="31839"/>
    <cellStyle name="DESCRIÇÃO 6 4" xfId="10957"/>
    <cellStyle name="DESCRIÇÃO 6 4 2" xfId="10958"/>
    <cellStyle name="DESCRIÇÃO 6 4 2 2" xfId="31843"/>
    <cellStyle name="DESCRIÇÃO 6 4 3" xfId="10959"/>
    <cellStyle name="DESCRIÇÃO 6 4 3 2" xfId="31844"/>
    <cellStyle name="DESCRIÇÃO 6 4 4" xfId="31842"/>
    <cellStyle name="DESCRIÇÃO 6 5" xfId="10960"/>
    <cellStyle name="DESCRIÇÃO 6 5 2" xfId="10961"/>
    <cellStyle name="DESCRIÇÃO 6 5 2 2" xfId="31846"/>
    <cellStyle name="DESCRIÇÃO 6 5 3" xfId="10962"/>
    <cellStyle name="DESCRIÇÃO 6 5 3 2" xfId="31847"/>
    <cellStyle name="DESCRIÇÃO 6 5 4" xfId="31845"/>
    <cellStyle name="DESCRIÇÃO 6 6" xfId="10963"/>
    <cellStyle name="DESCRIÇÃO 6 6 2" xfId="31848"/>
    <cellStyle name="DESCRIÇÃO 6 7" xfId="10964"/>
    <cellStyle name="DESCRIÇÃO 6 7 2" xfId="31849"/>
    <cellStyle name="DESCRIÇÃO 6 8" xfId="26494"/>
    <cellStyle name="DESCRIÇÃO 7" xfId="10965"/>
    <cellStyle name="DESCRIÇÃO 7 2" xfId="10966"/>
    <cellStyle name="DESCRIÇÃO 7 2 2" xfId="31851"/>
    <cellStyle name="DESCRIÇÃO 7 3" xfId="10967"/>
    <cellStyle name="DESCRIÇÃO 7 3 2" xfId="31852"/>
    <cellStyle name="DESCRIÇÃO 7 4" xfId="31850"/>
    <cellStyle name="DESCRIÇÃO 8" xfId="30201"/>
    <cellStyle name="Design" xfId="2204"/>
    <cellStyle name="Design 2" xfId="5194"/>
    <cellStyle name="Design 3" xfId="5195"/>
    <cellStyle name="Deviant" xfId="2205"/>
    <cellStyle name="Dezimal [0]_Austria 2002 DPE analysis act" xfId="2206"/>
    <cellStyle name="Dezimal_Austria 2002 DPE analysis act" xfId="2207"/>
    <cellStyle name="Dia" xfId="2208"/>
    <cellStyle name="DigitarValor" xfId="2209"/>
    <cellStyle name="DigitarValor 2" xfId="5196"/>
    <cellStyle name="DigitarValor 2 2" xfId="5197"/>
    <cellStyle name="DigitarValor 2 2 2" xfId="10968"/>
    <cellStyle name="DigitarValor 2 2 2 2" xfId="10969"/>
    <cellStyle name="DigitarValor 2 2 2 2 2" xfId="26431"/>
    <cellStyle name="DigitarValor 2 2 2 2 3" xfId="31854"/>
    <cellStyle name="DigitarValor 2 2 2 3" xfId="10970"/>
    <cellStyle name="DigitarValor 2 2 2 3 2" xfId="26432"/>
    <cellStyle name="DigitarValor 2 2 2 3 3" xfId="31855"/>
    <cellStyle name="DigitarValor 2 2 2 4" xfId="26430"/>
    <cellStyle name="DigitarValor 2 2 2 5" xfId="31853"/>
    <cellStyle name="DigitarValor 2 2 3" xfId="10971"/>
    <cellStyle name="DigitarValor 2 2 3 2" xfId="10972"/>
    <cellStyle name="DigitarValor 2 2 3 2 2" xfId="26434"/>
    <cellStyle name="DigitarValor 2 2 3 2 3" xfId="31857"/>
    <cellStyle name="DigitarValor 2 2 3 3" xfId="26433"/>
    <cellStyle name="DigitarValor 2 2 3 4" xfId="31856"/>
    <cellStyle name="DigitarValor 2 2 4" xfId="10973"/>
    <cellStyle name="DigitarValor 2 2 4 2" xfId="26435"/>
    <cellStyle name="DigitarValor 2 2 4 3" xfId="31858"/>
    <cellStyle name="DigitarValor 2 2 5" xfId="21094"/>
    <cellStyle name="DigitarValor 2 2 6" xfId="26492"/>
    <cellStyle name="DigitarValor 2 3" xfId="10974"/>
    <cellStyle name="DigitarValor 2 3 2" xfId="10975"/>
    <cellStyle name="DigitarValor 2 3 2 2" xfId="26437"/>
    <cellStyle name="DigitarValor 2 3 2 3" xfId="31860"/>
    <cellStyle name="DigitarValor 2 3 3" xfId="10976"/>
    <cellStyle name="DigitarValor 2 3 3 2" xfId="26438"/>
    <cellStyle name="DigitarValor 2 3 3 3" xfId="31861"/>
    <cellStyle name="DigitarValor 2 3 4" xfId="26436"/>
    <cellStyle name="DigitarValor 2 3 5" xfId="31859"/>
    <cellStyle name="DigitarValor 2 4" xfId="10977"/>
    <cellStyle name="DigitarValor 2 4 2" xfId="10978"/>
    <cellStyle name="DigitarValor 2 4 2 2" xfId="26440"/>
    <cellStyle name="DigitarValor 2 4 2 3" xfId="31863"/>
    <cellStyle name="DigitarValor 2 4 3" xfId="26439"/>
    <cellStyle name="DigitarValor 2 4 4" xfId="31862"/>
    <cellStyle name="DigitarValor 2 5" xfId="10979"/>
    <cellStyle name="DigitarValor 2 5 2" xfId="26441"/>
    <cellStyle name="DigitarValor 2 5 3" xfId="31864"/>
    <cellStyle name="DigitarValor 2 6" xfId="21093"/>
    <cellStyle name="DigitarValor 2 7" xfId="26493"/>
    <cellStyle name="DigitarValor 3" xfId="5198"/>
    <cellStyle name="DigitarValor 3 2" xfId="10980"/>
    <cellStyle name="DigitarValor 3 2 2" xfId="10981"/>
    <cellStyle name="DigitarValor 3 2 2 2" xfId="26443"/>
    <cellStyle name="DigitarValor 3 2 2 3" xfId="31866"/>
    <cellStyle name="DigitarValor 3 2 3" xfId="10982"/>
    <cellStyle name="DigitarValor 3 2 3 2" xfId="26444"/>
    <cellStyle name="DigitarValor 3 2 3 3" xfId="31867"/>
    <cellStyle name="DigitarValor 3 2 4" xfId="26442"/>
    <cellStyle name="DigitarValor 3 2 5" xfId="31865"/>
    <cellStyle name="DigitarValor 3 3" xfId="10983"/>
    <cellStyle name="DigitarValor 3 3 2" xfId="26445"/>
    <cellStyle name="DigitarValor 3 3 3" xfId="31868"/>
    <cellStyle name="DigitarValor 3 4" xfId="21095"/>
    <cellStyle name="DigitarValor 3 5" xfId="26491"/>
    <cellStyle name="DigitarValor 4" xfId="10984"/>
    <cellStyle name="DigitarValor 4 2" xfId="10985"/>
    <cellStyle name="DigitarValor 4 2 2" xfId="26447"/>
    <cellStyle name="DigitarValor 4 2 3" xfId="31870"/>
    <cellStyle name="DigitarValor 4 3" xfId="10986"/>
    <cellStyle name="DigitarValor 4 3 2" xfId="26448"/>
    <cellStyle name="DigitarValor 4 3 3" xfId="31871"/>
    <cellStyle name="DigitarValor 4 4" xfId="26446"/>
    <cellStyle name="DigitarValor 4 5" xfId="31869"/>
    <cellStyle name="DigitarValor 5" xfId="10987"/>
    <cellStyle name="DigitarValor 5 2" xfId="10988"/>
    <cellStyle name="DigitarValor 5 2 2" xfId="26450"/>
    <cellStyle name="DigitarValor 5 2 3" xfId="31873"/>
    <cellStyle name="DigitarValor 5 3" xfId="26449"/>
    <cellStyle name="DigitarValor 5 4" xfId="31872"/>
    <cellStyle name="DigitarValor 6" xfId="10989"/>
    <cellStyle name="DigitarValor 6 2" xfId="26451"/>
    <cellStyle name="DigitarValor 6 3" xfId="31874"/>
    <cellStyle name="DigitarValor 7" xfId="19758"/>
    <cellStyle name="DigitarValor 8" xfId="30199"/>
    <cellStyle name="Diseño" xfId="2210"/>
    <cellStyle name="Diseño 2" xfId="2211"/>
    <cellStyle name="Diseño 3" xfId="2212"/>
    <cellStyle name="dollar" xfId="2213"/>
    <cellStyle name="Dollar (zero dec)" xfId="2214"/>
    <cellStyle name="Dollar1" xfId="2215"/>
    <cellStyle name="Dollar1Blue" xfId="2216"/>
    <cellStyle name="Dollar2" xfId="2217"/>
    <cellStyle name="DollarAccounting" xfId="2218"/>
    <cellStyle name="Dollars" xfId="2219"/>
    <cellStyle name="Dotted Line" xfId="2220"/>
    <cellStyle name="Dziesiętny_laroux" xfId="2221"/>
    <cellStyle name="E&amp;Y House" xfId="2222"/>
    <cellStyle name="Eingabe" xfId="2223"/>
    <cellStyle name="Eingabefeld" xfId="2224"/>
    <cellStyle name="EingabeSumme" xfId="2225"/>
    <cellStyle name="ENCABEZ" xfId="2226"/>
    <cellStyle name="Encabez1" xfId="2227"/>
    <cellStyle name="Encabez2" xfId="2228"/>
    <cellStyle name="Encabezado 4" xfId="27" builtinId="19" customBuiltin="1"/>
    <cellStyle name="Encabezado 4 2" xfId="2229"/>
    <cellStyle name="Encabezado 4 3" xfId="2230"/>
    <cellStyle name="Encabezado 4 4" xfId="2231"/>
    <cellStyle name="Encabezado 4 5" xfId="2232"/>
    <cellStyle name="Encabezado 4 6" xfId="2233"/>
    <cellStyle name="Encabezado 4 7" xfId="2234"/>
    <cellStyle name="Encabezado 4 8" xfId="2235"/>
    <cellStyle name="Encabezado 4 9" xfId="2236"/>
    <cellStyle name="Ênfase1" xfId="2237"/>
    <cellStyle name="Ênfase2" xfId="2238"/>
    <cellStyle name="Ênfase3" xfId="2239"/>
    <cellStyle name="Ênfase4" xfId="2240"/>
    <cellStyle name="Ênfase5" xfId="2241"/>
    <cellStyle name="Ênfase6" xfId="2242"/>
    <cellStyle name="Énfasis1" xfId="40" builtinId="29" customBuiltin="1"/>
    <cellStyle name="Énfasis1 2" xfId="2243"/>
    <cellStyle name="Énfasis1 3" xfId="2244"/>
    <cellStyle name="Énfasis1 4" xfId="2245"/>
    <cellStyle name="Énfasis1 5" xfId="2246"/>
    <cellStyle name="Énfasis1 6" xfId="2247"/>
    <cellStyle name="Énfasis1 7" xfId="2248"/>
    <cellStyle name="Énfasis1 8" xfId="2249"/>
    <cellStyle name="Énfasis1 9" xfId="2250"/>
    <cellStyle name="Énfasis2" xfId="44" builtinId="33" customBuiltin="1"/>
    <cellStyle name="Énfasis2 2" xfId="2251"/>
    <cellStyle name="Énfasis2 3" xfId="2252"/>
    <cellStyle name="Énfasis2 4" xfId="2253"/>
    <cellStyle name="Énfasis2 5" xfId="2254"/>
    <cellStyle name="Énfasis2 6" xfId="2255"/>
    <cellStyle name="Énfasis2 7" xfId="2256"/>
    <cellStyle name="Énfasis2 8" xfId="2257"/>
    <cellStyle name="Énfasis2 9" xfId="2258"/>
    <cellStyle name="Énfasis3" xfId="48" builtinId="37" customBuiltin="1"/>
    <cellStyle name="Énfasis3 2" xfId="2259"/>
    <cellStyle name="Énfasis3 3" xfId="2260"/>
    <cellStyle name="Énfasis3 4" xfId="2261"/>
    <cellStyle name="Énfasis3 5" xfId="2262"/>
    <cellStyle name="Énfasis3 6" xfId="2263"/>
    <cellStyle name="Énfasis3 7" xfId="2264"/>
    <cellStyle name="Énfasis3 8" xfId="2265"/>
    <cellStyle name="Énfasis3 9" xfId="2266"/>
    <cellStyle name="Énfasis4" xfId="52" builtinId="41" customBuiltin="1"/>
    <cellStyle name="Énfasis4 2" xfId="2267"/>
    <cellStyle name="Énfasis4 3" xfId="2268"/>
    <cellStyle name="Énfasis4 4" xfId="2269"/>
    <cellStyle name="Énfasis4 5" xfId="2270"/>
    <cellStyle name="Énfasis4 6" xfId="2271"/>
    <cellStyle name="Énfasis4 7" xfId="2272"/>
    <cellStyle name="Énfasis4 8" xfId="2273"/>
    <cellStyle name="Énfasis4 9" xfId="2274"/>
    <cellStyle name="Énfasis5" xfId="56" builtinId="45" customBuiltin="1"/>
    <cellStyle name="Énfasis5 2" xfId="2275"/>
    <cellStyle name="Énfasis5 3" xfId="2276"/>
    <cellStyle name="Énfasis5 4" xfId="2277"/>
    <cellStyle name="Énfasis5 5" xfId="2278"/>
    <cellStyle name="Énfasis5 6" xfId="2279"/>
    <cellStyle name="Énfasis5 7" xfId="2280"/>
    <cellStyle name="Énfasis5 8" xfId="2281"/>
    <cellStyle name="Énfasis5 9" xfId="2282"/>
    <cellStyle name="Énfasis6" xfId="60" builtinId="49" customBuiltin="1"/>
    <cellStyle name="Énfasis6 2" xfId="2283"/>
    <cellStyle name="Énfasis6 3" xfId="2284"/>
    <cellStyle name="Énfasis6 4" xfId="2285"/>
    <cellStyle name="Énfasis6 5" xfId="2286"/>
    <cellStyle name="Énfasis6 6" xfId="2287"/>
    <cellStyle name="Énfasis6 7" xfId="2288"/>
    <cellStyle name="Énfasis6 8" xfId="2289"/>
    <cellStyle name="Énfasis6 9" xfId="2290"/>
    <cellStyle name="ent" xfId="2291"/>
    <cellStyle name="Enter Currency (0)" xfId="2292"/>
    <cellStyle name="Enter Currency (2)" xfId="2293"/>
    <cellStyle name="Enter Units (0)" xfId="2294"/>
    <cellStyle name="Enter Units (1)" xfId="2295"/>
    <cellStyle name="Enter Units (2)" xfId="2296"/>
    <cellStyle name="Entered" xfId="2297"/>
    <cellStyle name="Entered 2" xfId="2298"/>
    <cellStyle name="Entered 3" xfId="2299"/>
    <cellStyle name="Entities" xfId="2300"/>
    <cellStyle name="Entrada" xfId="31" builtinId="20" customBuiltin="1"/>
    <cellStyle name="Entrada 2" xfId="2301"/>
    <cellStyle name="Entrada 3" xfId="2302"/>
    <cellStyle name="Entrada 4" xfId="2303"/>
    <cellStyle name="Entrada 4 2" xfId="2304"/>
    <cellStyle name="Entrada 4 2 2" xfId="4301"/>
    <cellStyle name="Entrada 4 2 2 2" xfId="10990"/>
    <cellStyle name="Entrada 4 2 2 2 2" xfId="10991"/>
    <cellStyle name="Entrada 4 2 2 2 2 2" xfId="31876"/>
    <cellStyle name="Entrada 4 2 2 2 3" xfId="10992"/>
    <cellStyle name="Entrada 4 2 2 2 3 2" xfId="31877"/>
    <cellStyle name="Entrada 4 2 2 2 4" xfId="31875"/>
    <cellStyle name="Entrada 4 2 2 3" xfId="10993"/>
    <cellStyle name="Entrada 4 2 2 3 2" xfId="10994"/>
    <cellStyle name="Entrada 4 2 2 3 2 2" xfId="31879"/>
    <cellStyle name="Entrada 4 2 2 3 3" xfId="10995"/>
    <cellStyle name="Entrada 4 2 2 3 3 2" xfId="31880"/>
    <cellStyle name="Entrada 4 2 2 3 4" xfId="31878"/>
    <cellStyle name="Entrada 4 2 2 4" xfId="10996"/>
    <cellStyle name="Entrada 4 2 2 4 2" xfId="10997"/>
    <cellStyle name="Entrada 4 2 2 4 2 2" xfId="31882"/>
    <cellStyle name="Entrada 4 2 2 4 3" xfId="10998"/>
    <cellStyle name="Entrada 4 2 2 4 3 2" xfId="31883"/>
    <cellStyle name="Entrada 4 2 2 4 4" xfId="31881"/>
    <cellStyle name="Entrada 4 2 2 5" xfId="10999"/>
    <cellStyle name="Entrada 4 2 2 5 2" xfId="11000"/>
    <cellStyle name="Entrada 4 2 2 5 2 2" xfId="31885"/>
    <cellStyle name="Entrada 4 2 2 5 3" xfId="11001"/>
    <cellStyle name="Entrada 4 2 2 5 3 2" xfId="31886"/>
    <cellStyle name="Entrada 4 2 2 5 4" xfId="31884"/>
    <cellStyle name="Entrada 4 2 2 6" xfId="11002"/>
    <cellStyle name="Entrada 4 2 2 6 2" xfId="31887"/>
    <cellStyle name="Entrada 4 2 2 7" xfId="11003"/>
    <cellStyle name="Entrada 4 2 2 7 2" xfId="31888"/>
    <cellStyle name="Entrada 4 2 2 8" xfId="19856"/>
    <cellStyle name="Entrada 4 2 3" xfId="4312"/>
    <cellStyle name="Entrada 4 2 3 2" xfId="11004"/>
    <cellStyle name="Entrada 4 2 3 2 2" xfId="11005"/>
    <cellStyle name="Entrada 4 2 3 2 2 2" xfId="31890"/>
    <cellStyle name="Entrada 4 2 3 2 3" xfId="11006"/>
    <cellStyle name="Entrada 4 2 3 2 3 2" xfId="31891"/>
    <cellStyle name="Entrada 4 2 3 2 4" xfId="31889"/>
    <cellStyle name="Entrada 4 2 3 3" xfId="11007"/>
    <cellStyle name="Entrada 4 2 3 3 2" xfId="11008"/>
    <cellStyle name="Entrada 4 2 3 3 2 2" xfId="31893"/>
    <cellStyle name="Entrada 4 2 3 3 3" xfId="11009"/>
    <cellStyle name="Entrada 4 2 3 3 3 2" xfId="31894"/>
    <cellStyle name="Entrada 4 2 3 3 4" xfId="31892"/>
    <cellStyle name="Entrada 4 2 3 4" xfId="11010"/>
    <cellStyle name="Entrada 4 2 3 4 2" xfId="11011"/>
    <cellStyle name="Entrada 4 2 3 4 2 2" xfId="31896"/>
    <cellStyle name="Entrada 4 2 3 4 3" xfId="11012"/>
    <cellStyle name="Entrada 4 2 3 4 3 2" xfId="31897"/>
    <cellStyle name="Entrada 4 2 3 4 4" xfId="31895"/>
    <cellStyle name="Entrada 4 2 3 5" xfId="11013"/>
    <cellStyle name="Entrada 4 2 3 5 2" xfId="11014"/>
    <cellStyle name="Entrada 4 2 3 5 2 2" xfId="31899"/>
    <cellStyle name="Entrada 4 2 3 5 3" xfId="11015"/>
    <cellStyle name="Entrada 4 2 3 5 3 2" xfId="31900"/>
    <cellStyle name="Entrada 4 2 3 5 4" xfId="31898"/>
    <cellStyle name="Entrada 4 2 3 6" xfId="11016"/>
    <cellStyle name="Entrada 4 2 3 6 2" xfId="31901"/>
    <cellStyle name="Entrada 4 2 3 7" xfId="11017"/>
    <cellStyle name="Entrada 4 2 3 7 2" xfId="31902"/>
    <cellStyle name="Entrada 4 2 3 8" xfId="27259"/>
    <cellStyle name="Entrada 4 2 4" xfId="5199"/>
    <cellStyle name="Entrada 4 2 4 2" xfId="11018"/>
    <cellStyle name="Entrada 4 2 4 2 2" xfId="11019"/>
    <cellStyle name="Entrada 4 2 4 2 2 2" xfId="31904"/>
    <cellStyle name="Entrada 4 2 4 2 3" xfId="11020"/>
    <cellStyle name="Entrada 4 2 4 2 3 2" xfId="31905"/>
    <cellStyle name="Entrada 4 2 4 2 4" xfId="31903"/>
    <cellStyle name="Entrada 4 2 4 3" xfId="11021"/>
    <cellStyle name="Entrada 4 2 4 3 2" xfId="11022"/>
    <cellStyle name="Entrada 4 2 4 3 2 2" xfId="31907"/>
    <cellStyle name="Entrada 4 2 4 3 3" xfId="11023"/>
    <cellStyle name="Entrada 4 2 4 3 3 2" xfId="31908"/>
    <cellStyle name="Entrada 4 2 4 3 4" xfId="31906"/>
    <cellStyle name="Entrada 4 2 4 4" xfId="11024"/>
    <cellStyle name="Entrada 4 2 4 4 2" xfId="11025"/>
    <cellStyle name="Entrada 4 2 4 4 2 2" xfId="31910"/>
    <cellStyle name="Entrada 4 2 4 4 3" xfId="11026"/>
    <cellStyle name="Entrada 4 2 4 4 3 2" xfId="31911"/>
    <cellStyle name="Entrada 4 2 4 4 4" xfId="31909"/>
    <cellStyle name="Entrada 4 2 4 5" xfId="11027"/>
    <cellStyle name="Entrada 4 2 4 5 2" xfId="11028"/>
    <cellStyle name="Entrada 4 2 4 5 2 2" xfId="31913"/>
    <cellStyle name="Entrada 4 2 4 5 3" xfId="11029"/>
    <cellStyle name="Entrada 4 2 4 5 3 2" xfId="31914"/>
    <cellStyle name="Entrada 4 2 4 5 4" xfId="31912"/>
    <cellStyle name="Entrada 4 2 4 6" xfId="11030"/>
    <cellStyle name="Entrada 4 2 4 6 2" xfId="31915"/>
    <cellStyle name="Entrada 4 2 4 7" xfId="11031"/>
    <cellStyle name="Entrada 4 2 4 7 2" xfId="31916"/>
    <cellStyle name="Entrada 4 2 4 8" xfId="26490"/>
    <cellStyle name="Entrada 4 2 5" xfId="11032"/>
    <cellStyle name="Entrada 4 2 5 2" xfId="11033"/>
    <cellStyle name="Entrada 4 2 5 2 2" xfId="31918"/>
    <cellStyle name="Entrada 4 2 5 3" xfId="11034"/>
    <cellStyle name="Entrada 4 2 5 3 2" xfId="31919"/>
    <cellStyle name="Entrada 4 2 5 4" xfId="31917"/>
    <cellStyle name="Entrada 4 2 6" xfId="11035"/>
    <cellStyle name="Entrada 4 2 6 2" xfId="31920"/>
    <cellStyle name="Entrada 4 2 7" xfId="11036"/>
    <cellStyle name="Entrada 4 2 7 2" xfId="31921"/>
    <cellStyle name="Entrada 4 2 8" xfId="29988"/>
    <cellStyle name="Entrada 4 3" xfId="4302"/>
    <cellStyle name="Entrada 4 3 2" xfId="11037"/>
    <cellStyle name="Entrada 4 3 2 2" xfId="11038"/>
    <cellStyle name="Entrada 4 3 2 2 2" xfId="31923"/>
    <cellStyle name="Entrada 4 3 2 3" xfId="11039"/>
    <cellStyle name="Entrada 4 3 2 3 2" xfId="31924"/>
    <cellStyle name="Entrada 4 3 2 4" xfId="31922"/>
    <cellStyle name="Entrada 4 3 3" xfId="11040"/>
    <cellStyle name="Entrada 4 3 3 2" xfId="11041"/>
    <cellStyle name="Entrada 4 3 3 2 2" xfId="31926"/>
    <cellStyle name="Entrada 4 3 3 3" xfId="11042"/>
    <cellStyle name="Entrada 4 3 3 3 2" xfId="31927"/>
    <cellStyle name="Entrada 4 3 3 4" xfId="31925"/>
    <cellStyle name="Entrada 4 3 4" xfId="11043"/>
    <cellStyle name="Entrada 4 3 4 2" xfId="11044"/>
    <cellStyle name="Entrada 4 3 4 2 2" xfId="31929"/>
    <cellStyle name="Entrada 4 3 4 3" xfId="11045"/>
    <cellStyle name="Entrada 4 3 4 3 2" xfId="31930"/>
    <cellStyle name="Entrada 4 3 4 4" xfId="31928"/>
    <cellStyle name="Entrada 4 3 5" xfId="11046"/>
    <cellStyle name="Entrada 4 3 5 2" xfId="11047"/>
    <cellStyle name="Entrada 4 3 5 2 2" xfId="31932"/>
    <cellStyle name="Entrada 4 3 5 3" xfId="11048"/>
    <cellStyle name="Entrada 4 3 5 3 2" xfId="31933"/>
    <cellStyle name="Entrada 4 3 5 4" xfId="31931"/>
    <cellStyle name="Entrada 4 3 6" xfId="11049"/>
    <cellStyle name="Entrada 4 3 6 2" xfId="31934"/>
    <cellStyle name="Entrada 4 3 7" xfId="11050"/>
    <cellStyle name="Entrada 4 3 7 2" xfId="31935"/>
    <cellStyle name="Entrada 4 3 8" xfId="19855"/>
    <cellStyle name="Entrada 4 4" xfId="4127"/>
    <cellStyle name="Entrada 4 4 2" xfId="11051"/>
    <cellStyle name="Entrada 4 4 2 2" xfId="11052"/>
    <cellStyle name="Entrada 4 4 2 2 2" xfId="31937"/>
    <cellStyle name="Entrada 4 4 2 3" xfId="11053"/>
    <cellStyle name="Entrada 4 4 2 3 2" xfId="31938"/>
    <cellStyle name="Entrada 4 4 2 4" xfId="31936"/>
    <cellStyle name="Entrada 4 4 3" xfId="11054"/>
    <cellStyle name="Entrada 4 4 3 2" xfId="11055"/>
    <cellStyle name="Entrada 4 4 3 2 2" xfId="31940"/>
    <cellStyle name="Entrada 4 4 3 3" xfId="11056"/>
    <cellStyle name="Entrada 4 4 3 3 2" xfId="31941"/>
    <cellStyle name="Entrada 4 4 3 4" xfId="31939"/>
    <cellStyle name="Entrada 4 4 4" xfId="11057"/>
    <cellStyle name="Entrada 4 4 4 2" xfId="11058"/>
    <cellStyle name="Entrada 4 4 4 2 2" xfId="31943"/>
    <cellStyle name="Entrada 4 4 4 3" xfId="11059"/>
    <cellStyle name="Entrada 4 4 4 3 2" xfId="31944"/>
    <cellStyle name="Entrada 4 4 4 4" xfId="31942"/>
    <cellStyle name="Entrada 4 4 5" xfId="11060"/>
    <cellStyle name="Entrada 4 4 5 2" xfId="11061"/>
    <cellStyle name="Entrada 4 4 5 2 2" xfId="31946"/>
    <cellStyle name="Entrada 4 4 5 3" xfId="11062"/>
    <cellStyle name="Entrada 4 4 5 3 2" xfId="31947"/>
    <cellStyle name="Entrada 4 4 5 4" xfId="31945"/>
    <cellStyle name="Entrada 4 4 6" xfId="11063"/>
    <cellStyle name="Entrada 4 4 6 2" xfId="31948"/>
    <cellStyle name="Entrada 4 4 7" xfId="11064"/>
    <cellStyle name="Entrada 4 4 7 2" xfId="31949"/>
    <cellStyle name="Entrada 4 4 8" xfId="27373"/>
    <cellStyle name="Entrada 4 5" xfId="5200"/>
    <cellStyle name="Entrada 4 5 2" xfId="11065"/>
    <cellStyle name="Entrada 4 5 2 2" xfId="11066"/>
    <cellStyle name="Entrada 4 5 2 2 2" xfId="31951"/>
    <cellStyle name="Entrada 4 5 2 3" xfId="11067"/>
    <cellStyle name="Entrada 4 5 2 3 2" xfId="31952"/>
    <cellStyle name="Entrada 4 5 2 4" xfId="31950"/>
    <cellStyle name="Entrada 4 5 3" xfId="11068"/>
    <cellStyle name="Entrada 4 5 3 2" xfId="11069"/>
    <cellStyle name="Entrada 4 5 3 2 2" xfId="31954"/>
    <cellStyle name="Entrada 4 5 3 3" xfId="11070"/>
    <cellStyle name="Entrada 4 5 3 3 2" xfId="31955"/>
    <cellStyle name="Entrada 4 5 3 4" xfId="31953"/>
    <cellStyle name="Entrada 4 5 4" xfId="11071"/>
    <cellStyle name="Entrada 4 5 4 2" xfId="11072"/>
    <cellStyle name="Entrada 4 5 4 2 2" xfId="31957"/>
    <cellStyle name="Entrada 4 5 4 3" xfId="11073"/>
    <cellStyle name="Entrada 4 5 4 3 2" xfId="31958"/>
    <cellStyle name="Entrada 4 5 4 4" xfId="31956"/>
    <cellStyle name="Entrada 4 5 5" xfId="11074"/>
    <cellStyle name="Entrada 4 5 5 2" xfId="11075"/>
    <cellStyle name="Entrada 4 5 5 2 2" xfId="31960"/>
    <cellStyle name="Entrada 4 5 5 3" xfId="11076"/>
    <cellStyle name="Entrada 4 5 5 3 2" xfId="31961"/>
    <cellStyle name="Entrada 4 5 5 4" xfId="31959"/>
    <cellStyle name="Entrada 4 5 6" xfId="11077"/>
    <cellStyle name="Entrada 4 5 6 2" xfId="31962"/>
    <cellStyle name="Entrada 4 5 7" xfId="11078"/>
    <cellStyle name="Entrada 4 5 7 2" xfId="31963"/>
    <cellStyle name="Entrada 4 5 8" xfId="26489"/>
    <cellStyle name="Entrada 4 6" xfId="11079"/>
    <cellStyle name="Entrada 4 6 2" xfId="11080"/>
    <cellStyle name="Entrada 4 6 2 2" xfId="31965"/>
    <cellStyle name="Entrada 4 6 3" xfId="11081"/>
    <cellStyle name="Entrada 4 6 3 2" xfId="31966"/>
    <cellStyle name="Entrada 4 6 4" xfId="31964"/>
    <cellStyle name="Entrada 4 7" xfId="11082"/>
    <cellStyle name="Entrada 4 7 2" xfId="31967"/>
    <cellStyle name="Entrada 4 8" xfId="11083"/>
    <cellStyle name="Entrada 4 8 2" xfId="31968"/>
    <cellStyle name="Entrada 4 9" xfId="29989"/>
    <cellStyle name="Entrada 5" xfId="2305"/>
    <cellStyle name="Entrada 5 2" xfId="2306"/>
    <cellStyle name="Entrada 5 2 2" xfId="3957"/>
    <cellStyle name="Entrada 5 2 2 2" xfId="11084"/>
    <cellStyle name="Entrada 5 2 2 2 2" xfId="11085"/>
    <cellStyle name="Entrada 5 2 2 2 2 2" xfId="31970"/>
    <cellStyle name="Entrada 5 2 2 2 3" xfId="11086"/>
    <cellStyle name="Entrada 5 2 2 2 3 2" xfId="31971"/>
    <cellStyle name="Entrada 5 2 2 2 4" xfId="31969"/>
    <cellStyle name="Entrada 5 2 2 3" xfId="11087"/>
    <cellStyle name="Entrada 5 2 2 3 2" xfId="11088"/>
    <cellStyle name="Entrada 5 2 2 3 2 2" xfId="31973"/>
    <cellStyle name="Entrada 5 2 2 3 3" xfId="11089"/>
    <cellStyle name="Entrada 5 2 2 3 3 2" xfId="31974"/>
    <cellStyle name="Entrada 5 2 2 3 4" xfId="31972"/>
    <cellStyle name="Entrada 5 2 2 4" xfId="11090"/>
    <cellStyle name="Entrada 5 2 2 4 2" xfId="11091"/>
    <cellStyle name="Entrada 5 2 2 4 2 2" xfId="31976"/>
    <cellStyle name="Entrada 5 2 2 4 3" xfId="11092"/>
    <cellStyle name="Entrada 5 2 2 4 3 2" xfId="31977"/>
    <cellStyle name="Entrada 5 2 2 4 4" xfId="31975"/>
    <cellStyle name="Entrada 5 2 2 5" xfId="11093"/>
    <cellStyle name="Entrada 5 2 2 5 2" xfId="11094"/>
    <cellStyle name="Entrada 5 2 2 5 2 2" xfId="31979"/>
    <cellStyle name="Entrada 5 2 2 5 3" xfId="11095"/>
    <cellStyle name="Entrada 5 2 2 5 3 2" xfId="31980"/>
    <cellStyle name="Entrada 5 2 2 5 4" xfId="31978"/>
    <cellStyle name="Entrada 5 2 2 6" xfId="11096"/>
    <cellStyle name="Entrada 5 2 2 6 2" xfId="31981"/>
    <cellStyle name="Entrada 5 2 2 7" xfId="11097"/>
    <cellStyle name="Entrada 5 2 2 7 2" xfId="31982"/>
    <cellStyle name="Entrada 5 2 2 8" xfId="27388"/>
    <cellStyle name="Entrada 5 2 3" xfId="4580"/>
    <cellStyle name="Entrada 5 2 3 2" xfId="11098"/>
    <cellStyle name="Entrada 5 2 3 2 2" xfId="11099"/>
    <cellStyle name="Entrada 5 2 3 2 2 2" xfId="31984"/>
    <cellStyle name="Entrada 5 2 3 2 3" xfId="11100"/>
    <cellStyle name="Entrada 5 2 3 2 3 2" xfId="31985"/>
    <cellStyle name="Entrada 5 2 3 2 4" xfId="31983"/>
    <cellStyle name="Entrada 5 2 3 3" xfId="11101"/>
    <cellStyle name="Entrada 5 2 3 3 2" xfId="11102"/>
    <cellStyle name="Entrada 5 2 3 3 2 2" xfId="31987"/>
    <cellStyle name="Entrada 5 2 3 3 3" xfId="11103"/>
    <cellStyle name="Entrada 5 2 3 3 3 2" xfId="31988"/>
    <cellStyle name="Entrada 5 2 3 3 4" xfId="31986"/>
    <cellStyle name="Entrada 5 2 3 4" xfId="11104"/>
    <cellStyle name="Entrada 5 2 3 4 2" xfId="11105"/>
    <cellStyle name="Entrada 5 2 3 4 2 2" xfId="31990"/>
    <cellStyle name="Entrada 5 2 3 4 3" xfId="11106"/>
    <cellStyle name="Entrada 5 2 3 4 3 2" xfId="31991"/>
    <cellStyle name="Entrada 5 2 3 4 4" xfId="31989"/>
    <cellStyle name="Entrada 5 2 3 5" xfId="11107"/>
    <cellStyle name="Entrada 5 2 3 5 2" xfId="11108"/>
    <cellStyle name="Entrada 5 2 3 5 2 2" xfId="31993"/>
    <cellStyle name="Entrada 5 2 3 5 3" xfId="11109"/>
    <cellStyle name="Entrada 5 2 3 5 3 2" xfId="31994"/>
    <cellStyle name="Entrada 5 2 3 5 4" xfId="31992"/>
    <cellStyle name="Entrada 5 2 3 6" xfId="11110"/>
    <cellStyle name="Entrada 5 2 3 6 2" xfId="31995"/>
    <cellStyle name="Entrada 5 2 3 7" xfId="11111"/>
    <cellStyle name="Entrada 5 2 3 7 2" xfId="31996"/>
    <cellStyle name="Entrada 5 2 3 8" xfId="27034"/>
    <cellStyle name="Entrada 5 2 4" xfId="5201"/>
    <cellStyle name="Entrada 5 2 4 2" xfId="11112"/>
    <cellStyle name="Entrada 5 2 4 2 2" xfId="11113"/>
    <cellStyle name="Entrada 5 2 4 2 2 2" xfId="31998"/>
    <cellStyle name="Entrada 5 2 4 2 3" xfId="11114"/>
    <cellStyle name="Entrada 5 2 4 2 3 2" xfId="31999"/>
    <cellStyle name="Entrada 5 2 4 2 4" xfId="31997"/>
    <cellStyle name="Entrada 5 2 4 3" xfId="11115"/>
    <cellStyle name="Entrada 5 2 4 3 2" xfId="11116"/>
    <cellStyle name="Entrada 5 2 4 3 2 2" xfId="32001"/>
    <cellStyle name="Entrada 5 2 4 3 3" xfId="11117"/>
    <cellStyle name="Entrada 5 2 4 3 3 2" xfId="32002"/>
    <cellStyle name="Entrada 5 2 4 3 4" xfId="32000"/>
    <cellStyle name="Entrada 5 2 4 4" xfId="11118"/>
    <cellStyle name="Entrada 5 2 4 4 2" xfId="11119"/>
    <cellStyle name="Entrada 5 2 4 4 2 2" xfId="32004"/>
    <cellStyle name="Entrada 5 2 4 4 3" xfId="11120"/>
    <cellStyle name="Entrada 5 2 4 4 3 2" xfId="32005"/>
    <cellStyle name="Entrada 5 2 4 4 4" xfId="32003"/>
    <cellStyle name="Entrada 5 2 4 5" xfId="11121"/>
    <cellStyle name="Entrada 5 2 4 5 2" xfId="11122"/>
    <cellStyle name="Entrada 5 2 4 5 2 2" xfId="32007"/>
    <cellStyle name="Entrada 5 2 4 5 3" xfId="11123"/>
    <cellStyle name="Entrada 5 2 4 5 3 2" xfId="32008"/>
    <cellStyle name="Entrada 5 2 4 5 4" xfId="32006"/>
    <cellStyle name="Entrada 5 2 4 6" xfId="11124"/>
    <cellStyle name="Entrada 5 2 4 6 2" xfId="32009"/>
    <cellStyle name="Entrada 5 2 4 7" xfId="11125"/>
    <cellStyle name="Entrada 5 2 4 7 2" xfId="32010"/>
    <cellStyle name="Entrada 5 2 4 8" xfId="26488"/>
    <cellStyle name="Entrada 5 2 5" xfId="11126"/>
    <cellStyle name="Entrada 5 2 5 2" xfId="11127"/>
    <cellStyle name="Entrada 5 2 5 2 2" xfId="32012"/>
    <cellStyle name="Entrada 5 2 5 3" xfId="11128"/>
    <cellStyle name="Entrada 5 2 5 3 2" xfId="32013"/>
    <cellStyle name="Entrada 5 2 5 4" xfId="32011"/>
    <cellStyle name="Entrada 5 2 6" xfId="11129"/>
    <cellStyle name="Entrada 5 2 6 2" xfId="32014"/>
    <cellStyle name="Entrada 5 2 7" xfId="11130"/>
    <cellStyle name="Entrada 5 2 7 2" xfId="32015"/>
    <cellStyle name="Entrada 5 2 8" xfId="20055"/>
    <cellStyle name="Entrada 5 3" xfId="4188"/>
    <cellStyle name="Entrada 5 3 2" xfId="11131"/>
    <cellStyle name="Entrada 5 3 2 2" xfId="11132"/>
    <cellStyle name="Entrada 5 3 2 2 2" xfId="32017"/>
    <cellStyle name="Entrada 5 3 2 3" xfId="11133"/>
    <cellStyle name="Entrada 5 3 2 3 2" xfId="32018"/>
    <cellStyle name="Entrada 5 3 2 4" xfId="32016"/>
    <cellStyle name="Entrada 5 3 3" xfId="11134"/>
    <cellStyle name="Entrada 5 3 3 2" xfId="11135"/>
    <cellStyle name="Entrada 5 3 3 2 2" xfId="32020"/>
    <cellStyle name="Entrada 5 3 3 3" xfId="11136"/>
    <cellStyle name="Entrada 5 3 3 3 2" xfId="32021"/>
    <cellStyle name="Entrada 5 3 3 4" xfId="32019"/>
    <cellStyle name="Entrada 5 3 4" xfId="11137"/>
    <cellStyle name="Entrada 5 3 4 2" xfId="11138"/>
    <cellStyle name="Entrada 5 3 4 2 2" xfId="32023"/>
    <cellStyle name="Entrada 5 3 4 3" xfId="11139"/>
    <cellStyle name="Entrada 5 3 4 3 2" xfId="32024"/>
    <cellStyle name="Entrada 5 3 4 4" xfId="32022"/>
    <cellStyle name="Entrada 5 3 5" xfId="11140"/>
    <cellStyle name="Entrada 5 3 5 2" xfId="11141"/>
    <cellStyle name="Entrada 5 3 5 2 2" xfId="32026"/>
    <cellStyle name="Entrada 5 3 5 3" xfId="11142"/>
    <cellStyle name="Entrada 5 3 5 3 2" xfId="32027"/>
    <cellStyle name="Entrada 5 3 5 4" xfId="32025"/>
    <cellStyle name="Entrada 5 3 6" xfId="11143"/>
    <cellStyle name="Entrada 5 3 6 2" xfId="32028"/>
    <cellStyle name="Entrada 5 3 7" xfId="11144"/>
    <cellStyle name="Entrada 5 3 7 2" xfId="32029"/>
    <cellStyle name="Entrada 5 3 8" xfId="27355"/>
    <cellStyle name="Entrada 5 4" xfId="4581"/>
    <cellStyle name="Entrada 5 4 2" xfId="11145"/>
    <cellStyle name="Entrada 5 4 2 2" xfId="11146"/>
    <cellStyle name="Entrada 5 4 2 2 2" xfId="32031"/>
    <cellStyle name="Entrada 5 4 2 3" xfId="11147"/>
    <cellStyle name="Entrada 5 4 2 3 2" xfId="32032"/>
    <cellStyle name="Entrada 5 4 2 4" xfId="32030"/>
    <cellStyle name="Entrada 5 4 3" xfId="11148"/>
    <cellStyle name="Entrada 5 4 3 2" xfId="11149"/>
    <cellStyle name="Entrada 5 4 3 2 2" xfId="32034"/>
    <cellStyle name="Entrada 5 4 3 3" xfId="11150"/>
    <cellStyle name="Entrada 5 4 3 3 2" xfId="32035"/>
    <cellStyle name="Entrada 5 4 3 4" xfId="32033"/>
    <cellStyle name="Entrada 5 4 4" xfId="11151"/>
    <cellStyle name="Entrada 5 4 4 2" xfId="11152"/>
    <cellStyle name="Entrada 5 4 4 2 2" xfId="32037"/>
    <cellStyle name="Entrada 5 4 4 3" xfId="11153"/>
    <cellStyle name="Entrada 5 4 4 3 2" xfId="32038"/>
    <cellStyle name="Entrada 5 4 4 4" xfId="32036"/>
    <cellStyle name="Entrada 5 4 5" xfId="11154"/>
    <cellStyle name="Entrada 5 4 5 2" xfId="11155"/>
    <cellStyle name="Entrada 5 4 5 2 2" xfId="32040"/>
    <cellStyle name="Entrada 5 4 5 3" xfId="11156"/>
    <cellStyle name="Entrada 5 4 5 3 2" xfId="32041"/>
    <cellStyle name="Entrada 5 4 5 4" xfId="32039"/>
    <cellStyle name="Entrada 5 4 6" xfId="11157"/>
    <cellStyle name="Entrada 5 4 6 2" xfId="32042"/>
    <cellStyle name="Entrada 5 4 7" xfId="11158"/>
    <cellStyle name="Entrada 5 4 7 2" xfId="32043"/>
    <cellStyle name="Entrada 5 4 8" xfId="27033"/>
    <cellStyle name="Entrada 5 5" xfId="5202"/>
    <cellStyle name="Entrada 5 5 2" xfId="11159"/>
    <cellStyle name="Entrada 5 5 2 2" xfId="11160"/>
    <cellStyle name="Entrada 5 5 2 2 2" xfId="32045"/>
    <cellStyle name="Entrada 5 5 2 3" xfId="11161"/>
    <cellStyle name="Entrada 5 5 2 3 2" xfId="32046"/>
    <cellStyle name="Entrada 5 5 2 4" xfId="32044"/>
    <cellStyle name="Entrada 5 5 3" xfId="11162"/>
    <cellStyle name="Entrada 5 5 3 2" xfId="11163"/>
    <cellStyle name="Entrada 5 5 3 2 2" xfId="32048"/>
    <cellStyle name="Entrada 5 5 3 3" xfId="11164"/>
    <cellStyle name="Entrada 5 5 3 3 2" xfId="32049"/>
    <cellStyle name="Entrada 5 5 3 4" xfId="32047"/>
    <cellStyle name="Entrada 5 5 4" xfId="11165"/>
    <cellStyle name="Entrada 5 5 4 2" xfId="11166"/>
    <cellStyle name="Entrada 5 5 4 2 2" xfId="32051"/>
    <cellStyle name="Entrada 5 5 4 3" xfId="11167"/>
    <cellStyle name="Entrada 5 5 4 3 2" xfId="32052"/>
    <cellStyle name="Entrada 5 5 4 4" xfId="32050"/>
    <cellStyle name="Entrada 5 5 5" xfId="11168"/>
    <cellStyle name="Entrada 5 5 5 2" xfId="11169"/>
    <cellStyle name="Entrada 5 5 5 2 2" xfId="32054"/>
    <cellStyle name="Entrada 5 5 5 3" xfId="11170"/>
    <cellStyle name="Entrada 5 5 5 3 2" xfId="32055"/>
    <cellStyle name="Entrada 5 5 5 4" xfId="32053"/>
    <cellStyle name="Entrada 5 5 6" xfId="11171"/>
    <cellStyle name="Entrada 5 5 6 2" xfId="32056"/>
    <cellStyle name="Entrada 5 5 7" xfId="11172"/>
    <cellStyle name="Entrada 5 5 7 2" xfId="32057"/>
    <cellStyle name="Entrada 5 5 8" xfId="26487"/>
    <cellStyle name="Entrada 5 6" xfId="11173"/>
    <cellStyle name="Entrada 5 6 2" xfId="11174"/>
    <cellStyle name="Entrada 5 6 2 2" xfId="32059"/>
    <cellStyle name="Entrada 5 6 3" xfId="11175"/>
    <cellStyle name="Entrada 5 6 3 2" xfId="32060"/>
    <cellStyle name="Entrada 5 6 4" xfId="32058"/>
    <cellStyle name="Entrada 5 7" xfId="11176"/>
    <cellStyle name="Entrada 5 7 2" xfId="32061"/>
    <cellStyle name="Entrada 5 8" xfId="11177"/>
    <cellStyle name="Entrada 5 8 2" xfId="32062"/>
    <cellStyle name="Entrada 5 9" xfId="29987"/>
    <cellStyle name="Entrada 6" xfId="2307"/>
    <cellStyle name="Entrada 6 2" xfId="2308"/>
    <cellStyle name="Entrada 6 2 2" xfId="4300"/>
    <cellStyle name="Entrada 6 2 2 2" xfId="11178"/>
    <cellStyle name="Entrada 6 2 2 2 2" xfId="11179"/>
    <cellStyle name="Entrada 6 2 2 2 2 2" xfId="32064"/>
    <cellStyle name="Entrada 6 2 2 2 3" xfId="11180"/>
    <cellStyle name="Entrada 6 2 2 2 3 2" xfId="32065"/>
    <cellStyle name="Entrada 6 2 2 2 4" xfId="32063"/>
    <cellStyle name="Entrada 6 2 2 3" xfId="11181"/>
    <cellStyle name="Entrada 6 2 2 3 2" xfId="11182"/>
    <cellStyle name="Entrada 6 2 2 3 2 2" xfId="32067"/>
    <cellStyle name="Entrada 6 2 2 3 3" xfId="11183"/>
    <cellStyle name="Entrada 6 2 2 3 3 2" xfId="32068"/>
    <cellStyle name="Entrada 6 2 2 3 4" xfId="32066"/>
    <cellStyle name="Entrada 6 2 2 4" xfId="11184"/>
    <cellStyle name="Entrada 6 2 2 4 2" xfId="11185"/>
    <cellStyle name="Entrada 6 2 2 4 2 2" xfId="32070"/>
    <cellStyle name="Entrada 6 2 2 4 3" xfId="11186"/>
    <cellStyle name="Entrada 6 2 2 4 3 2" xfId="32071"/>
    <cellStyle name="Entrada 6 2 2 4 4" xfId="32069"/>
    <cellStyle name="Entrada 6 2 2 5" xfId="11187"/>
    <cellStyle name="Entrada 6 2 2 5 2" xfId="11188"/>
    <cellStyle name="Entrada 6 2 2 5 2 2" xfId="32073"/>
    <cellStyle name="Entrada 6 2 2 5 3" xfId="11189"/>
    <cellStyle name="Entrada 6 2 2 5 3 2" xfId="32074"/>
    <cellStyle name="Entrada 6 2 2 5 4" xfId="32072"/>
    <cellStyle name="Entrada 6 2 2 6" xfId="11190"/>
    <cellStyle name="Entrada 6 2 2 6 2" xfId="32075"/>
    <cellStyle name="Entrada 6 2 2 7" xfId="11191"/>
    <cellStyle name="Entrada 6 2 2 7 2" xfId="32076"/>
    <cellStyle name="Entrada 6 2 2 8" xfId="19857"/>
    <cellStyle name="Entrada 6 2 3" xfId="4520"/>
    <cellStyle name="Entrada 6 2 3 2" xfId="11192"/>
    <cellStyle name="Entrada 6 2 3 2 2" xfId="11193"/>
    <cellStyle name="Entrada 6 2 3 2 2 2" xfId="32078"/>
    <cellStyle name="Entrada 6 2 3 2 3" xfId="11194"/>
    <cellStyle name="Entrada 6 2 3 2 3 2" xfId="32079"/>
    <cellStyle name="Entrada 6 2 3 2 4" xfId="32077"/>
    <cellStyle name="Entrada 6 2 3 3" xfId="11195"/>
    <cellStyle name="Entrada 6 2 3 3 2" xfId="11196"/>
    <cellStyle name="Entrada 6 2 3 3 2 2" xfId="32081"/>
    <cellStyle name="Entrada 6 2 3 3 3" xfId="11197"/>
    <cellStyle name="Entrada 6 2 3 3 3 2" xfId="32082"/>
    <cellStyle name="Entrada 6 2 3 3 4" xfId="32080"/>
    <cellStyle name="Entrada 6 2 3 4" xfId="11198"/>
    <cellStyle name="Entrada 6 2 3 4 2" xfId="11199"/>
    <cellStyle name="Entrada 6 2 3 4 2 2" xfId="32084"/>
    <cellStyle name="Entrada 6 2 3 4 3" xfId="11200"/>
    <cellStyle name="Entrada 6 2 3 4 3 2" xfId="32085"/>
    <cellStyle name="Entrada 6 2 3 4 4" xfId="32083"/>
    <cellStyle name="Entrada 6 2 3 5" xfId="11201"/>
    <cellStyle name="Entrada 6 2 3 5 2" xfId="11202"/>
    <cellStyle name="Entrada 6 2 3 5 2 2" xfId="32087"/>
    <cellStyle name="Entrada 6 2 3 5 3" xfId="11203"/>
    <cellStyle name="Entrada 6 2 3 5 3 2" xfId="32088"/>
    <cellStyle name="Entrada 6 2 3 5 4" xfId="32086"/>
    <cellStyle name="Entrada 6 2 3 6" xfId="11204"/>
    <cellStyle name="Entrada 6 2 3 6 2" xfId="32089"/>
    <cellStyle name="Entrada 6 2 3 7" xfId="11205"/>
    <cellStyle name="Entrada 6 2 3 7 2" xfId="32090"/>
    <cellStyle name="Entrada 6 2 3 8" xfId="27050"/>
    <cellStyle name="Entrada 6 2 4" xfId="5203"/>
    <cellStyle name="Entrada 6 2 4 2" xfId="11206"/>
    <cellStyle name="Entrada 6 2 4 2 2" xfId="11207"/>
    <cellStyle name="Entrada 6 2 4 2 2 2" xfId="32092"/>
    <cellStyle name="Entrada 6 2 4 2 3" xfId="11208"/>
    <cellStyle name="Entrada 6 2 4 2 3 2" xfId="32093"/>
    <cellStyle name="Entrada 6 2 4 2 4" xfId="32091"/>
    <cellStyle name="Entrada 6 2 4 3" xfId="11209"/>
    <cellStyle name="Entrada 6 2 4 3 2" xfId="11210"/>
    <cellStyle name="Entrada 6 2 4 3 2 2" xfId="32095"/>
    <cellStyle name="Entrada 6 2 4 3 3" xfId="11211"/>
    <cellStyle name="Entrada 6 2 4 3 3 2" xfId="32096"/>
    <cellStyle name="Entrada 6 2 4 3 4" xfId="32094"/>
    <cellStyle name="Entrada 6 2 4 4" xfId="11212"/>
    <cellStyle name="Entrada 6 2 4 4 2" xfId="11213"/>
    <cellStyle name="Entrada 6 2 4 4 2 2" xfId="32098"/>
    <cellStyle name="Entrada 6 2 4 4 3" xfId="11214"/>
    <cellStyle name="Entrada 6 2 4 4 3 2" xfId="32099"/>
    <cellStyle name="Entrada 6 2 4 4 4" xfId="32097"/>
    <cellStyle name="Entrada 6 2 4 5" xfId="11215"/>
    <cellStyle name="Entrada 6 2 4 5 2" xfId="11216"/>
    <cellStyle name="Entrada 6 2 4 5 2 2" xfId="32101"/>
    <cellStyle name="Entrada 6 2 4 5 3" xfId="11217"/>
    <cellStyle name="Entrada 6 2 4 5 3 2" xfId="32102"/>
    <cellStyle name="Entrada 6 2 4 5 4" xfId="32100"/>
    <cellStyle name="Entrada 6 2 4 6" xfId="11218"/>
    <cellStyle name="Entrada 6 2 4 6 2" xfId="32103"/>
    <cellStyle name="Entrada 6 2 4 7" xfId="11219"/>
    <cellStyle name="Entrada 6 2 4 7 2" xfId="32104"/>
    <cellStyle name="Entrada 6 2 4 8" xfId="26486"/>
    <cellStyle name="Entrada 6 2 5" xfId="11220"/>
    <cellStyle name="Entrada 6 2 5 2" xfId="11221"/>
    <cellStyle name="Entrada 6 2 5 2 2" xfId="32106"/>
    <cellStyle name="Entrada 6 2 5 3" xfId="11222"/>
    <cellStyle name="Entrada 6 2 5 3 2" xfId="32107"/>
    <cellStyle name="Entrada 6 2 5 4" xfId="32105"/>
    <cellStyle name="Entrada 6 2 6" xfId="11223"/>
    <cellStyle name="Entrada 6 2 6 2" xfId="32108"/>
    <cellStyle name="Entrada 6 2 7" xfId="11224"/>
    <cellStyle name="Entrada 6 2 7 2" xfId="32109"/>
    <cellStyle name="Entrada 6 2 8" xfId="20053"/>
    <cellStyle name="Entrada 6 3" xfId="4423"/>
    <cellStyle name="Entrada 6 3 2" xfId="11225"/>
    <cellStyle name="Entrada 6 3 2 2" xfId="11226"/>
    <cellStyle name="Entrada 6 3 2 2 2" xfId="32111"/>
    <cellStyle name="Entrada 6 3 2 3" xfId="11227"/>
    <cellStyle name="Entrada 6 3 2 3 2" xfId="32112"/>
    <cellStyle name="Entrada 6 3 2 4" xfId="32110"/>
    <cellStyle name="Entrada 6 3 3" xfId="11228"/>
    <cellStyle name="Entrada 6 3 3 2" xfId="11229"/>
    <cellStyle name="Entrada 6 3 3 2 2" xfId="32114"/>
    <cellStyle name="Entrada 6 3 3 3" xfId="11230"/>
    <cellStyle name="Entrada 6 3 3 3 2" xfId="32115"/>
    <cellStyle name="Entrada 6 3 3 4" xfId="32113"/>
    <cellStyle name="Entrada 6 3 4" xfId="11231"/>
    <cellStyle name="Entrada 6 3 4 2" xfId="11232"/>
    <cellStyle name="Entrada 6 3 4 2 2" xfId="32117"/>
    <cellStyle name="Entrada 6 3 4 3" xfId="11233"/>
    <cellStyle name="Entrada 6 3 4 3 2" xfId="32118"/>
    <cellStyle name="Entrada 6 3 4 4" xfId="32116"/>
    <cellStyle name="Entrada 6 3 5" xfId="11234"/>
    <cellStyle name="Entrada 6 3 5 2" xfId="11235"/>
    <cellStyle name="Entrada 6 3 5 2 2" xfId="32120"/>
    <cellStyle name="Entrada 6 3 5 3" xfId="11236"/>
    <cellStyle name="Entrada 6 3 5 3 2" xfId="32121"/>
    <cellStyle name="Entrada 6 3 5 4" xfId="32119"/>
    <cellStyle name="Entrada 6 3 6" xfId="11237"/>
    <cellStyle name="Entrada 6 3 6 2" xfId="32122"/>
    <cellStyle name="Entrada 6 3 7" xfId="11238"/>
    <cellStyle name="Entrada 6 3 7 2" xfId="32123"/>
    <cellStyle name="Entrada 6 3 8" xfId="27078"/>
    <cellStyle name="Entrada 6 4" xfId="4468"/>
    <cellStyle name="Entrada 6 4 2" xfId="11239"/>
    <cellStyle name="Entrada 6 4 2 2" xfId="11240"/>
    <cellStyle name="Entrada 6 4 2 2 2" xfId="32125"/>
    <cellStyle name="Entrada 6 4 2 3" xfId="11241"/>
    <cellStyle name="Entrada 6 4 2 3 2" xfId="32126"/>
    <cellStyle name="Entrada 6 4 2 4" xfId="32124"/>
    <cellStyle name="Entrada 6 4 3" xfId="11242"/>
    <cellStyle name="Entrada 6 4 3 2" xfId="11243"/>
    <cellStyle name="Entrada 6 4 3 2 2" xfId="32128"/>
    <cellStyle name="Entrada 6 4 3 3" xfId="11244"/>
    <cellStyle name="Entrada 6 4 3 3 2" xfId="32129"/>
    <cellStyle name="Entrada 6 4 3 4" xfId="32127"/>
    <cellStyle name="Entrada 6 4 4" xfId="11245"/>
    <cellStyle name="Entrada 6 4 4 2" xfId="11246"/>
    <cellStyle name="Entrada 6 4 4 2 2" xfId="32131"/>
    <cellStyle name="Entrada 6 4 4 3" xfId="11247"/>
    <cellStyle name="Entrada 6 4 4 3 2" xfId="32132"/>
    <cellStyle name="Entrada 6 4 4 4" xfId="32130"/>
    <cellStyle name="Entrada 6 4 5" xfId="11248"/>
    <cellStyle name="Entrada 6 4 5 2" xfId="11249"/>
    <cellStyle name="Entrada 6 4 5 2 2" xfId="32134"/>
    <cellStyle name="Entrada 6 4 5 3" xfId="11250"/>
    <cellStyle name="Entrada 6 4 5 3 2" xfId="32135"/>
    <cellStyle name="Entrada 6 4 5 4" xfId="32133"/>
    <cellStyle name="Entrada 6 4 6" xfId="11251"/>
    <cellStyle name="Entrada 6 4 6 2" xfId="32136"/>
    <cellStyle name="Entrada 6 4 7" xfId="11252"/>
    <cellStyle name="Entrada 6 4 7 2" xfId="32137"/>
    <cellStyle name="Entrada 6 4 8" xfId="27066"/>
    <cellStyle name="Entrada 6 5" xfId="5204"/>
    <cellStyle name="Entrada 6 5 2" xfId="11253"/>
    <cellStyle name="Entrada 6 5 2 2" xfId="11254"/>
    <cellStyle name="Entrada 6 5 2 2 2" xfId="32139"/>
    <cellStyle name="Entrada 6 5 2 3" xfId="11255"/>
    <cellStyle name="Entrada 6 5 2 3 2" xfId="32140"/>
    <cellStyle name="Entrada 6 5 2 4" xfId="32138"/>
    <cellStyle name="Entrada 6 5 3" xfId="11256"/>
    <cellStyle name="Entrada 6 5 3 2" xfId="11257"/>
    <cellStyle name="Entrada 6 5 3 2 2" xfId="32142"/>
    <cellStyle name="Entrada 6 5 3 3" xfId="11258"/>
    <cellStyle name="Entrada 6 5 3 3 2" xfId="32143"/>
    <cellStyle name="Entrada 6 5 3 4" xfId="32141"/>
    <cellStyle name="Entrada 6 5 4" xfId="11259"/>
    <cellStyle name="Entrada 6 5 4 2" xfId="11260"/>
    <cellStyle name="Entrada 6 5 4 2 2" xfId="32145"/>
    <cellStyle name="Entrada 6 5 4 3" xfId="11261"/>
    <cellStyle name="Entrada 6 5 4 3 2" xfId="32146"/>
    <cellStyle name="Entrada 6 5 4 4" xfId="32144"/>
    <cellStyle name="Entrada 6 5 5" xfId="11262"/>
    <cellStyle name="Entrada 6 5 5 2" xfId="11263"/>
    <cellStyle name="Entrada 6 5 5 2 2" xfId="32148"/>
    <cellStyle name="Entrada 6 5 5 3" xfId="11264"/>
    <cellStyle name="Entrada 6 5 5 3 2" xfId="32149"/>
    <cellStyle name="Entrada 6 5 5 4" xfId="32147"/>
    <cellStyle name="Entrada 6 5 6" xfId="11265"/>
    <cellStyle name="Entrada 6 5 6 2" xfId="32150"/>
    <cellStyle name="Entrada 6 5 7" xfId="11266"/>
    <cellStyle name="Entrada 6 5 7 2" xfId="32151"/>
    <cellStyle name="Entrada 6 5 8" xfId="26485"/>
    <cellStyle name="Entrada 6 6" xfId="11267"/>
    <cellStyle name="Entrada 6 6 2" xfId="11268"/>
    <cellStyle name="Entrada 6 6 2 2" xfId="32153"/>
    <cellStyle name="Entrada 6 6 3" xfId="11269"/>
    <cellStyle name="Entrada 6 6 3 2" xfId="32154"/>
    <cellStyle name="Entrada 6 6 4" xfId="32152"/>
    <cellStyle name="Entrada 6 7" xfId="11270"/>
    <cellStyle name="Entrada 6 7 2" xfId="32155"/>
    <cellStyle name="Entrada 6 8" xfId="11271"/>
    <cellStyle name="Entrada 6 8 2" xfId="32156"/>
    <cellStyle name="Entrada 6 9" xfId="20054"/>
    <cellStyle name="Entrada 7" xfId="2309"/>
    <cellStyle name="Entrada 7 2" xfId="2310"/>
    <cellStyle name="Entrada 7 2 2" xfId="4298"/>
    <cellStyle name="Entrada 7 2 2 2" xfId="11272"/>
    <cellStyle name="Entrada 7 2 2 2 2" xfId="11273"/>
    <cellStyle name="Entrada 7 2 2 2 2 2" xfId="32158"/>
    <cellStyle name="Entrada 7 2 2 2 3" xfId="11274"/>
    <cellStyle name="Entrada 7 2 2 2 3 2" xfId="32159"/>
    <cellStyle name="Entrada 7 2 2 2 4" xfId="32157"/>
    <cellStyle name="Entrada 7 2 2 3" xfId="11275"/>
    <cellStyle name="Entrada 7 2 2 3 2" xfId="11276"/>
    <cellStyle name="Entrada 7 2 2 3 2 2" xfId="32161"/>
    <cellStyle name="Entrada 7 2 2 3 3" xfId="11277"/>
    <cellStyle name="Entrada 7 2 2 3 3 2" xfId="32162"/>
    <cellStyle name="Entrada 7 2 2 3 4" xfId="32160"/>
    <cellStyle name="Entrada 7 2 2 4" xfId="11278"/>
    <cellStyle name="Entrada 7 2 2 4 2" xfId="11279"/>
    <cellStyle name="Entrada 7 2 2 4 2 2" xfId="32164"/>
    <cellStyle name="Entrada 7 2 2 4 3" xfId="11280"/>
    <cellStyle name="Entrada 7 2 2 4 3 2" xfId="32165"/>
    <cellStyle name="Entrada 7 2 2 4 4" xfId="32163"/>
    <cellStyle name="Entrada 7 2 2 5" xfId="11281"/>
    <cellStyle name="Entrada 7 2 2 5 2" xfId="11282"/>
    <cellStyle name="Entrada 7 2 2 5 2 2" xfId="32167"/>
    <cellStyle name="Entrada 7 2 2 5 3" xfId="11283"/>
    <cellStyle name="Entrada 7 2 2 5 3 2" xfId="32168"/>
    <cellStyle name="Entrada 7 2 2 5 4" xfId="32166"/>
    <cellStyle name="Entrada 7 2 2 6" xfId="11284"/>
    <cellStyle name="Entrada 7 2 2 6 2" xfId="32169"/>
    <cellStyle name="Entrada 7 2 2 7" xfId="11285"/>
    <cellStyle name="Entrada 7 2 2 7 2" xfId="32170"/>
    <cellStyle name="Entrada 7 2 2 8" xfId="19859"/>
    <cellStyle name="Entrada 7 2 3" xfId="4486"/>
    <cellStyle name="Entrada 7 2 3 2" xfId="11286"/>
    <cellStyle name="Entrada 7 2 3 2 2" xfId="11287"/>
    <cellStyle name="Entrada 7 2 3 2 2 2" xfId="32172"/>
    <cellStyle name="Entrada 7 2 3 2 3" xfId="11288"/>
    <cellStyle name="Entrada 7 2 3 2 3 2" xfId="32173"/>
    <cellStyle name="Entrada 7 2 3 2 4" xfId="32171"/>
    <cellStyle name="Entrada 7 2 3 3" xfId="11289"/>
    <cellStyle name="Entrada 7 2 3 3 2" xfId="11290"/>
    <cellStyle name="Entrada 7 2 3 3 2 2" xfId="32175"/>
    <cellStyle name="Entrada 7 2 3 3 3" xfId="11291"/>
    <cellStyle name="Entrada 7 2 3 3 3 2" xfId="32176"/>
    <cellStyle name="Entrada 7 2 3 3 4" xfId="32174"/>
    <cellStyle name="Entrada 7 2 3 4" xfId="11292"/>
    <cellStyle name="Entrada 7 2 3 4 2" xfId="11293"/>
    <cellStyle name="Entrada 7 2 3 4 2 2" xfId="32178"/>
    <cellStyle name="Entrada 7 2 3 4 3" xfId="11294"/>
    <cellStyle name="Entrada 7 2 3 4 3 2" xfId="32179"/>
    <cellStyle name="Entrada 7 2 3 4 4" xfId="32177"/>
    <cellStyle name="Entrada 7 2 3 5" xfId="11295"/>
    <cellStyle name="Entrada 7 2 3 5 2" xfId="11296"/>
    <cellStyle name="Entrada 7 2 3 5 2 2" xfId="32181"/>
    <cellStyle name="Entrada 7 2 3 5 3" xfId="11297"/>
    <cellStyle name="Entrada 7 2 3 5 3 2" xfId="32182"/>
    <cellStyle name="Entrada 7 2 3 5 4" xfId="32180"/>
    <cellStyle name="Entrada 7 2 3 6" xfId="11298"/>
    <cellStyle name="Entrada 7 2 3 6 2" xfId="32183"/>
    <cellStyle name="Entrada 7 2 3 7" xfId="11299"/>
    <cellStyle name="Entrada 7 2 3 7 2" xfId="32184"/>
    <cellStyle name="Entrada 7 2 3 8" xfId="27062"/>
    <cellStyle name="Entrada 7 2 4" xfId="5205"/>
    <cellStyle name="Entrada 7 2 4 2" xfId="11300"/>
    <cellStyle name="Entrada 7 2 4 2 2" xfId="11301"/>
    <cellStyle name="Entrada 7 2 4 2 2 2" xfId="32186"/>
    <cellStyle name="Entrada 7 2 4 2 3" xfId="11302"/>
    <cellStyle name="Entrada 7 2 4 2 3 2" xfId="32187"/>
    <cellStyle name="Entrada 7 2 4 2 4" xfId="32185"/>
    <cellStyle name="Entrada 7 2 4 3" xfId="11303"/>
    <cellStyle name="Entrada 7 2 4 3 2" xfId="11304"/>
    <cellStyle name="Entrada 7 2 4 3 2 2" xfId="32189"/>
    <cellStyle name="Entrada 7 2 4 3 3" xfId="11305"/>
    <cellStyle name="Entrada 7 2 4 3 3 2" xfId="32190"/>
    <cellStyle name="Entrada 7 2 4 3 4" xfId="32188"/>
    <cellStyle name="Entrada 7 2 4 4" xfId="11306"/>
    <cellStyle name="Entrada 7 2 4 4 2" xfId="11307"/>
    <cellStyle name="Entrada 7 2 4 4 2 2" xfId="32192"/>
    <cellStyle name="Entrada 7 2 4 4 3" xfId="11308"/>
    <cellStyle name="Entrada 7 2 4 4 3 2" xfId="32193"/>
    <cellStyle name="Entrada 7 2 4 4 4" xfId="32191"/>
    <cellStyle name="Entrada 7 2 4 5" xfId="11309"/>
    <cellStyle name="Entrada 7 2 4 5 2" xfId="11310"/>
    <cellStyle name="Entrada 7 2 4 5 2 2" xfId="32195"/>
    <cellStyle name="Entrada 7 2 4 5 3" xfId="11311"/>
    <cellStyle name="Entrada 7 2 4 5 3 2" xfId="32196"/>
    <cellStyle name="Entrada 7 2 4 5 4" xfId="32194"/>
    <cellStyle name="Entrada 7 2 4 6" xfId="11312"/>
    <cellStyle name="Entrada 7 2 4 6 2" xfId="32197"/>
    <cellStyle name="Entrada 7 2 4 7" xfId="11313"/>
    <cellStyle name="Entrada 7 2 4 7 2" xfId="32198"/>
    <cellStyle name="Entrada 7 2 4 8" xfId="26484"/>
    <cellStyle name="Entrada 7 2 5" xfId="11314"/>
    <cellStyle name="Entrada 7 2 5 2" xfId="11315"/>
    <cellStyle name="Entrada 7 2 5 2 2" xfId="32200"/>
    <cellStyle name="Entrada 7 2 5 3" xfId="11316"/>
    <cellStyle name="Entrada 7 2 5 3 2" xfId="32201"/>
    <cellStyle name="Entrada 7 2 5 4" xfId="32199"/>
    <cellStyle name="Entrada 7 2 6" xfId="11317"/>
    <cellStyle name="Entrada 7 2 6 2" xfId="32202"/>
    <cellStyle name="Entrada 7 2 7" xfId="11318"/>
    <cellStyle name="Entrada 7 2 7 2" xfId="32203"/>
    <cellStyle name="Entrada 7 2 8" xfId="20051"/>
    <cellStyle name="Entrada 7 3" xfId="4299"/>
    <cellStyle name="Entrada 7 3 2" xfId="11319"/>
    <cellStyle name="Entrada 7 3 2 2" xfId="11320"/>
    <cellStyle name="Entrada 7 3 2 2 2" xfId="32205"/>
    <cellStyle name="Entrada 7 3 2 3" xfId="11321"/>
    <cellStyle name="Entrada 7 3 2 3 2" xfId="32206"/>
    <cellStyle name="Entrada 7 3 2 4" xfId="32204"/>
    <cellStyle name="Entrada 7 3 3" xfId="11322"/>
    <cellStyle name="Entrada 7 3 3 2" xfId="11323"/>
    <cellStyle name="Entrada 7 3 3 2 2" xfId="32208"/>
    <cellStyle name="Entrada 7 3 3 3" xfId="11324"/>
    <cellStyle name="Entrada 7 3 3 3 2" xfId="32209"/>
    <cellStyle name="Entrada 7 3 3 4" xfId="32207"/>
    <cellStyle name="Entrada 7 3 4" xfId="11325"/>
    <cellStyle name="Entrada 7 3 4 2" xfId="11326"/>
    <cellStyle name="Entrada 7 3 4 2 2" xfId="32211"/>
    <cellStyle name="Entrada 7 3 4 3" xfId="11327"/>
    <cellStyle name="Entrada 7 3 4 3 2" xfId="32212"/>
    <cellStyle name="Entrada 7 3 4 4" xfId="32210"/>
    <cellStyle name="Entrada 7 3 5" xfId="11328"/>
    <cellStyle name="Entrada 7 3 5 2" xfId="11329"/>
    <cellStyle name="Entrada 7 3 5 2 2" xfId="32214"/>
    <cellStyle name="Entrada 7 3 5 3" xfId="11330"/>
    <cellStyle name="Entrada 7 3 5 3 2" xfId="32215"/>
    <cellStyle name="Entrada 7 3 5 4" xfId="32213"/>
    <cellStyle name="Entrada 7 3 6" xfId="11331"/>
    <cellStyle name="Entrada 7 3 6 2" xfId="32216"/>
    <cellStyle name="Entrada 7 3 7" xfId="11332"/>
    <cellStyle name="Entrada 7 3 7 2" xfId="32217"/>
    <cellStyle name="Entrada 7 3 8" xfId="19858"/>
    <cellStyle name="Entrada 7 4" xfId="4313"/>
    <cellStyle name="Entrada 7 4 2" xfId="11333"/>
    <cellStyle name="Entrada 7 4 2 2" xfId="11334"/>
    <cellStyle name="Entrada 7 4 2 2 2" xfId="32219"/>
    <cellStyle name="Entrada 7 4 2 3" xfId="11335"/>
    <cellStyle name="Entrada 7 4 2 3 2" xfId="32220"/>
    <cellStyle name="Entrada 7 4 2 4" xfId="32218"/>
    <cellStyle name="Entrada 7 4 3" xfId="11336"/>
    <cellStyle name="Entrada 7 4 3 2" xfId="11337"/>
    <cellStyle name="Entrada 7 4 3 2 2" xfId="32222"/>
    <cellStyle name="Entrada 7 4 3 3" xfId="11338"/>
    <cellStyle name="Entrada 7 4 3 3 2" xfId="32223"/>
    <cellStyle name="Entrada 7 4 3 4" xfId="32221"/>
    <cellStyle name="Entrada 7 4 4" xfId="11339"/>
    <cellStyle name="Entrada 7 4 4 2" xfId="11340"/>
    <cellStyle name="Entrada 7 4 4 2 2" xfId="32225"/>
    <cellStyle name="Entrada 7 4 4 3" xfId="11341"/>
    <cellStyle name="Entrada 7 4 4 3 2" xfId="32226"/>
    <cellStyle name="Entrada 7 4 4 4" xfId="32224"/>
    <cellStyle name="Entrada 7 4 5" xfId="11342"/>
    <cellStyle name="Entrada 7 4 5 2" xfId="11343"/>
    <cellStyle name="Entrada 7 4 5 2 2" xfId="32228"/>
    <cellStyle name="Entrada 7 4 5 3" xfId="11344"/>
    <cellStyle name="Entrada 7 4 5 3 2" xfId="32229"/>
    <cellStyle name="Entrada 7 4 5 4" xfId="32227"/>
    <cellStyle name="Entrada 7 4 6" xfId="11345"/>
    <cellStyle name="Entrada 7 4 6 2" xfId="32230"/>
    <cellStyle name="Entrada 7 4 7" xfId="11346"/>
    <cellStyle name="Entrada 7 4 7 2" xfId="32231"/>
    <cellStyle name="Entrada 7 4 8" xfId="27258"/>
    <cellStyle name="Entrada 7 5" xfId="5206"/>
    <cellStyle name="Entrada 7 5 2" xfId="11347"/>
    <cellStyle name="Entrada 7 5 2 2" xfId="11348"/>
    <cellStyle name="Entrada 7 5 2 2 2" xfId="32233"/>
    <cellStyle name="Entrada 7 5 2 3" xfId="11349"/>
    <cellStyle name="Entrada 7 5 2 3 2" xfId="32234"/>
    <cellStyle name="Entrada 7 5 2 4" xfId="32232"/>
    <cellStyle name="Entrada 7 5 3" xfId="11350"/>
    <cellStyle name="Entrada 7 5 3 2" xfId="11351"/>
    <cellStyle name="Entrada 7 5 3 2 2" xfId="32236"/>
    <cellStyle name="Entrada 7 5 3 3" xfId="11352"/>
    <cellStyle name="Entrada 7 5 3 3 2" xfId="32237"/>
    <cellStyle name="Entrada 7 5 3 4" xfId="32235"/>
    <cellStyle name="Entrada 7 5 4" xfId="11353"/>
    <cellStyle name="Entrada 7 5 4 2" xfId="11354"/>
    <cellStyle name="Entrada 7 5 4 2 2" xfId="32239"/>
    <cellStyle name="Entrada 7 5 4 3" xfId="11355"/>
    <cellStyle name="Entrada 7 5 4 3 2" xfId="32240"/>
    <cellStyle name="Entrada 7 5 4 4" xfId="32238"/>
    <cellStyle name="Entrada 7 5 5" xfId="11356"/>
    <cellStyle name="Entrada 7 5 5 2" xfId="11357"/>
    <cellStyle name="Entrada 7 5 5 2 2" xfId="32242"/>
    <cellStyle name="Entrada 7 5 5 3" xfId="11358"/>
    <cellStyle name="Entrada 7 5 5 3 2" xfId="32243"/>
    <cellStyle name="Entrada 7 5 5 4" xfId="32241"/>
    <cellStyle name="Entrada 7 5 6" xfId="11359"/>
    <cellStyle name="Entrada 7 5 6 2" xfId="32244"/>
    <cellStyle name="Entrada 7 5 7" xfId="11360"/>
    <cellStyle name="Entrada 7 5 7 2" xfId="32245"/>
    <cellStyle name="Entrada 7 5 8" xfId="26483"/>
    <cellStyle name="Entrada 7 6" xfId="11361"/>
    <cellStyle name="Entrada 7 6 2" xfId="11362"/>
    <cellStyle name="Entrada 7 6 2 2" xfId="32247"/>
    <cellStyle name="Entrada 7 6 3" xfId="11363"/>
    <cellStyle name="Entrada 7 6 3 2" xfId="32248"/>
    <cellStyle name="Entrada 7 6 4" xfId="32246"/>
    <cellStyle name="Entrada 7 7" xfId="11364"/>
    <cellStyle name="Entrada 7 7 2" xfId="32249"/>
    <cellStyle name="Entrada 7 8" xfId="11365"/>
    <cellStyle name="Entrada 7 8 2" xfId="32250"/>
    <cellStyle name="Entrada 7 9" xfId="20052"/>
    <cellStyle name="Entrada 8" xfId="2311"/>
    <cellStyle name="Entrada 8 2" xfId="2312"/>
    <cellStyle name="Entrada 8 2 2" xfId="4101"/>
    <cellStyle name="Entrada 8 2 2 2" xfId="11366"/>
    <cellStyle name="Entrada 8 2 2 2 2" xfId="11367"/>
    <cellStyle name="Entrada 8 2 2 2 2 2" xfId="32252"/>
    <cellStyle name="Entrada 8 2 2 2 3" xfId="11368"/>
    <cellStyle name="Entrada 8 2 2 2 3 2" xfId="32253"/>
    <cellStyle name="Entrada 8 2 2 2 4" xfId="32251"/>
    <cellStyle name="Entrada 8 2 2 3" xfId="11369"/>
    <cellStyle name="Entrada 8 2 2 3 2" xfId="11370"/>
    <cellStyle name="Entrada 8 2 2 3 2 2" xfId="32255"/>
    <cellStyle name="Entrada 8 2 2 3 3" xfId="11371"/>
    <cellStyle name="Entrada 8 2 2 3 3 2" xfId="32256"/>
    <cellStyle name="Entrada 8 2 2 3 4" xfId="32254"/>
    <cellStyle name="Entrada 8 2 2 4" xfId="11372"/>
    <cellStyle name="Entrada 8 2 2 4 2" xfId="11373"/>
    <cellStyle name="Entrada 8 2 2 4 2 2" xfId="32258"/>
    <cellStyle name="Entrada 8 2 2 4 3" xfId="11374"/>
    <cellStyle name="Entrada 8 2 2 4 3 2" xfId="32259"/>
    <cellStyle name="Entrada 8 2 2 4 4" xfId="32257"/>
    <cellStyle name="Entrada 8 2 2 5" xfId="11375"/>
    <cellStyle name="Entrada 8 2 2 5 2" xfId="11376"/>
    <cellStyle name="Entrada 8 2 2 5 2 2" xfId="32261"/>
    <cellStyle name="Entrada 8 2 2 5 3" xfId="11377"/>
    <cellStyle name="Entrada 8 2 2 5 3 2" xfId="32262"/>
    <cellStyle name="Entrada 8 2 2 5 4" xfId="32260"/>
    <cellStyle name="Entrada 8 2 2 6" xfId="11378"/>
    <cellStyle name="Entrada 8 2 2 6 2" xfId="32263"/>
    <cellStyle name="Entrada 8 2 2 7" xfId="11379"/>
    <cellStyle name="Entrada 8 2 2 7 2" xfId="32264"/>
    <cellStyle name="Entrada 8 2 2 8" xfId="27383"/>
    <cellStyle name="Entrada 8 2 3" xfId="4139"/>
    <cellStyle name="Entrada 8 2 3 2" xfId="11380"/>
    <cellStyle name="Entrada 8 2 3 2 2" xfId="11381"/>
    <cellStyle name="Entrada 8 2 3 2 2 2" xfId="32266"/>
    <cellStyle name="Entrada 8 2 3 2 3" xfId="11382"/>
    <cellStyle name="Entrada 8 2 3 2 3 2" xfId="32267"/>
    <cellStyle name="Entrada 8 2 3 2 4" xfId="32265"/>
    <cellStyle name="Entrada 8 2 3 3" xfId="11383"/>
    <cellStyle name="Entrada 8 2 3 3 2" xfId="11384"/>
    <cellStyle name="Entrada 8 2 3 3 2 2" xfId="32269"/>
    <cellStyle name="Entrada 8 2 3 3 3" xfId="11385"/>
    <cellStyle name="Entrada 8 2 3 3 3 2" xfId="32270"/>
    <cellStyle name="Entrada 8 2 3 3 4" xfId="32268"/>
    <cellStyle name="Entrada 8 2 3 4" xfId="11386"/>
    <cellStyle name="Entrada 8 2 3 4 2" xfId="11387"/>
    <cellStyle name="Entrada 8 2 3 4 2 2" xfId="32272"/>
    <cellStyle name="Entrada 8 2 3 4 3" xfId="11388"/>
    <cellStyle name="Entrada 8 2 3 4 3 2" xfId="32273"/>
    <cellStyle name="Entrada 8 2 3 4 4" xfId="32271"/>
    <cellStyle name="Entrada 8 2 3 5" xfId="11389"/>
    <cellStyle name="Entrada 8 2 3 5 2" xfId="11390"/>
    <cellStyle name="Entrada 8 2 3 5 2 2" xfId="32275"/>
    <cellStyle name="Entrada 8 2 3 5 3" xfId="11391"/>
    <cellStyle name="Entrada 8 2 3 5 3 2" xfId="32276"/>
    <cellStyle name="Entrada 8 2 3 5 4" xfId="32274"/>
    <cellStyle name="Entrada 8 2 3 6" xfId="11392"/>
    <cellStyle name="Entrada 8 2 3 6 2" xfId="32277"/>
    <cellStyle name="Entrada 8 2 3 7" xfId="11393"/>
    <cellStyle name="Entrada 8 2 3 7 2" xfId="32278"/>
    <cellStyle name="Entrada 8 2 3 8" xfId="20318"/>
    <cellStyle name="Entrada 8 2 4" xfId="5207"/>
    <cellStyle name="Entrada 8 2 4 2" xfId="11394"/>
    <cellStyle name="Entrada 8 2 4 2 2" xfId="11395"/>
    <cellStyle name="Entrada 8 2 4 2 2 2" xfId="32280"/>
    <cellStyle name="Entrada 8 2 4 2 3" xfId="11396"/>
    <cellStyle name="Entrada 8 2 4 2 3 2" xfId="32281"/>
    <cellStyle name="Entrada 8 2 4 2 4" xfId="32279"/>
    <cellStyle name="Entrada 8 2 4 3" xfId="11397"/>
    <cellStyle name="Entrada 8 2 4 3 2" xfId="11398"/>
    <cellStyle name="Entrada 8 2 4 3 2 2" xfId="32283"/>
    <cellStyle name="Entrada 8 2 4 3 3" xfId="11399"/>
    <cellStyle name="Entrada 8 2 4 3 3 2" xfId="32284"/>
    <cellStyle name="Entrada 8 2 4 3 4" xfId="32282"/>
    <cellStyle name="Entrada 8 2 4 4" xfId="11400"/>
    <cellStyle name="Entrada 8 2 4 4 2" xfId="11401"/>
    <cellStyle name="Entrada 8 2 4 4 2 2" xfId="32286"/>
    <cellStyle name="Entrada 8 2 4 4 3" xfId="11402"/>
    <cellStyle name="Entrada 8 2 4 4 3 2" xfId="32287"/>
    <cellStyle name="Entrada 8 2 4 4 4" xfId="32285"/>
    <cellStyle name="Entrada 8 2 4 5" xfId="11403"/>
    <cellStyle name="Entrada 8 2 4 5 2" xfId="11404"/>
    <cellStyle name="Entrada 8 2 4 5 2 2" xfId="32289"/>
    <cellStyle name="Entrada 8 2 4 5 3" xfId="11405"/>
    <cellStyle name="Entrada 8 2 4 5 3 2" xfId="32290"/>
    <cellStyle name="Entrada 8 2 4 5 4" xfId="32288"/>
    <cellStyle name="Entrada 8 2 4 6" xfId="11406"/>
    <cellStyle name="Entrada 8 2 4 6 2" xfId="32291"/>
    <cellStyle name="Entrada 8 2 4 7" xfId="11407"/>
    <cellStyle name="Entrada 8 2 4 7 2" xfId="32292"/>
    <cellStyle name="Entrada 8 2 4 8" xfId="26482"/>
    <cellStyle name="Entrada 8 2 5" xfId="11408"/>
    <cellStyle name="Entrada 8 2 5 2" xfId="11409"/>
    <cellStyle name="Entrada 8 2 5 2 2" xfId="32294"/>
    <cellStyle name="Entrada 8 2 5 3" xfId="11410"/>
    <cellStyle name="Entrada 8 2 5 3 2" xfId="32295"/>
    <cellStyle name="Entrada 8 2 5 4" xfId="32293"/>
    <cellStyle name="Entrada 8 2 6" xfId="11411"/>
    <cellStyle name="Entrada 8 2 6 2" xfId="32296"/>
    <cellStyle name="Entrada 8 2 7" xfId="11412"/>
    <cellStyle name="Entrada 8 2 7 2" xfId="32297"/>
    <cellStyle name="Entrada 8 2 8" xfId="20049"/>
    <cellStyle name="Entrada 8 3" xfId="4297"/>
    <cellStyle name="Entrada 8 3 2" xfId="11413"/>
    <cellStyle name="Entrada 8 3 2 2" xfId="11414"/>
    <cellStyle name="Entrada 8 3 2 2 2" xfId="32299"/>
    <cellStyle name="Entrada 8 3 2 3" xfId="11415"/>
    <cellStyle name="Entrada 8 3 2 3 2" xfId="32300"/>
    <cellStyle name="Entrada 8 3 2 4" xfId="32298"/>
    <cellStyle name="Entrada 8 3 3" xfId="11416"/>
    <cellStyle name="Entrada 8 3 3 2" xfId="11417"/>
    <cellStyle name="Entrada 8 3 3 2 2" xfId="32302"/>
    <cellStyle name="Entrada 8 3 3 3" xfId="11418"/>
    <cellStyle name="Entrada 8 3 3 3 2" xfId="32303"/>
    <cellStyle name="Entrada 8 3 3 4" xfId="32301"/>
    <cellStyle name="Entrada 8 3 4" xfId="11419"/>
    <cellStyle name="Entrada 8 3 4 2" xfId="11420"/>
    <cellStyle name="Entrada 8 3 4 2 2" xfId="32305"/>
    <cellStyle name="Entrada 8 3 4 3" xfId="11421"/>
    <cellStyle name="Entrada 8 3 4 3 2" xfId="32306"/>
    <cellStyle name="Entrada 8 3 4 4" xfId="32304"/>
    <cellStyle name="Entrada 8 3 5" xfId="11422"/>
    <cellStyle name="Entrada 8 3 5 2" xfId="11423"/>
    <cellStyle name="Entrada 8 3 5 2 2" xfId="32308"/>
    <cellStyle name="Entrada 8 3 5 3" xfId="11424"/>
    <cellStyle name="Entrada 8 3 5 3 2" xfId="32309"/>
    <cellStyle name="Entrada 8 3 5 4" xfId="32307"/>
    <cellStyle name="Entrada 8 3 6" xfId="11425"/>
    <cellStyle name="Entrada 8 3 6 2" xfId="32310"/>
    <cellStyle name="Entrada 8 3 7" xfId="11426"/>
    <cellStyle name="Entrada 8 3 7 2" xfId="32311"/>
    <cellStyle name="Entrada 8 3 8" xfId="20319"/>
    <cellStyle name="Entrada 8 4" xfId="4125"/>
    <cellStyle name="Entrada 8 4 2" xfId="11427"/>
    <cellStyle name="Entrada 8 4 2 2" xfId="11428"/>
    <cellStyle name="Entrada 8 4 2 2 2" xfId="32313"/>
    <cellStyle name="Entrada 8 4 2 3" xfId="11429"/>
    <cellStyle name="Entrada 8 4 2 3 2" xfId="32314"/>
    <cellStyle name="Entrada 8 4 2 4" xfId="32312"/>
    <cellStyle name="Entrada 8 4 3" xfId="11430"/>
    <cellStyle name="Entrada 8 4 3 2" xfId="11431"/>
    <cellStyle name="Entrada 8 4 3 2 2" xfId="32316"/>
    <cellStyle name="Entrada 8 4 3 3" xfId="11432"/>
    <cellStyle name="Entrada 8 4 3 3 2" xfId="32317"/>
    <cellStyle name="Entrada 8 4 3 4" xfId="32315"/>
    <cellStyle name="Entrada 8 4 4" xfId="11433"/>
    <cellStyle name="Entrada 8 4 4 2" xfId="11434"/>
    <cellStyle name="Entrada 8 4 4 2 2" xfId="32319"/>
    <cellStyle name="Entrada 8 4 4 3" xfId="11435"/>
    <cellStyle name="Entrada 8 4 4 3 2" xfId="32320"/>
    <cellStyle name="Entrada 8 4 4 4" xfId="32318"/>
    <cellStyle name="Entrada 8 4 5" xfId="11436"/>
    <cellStyle name="Entrada 8 4 5 2" xfId="11437"/>
    <cellStyle name="Entrada 8 4 5 2 2" xfId="32322"/>
    <cellStyle name="Entrada 8 4 5 3" xfId="11438"/>
    <cellStyle name="Entrada 8 4 5 3 2" xfId="32323"/>
    <cellStyle name="Entrada 8 4 5 4" xfId="32321"/>
    <cellStyle name="Entrada 8 4 6" xfId="11439"/>
    <cellStyle name="Entrada 8 4 6 2" xfId="32324"/>
    <cellStyle name="Entrada 8 4 7" xfId="11440"/>
    <cellStyle name="Entrada 8 4 7 2" xfId="32325"/>
    <cellStyle name="Entrada 8 4 8" xfId="27375"/>
    <cellStyle name="Entrada 8 5" xfId="5208"/>
    <cellStyle name="Entrada 8 5 2" xfId="11441"/>
    <cellStyle name="Entrada 8 5 2 2" xfId="11442"/>
    <cellStyle name="Entrada 8 5 2 2 2" xfId="32327"/>
    <cellStyle name="Entrada 8 5 2 3" xfId="11443"/>
    <cellStyle name="Entrada 8 5 2 3 2" xfId="32328"/>
    <cellStyle name="Entrada 8 5 2 4" xfId="32326"/>
    <cellStyle name="Entrada 8 5 3" xfId="11444"/>
    <cellStyle name="Entrada 8 5 3 2" xfId="11445"/>
    <cellStyle name="Entrada 8 5 3 2 2" xfId="32330"/>
    <cellStyle name="Entrada 8 5 3 3" xfId="11446"/>
    <cellStyle name="Entrada 8 5 3 3 2" xfId="32331"/>
    <cellStyle name="Entrada 8 5 3 4" xfId="32329"/>
    <cellStyle name="Entrada 8 5 4" xfId="11447"/>
    <cellStyle name="Entrada 8 5 4 2" xfId="11448"/>
    <cellStyle name="Entrada 8 5 4 2 2" xfId="32333"/>
    <cellStyle name="Entrada 8 5 4 3" xfId="11449"/>
    <cellStyle name="Entrada 8 5 4 3 2" xfId="32334"/>
    <cellStyle name="Entrada 8 5 4 4" xfId="32332"/>
    <cellStyle name="Entrada 8 5 5" xfId="11450"/>
    <cellStyle name="Entrada 8 5 5 2" xfId="11451"/>
    <cellStyle name="Entrada 8 5 5 2 2" xfId="32336"/>
    <cellStyle name="Entrada 8 5 5 3" xfId="11452"/>
    <cellStyle name="Entrada 8 5 5 3 2" xfId="32337"/>
    <cellStyle name="Entrada 8 5 5 4" xfId="32335"/>
    <cellStyle name="Entrada 8 5 6" xfId="11453"/>
    <cellStyle name="Entrada 8 5 6 2" xfId="32338"/>
    <cellStyle name="Entrada 8 5 7" xfId="11454"/>
    <cellStyle name="Entrada 8 5 7 2" xfId="32339"/>
    <cellStyle name="Entrada 8 5 8" xfId="26481"/>
    <cellStyle name="Entrada 8 6" xfId="11455"/>
    <cellStyle name="Entrada 8 6 2" xfId="11456"/>
    <cellStyle name="Entrada 8 6 2 2" xfId="32341"/>
    <cellStyle name="Entrada 8 6 3" xfId="11457"/>
    <cellStyle name="Entrada 8 6 3 2" xfId="32342"/>
    <cellStyle name="Entrada 8 6 4" xfId="32340"/>
    <cellStyle name="Entrada 8 7" xfId="11458"/>
    <cellStyle name="Entrada 8 7 2" xfId="32343"/>
    <cellStyle name="Entrada 8 8" xfId="11459"/>
    <cellStyle name="Entrada 8 8 2" xfId="32344"/>
    <cellStyle name="Entrada 8 9" xfId="20050"/>
    <cellStyle name="Entrada 9" xfId="2313"/>
    <cellStyle name="Entrada 9 2" xfId="2314"/>
    <cellStyle name="Entrada 9 2 2" xfId="4467"/>
    <cellStyle name="Entrada 9 2 2 2" xfId="11460"/>
    <cellStyle name="Entrada 9 2 2 2 2" xfId="11461"/>
    <cellStyle name="Entrada 9 2 2 2 2 2" xfId="32346"/>
    <cellStyle name="Entrada 9 2 2 2 3" xfId="11462"/>
    <cellStyle name="Entrada 9 2 2 2 3 2" xfId="32347"/>
    <cellStyle name="Entrada 9 2 2 2 4" xfId="32345"/>
    <cellStyle name="Entrada 9 2 2 3" xfId="11463"/>
    <cellStyle name="Entrada 9 2 2 3 2" xfId="11464"/>
    <cellStyle name="Entrada 9 2 2 3 2 2" xfId="32349"/>
    <cellStyle name="Entrada 9 2 2 3 3" xfId="11465"/>
    <cellStyle name="Entrada 9 2 2 3 3 2" xfId="32350"/>
    <cellStyle name="Entrada 9 2 2 3 4" xfId="32348"/>
    <cellStyle name="Entrada 9 2 2 4" xfId="11466"/>
    <cellStyle name="Entrada 9 2 2 4 2" xfId="11467"/>
    <cellStyle name="Entrada 9 2 2 4 2 2" xfId="32352"/>
    <cellStyle name="Entrada 9 2 2 4 3" xfId="11468"/>
    <cellStyle name="Entrada 9 2 2 4 3 2" xfId="32353"/>
    <cellStyle name="Entrada 9 2 2 4 4" xfId="32351"/>
    <cellStyle name="Entrada 9 2 2 5" xfId="11469"/>
    <cellStyle name="Entrada 9 2 2 5 2" xfId="11470"/>
    <cellStyle name="Entrada 9 2 2 5 2 2" xfId="32355"/>
    <cellStyle name="Entrada 9 2 2 5 3" xfId="11471"/>
    <cellStyle name="Entrada 9 2 2 5 3 2" xfId="32356"/>
    <cellStyle name="Entrada 9 2 2 5 4" xfId="32354"/>
    <cellStyle name="Entrada 9 2 2 6" xfId="11472"/>
    <cellStyle name="Entrada 9 2 2 6 2" xfId="32357"/>
    <cellStyle name="Entrada 9 2 2 7" xfId="11473"/>
    <cellStyle name="Entrada 9 2 2 7 2" xfId="32358"/>
    <cellStyle name="Entrada 9 2 2 8" xfId="27067"/>
    <cellStyle name="Entrada 9 2 3" xfId="4131"/>
    <cellStyle name="Entrada 9 2 3 2" xfId="11474"/>
    <cellStyle name="Entrada 9 2 3 2 2" xfId="11475"/>
    <cellStyle name="Entrada 9 2 3 2 2 2" xfId="32360"/>
    <cellStyle name="Entrada 9 2 3 2 3" xfId="11476"/>
    <cellStyle name="Entrada 9 2 3 2 3 2" xfId="32361"/>
    <cellStyle name="Entrada 9 2 3 2 4" xfId="32359"/>
    <cellStyle name="Entrada 9 2 3 3" xfId="11477"/>
    <cellStyle name="Entrada 9 2 3 3 2" xfId="11478"/>
    <cellStyle name="Entrada 9 2 3 3 2 2" xfId="32363"/>
    <cellStyle name="Entrada 9 2 3 3 3" xfId="11479"/>
    <cellStyle name="Entrada 9 2 3 3 3 2" xfId="32364"/>
    <cellStyle name="Entrada 9 2 3 3 4" xfId="32362"/>
    <cellStyle name="Entrada 9 2 3 4" xfId="11480"/>
    <cellStyle name="Entrada 9 2 3 4 2" xfId="11481"/>
    <cellStyle name="Entrada 9 2 3 4 2 2" xfId="32366"/>
    <cellStyle name="Entrada 9 2 3 4 3" xfId="11482"/>
    <cellStyle name="Entrada 9 2 3 4 3 2" xfId="32367"/>
    <cellStyle name="Entrada 9 2 3 4 4" xfId="32365"/>
    <cellStyle name="Entrada 9 2 3 5" xfId="11483"/>
    <cellStyle name="Entrada 9 2 3 5 2" xfId="11484"/>
    <cellStyle name="Entrada 9 2 3 5 2 2" xfId="32369"/>
    <cellStyle name="Entrada 9 2 3 5 3" xfId="11485"/>
    <cellStyle name="Entrada 9 2 3 5 3 2" xfId="32370"/>
    <cellStyle name="Entrada 9 2 3 5 4" xfId="32368"/>
    <cellStyle name="Entrada 9 2 3 6" xfId="11486"/>
    <cellStyle name="Entrada 9 2 3 6 2" xfId="32371"/>
    <cellStyle name="Entrada 9 2 3 7" xfId="11487"/>
    <cellStyle name="Entrada 9 2 3 7 2" xfId="32372"/>
    <cellStyle name="Entrada 9 2 3 8" xfId="27370"/>
    <cellStyle name="Entrada 9 2 4" xfId="5209"/>
    <cellStyle name="Entrada 9 2 4 2" xfId="11488"/>
    <cellStyle name="Entrada 9 2 4 2 2" xfId="11489"/>
    <cellStyle name="Entrada 9 2 4 2 2 2" xfId="32374"/>
    <cellStyle name="Entrada 9 2 4 2 3" xfId="11490"/>
    <cellStyle name="Entrada 9 2 4 2 3 2" xfId="32375"/>
    <cellStyle name="Entrada 9 2 4 2 4" xfId="32373"/>
    <cellStyle name="Entrada 9 2 4 3" xfId="11491"/>
    <cellStyle name="Entrada 9 2 4 3 2" xfId="11492"/>
    <cellStyle name="Entrada 9 2 4 3 2 2" xfId="32377"/>
    <cellStyle name="Entrada 9 2 4 3 3" xfId="11493"/>
    <cellStyle name="Entrada 9 2 4 3 3 2" xfId="32378"/>
    <cellStyle name="Entrada 9 2 4 3 4" xfId="32376"/>
    <cellStyle name="Entrada 9 2 4 4" xfId="11494"/>
    <cellStyle name="Entrada 9 2 4 4 2" xfId="11495"/>
    <cellStyle name="Entrada 9 2 4 4 2 2" xfId="32380"/>
    <cellStyle name="Entrada 9 2 4 4 3" xfId="11496"/>
    <cellStyle name="Entrada 9 2 4 4 3 2" xfId="32381"/>
    <cellStyle name="Entrada 9 2 4 4 4" xfId="32379"/>
    <cellStyle name="Entrada 9 2 4 5" xfId="11497"/>
    <cellStyle name="Entrada 9 2 4 5 2" xfId="11498"/>
    <cellStyle name="Entrada 9 2 4 5 2 2" xfId="32383"/>
    <cellStyle name="Entrada 9 2 4 5 3" xfId="11499"/>
    <cellStyle name="Entrada 9 2 4 5 3 2" xfId="32384"/>
    <cellStyle name="Entrada 9 2 4 5 4" xfId="32382"/>
    <cellStyle name="Entrada 9 2 4 6" xfId="11500"/>
    <cellStyle name="Entrada 9 2 4 6 2" xfId="32385"/>
    <cellStyle name="Entrada 9 2 4 7" xfId="11501"/>
    <cellStyle name="Entrada 9 2 4 7 2" xfId="32386"/>
    <cellStyle name="Entrada 9 2 4 8" xfId="26480"/>
    <cellStyle name="Entrada 9 2 5" xfId="11502"/>
    <cellStyle name="Entrada 9 2 5 2" xfId="11503"/>
    <cellStyle name="Entrada 9 2 5 2 2" xfId="32388"/>
    <cellStyle name="Entrada 9 2 5 3" xfId="11504"/>
    <cellStyle name="Entrada 9 2 5 3 2" xfId="32389"/>
    <cellStyle name="Entrada 9 2 5 4" xfId="32387"/>
    <cellStyle name="Entrada 9 2 6" xfId="11505"/>
    <cellStyle name="Entrada 9 2 6 2" xfId="32390"/>
    <cellStyle name="Entrada 9 2 7" xfId="11506"/>
    <cellStyle name="Entrada 9 2 7 2" xfId="32391"/>
    <cellStyle name="Entrada 9 2 8" xfId="20047"/>
    <cellStyle name="Entrada 9 3" xfId="4296"/>
    <cellStyle name="Entrada 9 3 2" xfId="11507"/>
    <cellStyle name="Entrada 9 3 2 2" xfId="11508"/>
    <cellStyle name="Entrada 9 3 2 2 2" xfId="32393"/>
    <cellStyle name="Entrada 9 3 2 3" xfId="11509"/>
    <cellStyle name="Entrada 9 3 2 3 2" xfId="32394"/>
    <cellStyle name="Entrada 9 3 2 4" xfId="32392"/>
    <cellStyle name="Entrada 9 3 3" xfId="11510"/>
    <cellStyle name="Entrada 9 3 3 2" xfId="11511"/>
    <cellStyle name="Entrada 9 3 3 2 2" xfId="32396"/>
    <cellStyle name="Entrada 9 3 3 3" xfId="11512"/>
    <cellStyle name="Entrada 9 3 3 3 2" xfId="32397"/>
    <cellStyle name="Entrada 9 3 3 4" xfId="32395"/>
    <cellStyle name="Entrada 9 3 4" xfId="11513"/>
    <cellStyle name="Entrada 9 3 4 2" xfId="11514"/>
    <cellStyle name="Entrada 9 3 4 2 2" xfId="32399"/>
    <cellStyle name="Entrada 9 3 4 3" xfId="11515"/>
    <cellStyle name="Entrada 9 3 4 3 2" xfId="32400"/>
    <cellStyle name="Entrada 9 3 4 4" xfId="32398"/>
    <cellStyle name="Entrada 9 3 5" xfId="11516"/>
    <cellStyle name="Entrada 9 3 5 2" xfId="11517"/>
    <cellStyle name="Entrada 9 3 5 2 2" xfId="32402"/>
    <cellStyle name="Entrada 9 3 5 3" xfId="11518"/>
    <cellStyle name="Entrada 9 3 5 3 2" xfId="32403"/>
    <cellStyle name="Entrada 9 3 5 4" xfId="32401"/>
    <cellStyle name="Entrada 9 3 6" xfId="11519"/>
    <cellStyle name="Entrada 9 3 6 2" xfId="32404"/>
    <cellStyle name="Entrada 9 3 7" xfId="11520"/>
    <cellStyle name="Entrada 9 3 7 2" xfId="32405"/>
    <cellStyle name="Entrada 9 3 8" xfId="27327"/>
    <cellStyle name="Entrada 9 4" xfId="4314"/>
    <cellStyle name="Entrada 9 4 2" xfId="11521"/>
    <cellStyle name="Entrada 9 4 2 2" xfId="11522"/>
    <cellStyle name="Entrada 9 4 2 2 2" xfId="32407"/>
    <cellStyle name="Entrada 9 4 2 3" xfId="11523"/>
    <cellStyle name="Entrada 9 4 2 3 2" xfId="32408"/>
    <cellStyle name="Entrada 9 4 2 4" xfId="32406"/>
    <cellStyle name="Entrada 9 4 3" xfId="11524"/>
    <cellStyle name="Entrada 9 4 3 2" xfId="11525"/>
    <cellStyle name="Entrada 9 4 3 2 2" xfId="32410"/>
    <cellStyle name="Entrada 9 4 3 3" xfId="11526"/>
    <cellStyle name="Entrada 9 4 3 3 2" xfId="32411"/>
    <cellStyle name="Entrada 9 4 3 4" xfId="32409"/>
    <cellStyle name="Entrada 9 4 4" xfId="11527"/>
    <cellStyle name="Entrada 9 4 4 2" xfId="11528"/>
    <cellStyle name="Entrada 9 4 4 2 2" xfId="32413"/>
    <cellStyle name="Entrada 9 4 4 3" xfId="11529"/>
    <cellStyle name="Entrada 9 4 4 3 2" xfId="32414"/>
    <cellStyle name="Entrada 9 4 4 4" xfId="32412"/>
    <cellStyle name="Entrada 9 4 5" xfId="11530"/>
    <cellStyle name="Entrada 9 4 5 2" xfId="11531"/>
    <cellStyle name="Entrada 9 4 5 2 2" xfId="32416"/>
    <cellStyle name="Entrada 9 4 5 3" xfId="11532"/>
    <cellStyle name="Entrada 9 4 5 3 2" xfId="32417"/>
    <cellStyle name="Entrada 9 4 5 4" xfId="32415"/>
    <cellStyle name="Entrada 9 4 6" xfId="11533"/>
    <cellStyle name="Entrada 9 4 6 2" xfId="32418"/>
    <cellStyle name="Entrada 9 4 7" xfId="11534"/>
    <cellStyle name="Entrada 9 4 7 2" xfId="32419"/>
    <cellStyle name="Entrada 9 4 8" xfId="27257"/>
    <cellStyle name="Entrada 9 5" xfId="5210"/>
    <cellStyle name="Entrada 9 5 2" xfId="11535"/>
    <cellStyle name="Entrada 9 5 2 2" xfId="11536"/>
    <cellStyle name="Entrada 9 5 2 2 2" xfId="32421"/>
    <cellStyle name="Entrada 9 5 2 3" xfId="11537"/>
    <cellStyle name="Entrada 9 5 2 3 2" xfId="32422"/>
    <cellStyle name="Entrada 9 5 2 4" xfId="32420"/>
    <cellStyle name="Entrada 9 5 3" xfId="11538"/>
    <cellStyle name="Entrada 9 5 3 2" xfId="11539"/>
    <cellStyle name="Entrada 9 5 3 2 2" xfId="32424"/>
    <cellStyle name="Entrada 9 5 3 3" xfId="11540"/>
    <cellStyle name="Entrada 9 5 3 3 2" xfId="32425"/>
    <cellStyle name="Entrada 9 5 3 4" xfId="32423"/>
    <cellStyle name="Entrada 9 5 4" xfId="11541"/>
    <cellStyle name="Entrada 9 5 4 2" xfId="11542"/>
    <cellStyle name="Entrada 9 5 4 2 2" xfId="32427"/>
    <cellStyle name="Entrada 9 5 4 3" xfId="11543"/>
    <cellStyle name="Entrada 9 5 4 3 2" xfId="32428"/>
    <cellStyle name="Entrada 9 5 4 4" xfId="32426"/>
    <cellStyle name="Entrada 9 5 5" xfId="11544"/>
    <cellStyle name="Entrada 9 5 5 2" xfId="11545"/>
    <cellStyle name="Entrada 9 5 5 2 2" xfId="32430"/>
    <cellStyle name="Entrada 9 5 5 3" xfId="11546"/>
    <cellStyle name="Entrada 9 5 5 3 2" xfId="32431"/>
    <cellStyle name="Entrada 9 5 5 4" xfId="32429"/>
    <cellStyle name="Entrada 9 5 6" xfId="11547"/>
    <cellStyle name="Entrada 9 5 6 2" xfId="32432"/>
    <cellStyle name="Entrada 9 5 7" xfId="11548"/>
    <cellStyle name="Entrada 9 5 7 2" xfId="32433"/>
    <cellStyle name="Entrada 9 5 8" xfId="21096"/>
    <cellStyle name="Entrada 9 6" xfId="11549"/>
    <cellStyle name="Entrada 9 6 2" xfId="11550"/>
    <cellStyle name="Entrada 9 6 2 2" xfId="32435"/>
    <cellStyle name="Entrada 9 6 3" xfId="11551"/>
    <cellStyle name="Entrada 9 6 3 2" xfId="32436"/>
    <cellStyle name="Entrada 9 6 4" xfId="32434"/>
    <cellStyle name="Entrada 9 7" xfId="11552"/>
    <cellStyle name="Entrada 9 7 2" xfId="32437"/>
    <cellStyle name="Entrada 9 8" xfId="11553"/>
    <cellStyle name="Entrada 9 8 2" xfId="32438"/>
    <cellStyle name="Entrada 9 9" xfId="20048"/>
    <cellStyle name="entry" xfId="2315"/>
    <cellStyle name="entry box" xfId="2316"/>
    <cellStyle name="entry box 10" xfId="20046"/>
    <cellStyle name="entry box 2" xfId="2317"/>
    <cellStyle name="entry box 2 2" xfId="2318"/>
    <cellStyle name="entry box 2 2 2" xfId="5211"/>
    <cellStyle name="entry box 2 2 2 10" xfId="26479"/>
    <cellStyle name="entry box 2 2 2 2" xfId="5212"/>
    <cellStyle name="entry box 2 2 2 2 2" xfId="11554"/>
    <cellStyle name="entry box 2 2 2 2 2 2" xfId="11555"/>
    <cellStyle name="entry box 2 2 2 2 2 2 2" xfId="26838"/>
    <cellStyle name="entry box 2 2 2 2 2 2 3" xfId="32440"/>
    <cellStyle name="entry box 2 2 2 2 2 3" xfId="11556"/>
    <cellStyle name="entry box 2 2 2 2 2 3 2" xfId="26839"/>
    <cellStyle name="entry box 2 2 2 2 2 3 3" xfId="32441"/>
    <cellStyle name="entry box 2 2 2 2 2 4" xfId="26837"/>
    <cellStyle name="entry box 2 2 2 2 2 5" xfId="32439"/>
    <cellStyle name="entry box 2 2 2 2 3" xfId="11557"/>
    <cellStyle name="entry box 2 2 2 2 3 2" xfId="11558"/>
    <cellStyle name="entry box 2 2 2 2 3 2 2" xfId="26841"/>
    <cellStyle name="entry box 2 2 2 2 3 2 3" xfId="32443"/>
    <cellStyle name="entry box 2 2 2 2 3 3" xfId="11559"/>
    <cellStyle name="entry box 2 2 2 2 3 3 2" xfId="26842"/>
    <cellStyle name="entry box 2 2 2 2 3 3 3" xfId="32444"/>
    <cellStyle name="entry box 2 2 2 2 3 4" xfId="26840"/>
    <cellStyle name="entry box 2 2 2 2 3 5" xfId="32442"/>
    <cellStyle name="entry box 2 2 2 2 4" xfId="11560"/>
    <cellStyle name="entry box 2 2 2 2 4 2" xfId="11561"/>
    <cellStyle name="entry box 2 2 2 2 4 2 2" xfId="26844"/>
    <cellStyle name="entry box 2 2 2 2 4 2 3" xfId="32446"/>
    <cellStyle name="entry box 2 2 2 2 4 3" xfId="11562"/>
    <cellStyle name="entry box 2 2 2 2 4 3 2" xfId="26845"/>
    <cellStyle name="entry box 2 2 2 2 4 3 3" xfId="32447"/>
    <cellStyle name="entry box 2 2 2 2 4 4" xfId="26843"/>
    <cellStyle name="entry box 2 2 2 2 4 5" xfId="32445"/>
    <cellStyle name="entry box 2 2 2 2 5" xfId="11563"/>
    <cellStyle name="entry box 2 2 2 2 5 2" xfId="26846"/>
    <cellStyle name="entry box 2 2 2 2 5 3" xfId="32448"/>
    <cellStyle name="entry box 2 2 2 2 6" xfId="11564"/>
    <cellStyle name="entry box 2 2 2 2 6 2" xfId="26847"/>
    <cellStyle name="entry box 2 2 2 2 6 3" xfId="32449"/>
    <cellStyle name="entry box 2 2 2 2 7" xfId="21105"/>
    <cellStyle name="entry box 2 2 2 2 8" xfId="26478"/>
    <cellStyle name="entry box 2 2 2 3" xfId="5213"/>
    <cellStyle name="entry box 2 2 2 3 2" xfId="11565"/>
    <cellStyle name="entry box 2 2 2 3 2 2" xfId="11566"/>
    <cellStyle name="entry box 2 2 2 3 2 2 2" xfId="26849"/>
    <cellStyle name="entry box 2 2 2 3 2 2 3" xfId="32451"/>
    <cellStyle name="entry box 2 2 2 3 2 3" xfId="11567"/>
    <cellStyle name="entry box 2 2 2 3 2 3 2" xfId="26850"/>
    <cellStyle name="entry box 2 2 2 3 2 3 3" xfId="32452"/>
    <cellStyle name="entry box 2 2 2 3 2 4" xfId="26848"/>
    <cellStyle name="entry box 2 2 2 3 2 5" xfId="32450"/>
    <cellStyle name="entry box 2 2 2 3 3" xfId="11568"/>
    <cellStyle name="entry box 2 2 2 3 3 2" xfId="11569"/>
    <cellStyle name="entry box 2 2 2 3 3 2 2" xfId="26852"/>
    <cellStyle name="entry box 2 2 2 3 3 2 3" xfId="32454"/>
    <cellStyle name="entry box 2 2 2 3 3 3" xfId="11570"/>
    <cellStyle name="entry box 2 2 2 3 3 3 2" xfId="26853"/>
    <cellStyle name="entry box 2 2 2 3 3 3 3" xfId="32455"/>
    <cellStyle name="entry box 2 2 2 3 3 4" xfId="26851"/>
    <cellStyle name="entry box 2 2 2 3 3 5" xfId="32453"/>
    <cellStyle name="entry box 2 2 2 3 4" xfId="11571"/>
    <cellStyle name="entry box 2 2 2 3 4 2" xfId="11572"/>
    <cellStyle name="entry box 2 2 2 3 4 2 2" xfId="26855"/>
    <cellStyle name="entry box 2 2 2 3 4 2 3" xfId="32457"/>
    <cellStyle name="entry box 2 2 2 3 4 3" xfId="11573"/>
    <cellStyle name="entry box 2 2 2 3 4 3 2" xfId="26856"/>
    <cellStyle name="entry box 2 2 2 3 4 3 3" xfId="32458"/>
    <cellStyle name="entry box 2 2 2 3 4 4" xfId="26854"/>
    <cellStyle name="entry box 2 2 2 3 4 5" xfId="32456"/>
    <cellStyle name="entry box 2 2 2 3 5" xfId="11574"/>
    <cellStyle name="entry box 2 2 2 3 5 2" xfId="26857"/>
    <cellStyle name="entry box 2 2 2 3 5 3" xfId="32459"/>
    <cellStyle name="entry box 2 2 2 3 6" xfId="11575"/>
    <cellStyle name="entry box 2 2 2 3 6 2" xfId="26858"/>
    <cellStyle name="entry box 2 2 2 3 6 3" xfId="32460"/>
    <cellStyle name="entry box 2 2 2 3 7" xfId="21106"/>
    <cellStyle name="entry box 2 2 2 3 8" xfId="26477"/>
    <cellStyle name="entry box 2 2 2 4" xfId="5214"/>
    <cellStyle name="entry box 2 2 2 4 2" xfId="11576"/>
    <cellStyle name="entry box 2 2 2 4 2 2" xfId="11577"/>
    <cellStyle name="entry box 2 2 2 4 2 2 2" xfId="26860"/>
    <cellStyle name="entry box 2 2 2 4 2 2 3" xfId="32462"/>
    <cellStyle name="entry box 2 2 2 4 2 3" xfId="11578"/>
    <cellStyle name="entry box 2 2 2 4 2 3 2" xfId="26861"/>
    <cellStyle name="entry box 2 2 2 4 2 3 3" xfId="32463"/>
    <cellStyle name="entry box 2 2 2 4 2 4" xfId="26859"/>
    <cellStyle name="entry box 2 2 2 4 2 5" xfId="32461"/>
    <cellStyle name="entry box 2 2 2 4 3" xfId="11579"/>
    <cellStyle name="entry box 2 2 2 4 3 2" xfId="11580"/>
    <cellStyle name="entry box 2 2 2 4 3 2 2" xfId="26863"/>
    <cellStyle name="entry box 2 2 2 4 3 2 3" xfId="32465"/>
    <cellStyle name="entry box 2 2 2 4 3 3" xfId="11581"/>
    <cellStyle name="entry box 2 2 2 4 3 3 2" xfId="26864"/>
    <cellStyle name="entry box 2 2 2 4 3 3 3" xfId="32466"/>
    <cellStyle name="entry box 2 2 2 4 3 4" xfId="26862"/>
    <cellStyle name="entry box 2 2 2 4 3 5" xfId="32464"/>
    <cellStyle name="entry box 2 2 2 4 4" xfId="11582"/>
    <cellStyle name="entry box 2 2 2 4 4 2" xfId="11583"/>
    <cellStyle name="entry box 2 2 2 4 4 2 2" xfId="26866"/>
    <cellStyle name="entry box 2 2 2 4 4 2 3" xfId="32468"/>
    <cellStyle name="entry box 2 2 2 4 4 3" xfId="11584"/>
    <cellStyle name="entry box 2 2 2 4 4 3 2" xfId="26867"/>
    <cellStyle name="entry box 2 2 2 4 4 3 3" xfId="32469"/>
    <cellStyle name="entry box 2 2 2 4 4 4" xfId="26865"/>
    <cellStyle name="entry box 2 2 2 4 4 5" xfId="32467"/>
    <cellStyle name="entry box 2 2 2 4 5" xfId="11585"/>
    <cellStyle name="entry box 2 2 2 4 5 2" xfId="26868"/>
    <cellStyle name="entry box 2 2 2 4 5 3" xfId="32470"/>
    <cellStyle name="entry box 2 2 2 4 6" xfId="11586"/>
    <cellStyle name="entry box 2 2 2 4 6 2" xfId="26869"/>
    <cellStyle name="entry box 2 2 2 4 6 3" xfId="32471"/>
    <cellStyle name="entry box 2 2 2 4 7" xfId="21107"/>
    <cellStyle name="entry box 2 2 2 4 8" xfId="26476"/>
    <cellStyle name="entry box 2 2 2 5" xfId="11587"/>
    <cellStyle name="entry box 2 2 2 5 2" xfId="11588"/>
    <cellStyle name="entry box 2 2 2 5 2 2" xfId="26871"/>
    <cellStyle name="entry box 2 2 2 5 2 3" xfId="32473"/>
    <cellStyle name="entry box 2 2 2 5 3" xfId="11589"/>
    <cellStyle name="entry box 2 2 2 5 3 2" xfId="26872"/>
    <cellStyle name="entry box 2 2 2 5 3 3" xfId="32474"/>
    <cellStyle name="entry box 2 2 2 5 4" xfId="26870"/>
    <cellStyle name="entry box 2 2 2 5 5" xfId="32472"/>
    <cellStyle name="entry box 2 2 2 6" xfId="11590"/>
    <cellStyle name="entry box 2 2 2 6 2" xfId="11591"/>
    <cellStyle name="entry box 2 2 2 6 2 2" xfId="26874"/>
    <cellStyle name="entry box 2 2 2 6 2 3" xfId="32476"/>
    <cellStyle name="entry box 2 2 2 6 3" xfId="11592"/>
    <cellStyle name="entry box 2 2 2 6 3 2" xfId="26875"/>
    <cellStyle name="entry box 2 2 2 6 3 3" xfId="32477"/>
    <cellStyle name="entry box 2 2 2 6 4" xfId="26873"/>
    <cellStyle name="entry box 2 2 2 6 5" xfId="32475"/>
    <cellStyle name="entry box 2 2 2 7" xfId="11593"/>
    <cellStyle name="entry box 2 2 2 7 2" xfId="26876"/>
    <cellStyle name="entry box 2 2 2 7 3" xfId="32478"/>
    <cellStyle name="entry box 2 2 2 8" xfId="11594"/>
    <cellStyle name="entry box 2 2 2 8 2" xfId="26877"/>
    <cellStyle name="entry box 2 2 2 8 3" xfId="32479"/>
    <cellStyle name="entry box 2 2 2 9" xfId="21104"/>
    <cellStyle name="entry box 2 2 3" xfId="11595"/>
    <cellStyle name="entry box 2 2 3 2" xfId="11596"/>
    <cellStyle name="entry box 2 2 3 2 2" xfId="26879"/>
    <cellStyle name="entry box 2 2 3 2 3" xfId="32481"/>
    <cellStyle name="entry box 2 2 3 3" xfId="11597"/>
    <cellStyle name="entry box 2 2 3 3 2" xfId="26880"/>
    <cellStyle name="entry box 2 2 3 3 3" xfId="32482"/>
    <cellStyle name="entry box 2 2 3 4" xfId="26878"/>
    <cellStyle name="entry box 2 2 3 5" xfId="32480"/>
    <cellStyle name="entry box 2 2 4" xfId="11598"/>
    <cellStyle name="entry box 2 2 4 2" xfId="11599"/>
    <cellStyle name="entry box 2 2 4 2 2" xfId="26882"/>
    <cellStyle name="entry box 2 2 4 2 3" xfId="32484"/>
    <cellStyle name="entry box 2 2 4 3" xfId="11600"/>
    <cellStyle name="entry box 2 2 4 3 2" xfId="26883"/>
    <cellStyle name="entry box 2 2 4 3 3" xfId="32485"/>
    <cellStyle name="entry box 2 2 4 4" xfId="26881"/>
    <cellStyle name="entry box 2 2 4 5" xfId="32483"/>
    <cellStyle name="entry box 2 2 5" xfId="11601"/>
    <cellStyle name="entry box 2 2 5 2" xfId="26884"/>
    <cellStyle name="entry box 2 2 5 3" xfId="32486"/>
    <cellStyle name="entry box 2 2 6" xfId="11602"/>
    <cellStyle name="entry box 2 2 6 2" xfId="26885"/>
    <cellStyle name="entry box 2 2 6 3" xfId="32487"/>
    <cellStyle name="entry box 2 2 7" xfId="19825"/>
    <cellStyle name="entry box 2 2 8" xfId="20044"/>
    <cellStyle name="entry box 2 3" xfId="5215"/>
    <cellStyle name="entry box 2 3 10" xfId="26475"/>
    <cellStyle name="entry box 2 3 2" xfId="5216"/>
    <cellStyle name="entry box 2 3 2 2" xfId="11603"/>
    <cellStyle name="entry box 2 3 2 2 2" xfId="11604"/>
    <cellStyle name="entry box 2 3 2 2 2 2" xfId="26887"/>
    <cellStyle name="entry box 2 3 2 2 2 3" xfId="32489"/>
    <cellStyle name="entry box 2 3 2 2 3" xfId="11605"/>
    <cellStyle name="entry box 2 3 2 2 3 2" xfId="26888"/>
    <cellStyle name="entry box 2 3 2 2 3 3" xfId="32490"/>
    <cellStyle name="entry box 2 3 2 2 4" xfId="26886"/>
    <cellStyle name="entry box 2 3 2 2 5" xfId="32488"/>
    <cellStyle name="entry box 2 3 2 3" xfId="11606"/>
    <cellStyle name="entry box 2 3 2 3 2" xfId="11607"/>
    <cellStyle name="entry box 2 3 2 3 2 2" xfId="26890"/>
    <cellStyle name="entry box 2 3 2 3 2 3" xfId="32492"/>
    <cellStyle name="entry box 2 3 2 3 3" xfId="11608"/>
    <cellStyle name="entry box 2 3 2 3 3 2" xfId="26891"/>
    <cellStyle name="entry box 2 3 2 3 3 3" xfId="32493"/>
    <cellStyle name="entry box 2 3 2 3 4" xfId="26889"/>
    <cellStyle name="entry box 2 3 2 3 5" xfId="32491"/>
    <cellStyle name="entry box 2 3 2 4" xfId="11609"/>
    <cellStyle name="entry box 2 3 2 4 2" xfId="11610"/>
    <cellStyle name="entry box 2 3 2 4 2 2" xfId="26893"/>
    <cellStyle name="entry box 2 3 2 4 2 3" xfId="32495"/>
    <cellStyle name="entry box 2 3 2 4 3" xfId="11611"/>
    <cellStyle name="entry box 2 3 2 4 3 2" xfId="26894"/>
    <cellStyle name="entry box 2 3 2 4 3 3" xfId="32496"/>
    <cellStyle name="entry box 2 3 2 4 4" xfId="26892"/>
    <cellStyle name="entry box 2 3 2 4 5" xfId="32494"/>
    <cellStyle name="entry box 2 3 2 5" xfId="11612"/>
    <cellStyle name="entry box 2 3 2 5 2" xfId="26895"/>
    <cellStyle name="entry box 2 3 2 5 3" xfId="32497"/>
    <cellStyle name="entry box 2 3 2 6" xfId="11613"/>
    <cellStyle name="entry box 2 3 2 6 2" xfId="26896"/>
    <cellStyle name="entry box 2 3 2 6 3" xfId="32498"/>
    <cellStyle name="entry box 2 3 2 7" xfId="21109"/>
    <cellStyle name="entry box 2 3 2 8" xfId="26474"/>
    <cellStyle name="entry box 2 3 3" xfId="5217"/>
    <cellStyle name="entry box 2 3 3 2" xfId="11614"/>
    <cellStyle name="entry box 2 3 3 2 2" xfId="11615"/>
    <cellStyle name="entry box 2 3 3 2 2 2" xfId="26898"/>
    <cellStyle name="entry box 2 3 3 2 2 3" xfId="32500"/>
    <cellStyle name="entry box 2 3 3 2 3" xfId="11616"/>
    <cellStyle name="entry box 2 3 3 2 3 2" xfId="26899"/>
    <cellStyle name="entry box 2 3 3 2 3 3" xfId="32501"/>
    <cellStyle name="entry box 2 3 3 2 4" xfId="26897"/>
    <cellStyle name="entry box 2 3 3 2 5" xfId="32499"/>
    <cellStyle name="entry box 2 3 3 3" xfId="11617"/>
    <cellStyle name="entry box 2 3 3 3 2" xfId="11618"/>
    <cellStyle name="entry box 2 3 3 3 2 2" xfId="26901"/>
    <cellStyle name="entry box 2 3 3 3 2 3" xfId="32503"/>
    <cellStyle name="entry box 2 3 3 3 3" xfId="11619"/>
    <cellStyle name="entry box 2 3 3 3 3 2" xfId="26902"/>
    <cellStyle name="entry box 2 3 3 3 3 3" xfId="32504"/>
    <cellStyle name="entry box 2 3 3 3 4" xfId="26900"/>
    <cellStyle name="entry box 2 3 3 3 5" xfId="32502"/>
    <cellStyle name="entry box 2 3 3 4" xfId="11620"/>
    <cellStyle name="entry box 2 3 3 4 2" xfId="11621"/>
    <cellStyle name="entry box 2 3 3 4 2 2" xfId="26904"/>
    <cellStyle name="entry box 2 3 3 4 2 3" xfId="32506"/>
    <cellStyle name="entry box 2 3 3 4 3" xfId="11622"/>
    <cellStyle name="entry box 2 3 3 4 3 2" xfId="26905"/>
    <cellStyle name="entry box 2 3 3 4 3 3" xfId="32507"/>
    <cellStyle name="entry box 2 3 3 4 4" xfId="26903"/>
    <cellStyle name="entry box 2 3 3 4 5" xfId="32505"/>
    <cellStyle name="entry box 2 3 3 5" xfId="11623"/>
    <cellStyle name="entry box 2 3 3 5 2" xfId="26906"/>
    <cellStyle name="entry box 2 3 3 5 3" xfId="32508"/>
    <cellStyle name="entry box 2 3 3 6" xfId="11624"/>
    <cellStyle name="entry box 2 3 3 6 2" xfId="26907"/>
    <cellStyle name="entry box 2 3 3 6 3" xfId="32509"/>
    <cellStyle name="entry box 2 3 3 7" xfId="21110"/>
    <cellStyle name="entry box 2 3 3 8" xfId="26473"/>
    <cellStyle name="entry box 2 3 4" xfId="5218"/>
    <cellStyle name="entry box 2 3 4 2" xfId="11625"/>
    <cellStyle name="entry box 2 3 4 2 2" xfId="11626"/>
    <cellStyle name="entry box 2 3 4 2 2 2" xfId="26909"/>
    <cellStyle name="entry box 2 3 4 2 2 3" xfId="32511"/>
    <cellStyle name="entry box 2 3 4 2 3" xfId="11627"/>
    <cellStyle name="entry box 2 3 4 2 3 2" xfId="26910"/>
    <cellStyle name="entry box 2 3 4 2 3 3" xfId="32512"/>
    <cellStyle name="entry box 2 3 4 2 4" xfId="26908"/>
    <cellStyle name="entry box 2 3 4 2 5" xfId="32510"/>
    <cellStyle name="entry box 2 3 4 3" xfId="11628"/>
    <cellStyle name="entry box 2 3 4 3 2" xfId="11629"/>
    <cellStyle name="entry box 2 3 4 3 2 2" xfId="26912"/>
    <cellStyle name="entry box 2 3 4 3 2 3" xfId="32514"/>
    <cellStyle name="entry box 2 3 4 3 3" xfId="11630"/>
    <cellStyle name="entry box 2 3 4 3 3 2" xfId="26913"/>
    <cellStyle name="entry box 2 3 4 3 3 3" xfId="32515"/>
    <cellStyle name="entry box 2 3 4 3 4" xfId="26911"/>
    <cellStyle name="entry box 2 3 4 3 5" xfId="32513"/>
    <cellStyle name="entry box 2 3 4 4" xfId="11631"/>
    <cellStyle name="entry box 2 3 4 4 2" xfId="11632"/>
    <cellStyle name="entry box 2 3 4 4 2 2" xfId="26915"/>
    <cellStyle name="entry box 2 3 4 4 2 3" xfId="32517"/>
    <cellStyle name="entry box 2 3 4 4 3" xfId="11633"/>
    <cellStyle name="entry box 2 3 4 4 3 2" xfId="26916"/>
    <cellStyle name="entry box 2 3 4 4 3 3" xfId="32518"/>
    <cellStyle name="entry box 2 3 4 4 4" xfId="26914"/>
    <cellStyle name="entry box 2 3 4 4 5" xfId="32516"/>
    <cellStyle name="entry box 2 3 4 5" xfId="11634"/>
    <cellStyle name="entry box 2 3 4 5 2" xfId="26917"/>
    <cellStyle name="entry box 2 3 4 5 3" xfId="32519"/>
    <cellStyle name="entry box 2 3 4 6" xfId="11635"/>
    <cellStyle name="entry box 2 3 4 6 2" xfId="26918"/>
    <cellStyle name="entry box 2 3 4 6 3" xfId="32520"/>
    <cellStyle name="entry box 2 3 4 7" xfId="21111"/>
    <cellStyle name="entry box 2 3 4 8" xfId="26472"/>
    <cellStyle name="entry box 2 3 5" xfId="11636"/>
    <cellStyle name="entry box 2 3 5 2" xfId="11637"/>
    <cellStyle name="entry box 2 3 5 2 2" xfId="26920"/>
    <cellStyle name="entry box 2 3 5 2 3" xfId="32522"/>
    <cellStyle name="entry box 2 3 5 3" xfId="11638"/>
    <cellStyle name="entry box 2 3 5 3 2" xfId="26921"/>
    <cellStyle name="entry box 2 3 5 3 3" xfId="32523"/>
    <cellStyle name="entry box 2 3 5 4" xfId="26919"/>
    <cellStyle name="entry box 2 3 5 5" xfId="32521"/>
    <cellStyle name="entry box 2 3 6" xfId="11639"/>
    <cellStyle name="entry box 2 3 6 2" xfId="11640"/>
    <cellStyle name="entry box 2 3 6 2 2" xfId="26923"/>
    <cellStyle name="entry box 2 3 6 2 3" xfId="32525"/>
    <cellStyle name="entry box 2 3 6 3" xfId="11641"/>
    <cellStyle name="entry box 2 3 6 3 2" xfId="26924"/>
    <cellStyle name="entry box 2 3 6 3 3" xfId="32526"/>
    <cellStyle name="entry box 2 3 6 4" xfId="26922"/>
    <cellStyle name="entry box 2 3 6 5" xfId="32524"/>
    <cellStyle name="entry box 2 3 7" xfId="11642"/>
    <cellStyle name="entry box 2 3 7 2" xfId="26925"/>
    <cellStyle name="entry box 2 3 7 3" xfId="32527"/>
    <cellStyle name="entry box 2 3 8" xfId="11643"/>
    <cellStyle name="entry box 2 3 8 2" xfId="26926"/>
    <cellStyle name="entry box 2 3 8 3" xfId="32528"/>
    <cellStyle name="entry box 2 3 9" xfId="21108"/>
    <cellStyle name="entry box 2 4" xfId="11644"/>
    <cellStyle name="entry box 2 4 2" xfId="11645"/>
    <cellStyle name="entry box 2 4 2 2" xfId="26928"/>
    <cellStyle name="entry box 2 4 2 3" xfId="32530"/>
    <cellStyle name="entry box 2 4 3" xfId="11646"/>
    <cellStyle name="entry box 2 4 3 2" xfId="26929"/>
    <cellStyle name="entry box 2 4 3 3" xfId="32531"/>
    <cellStyle name="entry box 2 4 4" xfId="26927"/>
    <cellStyle name="entry box 2 4 5" xfId="32529"/>
    <cellStyle name="entry box 2 5" xfId="11647"/>
    <cellStyle name="entry box 2 5 2" xfId="11648"/>
    <cellStyle name="entry box 2 5 2 2" xfId="26931"/>
    <cellStyle name="entry box 2 5 2 3" xfId="32533"/>
    <cellStyle name="entry box 2 5 3" xfId="11649"/>
    <cellStyle name="entry box 2 5 3 2" xfId="26932"/>
    <cellStyle name="entry box 2 5 3 3" xfId="32534"/>
    <cellStyle name="entry box 2 5 4" xfId="26930"/>
    <cellStyle name="entry box 2 5 5" xfId="32532"/>
    <cellStyle name="entry box 2 6" xfId="11650"/>
    <cellStyle name="entry box 2 6 2" xfId="26933"/>
    <cellStyle name="entry box 2 6 3" xfId="32535"/>
    <cellStyle name="entry box 2 7" xfId="11651"/>
    <cellStyle name="entry box 2 7 2" xfId="26934"/>
    <cellStyle name="entry box 2 7 3" xfId="32536"/>
    <cellStyle name="entry box 2 8" xfId="19824"/>
    <cellStyle name="entry box 2 9" xfId="20045"/>
    <cellStyle name="entry box 3" xfId="2319"/>
    <cellStyle name="entry box 3 2" xfId="5219"/>
    <cellStyle name="entry box 3 2 10" xfId="26471"/>
    <cellStyle name="entry box 3 2 2" xfId="5220"/>
    <cellStyle name="entry box 3 2 2 2" xfId="11652"/>
    <cellStyle name="entry box 3 2 2 2 2" xfId="11653"/>
    <cellStyle name="entry box 3 2 2 2 2 2" xfId="26936"/>
    <cellStyle name="entry box 3 2 2 2 2 3" xfId="32538"/>
    <cellStyle name="entry box 3 2 2 2 3" xfId="11654"/>
    <cellStyle name="entry box 3 2 2 2 3 2" xfId="26937"/>
    <cellStyle name="entry box 3 2 2 2 3 3" xfId="32539"/>
    <cellStyle name="entry box 3 2 2 2 4" xfId="26935"/>
    <cellStyle name="entry box 3 2 2 2 5" xfId="32537"/>
    <cellStyle name="entry box 3 2 2 3" xfId="11655"/>
    <cellStyle name="entry box 3 2 2 3 2" xfId="11656"/>
    <cellStyle name="entry box 3 2 2 3 2 2" xfId="26939"/>
    <cellStyle name="entry box 3 2 2 3 2 3" xfId="32541"/>
    <cellStyle name="entry box 3 2 2 3 3" xfId="11657"/>
    <cellStyle name="entry box 3 2 2 3 3 2" xfId="26940"/>
    <cellStyle name="entry box 3 2 2 3 3 3" xfId="32542"/>
    <cellStyle name="entry box 3 2 2 3 4" xfId="26938"/>
    <cellStyle name="entry box 3 2 2 3 5" xfId="32540"/>
    <cellStyle name="entry box 3 2 2 4" xfId="11658"/>
    <cellStyle name="entry box 3 2 2 4 2" xfId="11659"/>
    <cellStyle name="entry box 3 2 2 4 2 2" xfId="26942"/>
    <cellStyle name="entry box 3 2 2 4 2 3" xfId="32544"/>
    <cellStyle name="entry box 3 2 2 4 3" xfId="11660"/>
    <cellStyle name="entry box 3 2 2 4 3 2" xfId="26943"/>
    <cellStyle name="entry box 3 2 2 4 3 3" xfId="32545"/>
    <cellStyle name="entry box 3 2 2 4 4" xfId="26941"/>
    <cellStyle name="entry box 3 2 2 4 5" xfId="32543"/>
    <cellStyle name="entry box 3 2 2 5" xfId="11661"/>
    <cellStyle name="entry box 3 2 2 5 2" xfId="26944"/>
    <cellStyle name="entry box 3 2 2 5 3" xfId="32546"/>
    <cellStyle name="entry box 3 2 2 6" xfId="11662"/>
    <cellStyle name="entry box 3 2 2 6 2" xfId="26945"/>
    <cellStyle name="entry box 3 2 2 6 3" xfId="32547"/>
    <cellStyle name="entry box 3 2 2 7" xfId="21113"/>
    <cellStyle name="entry box 3 2 2 8" xfId="26470"/>
    <cellStyle name="entry box 3 2 3" xfId="5221"/>
    <cellStyle name="entry box 3 2 3 2" xfId="11663"/>
    <cellStyle name="entry box 3 2 3 2 2" xfId="11664"/>
    <cellStyle name="entry box 3 2 3 2 2 2" xfId="26947"/>
    <cellStyle name="entry box 3 2 3 2 2 3" xfId="32549"/>
    <cellStyle name="entry box 3 2 3 2 3" xfId="11665"/>
    <cellStyle name="entry box 3 2 3 2 3 2" xfId="26948"/>
    <cellStyle name="entry box 3 2 3 2 3 3" xfId="32550"/>
    <cellStyle name="entry box 3 2 3 2 4" xfId="26946"/>
    <cellStyle name="entry box 3 2 3 2 5" xfId="32548"/>
    <cellStyle name="entry box 3 2 3 3" xfId="11666"/>
    <cellStyle name="entry box 3 2 3 3 2" xfId="11667"/>
    <cellStyle name="entry box 3 2 3 3 2 2" xfId="26950"/>
    <cellStyle name="entry box 3 2 3 3 2 3" xfId="32552"/>
    <cellStyle name="entry box 3 2 3 3 3" xfId="11668"/>
    <cellStyle name="entry box 3 2 3 3 3 2" xfId="26951"/>
    <cellStyle name="entry box 3 2 3 3 3 3" xfId="32553"/>
    <cellStyle name="entry box 3 2 3 3 4" xfId="26949"/>
    <cellStyle name="entry box 3 2 3 3 5" xfId="32551"/>
    <cellStyle name="entry box 3 2 3 4" xfId="11669"/>
    <cellStyle name="entry box 3 2 3 4 2" xfId="11670"/>
    <cellStyle name="entry box 3 2 3 4 2 2" xfId="26953"/>
    <cellStyle name="entry box 3 2 3 4 2 3" xfId="32555"/>
    <cellStyle name="entry box 3 2 3 4 3" xfId="11671"/>
    <cellStyle name="entry box 3 2 3 4 3 2" xfId="26954"/>
    <cellStyle name="entry box 3 2 3 4 3 3" xfId="32556"/>
    <cellStyle name="entry box 3 2 3 4 4" xfId="26952"/>
    <cellStyle name="entry box 3 2 3 4 5" xfId="32554"/>
    <cellStyle name="entry box 3 2 3 5" xfId="11672"/>
    <cellStyle name="entry box 3 2 3 5 2" xfId="26955"/>
    <cellStyle name="entry box 3 2 3 5 3" xfId="32557"/>
    <cellStyle name="entry box 3 2 3 6" xfId="11673"/>
    <cellStyle name="entry box 3 2 3 6 2" xfId="26956"/>
    <cellStyle name="entry box 3 2 3 6 3" xfId="32558"/>
    <cellStyle name="entry box 3 2 3 7" xfId="21114"/>
    <cellStyle name="entry box 3 2 3 8" xfId="26469"/>
    <cellStyle name="entry box 3 2 4" xfId="5222"/>
    <cellStyle name="entry box 3 2 4 2" xfId="11674"/>
    <cellStyle name="entry box 3 2 4 2 2" xfId="11675"/>
    <cellStyle name="entry box 3 2 4 2 2 2" xfId="26958"/>
    <cellStyle name="entry box 3 2 4 2 2 3" xfId="32560"/>
    <cellStyle name="entry box 3 2 4 2 3" xfId="11676"/>
    <cellStyle name="entry box 3 2 4 2 3 2" xfId="26959"/>
    <cellStyle name="entry box 3 2 4 2 3 3" xfId="32561"/>
    <cellStyle name="entry box 3 2 4 2 4" xfId="26957"/>
    <cellStyle name="entry box 3 2 4 2 5" xfId="32559"/>
    <cellStyle name="entry box 3 2 4 3" xfId="11677"/>
    <cellStyle name="entry box 3 2 4 3 2" xfId="11678"/>
    <cellStyle name="entry box 3 2 4 3 2 2" xfId="26961"/>
    <cellStyle name="entry box 3 2 4 3 2 3" xfId="32563"/>
    <cellStyle name="entry box 3 2 4 3 3" xfId="11679"/>
    <cellStyle name="entry box 3 2 4 3 3 2" xfId="26962"/>
    <cellStyle name="entry box 3 2 4 3 3 3" xfId="32564"/>
    <cellStyle name="entry box 3 2 4 3 4" xfId="26960"/>
    <cellStyle name="entry box 3 2 4 3 5" xfId="32562"/>
    <cellStyle name="entry box 3 2 4 4" xfId="11680"/>
    <cellStyle name="entry box 3 2 4 4 2" xfId="11681"/>
    <cellStyle name="entry box 3 2 4 4 2 2" xfId="26964"/>
    <cellStyle name="entry box 3 2 4 4 2 3" xfId="32566"/>
    <cellStyle name="entry box 3 2 4 4 3" xfId="11682"/>
    <cellStyle name="entry box 3 2 4 4 3 2" xfId="26965"/>
    <cellStyle name="entry box 3 2 4 4 3 3" xfId="32567"/>
    <cellStyle name="entry box 3 2 4 4 4" xfId="26963"/>
    <cellStyle name="entry box 3 2 4 4 5" xfId="32565"/>
    <cellStyle name="entry box 3 2 4 5" xfId="11683"/>
    <cellStyle name="entry box 3 2 4 5 2" xfId="26966"/>
    <cellStyle name="entry box 3 2 4 5 3" xfId="32568"/>
    <cellStyle name="entry box 3 2 4 6" xfId="11684"/>
    <cellStyle name="entry box 3 2 4 6 2" xfId="26967"/>
    <cellStyle name="entry box 3 2 4 6 3" xfId="32569"/>
    <cellStyle name="entry box 3 2 4 7" xfId="21115"/>
    <cellStyle name="entry box 3 2 4 8" xfId="26468"/>
    <cellStyle name="entry box 3 2 5" xfId="11685"/>
    <cellStyle name="entry box 3 2 5 2" xfId="11686"/>
    <cellStyle name="entry box 3 2 5 2 2" xfId="26969"/>
    <cellStyle name="entry box 3 2 5 2 3" xfId="32571"/>
    <cellStyle name="entry box 3 2 5 3" xfId="11687"/>
    <cellStyle name="entry box 3 2 5 3 2" xfId="26970"/>
    <cellStyle name="entry box 3 2 5 3 3" xfId="32572"/>
    <cellStyle name="entry box 3 2 5 4" xfId="26968"/>
    <cellStyle name="entry box 3 2 5 5" xfId="32570"/>
    <cellStyle name="entry box 3 2 6" xfId="11688"/>
    <cellStyle name="entry box 3 2 6 2" xfId="11689"/>
    <cellStyle name="entry box 3 2 6 2 2" xfId="26972"/>
    <cellStyle name="entry box 3 2 6 2 3" xfId="32574"/>
    <cellStyle name="entry box 3 2 6 3" xfId="11690"/>
    <cellStyle name="entry box 3 2 6 3 2" xfId="26973"/>
    <cellStyle name="entry box 3 2 6 3 3" xfId="32575"/>
    <cellStyle name="entry box 3 2 6 4" xfId="26971"/>
    <cellStyle name="entry box 3 2 6 5" xfId="32573"/>
    <cellStyle name="entry box 3 2 7" xfId="11691"/>
    <cellStyle name="entry box 3 2 7 2" xfId="26974"/>
    <cellStyle name="entry box 3 2 7 3" xfId="32576"/>
    <cellStyle name="entry box 3 2 8" xfId="11692"/>
    <cellStyle name="entry box 3 2 8 2" xfId="26975"/>
    <cellStyle name="entry box 3 2 8 3" xfId="32577"/>
    <cellStyle name="entry box 3 2 9" xfId="21112"/>
    <cellStyle name="entry box 3 3" xfId="11693"/>
    <cellStyle name="entry box 3 3 2" xfId="11694"/>
    <cellStyle name="entry box 3 3 2 2" xfId="26977"/>
    <cellStyle name="entry box 3 3 2 3" xfId="32579"/>
    <cellStyle name="entry box 3 3 3" xfId="11695"/>
    <cellStyle name="entry box 3 3 3 2" xfId="26978"/>
    <cellStyle name="entry box 3 3 3 3" xfId="32580"/>
    <cellStyle name="entry box 3 3 4" xfId="26976"/>
    <cellStyle name="entry box 3 3 5" xfId="32578"/>
    <cellStyle name="entry box 3 4" xfId="11696"/>
    <cellStyle name="entry box 3 4 2" xfId="11697"/>
    <cellStyle name="entry box 3 4 2 2" xfId="26980"/>
    <cellStyle name="entry box 3 4 2 3" xfId="32582"/>
    <cellStyle name="entry box 3 4 3" xfId="11698"/>
    <cellStyle name="entry box 3 4 3 2" xfId="26981"/>
    <cellStyle name="entry box 3 4 3 3" xfId="32583"/>
    <cellStyle name="entry box 3 4 4" xfId="26979"/>
    <cellStyle name="entry box 3 4 5" xfId="32581"/>
    <cellStyle name="entry box 3 5" xfId="11699"/>
    <cellStyle name="entry box 3 5 2" xfId="26982"/>
    <cellStyle name="entry box 3 5 3" xfId="32584"/>
    <cellStyle name="entry box 3 6" xfId="11700"/>
    <cellStyle name="entry box 3 6 2" xfId="26983"/>
    <cellStyle name="entry box 3 6 3" xfId="32585"/>
    <cellStyle name="entry box 3 7" xfId="19826"/>
    <cellStyle name="entry box 3 8" xfId="20043"/>
    <cellStyle name="entry box 4" xfId="5223"/>
    <cellStyle name="entry box 4 10" xfId="26467"/>
    <cellStyle name="entry box 4 2" xfId="5224"/>
    <cellStyle name="entry box 4 2 2" xfId="11701"/>
    <cellStyle name="entry box 4 2 2 2" xfId="11702"/>
    <cellStyle name="entry box 4 2 2 2 2" xfId="26985"/>
    <cellStyle name="entry box 4 2 2 2 3" xfId="32587"/>
    <cellStyle name="entry box 4 2 2 3" xfId="11703"/>
    <cellStyle name="entry box 4 2 2 3 2" xfId="26986"/>
    <cellStyle name="entry box 4 2 2 3 3" xfId="32588"/>
    <cellStyle name="entry box 4 2 2 4" xfId="26984"/>
    <cellStyle name="entry box 4 2 2 5" xfId="32586"/>
    <cellStyle name="entry box 4 2 3" xfId="11704"/>
    <cellStyle name="entry box 4 2 3 2" xfId="11705"/>
    <cellStyle name="entry box 4 2 3 2 2" xfId="26988"/>
    <cellStyle name="entry box 4 2 3 2 3" xfId="32590"/>
    <cellStyle name="entry box 4 2 3 3" xfId="11706"/>
    <cellStyle name="entry box 4 2 3 3 2" xfId="26989"/>
    <cellStyle name="entry box 4 2 3 3 3" xfId="32591"/>
    <cellStyle name="entry box 4 2 3 4" xfId="26987"/>
    <cellStyle name="entry box 4 2 3 5" xfId="32589"/>
    <cellStyle name="entry box 4 2 4" xfId="11707"/>
    <cellStyle name="entry box 4 2 4 2" xfId="11708"/>
    <cellStyle name="entry box 4 2 4 2 2" xfId="26991"/>
    <cellStyle name="entry box 4 2 4 2 3" xfId="32593"/>
    <cellStyle name="entry box 4 2 4 3" xfId="11709"/>
    <cellStyle name="entry box 4 2 4 3 2" xfId="26992"/>
    <cellStyle name="entry box 4 2 4 3 3" xfId="32594"/>
    <cellStyle name="entry box 4 2 4 4" xfId="26990"/>
    <cellStyle name="entry box 4 2 4 5" xfId="32592"/>
    <cellStyle name="entry box 4 2 5" xfId="11710"/>
    <cellStyle name="entry box 4 2 5 2" xfId="26993"/>
    <cellStyle name="entry box 4 2 5 3" xfId="32595"/>
    <cellStyle name="entry box 4 2 6" xfId="11711"/>
    <cellStyle name="entry box 4 2 6 2" xfId="26994"/>
    <cellStyle name="entry box 4 2 6 3" xfId="32596"/>
    <cellStyle name="entry box 4 2 7" xfId="21117"/>
    <cellStyle name="entry box 4 2 8" xfId="26466"/>
    <cellStyle name="entry box 4 3" xfId="5225"/>
    <cellStyle name="entry box 4 3 2" xfId="11712"/>
    <cellStyle name="entry box 4 3 2 2" xfId="11713"/>
    <cellStyle name="entry box 4 3 2 2 2" xfId="26996"/>
    <cellStyle name="entry box 4 3 2 2 3" xfId="32598"/>
    <cellStyle name="entry box 4 3 2 3" xfId="11714"/>
    <cellStyle name="entry box 4 3 2 3 2" xfId="26997"/>
    <cellStyle name="entry box 4 3 2 3 3" xfId="32599"/>
    <cellStyle name="entry box 4 3 2 4" xfId="26995"/>
    <cellStyle name="entry box 4 3 2 5" xfId="32597"/>
    <cellStyle name="entry box 4 3 3" xfId="11715"/>
    <cellStyle name="entry box 4 3 3 2" xfId="11716"/>
    <cellStyle name="entry box 4 3 3 2 2" xfId="26999"/>
    <cellStyle name="entry box 4 3 3 2 3" xfId="32601"/>
    <cellStyle name="entry box 4 3 3 3" xfId="11717"/>
    <cellStyle name="entry box 4 3 3 3 2" xfId="27000"/>
    <cellStyle name="entry box 4 3 3 3 3" xfId="32602"/>
    <cellStyle name="entry box 4 3 3 4" xfId="26998"/>
    <cellStyle name="entry box 4 3 3 5" xfId="32600"/>
    <cellStyle name="entry box 4 3 4" xfId="11718"/>
    <cellStyle name="entry box 4 3 4 2" xfId="11719"/>
    <cellStyle name="entry box 4 3 4 2 2" xfId="27002"/>
    <cellStyle name="entry box 4 3 4 2 3" xfId="32604"/>
    <cellStyle name="entry box 4 3 4 3" xfId="11720"/>
    <cellStyle name="entry box 4 3 4 3 2" xfId="27003"/>
    <cellStyle name="entry box 4 3 4 3 3" xfId="32605"/>
    <cellStyle name="entry box 4 3 4 4" xfId="27001"/>
    <cellStyle name="entry box 4 3 4 5" xfId="32603"/>
    <cellStyle name="entry box 4 3 5" xfId="11721"/>
    <cellStyle name="entry box 4 3 5 2" xfId="27004"/>
    <cellStyle name="entry box 4 3 5 3" xfId="32606"/>
    <cellStyle name="entry box 4 3 6" xfId="11722"/>
    <cellStyle name="entry box 4 3 6 2" xfId="27005"/>
    <cellStyle name="entry box 4 3 6 3" xfId="32607"/>
    <cellStyle name="entry box 4 3 7" xfId="21118"/>
    <cellStyle name="entry box 4 3 8" xfId="20342"/>
    <cellStyle name="entry box 4 4" xfId="5226"/>
    <cellStyle name="entry box 4 4 2" xfId="11723"/>
    <cellStyle name="entry box 4 4 2 2" xfId="11724"/>
    <cellStyle name="entry box 4 4 2 2 2" xfId="27007"/>
    <cellStyle name="entry box 4 4 2 2 3" xfId="32609"/>
    <cellStyle name="entry box 4 4 2 3" xfId="11725"/>
    <cellStyle name="entry box 4 4 2 3 2" xfId="27008"/>
    <cellStyle name="entry box 4 4 2 3 3" xfId="32610"/>
    <cellStyle name="entry box 4 4 2 4" xfId="27006"/>
    <cellStyle name="entry box 4 4 2 5" xfId="32608"/>
    <cellStyle name="entry box 4 4 3" xfId="11726"/>
    <cellStyle name="entry box 4 4 3 2" xfId="11727"/>
    <cellStyle name="entry box 4 4 3 2 2" xfId="27010"/>
    <cellStyle name="entry box 4 4 3 2 3" xfId="32612"/>
    <cellStyle name="entry box 4 4 3 3" xfId="11728"/>
    <cellStyle name="entry box 4 4 3 3 2" xfId="27011"/>
    <cellStyle name="entry box 4 4 3 3 3" xfId="32613"/>
    <cellStyle name="entry box 4 4 3 4" xfId="27009"/>
    <cellStyle name="entry box 4 4 3 5" xfId="32611"/>
    <cellStyle name="entry box 4 4 4" xfId="11729"/>
    <cellStyle name="entry box 4 4 4 2" xfId="11730"/>
    <cellStyle name="entry box 4 4 4 2 2" xfId="27013"/>
    <cellStyle name="entry box 4 4 4 2 3" xfId="32615"/>
    <cellStyle name="entry box 4 4 4 3" xfId="11731"/>
    <cellStyle name="entry box 4 4 4 3 2" xfId="27014"/>
    <cellStyle name="entry box 4 4 4 3 3" xfId="32616"/>
    <cellStyle name="entry box 4 4 4 4" xfId="27012"/>
    <cellStyle name="entry box 4 4 4 5" xfId="32614"/>
    <cellStyle name="entry box 4 4 5" xfId="11732"/>
    <cellStyle name="entry box 4 4 5 2" xfId="27015"/>
    <cellStyle name="entry box 4 4 5 3" xfId="32617"/>
    <cellStyle name="entry box 4 4 6" xfId="11733"/>
    <cellStyle name="entry box 4 4 6 2" xfId="27016"/>
    <cellStyle name="entry box 4 4 6 3" xfId="32618"/>
    <cellStyle name="entry box 4 4 7" xfId="21119"/>
    <cellStyle name="entry box 4 4 8" xfId="26465"/>
    <cellStyle name="entry box 4 5" xfId="11734"/>
    <cellStyle name="entry box 4 5 2" xfId="11735"/>
    <cellStyle name="entry box 4 5 2 2" xfId="27018"/>
    <cellStyle name="entry box 4 5 2 3" xfId="32620"/>
    <cellStyle name="entry box 4 5 3" xfId="11736"/>
    <cellStyle name="entry box 4 5 3 2" xfId="27019"/>
    <cellStyle name="entry box 4 5 3 3" xfId="32621"/>
    <cellStyle name="entry box 4 5 4" xfId="27017"/>
    <cellStyle name="entry box 4 5 5" xfId="32619"/>
    <cellStyle name="entry box 4 6" xfId="11737"/>
    <cellStyle name="entry box 4 6 2" xfId="11738"/>
    <cellStyle name="entry box 4 6 2 2" xfId="27021"/>
    <cellStyle name="entry box 4 6 2 3" xfId="32623"/>
    <cellStyle name="entry box 4 6 3" xfId="11739"/>
    <cellStyle name="entry box 4 6 3 2" xfId="27022"/>
    <cellStyle name="entry box 4 6 3 3" xfId="32624"/>
    <cellStyle name="entry box 4 6 4" xfId="27020"/>
    <cellStyle name="entry box 4 6 5" xfId="32622"/>
    <cellStyle name="entry box 4 7" xfId="11740"/>
    <cellStyle name="entry box 4 7 2" xfId="27023"/>
    <cellStyle name="entry box 4 7 3" xfId="32625"/>
    <cellStyle name="entry box 4 8" xfId="11741"/>
    <cellStyle name="entry box 4 8 2" xfId="27024"/>
    <cellStyle name="entry box 4 8 3" xfId="32626"/>
    <cellStyle name="entry box 4 9" xfId="21116"/>
    <cellStyle name="entry box 5" xfId="11742"/>
    <cellStyle name="entry box 5 2" xfId="11743"/>
    <cellStyle name="entry box 5 2 2" xfId="27026"/>
    <cellStyle name="entry box 5 2 3" xfId="32628"/>
    <cellStyle name="entry box 5 3" xfId="11744"/>
    <cellStyle name="entry box 5 3 2" xfId="27027"/>
    <cellStyle name="entry box 5 3 3" xfId="32629"/>
    <cellStyle name="entry box 5 4" xfId="27025"/>
    <cellStyle name="entry box 5 5" xfId="32627"/>
    <cellStyle name="entry box 6" xfId="11745"/>
    <cellStyle name="entry box 6 2" xfId="11746"/>
    <cellStyle name="entry box 6 2 2" xfId="27029"/>
    <cellStyle name="entry box 6 2 3" xfId="32631"/>
    <cellStyle name="entry box 6 3" xfId="11747"/>
    <cellStyle name="entry box 6 3 2" xfId="27030"/>
    <cellStyle name="entry box 6 3 3" xfId="32632"/>
    <cellStyle name="entry box 6 4" xfId="27028"/>
    <cellStyle name="entry box 6 5" xfId="32630"/>
    <cellStyle name="entry box 7" xfId="11748"/>
    <cellStyle name="entry box 7 2" xfId="27031"/>
    <cellStyle name="entry box 7 3" xfId="32633"/>
    <cellStyle name="entry box 8" xfId="11749"/>
    <cellStyle name="entry box 8 2" xfId="27032"/>
    <cellStyle name="entry box 8 3" xfId="32634"/>
    <cellStyle name="entry box 9" xfId="19823"/>
    <cellStyle name="EPMLargeKeyFigure" xfId="37776"/>
    <cellStyle name="Estilo 1" xfId="2320"/>
    <cellStyle name="Estilo 2" xfId="2321"/>
    <cellStyle name="ET měna" xfId="2322"/>
    <cellStyle name="ET procenta" xfId="2323"/>
    <cellStyle name="ETy0" xfId="2324"/>
    <cellStyle name="ETyt" xfId="2325"/>
    <cellStyle name="Euro" xfId="2326"/>
    <cellStyle name="Euro 2" xfId="2327"/>
    <cellStyle name="Euro 2 2" xfId="2328"/>
    <cellStyle name="Euro 3" xfId="2329"/>
    <cellStyle name="Euro 3 2" xfId="2330"/>
    <cellStyle name="Euro 4" xfId="2331"/>
    <cellStyle name="Excel.Chart" xfId="2332"/>
    <cellStyle name="Explanatory Text 2" xfId="2333"/>
    <cellStyle name="Extra Large" xfId="2334"/>
    <cellStyle name="EY House" xfId="2335"/>
    <cellStyle name="EY Narrative text" xfId="2336"/>
    <cellStyle name="EY%colcalc" xfId="2337"/>
    <cellStyle name="EY%colcalc 2" xfId="2338"/>
    <cellStyle name="EY%colcalc 3" xfId="2339"/>
    <cellStyle name="EY%input" xfId="2340"/>
    <cellStyle name="EY%input 2" xfId="2341"/>
    <cellStyle name="EY%input 3" xfId="2342"/>
    <cellStyle name="EY%rowcalc" xfId="2343"/>
    <cellStyle name="EY%rowcalc 2" xfId="2344"/>
    <cellStyle name="EY%rowcalc 3" xfId="2345"/>
    <cellStyle name="EY0dp" xfId="2346"/>
    <cellStyle name="EY1dp" xfId="2347"/>
    <cellStyle name="EY1dp 2" xfId="2348"/>
    <cellStyle name="EY1dp 3" xfId="2349"/>
    <cellStyle name="EY2dp" xfId="2350"/>
    <cellStyle name="EY2dp 2" xfId="2351"/>
    <cellStyle name="EY2dp 3" xfId="2352"/>
    <cellStyle name="EY3dp" xfId="2353"/>
    <cellStyle name="EY3dp 2" xfId="2354"/>
    <cellStyle name="EY3dp 3" xfId="2355"/>
    <cellStyle name="EYBlocked" xfId="2356"/>
    <cellStyle name="EYCallUp" xfId="2357"/>
    <cellStyle name="EYChartTitle" xfId="2358"/>
    <cellStyle name="EYCheck" xfId="2359"/>
    <cellStyle name="EYColumnHeading" xfId="2360"/>
    <cellStyle name="EYColumnHeading 5" xfId="2361"/>
    <cellStyle name="EYColumnHeading 5 10" xfId="20042"/>
    <cellStyle name="EYColumnHeading 5 2" xfId="4564"/>
    <cellStyle name="EYColumnHeading 5 2 2" xfId="11750"/>
    <cellStyle name="EYColumnHeading 5 2 2 2" xfId="11751"/>
    <cellStyle name="EYColumnHeading 5 2 2 2 2" xfId="32636"/>
    <cellStyle name="EYColumnHeading 5 2 2 3" xfId="11752"/>
    <cellStyle name="EYColumnHeading 5 2 2 3 2" xfId="32637"/>
    <cellStyle name="EYColumnHeading 5 2 2 4" xfId="32635"/>
    <cellStyle name="EYColumnHeading 5 2 3" xfId="11753"/>
    <cellStyle name="EYColumnHeading 5 2 3 2" xfId="11754"/>
    <cellStyle name="EYColumnHeading 5 2 3 2 2" xfId="32639"/>
    <cellStyle name="EYColumnHeading 5 2 3 3" xfId="11755"/>
    <cellStyle name="EYColumnHeading 5 2 3 3 2" xfId="32640"/>
    <cellStyle name="EYColumnHeading 5 2 3 4" xfId="32638"/>
    <cellStyle name="EYColumnHeading 5 2 4" xfId="11756"/>
    <cellStyle name="EYColumnHeading 5 2 4 2" xfId="11757"/>
    <cellStyle name="EYColumnHeading 5 2 4 2 2" xfId="32642"/>
    <cellStyle name="EYColumnHeading 5 2 4 3" xfId="11758"/>
    <cellStyle name="EYColumnHeading 5 2 4 3 2" xfId="32643"/>
    <cellStyle name="EYColumnHeading 5 2 4 4" xfId="32641"/>
    <cellStyle name="EYColumnHeading 5 2 5" xfId="11759"/>
    <cellStyle name="EYColumnHeading 5 2 5 2" xfId="11760"/>
    <cellStyle name="EYColumnHeading 5 2 5 2 2" xfId="32645"/>
    <cellStyle name="EYColumnHeading 5 2 5 3" xfId="11761"/>
    <cellStyle name="EYColumnHeading 5 2 5 3 2" xfId="32646"/>
    <cellStyle name="EYColumnHeading 5 2 5 4" xfId="32644"/>
    <cellStyle name="EYColumnHeading 5 2 6" xfId="11762"/>
    <cellStyle name="EYColumnHeading 5 2 6 2" xfId="11763"/>
    <cellStyle name="EYColumnHeading 5 2 6 2 2" xfId="32648"/>
    <cellStyle name="EYColumnHeading 5 2 6 3" xfId="11764"/>
    <cellStyle name="EYColumnHeading 5 2 6 3 2" xfId="32649"/>
    <cellStyle name="EYColumnHeading 5 2 6 4" xfId="32647"/>
    <cellStyle name="EYColumnHeading 5 2 7" xfId="11765"/>
    <cellStyle name="EYColumnHeading 5 2 7 2" xfId="32650"/>
    <cellStyle name="EYColumnHeading 5 2 8" xfId="11766"/>
    <cellStyle name="EYColumnHeading 5 2 8 2" xfId="32651"/>
    <cellStyle name="EYColumnHeading 5 2 9" xfId="27038"/>
    <cellStyle name="EYColumnHeading 5 3" xfId="4193"/>
    <cellStyle name="EYColumnHeading 5 3 2" xfId="11767"/>
    <cellStyle name="EYColumnHeading 5 3 2 2" xfId="11768"/>
    <cellStyle name="EYColumnHeading 5 3 2 2 2" xfId="32653"/>
    <cellStyle name="EYColumnHeading 5 3 2 3" xfId="11769"/>
    <cellStyle name="EYColumnHeading 5 3 2 3 2" xfId="32654"/>
    <cellStyle name="EYColumnHeading 5 3 2 4" xfId="32652"/>
    <cellStyle name="EYColumnHeading 5 3 3" xfId="11770"/>
    <cellStyle name="EYColumnHeading 5 3 3 2" xfId="11771"/>
    <cellStyle name="EYColumnHeading 5 3 3 2 2" xfId="32656"/>
    <cellStyle name="EYColumnHeading 5 3 3 3" xfId="11772"/>
    <cellStyle name="EYColumnHeading 5 3 3 3 2" xfId="32657"/>
    <cellStyle name="EYColumnHeading 5 3 3 4" xfId="32655"/>
    <cellStyle name="EYColumnHeading 5 3 4" xfId="11773"/>
    <cellStyle name="EYColumnHeading 5 3 4 2" xfId="11774"/>
    <cellStyle name="EYColumnHeading 5 3 4 2 2" xfId="32659"/>
    <cellStyle name="EYColumnHeading 5 3 4 3" xfId="11775"/>
    <cellStyle name="EYColumnHeading 5 3 4 3 2" xfId="32660"/>
    <cellStyle name="EYColumnHeading 5 3 4 4" xfId="32658"/>
    <cellStyle name="EYColumnHeading 5 3 5" xfId="11776"/>
    <cellStyle name="EYColumnHeading 5 3 5 2" xfId="11777"/>
    <cellStyle name="EYColumnHeading 5 3 5 2 2" xfId="32662"/>
    <cellStyle name="EYColumnHeading 5 3 5 3" xfId="11778"/>
    <cellStyle name="EYColumnHeading 5 3 5 3 2" xfId="32663"/>
    <cellStyle name="EYColumnHeading 5 3 5 4" xfId="32661"/>
    <cellStyle name="EYColumnHeading 5 3 6" xfId="11779"/>
    <cellStyle name="EYColumnHeading 5 3 6 2" xfId="11780"/>
    <cellStyle name="EYColumnHeading 5 3 6 2 2" xfId="32665"/>
    <cellStyle name="EYColumnHeading 5 3 6 3" xfId="11781"/>
    <cellStyle name="EYColumnHeading 5 3 6 3 2" xfId="32666"/>
    <cellStyle name="EYColumnHeading 5 3 6 4" xfId="32664"/>
    <cellStyle name="EYColumnHeading 5 3 7" xfId="11782"/>
    <cellStyle name="EYColumnHeading 5 3 7 2" xfId="32667"/>
    <cellStyle name="EYColumnHeading 5 3 8" xfId="11783"/>
    <cellStyle name="EYColumnHeading 5 3 8 2" xfId="32668"/>
    <cellStyle name="EYColumnHeading 5 3 9" xfId="19860"/>
    <cellStyle name="EYColumnHeading 5 4" xfId="5227"/>
    <cellStyle name="EYColumnHeading 5 4 2" xfId="11784"/>
    <cellStyle name="EYColumnHeading 5 4 2 2" xfId="11785"/>
    <cellStyle name="EYColumnHeading 5 4 2 2 2" xfId="32670"/>
    <cellStyle name="EYColumnHeading 5 4 2 3" xfId="11786"/>
    <cellStyle name="EYColumnHeading 5 4 2 3 2" xfId="32671"/>
    <cellStyle name="EYColumnHeading 5 4 2 4" xfId="32669"/>
    <cellStyle name="EYColumnHeading 5 4 3" xfId="11787"/>
    <cellStyle name="EYColumnHeading 5 4 3 2" xfId="11788"/>
    <cellStyle name="EYColumnHeading 5 4 3 2 2" xfId="32673"/>
    <cellStyle name="EYColumnHeading 5 4 3 3" xfId="11789"/>
    <cellStyle name="EYColumnHeading 5 4 3 3 2" xfId="32674"/>
    <cellStyle name="EYColumnHeading 5 4 3 4" xfId="32672"/>
    <cellStyle name="EYColumnHeading 5 4 4" xfId="11790"/>
    <cellStyle name="EYColumnHeading 5 4 4 2" xfId="11791"/>
    <cellStyle name="EYColumnHeading 5 4 4 2 2" xfId="32676"/>
    <cellStyle name="EYColumnHeading 5 4 4 3" xfId="11792"/>
    <cellStyle name="EYColumnHeading 5 4 4 3 2" xfId="32677"/>
    <cellStyle name="EYColumnHeading 5 4 4 4" xfId="32675"/>
    <cellStyle name="EYColumnHeading 5 4 5" xfId="11793"/>
    <cellStyle name="EYColumnHeading 5 4 5 2" xfId="11794"/>
    <cellStyle name="EYColumnHeading 5 4 5 2 2" xfId="32679"/>
    <cellStyle name="EYColumnHeading 5 4 5 3" xfId="11795"/>
    <cellStyle name="EYColumnHeading 5 4 5 3 2" xfId="32680"/>
    <cellStyle name="EYColumnHeading 5 4 5 4" xfId="32678"/>
    <cellStyle name="EYColumnHeading 5 4 6" xfId="11796"/>
    <cellStyle name="EYColumnHeading 5 4 6 2" xfId="11797"/>
    <cellStyle name="EYColumnHeading 5 4 6 2 2" xfId="32682"/>
    <cellStyle name="EYColumnHeading 5 4 6 3" xfId="11798"/>
    <cellStyle name="EYColumnHeading 5 4 6 3 2" xfId="32683"/>
    <cellStyle name="EYColumnHeading 5 4 6 4" xfId="32681"/>
    <cellStyle name="EYColumnHeading 5 4 7" xfId="11799"/>
    <cellStyle name="EYColumnHeading 5 4 7 2" xfId="32684"/>
    <cellStyle name="EYColumnHeading 5 4 8" xfId="11800"/>
    <cellStyle name="EYColumnHeading 5 4 8 2" xfId="32685"/>
    <cellStyle name="EYColumnHeading 5 4 9" xfId="26464"/>
    <cellStyle name="EYColumnHeading 5 5" xfId="11801"/>
    <cellStyle name="EYColumnHeading 5 5 2" xfId="11802"/>
    <cellStyle name="EYColumnHeading 5 5 2 2" xfId="32687"/>
    <cellStyle name="EYColumnHeading 5 5 3" xfId="11803"/>
    <cellStyle name="EYColumnHeading 5 5 3 2" xfId="32688"/>
    <cellStyle name="EYColumnHeading 5 5 4" xfId="32686"/>
    <cellStyle name="EYColumnHeading 5 6" xfId="11804"/>
    <cellStyle name="EYColumnHeading 5 6 2" xfId="11805"/>
    <cellStyle name="EYColumnHeading 5 6 2 2" xfId="32690"/>
    <cellStyle name="EYColumnHeading 5 6 3" xfId="11806"/>
    <cellStyle name="EYColumnHeading 5 6 3 2" xfId="32691"/>
    <cellStyle name="EYColumnHeading 5 6 4" xfId="32689"/>
    <cellStyle name="EYColumnHeading 5 7" xfId="11807"/>
    <cellStyle name="EYColumnHeading 5 7 2" xfId="11808"/>
    <cellStyle name="EYColumnHeading 5 7 2 2" xfId="32693"/>
    <cellStyle name="EYColumnHeading 5 7 3" xfId="11809"/>
    <cellStyle name="EYColumnHeading 5 7 3 2" xfId="32694"/>
    <cellStyle name="EYColumnHeading 5 7 4" xfId="32692"/>
    <cellStyle name="EYColumnHeading 5 8" xfId="11810"/>
    <cellStyle name="EYColumnHeading 5 8 2" xfId="32695"/>
    <cellStyle name="EYColumnHeading 5 9" xfId="11811"/>
    <cellStyle name="EYColumnHeading 5 9 2" xfId="32696"/>
    <cellStyle name="EYColumnHeadingItalic" xfId="2362"/>
    <cellStyle name="EYColumnHeadingItalic 10" xfId="18111"/>
    <cellStyle name="EYColumnHeadingItalic 2" xfId="4289"/>
    <cellStyle name="EYColumnHeadingItalic 2 2" xfId="11812"/>
    <cellStyle name="EYColumnHeadingItalic 2 2 2" xfId="11813"/>
    <cellStyle name="EYColumnHeadingItalic 2 2 2 2" xfId="32698"/>
    <cellStyle name="EYColumnHeadingItalic 2 2 3" xfId="11814"/>
    <cellStyle name="EYColumnHeadingItalic 2 2 3 2" xfId="32699"/>
    <cellStyle name="EYColumnHeadingItalic 2 2 4" xfId="32697"/>
    <cellStyle name="EYColumnHeadingItalic 2 3" xfId="11815"/>
    <cellStyle name="EYColumnHeadingItalic 2 3 2" xfId="11816"/>
    <cellStyle name="EYColumnHeadingItalic 2 3 2 2" xfId="32701"/>
    <cellStyle name="EYColumnHeadingItalic 2 3 3" xfId="11817"/>
    <cellStyle name="EYColumnHeadingItalic 2 3 3 2" xfId="32702"/>
    <cellStyle name="EYColumnHeadingItalic 2 3 4" xfId="32700"/>
    <cellStyle name="EYColumnHeadingItalic 2 4" xfId="11818"/>
    <cellStyle name="EYColumnHeadingItalic 2 4 2" xfId="11819"/>
    <cellStyle name="EYColumnHeadingItalic 2 4 2 2" xfId="32704"/>
    <cellStyle name="EYColumnHeadingItalic 2 4 3" xfId="11820"/>
    <cellStyle name="EYColumnHeadingItalic 2 4 3 2" xfId="32705"/>
    <cellStyle name="EYColumnHeadingItalic 2 4 4" xfId="32703"/>
    <cellStyle name="EYColumnHeadingItalic 2 5" xfId="11821"/>
    <cellStyle name="EYColumnHeadingItalic 2 5 2" xfId="11822"/>
    <cellStyle name="EYColumnHeadingItalic 2 5 2 2" xfId="32707"/>
    <cellStyle name="EYColumnHeadingItalic 2 5 3" xfId="11823"/>
    <cellStyle name="EYColumnHeadingItalic 2 5 3 2" xfId="32708"/>
    <cellStyle name="EYColumnHeadingItalic 2 5 4" xfId="32706"/>
    <cellStyle name="EYColumnHeadingItalic 2 6" xfId="11824"/>
    <cellStyle name="EYColumnHeadingItalic 2 6 2" xfId="11825"/>
    <cellStyle name="EYColumnHeadingItalic 2 6 2 2" xfId="32710"/>
    <cellStyle name="EYColumnHeadingItalic 2 6 3" xfId="11826"/>
    <cellStyle name="EYColumnHeadingItalic 2 6 3 2" xfId="32711"/>
    <cellStyle name="EYColumnHeadingItalic 2 6 4" xfId="32709"/>
    <cellStyle name="EYColumnHeadingItalic 2 7" xfId="11827"/>
    <cellStyle name="EYColumnHeadingItalic 2 7 2" xfId="32712"/>
    <cellStyle name="EYColumnHeadingItalic 2 8" xfId="11828"/>
    <cellStyle name="EYColumnHeadingItalic 2 8 2" xfId="32713"/>
    <cellStyle name="EYColumnHeadingItalic 2 9" xfId="27334"/>
    <cellStyle name="EYColumnHeadingItalic 3" xfId="4414"/>
    <cellStyle name="EYColumnHeadingItalic 3 2" xfId="11829"/>
    <cellStyle name="EYColumnHeadingItalic 3 2 2" xfId="11830"/>
    <cellStyle name="EYColumnHeadingItalic 3 2 2 2" xfId="32715"/>
    <cellStyle name="EYColumnHeadingItalic 3 2 3" xfId="11831"/>
    <cellStyle name="EYColumnHeadingItalic 3 2 3 2" xfId="32716"/>
    <cellStyle name="EYColumnHeadingItalic 3 2 4" xfId="32714"/>
    <cellStyle name="EYColumnHeadingItalic 3 3" xfId="11832"/>
    <cellStyle name="EYColumnHeadingItalic 3 3 2" xfId="11833"/>
    <cellStyle name="EYColumnHeadingItalic 3 3 2 2" xfId="32718"/>
    <cellStyle name="EYColumnHeadingItalic 3 3 3" xfId="11834"/>
    <cellStyle name="EYColumnHeadingItalic 3 3 3 2" xfId="32719"/>
    <cellStyle name="EYColumnHeadingItalic 3 3 4" xfId="32717"/>
    <cellStyle name="EYColumnHeadingItalic 3 4" xfId="11835"/>
    <cellStyle name="EYColumnHeadingItalic 3 4 2" xfId="11836"/>
    <cellStyle name="EYColumnHeadingItalic 3 4 2 2" xfId="32721"/>
    <cellStyle name="EYColumnHeadingItalic 3 4 3" xfId="11837"/>
    <cellStyle name="EYColumnHeadingItalic 3 4 3 2" xfId="32722"/>
    <cellStyle name="EYColumnHeadingItalic 3 4 4" xfId="32720"/>
    <cellStyle name="EYColumnHeadingItalic 3 5" xfId="11838"/>
    <cellStyle name="EYColumnHeadingItalic 3 5 2" xfId="11839"/>
    <cellStyle name="EYColumnHeadingItalic 3 5 2 2" xfId="32724"/>
    <cellStyle name="EYColumnHeadingItalic 3 5 3" xfId="11840"/>
    <cellStyle name="EYColumnHeadingItalic 3 5 3 2" xfId="32725"/>
    <cellStyle name="EYColumnHeadingItalic 3 5 4" xfId="32723"/>
    <cellStyle name="EYColumnHeadingItalic 3 6" xfId="11841"/>
    <cellStyle name="EYColumnHeadingItalic 3 6 2" xfId="11842"/>
    <cellStyle name="EYColumnHeadingItalic 3 6 2 2" xfId="32727"/>
    <cellStyle name="EYColumnHeadingItalic 3 6 3" xfId="11843"/>
    <cellStyle name="EYColumnHeadingItalic 3 6 3 2" xfId="32728"/>
    <cellStyle name="EYColumnHeadingItalic 3 6 4" xfId="32726"/>
    <cellStyle name="EYColumnHeadingItalic 3 7" xfId="11844"/>
    <cellStyle name="EYColumnHeadingItalic 3 7 2" xfId="32729"/>
    <cellStyle name="EYColumnHeadingItalic 3 8" xfId="11845"/>
    <cellStyle name="EYColumnHeadingItalic 3 8 2" xfId="32730"/>
    <cellStyle name="EYColumnHeadingItalic 3 9" xfId="27082"/>
    <cellStyle name="EYColumnHeadingItalic 4" xfId="5228"/>
    <cellStyle name="EYColumnHeadingItalic 4 2" xfId="11846"/>
    <cellStyle name="EYColumnHeadingItalic 4 2 2" xfId="11847"/>
    <cellStyle name="EYColumnHeadingItalic 4 2 2 2" xfId="32732"/>
    <cellStyle name="EYColumnHeadingItalic 4 2 3" xfId="11848"/>
    <cellStyle name="EYColumnHeadingItalic 4 2 3 2" xfId="32733"/>
    <cellStyle name="EYColumnHeadingItalic 4 2 4" xfId="32731"/>
    <cellStyle name="EYColumnHeadingItalic 4 3" xfId="11849"/>
    <cellStyle name="EYColumnHeadingItalic 4 3 2" xfId="11850"/>
    <cellStyle name="EYColumnHeadingItalic 4 3 2 2" xfId="32735"/>
    <cellStyle name="EYColumnHeadingItalic 4 3 3" xfId="11851"/>
    <cellStyle name="EYColumnHeadingItalic 4 3 3 2" xfId="32736"/>
    <cellStyle name="EYColumnHeadingItalic 4 3 4" xfId="32734"/>
    <cellStyle name="EYColumnHeadingItalic 4 4" xfId="11852"/>
    <cellStyle name="EYColumnHeadingItalic 4 4 2" xfId="11853"/>
    <cellStyle name="EYColumnHeadingItalic 4 4 2 2" xfId="32738"/>
    <cellStyle name="EYColumnHeadingItalic 4 4 3" xfId="11854"/>
    <cellStyle name="EYColumnHeadingItalic 4 4 3 2" xfId="32739"/>
    <cellStyle name="EYColumnHeadingItalic 4 4 4" xfId="32737"/>
    <cellStyle name="EYColumnHeadingItalic 4 5" xfId="11855"/>
    <cellStyle name="EYColumnHeadingItalic 4 5 2" xfId="11856"/>
    <cellStyle name="EYColumnHeadingItalic 4 5 2 2" xfId="32741"/>
    <cellStyle name="EYColumnHeadingItalic 4 5 3" xfId="11857"/>
    <cellStyle name="EYColumnHeadingItalic 4 5 3 2" xfId="32742"/>
    <cellStyle name="EYColumnHeadingItalic 4 5 4" xfId="32740"/>
    <cellStyle name="EYColumnHeadingItalic 4 6" xfId="11858"/>
    <cellStyle name="EYColumnHeadingItalic 4 6 2" xfId="11859"/>
    <cellStyle name="EYColumnHeadingItalic 4 6 2 2" xfId="32744"/>
    <cellStyle name="EYColumnHeadingItalic 4 6 3" xfId="11860"/>
    <cellStyle name="EYColumnHeadingItalic 4 6 3 2" xfId="32745"/>
    <cellStyle name="EYColumnHeadingItalic 4 6 4" xfId="32743"/>
    <cellStyle name="EYColumnHeadingItalic 4 7" xfId="11861"/>
    <cellStyle name="EYColumnHeadingItalic 4 7 2" xfId="32746"/>
    <cellStyle name="EYColumnHeadingItalic 4 8" xfId="11862"/>
    <cellStyle name="EYColumnHeadingItalic 4 8 2" xfId="32747"/>
    <cellStyle name="EYColumnHeadingItalic 4 9" xfId="26463"/>
    <cellStyle name="EYColumnHeadingItalic 5" xfId="11863"/>
    <cellStyle name="EYColumnHeadingItalic 5 2" xfId="11864"/>
    <cellStyle name="EYColumnHeadingItalic 5 2 2" xfId="32749"/>
    <cellStyle name="EYColumnHeadingItalic 5 3" xfId="11865"/>
    <cellStyle name="EYColumnHeadingItalic 5 3 2" xfId="32750"/>
    <cellStyle name="EYColumnHeadingItalic 5 4" xfId="32748"/>
    <cellStyle name="EYColumnHeadingItalic 6" xfId="11866"/>
    <cellStyle name="EYColumnHeadingItalic 6 2" xfId="11867"/>
    <cellStyle name="EYColumnHeadingItalic 6 2 2" xfId="32752"/>
    <cellStyle name="EYColumnHeadingItalic 6 3" xfId="11868"/>
    <cellStyle name="EYColumnHeadingItalic 6 3 2" xfId="32753"/>
    <cellStyle name="EYColumnHeadingItalic 6 4" xfId="32751"/>
    <cellStyle name="EYColumnHeadingItalic 7" xfId="11869"/>
    <cellStyle name="EYColumnHeadingItalic 7 2" xfId="11870"/>
    <cellStyle name="EYColumnHeadingItalic 7 2 2" xfId="32755"/>
    <cellStyle name="EYColumnHeadingItalic 7 3" xfId="11871"/>
    <cellStyle name="EYColumnHeadingItalic 7 3 2" xfId="32756"/>
    <cellStyle name="EYColumnHeadingItalic 7 4" xfId="32754"/>
    <cellStyle name="EYColumnHeadingItalic 8" xfId="11872"/>
    <cellStyle name="EYColumnHeadingItalic 8 2" xfId="32757"/>
    <cellStyle name="EYColumnHeadingItalic 9" xfId="11873"/>
    <cellStyle name="EYColumnHeadingItalic 9 2" xfId="32758"/>
    <cellStyle name="EYCoverDatabookName" xfId="2363"/>
    <cellStyle name="EYCoverDate" xfId="2364"/>
    <cellStyle name="EYCoverDraft" xfId="2365"/>
    <cellStyle name="EYCoverProjectName" xfId="2366"/>
    <cellStyle name="EYCurrency" xfId="2367"/>
    <cellStyle name="EYCurrency 10" xfId="20041"/>
    <cellStyle name="EYCurrency 2" xfId="4063"/>
    <cellStyle name="EYCurrency 2 2" xfId="11874"/>
    <cellStyle name="EYCurrency 2 2 2" xfId="11875"/>
    <cellStyle name="EYCurrency 2 2 2 2" xfId="32760"/>
    <cellStyle name="EYCurrency 2 2 3" xfId="11876"/>
    <cellStyle name="EYCurrency 2 2 3 2" xfId="32761"/>
    <cellStyle name="EYCurrency 2 2 4" xfId="32759"/>
    <cellStyle name="EYCurrency 2 3" xfId="11877"/>
    <cellStyle name="EYCurrency 2 3 2" xfId="11878"/>
    <cellStyle name="EYCurrency 2 3 2 2" xfId="32763"/>
    <cellStyle name="EYCurrency 2 3 3" xfId="11879"/>
    <cellStyle name="EYCurrency 2 3 3 2" xfId="32764"/>
    <cellStyle name="EYCurrency 2 3 4" xfId="32762"/>
    <cellStyle name="EYCurrency 2 4" xfId="11880"/>
    <cellStyle name="EYCurrency 2 4 2" xfId="11881"/>
    <cellStyle name="EYCurrency 2 4 2 2" xfId="32766"/>
    <cellStyle name="EYCurrency 2 4 3" xfId="11882"/>
    <cellStyle name="EYCurrency 2 4 3 2" xfId="32767"/>
    <cellStyle name="EYCurrency 2 4 4" xfId="32765"/>
    <cellStyle name="EYCurrency 2 5" xfId="11883"/>
    <cellStyle name="EYCurrency 2 5 2" xfId="11884"/>
    <cellStyle name="EYCurrency 2 5 2 2" xfId="32769"/>
    <cellStyle name="EYCurrency 2 5 3" xfId="11885"/>
    <cellStyle name="EYCurrency 2 5 3 2" xfId="32770"/>
    <cellStyle name="EYCurrency 2 5 4" xfId="32768"/>
    <cellStyle name="EYCurrency 2 6" xfId="11886"/>
    <cellStyle name="EYCurrency 2 6 2" xfId="11887"/>
    <cellStyle name="EYCurrency 2 6 2 2" xfId="32772"/>
    <cellStyle name="EYCurrency 2 6 3" xfId="11888"/>
    <cellStyle name="EYCurrency 2 6 3 2" xfId="32773"/>
    <cellStyle name="EYCurrency 2 6 4" xfId="32771"/>
    <cellStyle name="EYCurrency 2 7" xfId="11889"/>
    <cellStyle name="EYCurrency 2 7 2" xfId="32774"/>
    <cellStyle name="EYCurrency 2 8" xfId="11890"/>
    <cellStyle name="EYCurrency 2 8 2" xfId="32775"/>
    <cellStyle name="EYCurrency 2 9" xfId="19869"/>
    <cellStyle name="EYCurrency 3" xfId="4226"/>
    <cellStyle name="EYCurrency 3 2" xfId="11891"/>
    <cellStyle name="EYCurrency 3 2 2" xfId="11892"/>
    <cellStyle name="EYCurrency 3 2 2 2" xfId="32777"/>
    <cellStyle name="EYCurrency 3 2 3" xfId="11893"/>
    <cellStyle name="EYCurrency 3 2 3 2" xfId="32778"/>
    <cellStyle name="EYCurrency 3 2 4" xfId="32776"/>
    <cellStyle name="EYCurrency 3 3" xfId="11894"/>
    <cellStyle name="EYCurrency 3 3 2" xfId="11895"/>
    <cellStyle name="EYCurrency 3 3 2 2" xfId="32780"/>
    <cellStyle name="EYCurrency 3 3 3" xfId="11896"/>
    <cellStyle name="EYCurrency 3 3 3 2" xfId="32781"/>
    <cellStyle name="EYCurrency 3 3 4" xfId="32779"/>
    <cellStyle name="EYCurrency 3 4" xfId="11897"/>
    <cellStyle name="EYCurrency 3 4 2" xfId="11898"/>
    <cellStyle name="EYCurrency 3 4 2 2" xfId="32783"/>
    <cellStyle name="EYCurrency 3 4 3" xfId="11899"/>
    <cellStyle name="EYCurrency 3 4 3 2" xfId="32784"/>
    <cellStyle name="EYCurrency 3 4 4" xfId="32782"/>
    <cellStyle name="EYCurrency 3 5" xfId="11900"/>
    <cellStyle name="EYCurrency 3 5 2" xfId="11901"/>
    <cellStyle name="EYCurrency 3 5 2 2" xfId="32786"/>
    <cellStyle name="EYCurrency 3 5 3" xfId="11902"/>
    <cellStyle name="EYCurrency 3 5 3 2" xfId="32787"/>
    <cellStyle name="EYCurrency 3 5 4" xfId="32785"/>
    <cellStyle name="EYCurrency 3 6" xfId="11903"/>
    <cellStyle name="EYCurrency 3 6 2" xfId="11904"/>
    <cellStyle name="EYCurrency 3 6 2 2" xfId="32789"/>
    <cellStyle name="EYCurrency 3 6 3" xfId="11905"/>
    <cellStyle name="EYCurrency 3 6 3 2" xfId="32790"/>
    <cellStyle name="EYCurrency 3 6 4" xfId="32788"/>
    <cellStyle name="EYCurrency 3 7" xfId="11906"/>
    <cellStyle name="EYCurrency 3 7 2" xfId="32791"/>
    <cellStyle name="EYCurrency 3 8" xfId="11907"/>
    <cellStyle name="EYCurrency 3 8 2" xfId="32792"/>
    <cellStyle name="EYCurrency 3 9" xfId="27346"/>
    <cellStyle name="EYCurrency 4" xfId="5229"/>
    <cellStyle name="EYCurrency 4 2" xfId="11908"/>
    <cellStyle name="EYCurrency 4 2 2" xfId="11909"/>
    <cellStyle name="EYCurrency 4 2 2 2" xfId="32794"/>
    <cellStyle name="EYCurrency 4 2 3" xfId="11910"/>
    <cellStyle name="EYCurrency 4 2 3 2" xfId="32795"/>
    <cellStyle name="EYCurrency 4 2 4" xfId="32793"/>
    <cellStyle name="EYCurrency 4 3" xfId="11911"/>
    <cellStyle name="EYCurrency 4 3 2" xfId="11912"/>
    <cellStyle name="EYCurrency 4 3 2 2" xfId="32797"/>
    <cellStyle name="EYCurrency 4 3 3" xfId="11913"/>
    <cellStyle name="EYCurrency 4 3 3 2" xfId="32798"/>
    <cellStyle name="EYCurrency 4 3 4" xfId="32796"/>
    <cellStyle name="EYCurrency 4 4" xfId="11914"/>
    <cellStyle name="EYCurrency 4 4 2" xfId="11915"/>
    <cellStyle name="EYCurrency 4 4 2 2" xfId="32800"/>
    <cellStyle name="EYCurrency 4 4 3" xfId="11916"/>
    <cellStyle name="EYCurrency 4 4 3 2" xfId="32801"/>
    <cellStyle name="EYCurrency 4 4 4" xfId="32799"/>
    <cellStyle name="EYCurrency 4 5" xfId="11917"/>
    <cellStyle name="EYCurrency 4 5 2" xfId="11918"/>
    <cellStyle name="EYCurrency 4 5 2 2" xfId="32803"/>
    <cellStyle name="EYCurrency 4 5 3" xfId="11919"/>
    <cellStyle name="EYCurrency 4 5 3 2" xfId="32804"/>
    <cellStyle name="EYCurrency 4 5 4" xfId="32802"/>
    <cellStyle name="EYCurrency 4 6" xfId="11920"/>
    <cellStyle name="EYCurrency 4 6 2" xfId="11921"/>
    <cellStyle name="EYCurrency 4 6 2 2" xfId="32806"/>
    <cellStyle name="EYCurrency 4 6 3" xfId="11922"/>
    <cellStyle name="EYCurrency 4 6 3 2" xfId="32807"/>
    <cellStyle name="EYCurrency 4 6 4" xfId="32805"/>
    <cellStyle name="EYCurrency 4 7" xfId="11923"/>
    <cellStyle name="EYCurrency 4 7 2" xfId="32808"/>
    <cellStyle name="EYCurrency 4 8" xfId="11924"/>
    <cellStyle name="EYCurrency 4 8 2" xfId="32809"/>
    <cellStyle name="EYCurrency 4 9" xfId="26462"/>
    <cellStyle name="EYCurrency 5" xfId="11925"/>
    <cellStyle name="EYCurrency 5 2" xfId="11926"/>
    <cellStyle name="EYCurrency 5 2 2" xfId="32811"/>
    <cellStyle name="EYCurrency 5 3" xfId="11927"/>
    <cellStyle name="EYCurrency 5 3 2" xfId="32812"/>
    <cellStyle name="EYCurrency 5 4" xfId="32810"/>
    <cellStyle name="EYCurrency 6" xfId="11928"/>
    <cellStyle name="EYCurrency 6 2" xfId="11929"/>
    <cellStyle name="EYCurrency 6 2 2" xfId="32814"/>
    <cellStyle name="EYCurrency 6 3" xfId="11930"/>
    <cellStyle name="EYCurrency 6 3 2" xfId="32815"/>
    <cellStyle name="EYCurrency 6 4" xfId="32813"/>
    <cellStyle name="EYCurrency 7" xfId="11931"/>
    <cellStyle name="EYCurrency 7 2" xfId="11932"/>
    <cellStyle name="EYCurrency 7 2 2" xfId="32817"/>
    <cellStyle name="EYCurrency 7 3" xfId="11933"/>
    <cellStyle name="EYCurrency 7 3 2" xfId="32818"/>
    <cellStyle name="EYCurrency 7 4" xfId="32816"/>
    <cellStyle name="EYCurrency 8" xfId="11934"/>
    <cellStyle name="EYCurrency 8 2" xfId="32819"/>
    <cellStyle name="EYCurrency 9" xfId="11935"/>
    <cellStyle name="EYCurrency 9 2" xfId="32820"/>
    <cellStyle name="EYDate" xfId="2368"/>
    <cellStyle name="EYDate 2" xfId="2369"/>
    <cellStyle name="EYDeviant" xfId="2370"/>
    <cellStyle name="EYHeader1" xfId="2371"/>
    <cellStyle name="EYHeader1 2" xfId="4325"/>
    <cellStyle name="EYHeader1 2 10" xfId="27249"/>
    <cellStyle name="EYHeader1 2 2" xfId="5230"/>
    <cellStyle name="EYHeader1 2 2 2" xfId="11936"/>
    <cellStyle name="EYHeader1 2 2 2 2" xfId="11937"/>
    <cellStyle name="EYHeader1 2 2 2 2 2" xfId="27095"/>
    <cellStyle name="EYHeader1 2 2 2 2 3" xfId="32822"/>
    <cellStyle name="EYHeader1 2 2 2 3" xfId="11938"/>
    <cellStyle name="EYHeader1 2 2 2 3 2" xfId="27096"/>
    <cellStyle name="EYHeader1 2 2 2 3 3" xfId="32823"/>
    <cellStyle name="EYHeader1 2 2 2 4" xfId="27094"/>
    <cellStyle name="EYHeader1 2 2 2 5" xfId="32821"/>
    <cellStyle name="EYHeader1 2 2 3" xfId="11939"/>
    <cellStyle name="EYHeader1 2 2 3 2" xfId="11940"/>
    <cellStyle name="EYHeader1 2 2 3 2 2" xfId="27098"/>
    <cellStyle name="EYHeader1 2 2 3 2 3" xfId="32825"/>
    <cellStyle name="EYHeader1 2 2 3 3" xfId="11941"/>
    <cellStyle name="EYHeader1 2 2 3 3 2" xfId="27099"/>
    <cellStyle name="EYHeader1 2 2 3 3 3" xfId="32826"/>
    <cellStyle name="EYHeader1 2 2 3 4" xfId="27097"/>
    <cellStyle name="EYHeader1 2 2 3 5" xfId="32824"/>
    <cellStyle name="EYHeader1 2 2 4" xfId="11942"/>
    <cellStyle name="EYHeader1 2 2 4 2" xfId="11943"/>
    <cellStyle name="EYHeader1 2 2 4 2 2" xfId="27101"/>
    <cellStyle name="EYHeader1 2 2 4 2 3" xfId="32828"/>
    <cellStyle name="EYHeader1 2 2 4 3" xfId="11944"/>
    <cellStyle name="EYHeader1 2 2 4 3 2" xfId="27102"/>
    <cellStyle name="EYHeader1 2 2 4 3 3" xfId="32829"/>
    <cellStyle name="EYHeader1 2 2 4 4" xfId="27100"/>
    <cellStyle name="EYHeader1 2 2 4 5" xfId="32827"/>
    <cellStyle name="EYHeader1 2 2 5" xfId="11945"/>
    <cellStyle name="EYHeader1 2 2 5 2" xfId="27103"/>
    <cellStyle name="EYHeader1 2 2 5 3" xfId="32830"/>
    <cellStyle name="EYHeader1 2 2 6" xfId="11946"/>
    <cellStyle name="EYHeader1 2 2 6 2" xfId="27104"/>
    <cellStyle name="EYHeader1 2 2 6 3" xfId="32831"/>
    <cellStyle name="EYHeader1 2 2 7" xfId="21121"/>
    <cellStyle name="EYHeader1 2 2 8" xfId="26461"/>
    <cellStyle name="EYHeader1 2 3" xfId="5231"/>
    <cellStyle name="EYHeader1 2 3 2" xfId="11947"/>
    <cellStyle name="EYHeader1 2 3 2 2" xfId="11948"/>
    <cellStyle name="EYHeader1 2 3 2 2 2" xfId="27106"/>
    <cellStyle name="EYHeader1 2 3 2 2 3" xfId="32833"/>
    <cellStyle name="EYHeader1 2 3 2 3" xfId="11949"/>
    <cellStyle name="EYHeader1 2 3 2 3 2" xfId="27107"/>
    <cellStyle name="EYHeader1 2 3 2 3 3" xfId="32834"/>
    <cellStyle name="EYHeader1 2 3 2 4" xfId="27105"/>
    <cellStyle name="EYHeader1 2 3 2 5" xfId="32832"/>
    <cellStyle name="EYHeader1 2 3 3" xfId="11950"/>
    <cellStyle name="EYHeader1 2 3 3 2" xfId="11951"/>
    <cellStyle name="EYHeader1 2 3 3 2 2" xfId="27109"/>
    <cellStyle name="EYHeader1 2 3 3 2 3" xfId="32836"/>
    <cellStyle name="EYHeader1 2 3 3 3" xfId="11952"/>
    <cellStyle name="EYHeader1 2 3 3 3 2" xfId="27110"/>
    <cellStyle name="EYHeader1 2 3 3 3 3" xfId="32837"/>
    <cellStyle name="EYHeader1 2 3 3 4" xfId="27108"/>
    <cellStyle name="EYHeader1 2 3 3 5" xfId="32835"/>
    <cellStyle name="EYHeader1 2 3 4" xfId="11953"/>
    <cellStyle name="EYHeader1 2 3 4 2" xfId="11954"/>
    <cellStyle name="EYHeader1 2 3 4 2 2" xfId="27112"/>
    <cellStyle name="EYHeader1 2 3 4 2 3" xfId="32839"/>
    <cellStyle name="EYHeader1 2 3 4 3" xfId="11955"/>
    <cellStyle name="EYHeader1 2 3 4 3 2" xfId="27113"/>
    <cellStyle name="EYHeader1 2 3 4 3 3" xfId="32840"/>
    <cellStyle name="EYHeader1 2 3 4 4" xfId="27111"/>
    <cellStyle name="EYHeader1 2 3 4 5" xfId="32838"/>
    <cellStyle name="EYHeader1 2 3 5" xfId="11956"/>
    <cellStyle name="EYHeader1 2 3 5 2" xfId="27114"/>
    <cellStyle name="EYHeader1 2 3 5 3" xfId="32841"/>
    <cellStyle name="EYHeader1 2 3 6" xfId="11957"/>
    <cellStyle name="EYHeader1 2 3 6 2" xfId="27115"/>
    <cellStyle name="EYHeader1 2 3 6 3" xfId="32842"/>
    <cellStyle name="EYHeader1 2 3 7" xfId="21122"/>
    <cellStyle name="EYHeader1 2 3 8" xfId="26460"/>
    <cellStyle name="EYHeader1 2 4" xfId="5232"/>
    <cellStyle name="EYHeader1 2 4 2" xfId="11958"/>
    <cellStyle name="EYHeader1 2 4 2 2" xfId="11959"/>
    <cellStyle name="EYHeader1 2 4 2 2 2" xfId="27117"/>
    <cellStyle name="EYHeader1 2 4 2 2 3" xfId="32844"/>
    <cellStyle name="EYHeader1 2 4 2 3" xfId="11960"/>
    <cellStyle name="EYHeader1 2 4 2 3 2" xfId="27118"/>
    <cellStyle name="EYHeader1 2 4 2 3 3" xfId="32845"/>
    <cellStyle name="EYHeader1 2 4 2 4" xfId="27116"/>
    <cellStyle name="EYHeader1 2 4 2 5" xfId="32843"/>
    <cellStyle name="EYHeader1 2 4 3" xfId="11961"/>
    <cellStyle name="EYHeader1 2 4 3 2" xfId="11962"/>
    <cellStyle name="EYHeader1 2 4 3 2 2" xfId="27120"/>
    <cellStyle name="EYHeader1 2 4 3 2 3" xfId="32847"/>
    <cellStyle name="EYHeader1 2 4 3 3" xfId="11963"/>
    <cellStyle name="EYHeader1 2 4 3 3 2" xfId="27121"/>
    <cellStyle name="EYHeader1 2 4 3 3 3" xfId="32848"/>
    <cellStyle name="EYHeader1 2 4 3 4" xfId="27119"/>
    <cellStyle name="EYHeader1 2 4 3 5" xfId="32846"/>
    <cellStyle name="EYHeader1 2 4 4" xfId="11964"/>
    <cellStyle name="EYHeader1 2 4 4 2" xfId="11965"/>
    <cellStyle name="EYHeader1 2 4 4 2 2" xfId="27123"/>
    <cellStyle name="EYHeader1 2 4 4 2 3" xfId="32850"/>
    <cellStyle name="EYHeader1 2 4 4 3" xfId="11966"/>
    <cellStyle name="EYHeader1 2 4 4 3 2" xfId="27124"/>
    <cellStyle name="EYHeader1 2 4 4 3 3" xfId="32851"/>
    <cellStyle name="EYHeader1 2 4 4 4" xfId="27122"/>
    <cellStyle name="EYHeader1 2 4 4 5" xfId="32849"/>
    <cellStyle name="EYHeader1 2 4 5" xfId="11967"/>
    <cellStyle name="EYHeader1 2 4 5 2" xfId="27125"/>
    <cellStyle name="EYHeader1 2 4 5 3" xfId="32852"/>
    <cellStyle name="EYHeader1 2 4 6" xfId="11968"/>
    <cellStyle name="EYHeader1 2 4 6 2" xfId="27126"/>
    <cellStyle name="EYHeader1 2 4 6 3" xfId="32853"/>
    <cellStyle name="EYHeader1 2 4 7" xfId="21123"/>
    <cellStyle name="EYHeader1 2 4 8" xfId="26459"/>
    <cellStyle name="EYHeader1 2 5" xfId="11969"/>
    <cellStyle name="EYHeader1 2 5 2" xfId="11970"/>
    <cellStyle name="EYHeader1 2 5 2 2" xfId="27128"/>
    <cellStyle name="EYHeader1 2 5 2 3" xfId="32855"/>
    <cellStyle name="EYHeader1 2 5 3" xfId="11971"/>
    <cellStyle name="EYHeader1 2 5 3 2" xfId="27129"/>
    <cellStyle name="EYHeader1 2 5 3 3" xfId="32856"/>
    <cellStyle name="EYHeader1 2 5 4" xfId="27127"/>
    <cellStyle name="EYHeader1 2 5 5" xfId="32854"/>
    <cellStyle name="EYHeader1 2 6" xfId="11972"/>
    <cellStyle name="EYHeader1 2 6 2" xfId="11973"/>
    <cellStyle name="EYHeader1 2 6 2 2" xfId="27131"/>
    <cellStyle name="EYHeader1 2 6 2 3" xfId="32858"/>
    <cellStyle name="EYHeader1 2 6 3" xfId="11974"/>
    <cellStyle name="EYHeader1 2 6 3 2" xfId="27132"/>
    <cellStyle name="EYHeader1 2 6 3 3" xfId="32859"/>
    <cellStyle name="EYHeader1 2 6 4" xfId="27130"/>
    <cellStyle name="EYHeader1 2 6 5" xfId="32857"/>
    <cellStyle name="EYHeader1 2 7" xfId="11975"/>
    <cellStyle name="EYHeader1 2 7 2" xfId="27133"/>
    <cellStyle name="EYHeader1 2 7 3" xfId="32860"/>
    <cellStyle name="EYHeader1 2 8" xfId="11976"/>
    <cellStyle name="EYHeader1 2 8 2" xfId="27134"/>
    <cellStyle name="EYHeader1 2 8 3" xfId="32861"/>
    <cellStyle name="EYHeader1 2 9" xfId="20348"/>
    <cellStyle name="EYHeader1 3" xfId="4315"/>
    <cellStyle name="EYHeader1 3 2" xfId="11977"/>
    <cellStyle name="EYHeader1 3 2 2" xfId="27135"/>
    <cellStyle name="EYHeader1 3 2 3" xfId="32862"/>
    <cellStyle name="EYHeader1 3 3" xfId="11978"/>
    <cellStyle name="EYHeader1 3 3 2" xfId="27136"/>
    <cellStyle name="EYHeader1 3 3 3" xfId="32863"/>
    <cellStyle name="EYHeader1 3 4" xfId="20345"/>
    <cellStyle name="EYHeader1 3 5" xfId="27256"/>
    <cellStyle name="EYHeader1 4" xfId="3997"/>
    <cellStyle name="EYHeader1 4 2" xfId="11979"/>
    <cellStyle name="EYHeader1 4 2 2" xfId="27137"/>
    <cellStyle name="EYHeader1 4 2 3" xfId="32864"/>
    <cellStyle name="EYHeader1 4 3" xfId="11980"/>
    <cellStyle name="EYHeader1 4 3 2" xfId="27138"/>
    <cellStyle name="EYHeader1 4 3 3" xfId="32865"/>
    <cellStyle name="EYHeader1 4 4" xfId="20148"/>
    <cellStyle name="EYHeader1 4 5" xfId="27386"/>
    <cellStyle name="EYHeader1 5" xfId="11981"/>
    <cellStyle name="EYHeader1 5 2" xfId="27139"/>
    <cellStyle name="EYHeader1 5 3" xfId="32866"/>
    <cellStyle name="EYHeader1 6" xfId="11982"/>
    <cellStyle name="EYHeader1 6 2" xfId="27140"/>
    <cellStyle name="EYHeader1 6 3" xfId="32867"/>
    <cellStyle name="EYHeader1 7" xfId="19840"/>
    <cellStyle name="EYHeader1 8" xfId="20040"/>
    <cellStyle name="EYHeader2" xfId="2372"/>
    <cellStyle name="EYHeader3" xfId="2373"/>
    <cellStyle name="EYHeading1" xfId="2374"/>
    <cellStyle name="EYheading2" xfId="2375"/>
    <cellStyle name="EYheading3" xfId="2376"/>
    <cellStyle name="EYInputDate" xfId="2377"/>
    <cellStyle name="EYInputDate 2" xfId="5233"/>
    <cellStyle name="EYInputDate 2 2" xfId="5234"/>
    <cellStyle name="EYInputDate 2 2 2" xfId="11983"/>
    <cellStyle name="EYInputDate 2 2 2 2" xfId="11984"/>
    <cellStyle name="EYInputDate 2 2 2 2 2" xfId="27142"/>
    <cellStyle name="EYInputDate 2 2 2 2 3" xfId="32869"/>
    <cellStyle name="EYInputDate 2 2 2 3" xfId="11985"/>
    <cellStyle name="EYInputDate 2 2 2 3 2" xfId="27143"/>
    <cellStyle name="EYInputDate 2 2 2 3 3" xfId="32870"/>
    <cellStyle name="EYInputDate 2 2 2 4" xfId="27141"/>
    <cellStyle name="EYInputDate 2 2 2 5" xfId="32868"/>
    <cellStyle name="EYInputDate 2 2 3" xfId="11986"/>
    <cellStyle name="EYInputDate 2 2 3 2" xfId="11987"/>
    <cellStyle name="EYInputDate 2 2 3 2 2" xfId="27145"/>
    <cellStyle name="EYInputDate 2 2 3 2 3" xfId="32872"/>
    <cellStyle name="EYInputDate 2 2 3 3" xfId="27144"/>
    <cellStyle name="EYInputDate 2 2 3 4" xfId="32871"/>
    <cellStyle name="EYInputDate 2 2 4" xfId="11988"/>
    <cellStyle name="EYInputDate 2 2 4 2" xfId="27146"/>
    <cellStyle name="EYInputDate 2 2 4 3" xfId="32873"/>
    <cellStyle name="EYInputDate 2 2 5" xfId="21125"/>
    <cellStyle name="EYInputDate 2 2 6" xfId="26457"/>
    <cellStyle name="EYInputDate 2 3" xfId="11989"/>
    <cellStyle name="EYInputDate 2 3 2" xfId="11990"/>
    <cellStyle name="EYInputDate 2 3 2 2" xfId="27148"/>
    <cellStyle name="EYInputDate 2 3 2 3" xfId="32875"/>
    <cellStyle name="EYInputDate 2 3 3" xfId="11991"/>
    <cellStyle name="EYInputDate 2 3 3 2" xfId="27149"/>
    <cellStyle name="EYInputDate 2 3 3 3" xfId="32876"/>
    <cellStyle name="EYInputDate 2 3 4" xfId="27147"/>
    <cellStyle name="EYInputDate 2 3 5" xfId="32874"/>
    <cellStyle name="EYInputDate 2 4" xfId="11992"/>
    <cellStyle name="EYInputDate 2 4 2" xfId="11993"/>
    <cellStyle name="EYInputDate 2 4 2 2" xfId="27151"/>
    <cellStyle name="EYInputDate 2 4 2 3" xfId="32878"/>
    <cellStyle name="EYInputDate 2 4 3" xfId="27150"/>
    <cellStyle name="EYInputDate 2 4 4" xfId="32877"/>
    <cellStyle name="EYInputDate 2 5" xfId="11994"/>
    <cellStyle name="EYInputDate 2 5 2" xfId="27152"/>
    <cellStyle name="EYInputDate 2 5 3" xfId="32879"/>
    <cellStyle name="EYInputDate 2 6" xfId="21124"/>
    <cellStyle name="EYInputDate 2 7" xfId="26458"/>
    <cellStyle name="EYInputDate 3" xfId="5235"/>
    <cellStyle name="EYInputDate 3 2" xfId="11995"/>
    <cellStyle name="EYInputDate 3 2 2" xfId="11996"/>
    <cellStyle name="EYInputDate 3 2 2 2" xfId="27154"/>
    <cellStyle name="EYInputDate 3 2 2 3" xfId="32881"/>
    <cellStyle name="EYInputDate 3 2 3" xfId="11997"/>
    <cellStyle name="EYInputDate 3 2 3 2" xfId="27155"/>
    <cellStyle name="EYInputDate 3 2 3 3" xfId="32882"/>
    <cellStyle name="EYInputDate 3 2 4" xfId="27153"/>
    <cellStyle name="EYInputDate 3 2 5" xfId="32880"/>
    <cellStyle name="EYInputDate 3 3" xfId="11998"/>
    <cellStyle name="EYInputDate 3 3 2" xfId="27156"/>
    <cellStyle name="EYInputDate 3 3 3" xfId="32883"/>
    <cellStyle name="EYInputDate 3 4" xfId="21126"/>
    <cellStyle name="EYInputDate 3 5" xfId="26456"/>
    <cellStyle name="EYInputDate 4" xfId="11999"/>
    <cellStyle name="EYInputDate 4 2" xfId="12000"/>
    <cellStyle name="EYInputDate 4 2 2" xfId="27158"/>
    <cellStyle name="EYInputDate 4 2 3" xfId="32885"/>
    <cellStyle name="EYInputDate 4 3" xfId="12001"/>
    <cellStyle name="EYInputDate 4 3 2" xfId="27159"/>
    <cellStyle name="EYInputDate 4 3 3" xfId="32886"/>
    <cellStyle name="EYInputDate 4 4" xfId="27157"/>
    <cellStyle name="EYInputDate 4 5" xfId="32884"/>
    <cellStyle name="EYInputDate 5" xfId="12002"/>
    <cellStyle name="EYInputDate 5 2" xfId="12003"/>
    <cellStyle name="EYInputDate 5 2 2" xfId="27161"/>
    <cellStyle name="EYInputDate 5 2 3" xfId="32888"/>
    <cellStyle name="EYInputDate 5 3" xfId="27160"/>
    <cellStyle name="EYInputDate 5 4" xfId="32887"/>
    <cellStyle name="EYInputDate 6" xfId="12004"/>
    <cellStyle name="EYInputDate 6 2" xfId="27162"/>
    <cellStyle name="EYInputDate 6 3" xfId="32889"/>
    <cellStyle name="EYInputDate 7" xfId="19841"/>
    <cellStyle name="EYInputDate 8" xfId="20039"/>
    <cellStyle name="EYInputNormal" xfId="2378"/>
    <cellStyle name="EYInputNormal 2" xfId="5236"/>
    <cellStyle name="EYInputNormal 2 2" xfId="5237"/>
    <cellStyle name="EYInputNormal 2 2 2" xfId="12005"/>
    <cellStyle name="EYInputNormal 2 2 2 2" xfId="12006"/>
    <cellStyle name="EYInputNormal 2 2 2 2 2" xfId="27164"/>
    <cellStyle name="EYInputNormal 2 2 2 2 3" xfId="32891"/>
    <cellStyle name="EYInputNormal 2 2 2 3" xfId="12007"/>
    <cellStyle name="EYInputNormal 2 2 2 3 2" xfId="27165"/>
    <cellStyle name="EYInputNormal 2 2 2 3 3" xfId="32892"/>
    <cellStyle name="EYInputNormal 2 2 2 4" xfId="27163"/>
    <cellStyle name="EYInputNormal 2 2 2 5" xfId="32890"/>
    <cellStyle name="EYInputNormal 2 2 3" xfId="12008"/>
    <cellStyle name="EYInputNormal 2 2 3 2" xfId="12009"/>
    <cellStyle name="EYInputNormal 2 2 3 2 2" xfId="27167"/>
    <cellStyle name="EYInputNormal 2 2 3 2 3" xfId="32894"/>
    <cellStyle name="EYInputNormal 2 2 3 3" xfId="27166"/>
    <cellStyle name="EYInputNormal 2 2 3 4" xfId="32893"/>
    <cellStyle name="EYInputNormal 2 2 4" xfId="12010"/>
    <cellStyle name="EYInputNormal 2 2 4 2" xfId="27168"/>
    <cellStyle name="EYInputNormal 2 2 4 3" xfId="32895"/>
    <cellStyle name="EYInputNormal 2 2 5" xfId="21128"/>
    <cellStyle name="EYInputNormal 2 2 6" xfId="26454"/>
    <cellStyle name="EYInputNormal 2 3" xfId="12011"/>
    <cellStyle name="EYInputNormal 2 3 2" xfId="12012"/>
    <cellStyle name="EYInputNormal 2 3 2 2" xfId="27170"/>
    <cellStyle name="EYInputNormal 2 3 2 3" xfId="32897"/>
    <cellStyle name="EYInputNormal 2 3 3" xfId="12013"/>
    <cellStyle name="EYInputNormal 2 3 3 2" xfId="27171"/>
    <cellStyle name="EYInputNormal 2 3 3 3" xfId="32898"/>
    <cellStyle name="EYInputNormal 2 3 4" xfId="27169"/>
    <cellStyle name="EYInputNormal 2 3 5" xfId="32896"/>
    <cellStyle name="EYInputNormal 2 4" xfId="12014"/>
    <cellStyle name="EYInputNormal 2 4 2" xfId="12015"/>
    <cellStyle name="EYInputNormal 2 4 2 2" xfId="27173"/>
    <cellStyle name="EYInputNormal 2 4 2 3" xfId="32900"/>
    <cellStyle name="EYInputNormal 2 4 3" xfId="27172"/>
    <cellStyle name="EYInputNormal 2 4 4" xfId="32899"/>
    <cellStyle name="EYInputNormal 2 5" xfId="12016"/>
    <cellStyle name="EYInputNormal 2 5 2" xfId="27174"/>
    <cellStyle name="EYInputNormal 2 5 3" xfId="32901"/>
    <cellStyle name="EYInputNormal 2 6" xfId="21127"/>
    <cellStyle name="EYInputNormal 2 7" xfId="26455"/>
    <cellStyle name="EYInputNormal 3" xfId="5238"/>
    <cellStyle name="EYInputNormal 3 2" xfId="12017"/>
    <cellStyle name="EYInputNormal 3 2 2" xfId="12018"/>
    <cellStyle name="EYInputNormal 3 2 2 2" xfId="27176"/>
    <cellStyle name="EYInputNormal 3 2 2 3" xfId="32903"/>
    <cellStyle name="EYInputNormal 3 2 3" xfId="12019"/>
    <cellStyle name="EYInputNormal 3 2 3 2" xfId="27177"/>
    <cellStyle name="EYInputNormal 3 2 3 3" xfId="32904"/>
    <cellStyle name="EYInputNormal 3 2 4" xfId="27175"/>
    <cellStyle name="EYInputNormal 3 2 5" xfId="32902"/>
    <cellStyle name="EYInputNormal 3 3" xfId="12020"/>
    <cellStyle name="EYInputNormal 3 3 2" xfId="27178"/>
    <cellStyle name="EYInputNormal 3 3 3" xfId="32905"/>
    <cellStyle name="EYInputNormal 3 4" xfId="21129"/>
    <cellStyle name="EYInputNormal 3 5" xfId="26453"/>
    <cellStyle name="EYInputNormal 4" xfId="12021"/>
    <cellStyle name="EYInputNormal 4 2" xfId="12022"/>
    <cellStyle name="EYInputNormal 4 2 2" xfId="27180"/>
    <cellStyle name="EYInputNormal 4 2 3" xfId="32907"/>
    <cellStyle name="EYInputNormal 4 3" xfId="12023"/>
    <cellStyle name="EYInputNormal 4 3 2" xfId="27181"/>
    <cellStyle name="EYInputNormal 4 3 3" xfId="32908"/>
    <cellStyle name="EYInputNormal 4 4" xfId="27179"/>
    <cellStyle name="EYInputNormal 4 5" xfId="32906"/>
    <cellStyle name="EYInputNormal 5" xfId="12024"/>
    <cellStyle name="EYInputNormal 5 2" xfId="12025"/>
    <cellStyle name="EYInputNormal 5 2 2" xfId="27183"/>
    <cellStyle name="EYInputNormal 5 2 3" xfId="32910"/>
    <cellStyle name="EYInputNormal 5 3" xfId="27182"/>
    <cellStyle name="EYInputNormal 5 4" xfId="32909"/>
    <cellStyle name="EYInputNormal 6" xfId="12026"/>
    <cellStyle name="EYInputNormal 6 2" xfId="27184"/>
    <cellStyle name="EYInputNormal 6 3" xfId="32911"/>
    <cellStyle name="EYInputNormal 7" xfId="19842"/>
    <cellStyle name="EYInputNormal 8" xfId="20038"/>
    <cellStyle name="EYInputPercent" xfId="2379"/>
    <cellStyle name="EYInputPercent 2" xfId="5239"/>
    <cellStyle name="EYInputPercent 2 2" xfId="5240"/>
    <cellStyle name="EYInputPercent 2 2 2" xfId="12027"/>
    <cellStyle name="EYInputPercent 2 2 2 2" xfId="12028"/>
    <cellStyle name="EYInputPercent 2 2 2 2 2" xfId="27186"/>
    <cellStyle name="EYInputPercent 2 2 2 2 3" xfId="32913"/>
    <cellStyle name="EYInputPercent 2 2 2 3" xfId="12029"/>
    <cellStyle name="EYInputPercent 2 2 2 3 2" xfId="27187"/>
    <cellStyle name="EYInputPercent 2 2 2 3 3" xfId="32914"/>
    <cellStyle name="EYInputPercent 2 2 2 4" xfId="27185"/>
    <cellStyle name="EYInputPercent 2 2 2 5" xfId="32912"/>
    <cellStyle name="EYInputPercent 2 2 3" xfId="12030"/>
    <cellStyle name="EYInputPercent 2 2 3 2" xfId="12031"/>
    <cellStyle name="EYInputPercent 2 2 3 2 2" xfId="27189"/>
    <cellStyle name="EYInputPercent 2 2 3 2 3" xfId="32916"/>
    <cellStyle name="EYInputPercent 2 2 3 3" xfId="27188"/>
    <cellStyle name="EYInputPercent 2 2 3 4" xfId="32915"/>
    <cellStyle name="EYInputPercent 2 2 4" xfId="12032"/>
    <cellStyle name="EYInputPercent 2 2 4 2" xfId="27190"/>
    <cellStyle name="EYInputPercent 2 2 4 3" xfId="32917"/>
    <cellStyle name="EYInputPercent 2 2 5" xfId="21131"/>
    <cellStyle name="EYInputPercent 2 2 6" xfId="20332"/>
    <cellStyle name="EYInputPercent 2 3" xfId="12033"/>
    <cellStyle name="EYInputPercent 2 3 2" xfId="12034"/>
    <cellStyle name="EYInputPercent 2 3 2 2" xfId="27192"/>
    <cellStyle name="EYInputPercent 2 3 2 3" xfId="32919"/>
    <cellStyle name="EYInputPercent 2 3 3" xfId="12035"/>
    <cellStyle name="EYInputPercent 2 3 3 2" xfId="27193"/>
    <cellStyle name="EYInputPercent 2 3 3 3" xfId="32920"/>
    <cellStyle name="EYInputPercent 2 3 4" xfId="27191"/>
    <cellStyle name="EYInputPercent 2 3 5" xfId="32918"/>
    <cellStyle name="EYInputPercent 2 4" xfId="12036"/>
    <cellStyle name="EYInputPercent 2 4 2" xfId="12037"/>
    <cellStyle name="EYInputPercent 2 4 2 2" xfId="27195"/>
    <cellStyle name="EYInputPercent 2 4 2 3" xfId="32922"/>
    <cellStyle name="EYInputPercent 2 4 3" xfId="27194"/>
    <cellStyle name="EYInputPercent 2 4 4" xfId="32921"/>
    <cellStyle name="EYInputPercent 2 5" xfId="12038"/>
    <cellStyle name="EYInputPercent 2 5 2" xfId="27196"/>
    <cellStyle name="EYInputPercent 2 5 3" xfId="32923"/>
    <cellStyle name="EYInputPercent 2 6" xfId="21130"/>
    <cellStyle name="EYInputPercent 2 7" xfId="26452"/>
    <cellStyle name="EYInputPercent 3" xfId="5241"/>
    <cellStyle name="EYInputPercent 3 2" xfId="12039"/>
    <cellStyle name="EYInputPercent 3 2 2" xfId="12040"/>
    <cellStyle name="EYInputPercent 3 2 2 2" xfId="27198"/>
    <cellStyle name="EYInputPercent 3 2 2 3" xfId="32925"/>
    <cellStyle name="EYInputPercent 3 2 3" xfId="12041"/>
    <cellStyle name="EYInputPercent 3 2 3 2" xfId="27199"/>
    <cellStyle name="EYInputPercent 3 2 3 3" xfId="32926"/>
    <cellStyle name="EYInputPercent 3 2 4" xfId="27197"/>
    <cellStyle name="EYInputPercent 3 2 5" xfId="32924"/>
    <cellStyle name="EYInputPercent 3 3" xfId="12042"/>
    <cellStyle name="EYInputPercent 3 3 2" xfId="27200"/>
    <cellStyle name="EYInputPercent 3 3 3" xfId="32927"/>
    <cellStyle name="EYInputPercent 3 4" xfId="21132"/>
    <cellStyle name="EYInputPercent 3 5" xfId="19813"/>
    <cellStyle name="EYInputPercent 4" xfId="12043"/>
    <cellStyle name="EYInputPercent 4 2" xfId="12044"/>
    <cellStyle name="EYInputPercent 4 2 2" xfId="27202"/>
    <cellStyle name="EYInputPercent 4 2 3" xfId="32929"/>
    <cellStyle name="EYInputPercent 4 3" xfId="12045"/>
    <cellStyle name="EYInputPercent 4 3 2" xfId="27203"/>
    <cellStyle name="EYInputPercent 4 3 3" xfId="32930"/>
    <cellStyle name="EYInputPercent 4 4" xfId="27201"/>
    <cellStyle name="EYInputPercent 4 5" xfId="32928"/>
    <cellStyle name="EYInputPercent 5" xfId="12046"/>
    <cellStyle name="EYInputPercent 5 2" xfId="12047"/>
    <cellStyle name="EYInputPercent 5 2 2" xfId="27205"/>
    <cellStyle name="EYInputPercent 5 2 3" xfId="32932"/>
    <cellStyle name="EYInputPercent 5 3" xfId="27204"/>
    <cellStyle name="EYInputPercent 5 4" xfId="32931"/>
    <cellStyle name="EYInputPercent 6" xfId="12048"/>
    <cellStyle name="EYInputPercent 6 2" xfId="27206"/>
    <cellStyle name="EYInputPercent 6 3" xfId="32933"/>
    <cellStyle name="EYInputPercent 7" xfId="19843"/>
    <cellStyle name="EYInputPercent 8" xfId="20037"/>
    <cellStyle name="EYInputValue" xfId="2380"/>
    <cellStyle name="EYInputValue 2" xfId="5242"/>
    <cellStyle name="EYInputValue 2 2" xfId="5243"/>
    <cellStyle name="EYInputValue 2 2 2" xfId="12049"/>
    <cellStyle name="EYInputValue 2 2 2 2" xfId="12050"/>
    <cellStyle name="EYInputValue 2 2 2 2 2" xfId="27208"/>
    <cellStyle name="EYInputValue 2 2 2 2 3" xfId="32935"/>
    <cellStyle name="EYInputValue 2 2 2 3" xfId="12051"/>
    <cellStyle name="EYInputValue 2 2 2 3 2" xfId="27209"/>
    <cellStyle name="EYInputValue 2 2 2 3 3" xfId="32936"/>
    <cellStyle name="EYInputValue 2 2 2 4" xfId="27207"/>
    <cellStyle name="EYInputValue 2 2 2 5" xfId="32934"/>
    <cellStyle name="EYInputValue 2 2 3" xfId="12052"/>
    <cellStyle name="EYInputValue 2 2 3 2" xfId="12053"/>
    <cellStyle name="EYInputValue 2 2 3 2 2" xfId="27211"/>
    <cellStyle name="EYInputValue 2 2 3 2 3" xfId="32938"/>
    <cellStyle name="EYInputValue 2 2 3 3" xfId="27210"/>
    <cellStyle name="EYInputValue 2 2 3 4" xfId="32937"/>
    <cellStyle name="EYInputValue 2 2 4" xfId="12054"/>
    <cellStyle name="EYInputValue 2 2 4 2" xfId="27212"/>
    <cellStyle name="EYInputValue 2 2 4 3" xfId="32939"/>
    <cellStyle name="EYInputValue 2 2 5" xfId="21134"/>
    <cellStyle name="EYInputValue 2 2 6" xfId="19811"/>
    <cellStyle name="EYInputValue 2 3" xfId="12055"/>
    <cellStyle name="EYInputValue 2 3 2" xfId="12056"/>
    <cellStyle name="EYInputValue 2 3 2 2" xfId="27214"/>
    <cellStyle name="EYInputValue 2 3 2 3" xfId="32941"/>
    <cellStyle name="EYInputValue 2 3 3" xfId="12057"/>
    <cellStyle name="EYInputValue 2 3 3 2" xfId="27215"/>
    <cellStyle name="EYInputValue 2 3 3 3" xfId="32942"/>
    <cellStyle name="EYInputValue 2 3 4" xfId="27213"/>
    <cellStyle name="EYInputValue 2 3 5" xfId="32940"/>
    <cellStyle name="EYInputValue 2 4" xfId="12058"/>
    <cellStyle name="EYInputValue 2 4 2" xfId="12059"/>
    <cellStyle name="EYInputValue 2 4 2 2" xfId="27217"/>
    <cellStyle name="EYInputValue 2 4 2 3" xfId="32944"/>
    <cellStyle name="EYInputValue 2 4 3" xfId="27216"/>
    <cellStyle name="EYInputValue 2 4 4" xfId="32943"/>
    <cellStyle name="EYInputValue 2 5" xfId="12060"/>
    <cellStyle name="EYInputValue 2 5 2" xfId="27218"/>
    <cellStyle name="EYInputValue 2 5 3" xfId="32945"/>
    <cellStyle name="EYInputValue 2 6" xfId="21133"/>
    <cellStyle name="EYInputValue 2 7" xfId="19812"/>
    <cellStyle name="EYInputValue 3" xfId="5244"/>
    <cellStyle name="EYInputValue 3 2" xfId="12061"/>
    <cellStyle name="EYInputValue 3 2 2" xfId="12062"/>
    <cellStyle name="EYInputValue 3 2 2 2" xfId="27220"/>
    <cellStyle name="EYInputValue 3 2 2 3" xfId="32947"/>
    <cellStyle name="EYInputValue 3 2 3" xfId="12063"/>
    <cellStyle name="EYInputValue 3 2 3 2" xfId="27221"/>
    <cellStyle name="EYInputValue 3 2 3 3" xfId="32948"/>
    <cellStyle name="EYInputValue 3 2 4" xfId="27219"/>
    <cellStyle name="EYInputValue 3 2 5" xfId="32946"/>
    <cellStyle name="EYInputValue 3 3" xfId="12064"/>
    <cellStyle name="EYInputValue 3 3 2" xfId="27222"/>
    <cellStyle name="EYInputValue 3 3 3" xfId="32949"/>
    <cellStyle name="EYInputValue 3 4" xfId="21135"/>
    <cellStyle name="EYInputValue 3 5" xfId="19810"/>
    <cellStyle name="EYInputValue 4" xfId="12065"/>
    <cellStyle name="EYInputValue 4 2" xfId="12066"/>
    <cellStyle name="EYInputValue 4 2 2" xfId="27224"/>
    <cellStyle name="EYInputValue 4 2 3" xfId="32951"/>
    <cellStyle name="EYInputValue 4 3" xfId="12067"/>
    <cellStyle name="EYInputValue 4 3 2" xfId="27225"/>
    <cellStyle name="EYInputValue 4 3 3" xfId="32952"/>
    <cellStyle name="EYInputValue 4 4" xfId="27223"/>
    <cellStyle name="EYInputValue 4 5" xfId="32950"/>
    <cellStyle name="EYInputValue 5" xfId="12068"/>
    <cellStyle name="EYInputValue 5 2" xfId="12069"/>
    <cellStyle name="EYInputValue 5 2 2" xfId="27227"/>
    <cellStyle name="EYInputValue 5 2 3" xfId="32954"/>
    <cellStyle name="EYInputValue 5 3" xfId="27226"/>
    <cellStyle name="EYInputValue 5 4" xfId="32953"/>
    <cellStyle name="EYInputValue 6" xfId="12070"/>
    <cellStyle name="EYInputValue 6 2" xfId="27228"/>
    <cellStyle name="EYInputValue 6 3" xfId="32955"/>
    <cellStyle name="EYInputValue 7" xfId="19844"/>
    <cellStyle name="EYInputValue 8" xfId="18085"/>
    <cellStyle name="EYNormal" xfId="2381"/>
    <cellStyle name="EYNormal 2" xfId="2382"/>
    <cellStyle name="EYNotes" xfId="2383"/>
    <cellStyle name="EYNotesHeading" xfId="2384"/>
    <cellStyle name="EYNotesHeading 10" xfId="20036"/>
    <cellStyle name="EYNotesHeading 2" xfId="4560"/>
    <cellStyle name="EYNotesHeading 2 2" xfId="12071"/>
    <cellStyle name="EYNotesHeading 2 2 2" xfId="12072"/>
    <cellStyle name="EYNotesHeading 2 2 2 2" xfId="32957"/>
    <cellStyle name="EYNotesHeading 2 2 3" xfId="12073"/>
    <cellStyle name="EYNotesHeading 2 2 3 2" xfId="32958"/>
    <cellStyle name="EYNotesHeading 2 2 4" xfId="32956"/>
    <cellStyle name="EYNotesHeading 2 3" xfId="12074"/>
    <cellStyle name="EYNotesHeading 2 3 2" xfId="12075"/>
    <cellStyle name="EYNotesHeading 2 3 2 2" xfId="32960"/>
    <cellStyle name="EYNotesHeading 2 3 3" xfId="12076"/>
    <cellStyle name="EYNotesHeading 2 3 3 2" xfId="32961"/>
    <cellStyle name="EYNotesHeading 2 3 4" xfId="32959"/>
    <cellStyle name="EYNotesHeading 2 4" xfId="12077"/>
    <cellStyle name="EYNotesHeading 2 4 2" xfId="12078"/>
    <cellStyle name="EYNotesHeading 2 4 2 2" xfId="32963"/>
    <cellStyle name="EYNotesHeading 2 4 3" xfId="12079"/>
    <cellStyle name="EYNotesHeading 2 4 3 2" xfId="32964"/>
    <cellStyle name="EYNotesHeading 2 4 4" xfId="32962"/>
    <cellStyle name="EYNotesHeading 2 5" xfId="12080"/>
    <cellStyle name="EYNotesHeading 2 5 2" xfId="12081"/>
    <cellStyle name="EYNotesHeading 2 5 2 2" xfId="32966"/>
    <cellStyle name="EYNotesHeading 2 5 3" xfId="12082"/>
    <cellStyle name="EYNotesHeading 2 5 3 2" xfId="32967"/>
    <cellStyle name="EYNotesHeading 2 5 4" xfId="32965"/>
    <cellStyle name="EYNotesHeading 2 6" xfId="12083"/>
    <cellStyle name="EYNotesHeading 2 6 2" xfId="12084"/>
    <cellStyle name="EYNotesHeading 2 6 2 2" xfId="32969"/>
    <cellStyle name="EYNotesHeading 2 6 3" xfId="12085"/>
    <cellStyle name="EYNotesHeading 2 6 3 2" xfId="32970"/>
    <cellStyle name="EYNotesHeading 2 6 4" xfId="32968"/>
    <cellStyle name="EYNotesHeading 2 7" xfId="12086"/>
    <cellStyle name="EYNotesHeading 2 7 2" xfId="32971"/>
    <cellStyle name="EYNotesHeading 2 8" xfId="12087"/>
    <cellStyle name="EYNotesHeading 2 8 2" xfId="32972"/>
    <cellStyle name="EYNotesHeading 2 9" xfId="27040"/>
    <cellStyle name="EYNotesHeading 3" xfId="4316"/>
    <cellStyle name="EYNotesHeading 3 2" xfId="12088"/>
    <cellStyle name="EYNotesHeading 3 2 2" xfId="12089"/>
    <cellStyle name="EYNotesHeading 3 2 2 2" xfId="32974"/>
    <cellStyle name="EYNotesHeading 3 2 3" xfId="12090"/>
    <cellStyle name="EYNotesHeading 3 2 3 2" xfId="32975"/>
    <cellStyle name="EYNotesHeading 3 2 4" xfId="32973"/>
    <cellStyle name="EYNotesHeading 3 3" xfId="12091"/>
    <cellStyle name="EYNotesHeading 3 3 2" xfId="12092"/>
    <cellStyle name="EYNotesHeading 3 3 2 2" xfId="32977"/>
    <cellStyle name="EYNotesHeading 3 3 3" xfId="12093"/>
    <cellStyle name="EYNotesHeading 3 3 3 2" xfId="32978"/>
    <cellStyle name="EYNotesHeading 3 3 4" xfId="32976"/>
    <cellStyle name="EYNotesHeading 3 4" xfId="12094"/>
    <cellStyle name="EYNotesHeading 3 4 2" xfId="12095"/>
    <cellStyle name="EYNotesHeading 3 4 2 2" xfId="32980"/>
    <cellStyle name="EYNotesHeading 3 4 3" xfId="12096"/>
    <cellStyle name="EYNotesHeading 3 4 3 2" xfId="32981"/>
    <cellStyle name="EYNotesHeading 3 4 4" xfId="32979"/>
    <cellStyle name="EYNotesHeading 3 5" xfId="12097"/>
    <cellStyle name="EYNotesHeading 3 5 2" xfId="12098"/>
    <cellStyle name="EYNotesHeading 3 5 2 2" xfId="32983"/>
    <cellStyle name="EYNotesHeading 3 5 3" xfId="12099"/>
    <cellStyle name="EYNotesHeading 3 5 3 2" xfId="32984"/>
    <cellStyle name="EYNotesHeading 3 5 4" xfId="32982"/>
    <cellStyle name="EYNotesHeading 3 6" xfId="12100"/>
    <cellStyle name="EYNotesHeading 3 6 2" xfId="12101"/>
    <cellStyle name="EYNotesHeading 3 6 2 2" xfId="32986"/>
    <cellStyle name="EYNotesHeading 3 6 3" xfId="12102"/>
    <cellStyle name="EYNotesHeading 3 6 3 2" xfId="32987"/>
    <cellStyle name="EYNotesHeading 3 6 4" xfId="32985"/>
    <cellStyle name="EYNotesHeading 3 7" xfId="12103"/>
    <cellStyle name="EYNotesHeading 3 7 2" xfId="32988"/>
    <cellStyle name="EYNotesHeading 3 8" xfId="12104"/>
    <cellStyle name="EYNotesHeading 3 8 2" xfId="32989"/>
    <cellStyle name="EYNotesHeading 3 9" xfId="27255"/>
    <cellStyle name="EYNotesHeading 4" xfId="5245"/>
    <cellStyle name="EYNotesHeading 4 2" xfId="12105"/>
    <cellStyle name="EYNotesHeading 4 2 2" xfId="12106"/>
    <cellStyle name="EYNotesHeading 4 2 2 2" xfId="32991"/>
    <cellStyle name="EYNotesHeading 4 2 3" xfId="12107"/>
    <cellStyle name="EYNotesHeading 4 2 3 2" xfId="32992"/>
    <cellStyle name="EYNotesHeading 4 2 4" xfId="32990"/>
    <cellStyle name="EYNotesHeading 4 3" xfId="12108"/>
    <cellStyle name="EYNotesHeading 4 3 2" xfId="12109"/>
    <cellStyle name="EYNotesHeading 4 3 2 2" xfId="32994"/>
    <cellStyle name="EYNotesHeading 4 3 3" xfId="12110"/>
    <cellStyle name="EYNotesHeading 4 3 3 2" xfId="32995"/>
    <cellStyle name="EYNotesHeading 4 3 4" xfId="32993"/>
    <cellStyle name="EYNotesHeading 4 4" xfId="12111"/>
    <cellStyle name="EYNotesHeading 4 4 2" xfId="12112"/>
    <cellStyle name="EYNotesHeading 4 4 2 2" xfId="32997"/>
    <cellStyle name="EYNotesHeading 4 4 3" xfId="12113"/>
    <cellStyle name="EYNotesHeading 4 4 3 2" xfId="32998"/>
    <cellStyle name="EYNotesHeading 4 4 4" xfId="32996"/>
    <cellStyle name="EYNotesHeading 4 5" xfId="12114"/>
    <cellStyle name="EYNotesHeading 4 5 2" xfId="12115"/>
    <cellStyle name="EYNotesHeading 4 5 2 2" xfId="33000"/>
    <cellStyle name="EYNotesHeading 4 5 3" xfId="12116"/>
    <cellStyle name="EYNotesHeading 4 5 3 2" xfId="33001"/>
    <cellStyle name="EYNotesHeading 4 5 4" xfId="32999"/>
    <cellStyle name="EYNotesHeading 4 6" xfId="12117"/>
    <cellStyle name="EYNotesHeading 4 6 2" xfId="12118"/>
    <cellStyle name="EYNotesHeading 4 6 2 2" xfId="33003"/>
    <cellStyle name="EYNotesHeading 4 6 3" xfId="12119"/>
    <cellStyle name="EYNotesHeading 4 6 3 2" xfId="33004"/>
    <cellStyle name="EYNotesHeading 4 6 4" xfId="33002"/>
    <cellStyle name="EYNotesHeading 4 7" xfId="12120"/>
    <cellStyle name="EYNotesHeading 4 7 2" xfId="33005"/>
    <cellStyle name="EYNotesHeading 4 8" xfId="12121"/>
    <cellStyle name="EYNotesHeading 4 8 2" xfId="33006"/>
    <cellStyle name="EYNotesHeading 4 9" xfId="17930"/>
    <cellStyle name="EYNotesHeading 5" xfId="12122"/>
    <cellStyle name="EYNotesHeading 5 2" xfId="12123"/>
    <cellStyle name="EYNotesHeading 5 2 2" xfId="33008"/>
    <cellStyle name="EYNotesHeading 5 3" xfId="12124"/>
    <cellStyle name="EYNotesHeading 5 3 2" xfId="33009"/>
    <cellStyle name="EYNotesHeading 5 4" xfId="33007"/>
    <cellStyle name="EYNotesHeading 6" xfId="12125"/>
    <cellStyle name="EYNotesHeading 6 2" xfId="12126"/>
    <cellStyle name="EYNotesHeading 6 2 2" xfId="33011"/>
    <cellStyle name="EYNotesHeading 6 3" xfId="12127"/>
    <cellStyle name="EYNotesHeading 6 3 2" xfId="33012"/>
    <cellStyle name="EYNotesHeading 6 4" xfId="33010"/>
    <cellStyle name="EYNotesHeading 7" xfId="12128"/>
    <cellStyle name="EYNotesHeading 7 2" xfId="12129"/>
    <cellStyle name="EYNotesHeading 7 2 2" xfId="33014"/>
    <cellStyle name="EYNotesHeading 7 3" xfId="12130"/>
    <cellStyle name="EYNotesHeading 7 3 2" xfId="33015"/>
    <cellStyle name="EYNotesHeading 7 4" xfId="33013"/>
    <cellStyle name="EYNotesHeading 8" xfId="12131"/>
    <cellStyle name="EYNotesHeading 8 2" xfId="33016"/>
    <cellStyle name="EYNotesHeading 9" xfId="12132"/>
    <cellStyle name="EYNotesHeading 9 2" xfId="33017"/>
    <cellStyle name="EYnumber" xfId="2385"/>
    <cellStyle name="EYnumber 10" xfId="12133"/>
    <cellStyle name="EYnumber 10 2" xfId="12134"/>
    <cellStyle name="EYnumber 10 2 2" xfId="27263"/>
    <cellStyle name="EYnumber 10 2 3" xfId="33019"/>
    <cellStyle name="EYnumber 10 3" xfId="12135"/>
    <cellStyle name="EYnumber 10 3 2" xfId="27264"/>
    <cellStyle name="EYnumber 10 3 3" xfId="33020"/>
    <cellStyle name="EYnumber 10 4" xfId="27262"/>
    <cellStyle name="EYnumber 10 5" xfId="33018"/>
    <cellStyle name="EYnumber 11" xfId="12136"/>
    <cellStyle name="EYnumber 11 2" xfId="27265"/>
    <cellStyle name="EYnumber 11 3" xfId="33021"/>
    <cellStyle name="EYnumber 12" xfId="12137"/>
    <cellStyle name="EYnumber 12 2" xfId="27266"/>
    <cellStyle name="EYnumber 12 3" xfId="33022"/>
    <cellStyle name="EYnumber 13" xfId="19845"/>
    <cellStyle name="EYnumber 14" xfId="20035"/>
    <cellStyle name="EYnumber 2" xfId="2386"/>
    <cellStyle name="EYnumber 2 2" xfId="19846"/>
    <cellStyle name="EYnumber 3" xfId="2387"/>
    <cellStyle name="EYnumber 3 2" xfId="19847"/>
    <cellStyle name="EYnumber 4" xfId="4284"/>
    <cellStyle name="EYnumber 4 10" xfId="27338"/>
    <cellStyle name="EYnumber 4 2" xfId="12138"/>
    <cellStyle name="EYnumber 4 2 2" xfId="12139"/>
    <cellStyle name="EYnumber 4 2 2 2" xfId="27268"/>
    <cellStyle name="EYnumber 4 2 2 3" xfId="33024"/>
    <cellStyle name="EYnumber 4 2 3" xfId="12140"/>
    <cellStyle name="EYnumber 4 2 3 2" xfId="27269"/>
    <cellStyle name="EYnumber 4 2 3 3" xfId="33025"/>
    <cellStyle name="EYnumber 4 2 4" xfId="27267"/>
    <cellStyle name="EYnumber 4 2 5" xfId="33023"/>
    <cellStyle name="EYnumber 4 3" xfId="12141"/>
    <cellStyle name="EYnumber 4 3 2" xfId="12142"/>
    <cellStyle name="EYnumber 4 3 2 2" xfId="27271"/>
    <cellStyle name="EYnumber 4 3 2 3" xfId="33027"/>
    <cellStyle name="EYnumber 4 3 3" xfId="12143"/>
    <cellStyle name="EYnumber 4 3 3 2" xfId="27272"/>
    <cellStyle name="EYnumber 4 3 3 3" xfId="33028"/>
    <cellStyle name="EYnumber 4 3 4" xfId="27270"/>
    <cellStyle name="EYnumber 4 3 5" xfId="33026"/>
    <cellStyle name="EYnumber 4 4" xfId="12144"/>
    <cellStyle name="EYnumber 4 4 2" xfId="12145"/>
    <cellStyle name="EYnumber 4 4 2 2" xfId="27274"/>
    <cellStyle name="EYnumber 4 4 2 3" xfId="33030"/>
    <cellStyle name="EYnumber 4 4 3" xfId="12146"/>
    <cellStyle name="EYnumber 4 4 3 2" xfId="27275"/>
    <cellStyle name="EYnumber 4 4 3 3" xfId="33031"/>
    <cellStyle name="EYnumber 4 4 4" xfId="27273"/>
    <cellStyle name="EYnumber 4 4 5" xfId="33029"/>
    <cellStyle name="EYnumber 4 5" xfId="12147"/>
    <cellStyle name="EYnumber 4 5 2" xfId="12148"/>
    <cellStyle name="EYnumber 4 5 2 2" xfId="27277"/>
    <cellStyle name="EYnumber 4 5 2 3" xfId="33033"/>
    <cellStyle name="EYnumber 4 5 3" xfId="12149"/>
    <cellStyle name="EYnumber 4 5 3 2" xfId="27278"/>
    <cellStyle name="EYnumber 4 5 3 3" xfId="33034"/>
    <cellStyle name="EYnumber 4 5 4" xfId="27276"/>
    <cellStyle name="EYnumber 4 5 5" xfId="33032"/>
    <cellStyle name="EYnumber 4 6" xfId="12150"/>
    <cellStyle name="EYnumber 4 6 2" xfId="12151"/>
    <cellStyle name="EYnumber 4 6 2 2" xfId="27280"/>
    <cellStyle name="EYnumber 4 6 2 3" xfId="33036"/>
    <cellStyle name="EYnumber 4 6 3" xfId="12152"/>
    <cellStyle name="EYnumber 4 6 3 2" xfId="27281"/>
    <cellStyle name="EYnumber 4 6 3 3" xfId="33037"/>
    <cellStyle name="EYnumber 4 6 4" xfId="27279"/>
    <cellStyle name="EYnumber 4 6 5" xfId="33035"/>
    <cellStyle name="EYnumber 4 7" xfId="12153"/>
    <cellStyle name="EYnumber 4 7 2" xfId="27282"/>
    <cellStyle name="EYnumber 4 7 3" xfId="33038"/>
    <cellStyle name="EYnumber 4 8" xfId="12154"/>
    <cellStyle name="EYnumber 4 8 2" xfId="27283"/>
    <cellStyle name="EYnumber 4 8 3" xfId="33039"/>
    <cellStyle name="EYnumber 4 9" xfId="20320"/>
    <cellStyle name="EYnumber 5" xfId="4317"/>
    <cellStyle name="EYnumber 5 10" xfId="27254"/>
    <cellStyle name="EYnumber 5 2" xfId="12155"/>
    <cellStyle name="EYnumber 5 2 2" xfId="12156"/>
    <cellStyle name="EYnumber 5 2 2 2" xfId="27285"/>
    <cellStyle name="EYnumber 5 2 2 3" xfId="33041"/>
    <cellStyle name="EYnumber 5 2 3" xfId="12157"/>
    <cellStyle name="EYnumber 5 2 3 2" xfId="27286"/>
    <cellStyle name="EYnumber 5 2 3 3" xfId="33042"/>
    <cellStyle name="EYnumber 5 2 4" xfId="27284"/>
    <cellStyle name="EYnumber 5 2 5" xfId="33040"/>
    <cellStyle name="EYnumber 5 3" xfId="12158"/>
    <cellStyle name="EYnumber 5 3 2" xfId="12159"/>
    <cellStyle name="EYnumber 5 3 2 2" xfId="27288"/>
    <cellStyle name="EYnumber 5 3 2 3" xfId="33044"/>
    <cellStyle name="EYnumber 5 3 3" xfId="12160"/>
    <cellStyle name="EYnumber 5 3 3 2" xfId="27289"/>
    <cellStyle name="EYnumber 5 3 3 3" xfId="33045"/>
    <cellStyle name="EYnumber 5 3 4" xfId="27287"/>
    <cellStyle name="EYnumber 5 3 5" xfId="33043"/>
    <cellStyle name="EYnumber 5 4" xfId="12161"/>
    <cellStyle name="EYnumber 5 4 2" xfId="12162"/>
    <cellStyle name="EYnumber 5 4 2 2" xfId="27291"/>
    <cellStyle name="EYnumber 5 4 2 3" xfId="33047"/>
    <cellStyle name="EYnumber 5 4 3" xfId="12163"/>
    <cellStyle name="EYnumber 5 4 3 2" xfId="27292"/>
    <cellStyle name="EYnumber 5 4 3 3" xfId="33048"/>
    <cellStyle name="EYnumber 5 4 4" xfId="27290"/>
    <cellStyle name="EYnumber 5 4 5" xfId="33046"/>
    <cellStyle name="EYnumber 5 5" xfId="12164"/>
    <cellStyle name="EYnumber 5 5 2" xfId="12165"/>
    <cellStyle name="EYnumber 5 5 2 2" xfId="27294"/>
    <cellStyle name="EYnumber 5 5 2 3" xfId="33050"/>
    <cellStyle name="EYnumber 5 5 3" xfId="12166"/>
    <cellStyle name="EYnumber 5 5 3 2" xfId="27295"/>
    <cellStyle name="EYnumber 5 5 3 3" xfId="33051"/>
    <cellStyle name="EYnumber 5 5 4" xfId="27293"/>
    <cellStyle name="EYnumber 5 5 5" xfId="33049"/>
    <cellStyle name="EYnumber 5 6" xfId="12167"/>
    <cellStyle name="EYnumber 5 6 2" xfId="12168"/>
    <cellStyle name="EYnumber 5 6 2 2" xfId="27297"/>
    <cellStyle name="EYnumber 5 6 2 3" xfId="33053"/>
    <cellStyle name="EYnumber 5 6 3" xfId="12169"/>
    <cellStyle name="EYnumber 5 6 3 2" xfId="27298"/>
    <cellStyle name="EYnumber 5 6 3 3" xfId="33054"/>
    <cellStyle name="EYnumber 5 6 4" xfId="27296"/>
    <cellStyle name="EYnumber 5 6 5" xfId="33052"/>
    <cellStyle name="EYnumber 5 7" xfId="12170"/>
    <cellStyle name="EYnumber 5 7 2" xfId="27299"/>
    <cellStyle name="EYnumber 5 7 3" xfId="33055"/>
    <cellStyle name="EYnumber 5 8" xfId="12171"/>
    <cellStyle name="EYnumber 5 8 2" xfId="27300"/>
    <cellStyle name="EYnumber 5 8 3" xfId="33056"/>
    <cellStyle name="EYnumber 5 9" xfId="20346"/>
    <cellStyle name="EYnumber 6" xfId="5246"/>
    <cellStyle name="EYnumber 6 10" xfId="19809"/>
    <cellStyle name="EYnumber 6 2" xfId="12172"/>
    <cellStyle name="EYnumber 6 2 2" xfId="12173"/>
    <cellStyle name="EYnumber 6 2 2 2" xfId="27302"/>
    <cellStyle name="EYnumber 6 2 2 3" xfId="33058"/>
    <cellStyle name="EYnumber 6 2 3" xfId="12174"/>
    <cellStyle name="EYnumber 6 2 3 2" xfId="27303"/>
    <cellStyle name="EYnumber 6 2 3 3" xfId="33059"/>
    <cellStyle name="EYnumber 6 2 4" xfId="27301"/>
    <cellStyle name="EYnumber 6 2 5" xfId="33057"/>
    <cellStyle name="EYnumber 6 3" xfId="12175"/>
    <cellStyle name="EYnumber 6 3 2" xfId="12176"/>
    <cellStyle name="EYnumber 6 3 2 2" xfId="27305"/>
    <cellStyle name="EYnumber 6 3 2 3" xfId="33061"/>
    <cellStyle name="EYnumber 6 3 3" xfId="12177"/>
    <cellStyle name="EYnumber 6 3 3 2" xfId="27306"/>
    <cellStyle name="EYnumber 6 3 3 3" xfId="33062"/>
    <cellStyle name="EYnumber 6 3 4" xfId="27304"/>
    <cellStyle name="EYnumber 6 3 5" xfId="33060"/>
    <cellStyle name="EYnumber 6 4" xfId="12178"/>
    <cellStyle name="EYnumber 6 4 2" xfId="12179"/>
    <cellStyle name="EYnumber 6 4 2 2" xfId="27308"/>
    <cellStyle name="EYnumber 6 4 2 3" xfId="33064"/>
    <cellStyle name="EYnumber 6 4 3" xfId="12180"/>
    <cellStyle name="EYnumber 6 4 3 2" xfId="27309"/>
    <cellStyle name="EYnumber 6 4 3 3" xfId="33065"/>
    <cellStyle name="EYnumber 6 4 4" xfId="27307"/>
    <cellStyle name="EYnumber 6 4 5" xfId="33063"/>
    <cellStyle name="EYnumber 6 5" xfId="12181"/>
    <cellStyle name="EYnumber 6 5 2" xfId="12182"/>
    <cellStyle name="EYnumber 6 5 2 2" xfId="27311"/>
    <cellStyle name="EYnumber 6 5 2 3" xfId="33067"/>
    <cellStyle name="EYnumber 6 5 3" xfId="12183"/>
    <cellStyle name="EYnumber 6 5 3 2" xfId="27312"/>
    <cellStyle name="EYnumber 6 5 3 3" xfId="33068"/>
    <cellStyle name="EYnumber 6 5 4" xfId="27310"/>
    <cellStyle name="EYnumber 6 5 5" xfId="33066"/>
    <cellStyle name="EYnumber 6 6" xfId="12184"/>
    <cellStyle name="EYnumber 6 6 2" xfId="12185"/>
    <cellStyle name="EYnumber 6 6 2 2" xfId="27314"/>
    <cellStyle name="EYnumber 6 6 2 3" xfId="33070"/>
    <cellStyle name="EYnumber 6 6 3" xfId="12186"/>
    <cellStyle name="EYnumber 6 6 3 2" xfId="27315"/>
    <cellStyle name="EYnumber 6 6 3 3" xfId="33071"/>
    <cellStyle name="EYnumber 6 6 4" xfId="27313"/>
    <cellStyle name="EYnumber 6 6 5" xfId="33069"/>
    <cellStyle name="EYnumber 6 7" xfId="12187"/>
    <cellStyle name="EYnumber 6 7 2" xfId="27316"/>
    <cellStyle name="EYnumber 6 7 3" xfId="33072"/>
    <cellStyle name="EYnumber 6 8" xfId="12188"/>
    <cellStyle name="EYnumber 6 8 2" xfId="27317"/>
    <cellStyle name="EYnumber 6 8 3" xfId="33073"/>
    <cellStyle name="EYnumber 6 9" xfId="21137"/>
    <cellStyle name="EYnumber 7" xfId="12189"/>
    <cellStyle name="EYnumber 7 2" xfId="12190"/>
    <cellStyle name="EYnumber 7 2 2" xfId="27319"/>
    <cellStyle name="EYnumber 7 2 3" xfId="33075"/>
    <cellStyle name="EYnumber 7 3" xfId="12191"/>
    <cellStyle name="EYnumber 7 3 2" xfId="27320"/>
    <cellStyle name="EYnumber 7 3 3" xfId="33076"/>
    <cellStyle name="EYnumber 7 4" xfId="27318"/>
    <cellStyle name="EYnumber 7 5" xfId="33074"/>
    <cellStyle name="EYnumber 8" xfId="12192"/>
    <cellStyle name="EYnumber 8 2" xfId="12193"/>
    <cellStyle name="EYnumber 8 2 2" xfId="27322"/>
    <cellStyle name="EYnumber 8 2 3" xfId="33078"/>
    <cellStyle name="EYnumber 8 3" xfId="12194"/>
    <cellStyle name="EYnumber 8 3 2" xfId="27323"/>
    <cellStyle name="EYnumber 8 3 3" xfId="33079"/>
    <cellStyle name="EYnumber 8 4" xfId="27321"/>
    <cellStyle name="EYnumber 8 5" xfId="33077"/>
    <cellStyle name="EYnumber 9" xfId="12195"/>
    <cellStyle name="EYnumber 9 2" xfId="12196"/>
    <cellStyle name="EYnumber 9 2 2" xfId="27325"/>
    <cellStyle name="EYnumber 9 2 3" xfId="33081"/>
    <cellStyle name="EYnumber 9 3" xfId="12197"/>
    <cellStyle name="EYnumber 9 3 2" xfId="27326"/>
    <cellStyle name="EYnumber 9 3 3" xfId="33082"/>
    <cellStyle name="EYnumber 9 4" xfId="27324"/>
    <cellStyle name="EYnumber 9 5" xfId="33080"/>
    <cellStyle name="EYPercent" xfId="2388"/>
    <cellStyle name="EYPercent 2" xfId="2389"/>
    <cellStyle name="EYPercentCapped" xfId="2390"/>
    <cellStyle name="EYPercentCapped 2" xfId="2391"/>
    <cellStyle name="EYRelianceRestricted" xfId="2392"/>
    <cellStyle name="EYSectionHeading" xfId="2393"/>
    <cellStyle name="EYSheetHeader1" xfId="2394"/>
    <cellStyle name="EYSheetHeading" xfId="2395"/>
    <cellStyle name="EYsmallheading" xfId="2396"/>
    <cellStyle name="EYSource" xfId="2397"/>
    <cellStyle name="EYSubTotal" xfId="2398"/>
    <cellStyle name="EYSubTotal 2" xfId="2399"/>
    <cellStyle name="EYSubTotal 2 2" xfId="4280"/>
    <cellStyle name="EYSubTotal 2 2 2" xfId="12198"/>
    <cellStyle name="EYSubTotal 2 2 2 2" xfId="12199"/>
    <cellStyle name="EYSubTotal 2 2 2 2 2" xfId="33084"/>
    <cellStyle name="EYSubTotal 2 2 2 3" xfId="12200"/>
    <cellStyle name="EYSubTotal 2 2 2 3 2" xfId="33085"/>
    <cellStyle name="EYSubTotal 2 2 2 4" xfId="33083"/>
    <cellStyle name="EYSubTotal 2 2 3" xfId="12201"/>
    <cellStyle name="EYSubTotal 2 2 3 2" xfId="12202"/>
    <cellStyle name="EYSubTotal 2 2 3 2 2" xfId="33087"/>
    <cellStyle name="EYSubTotal 2 2 3 3" xfId="12203"/>
    <cellStyle name="EYSubTotal 2 2 3 3 2" xfId="33088"/>
    <cellStyle name="EYSubTotal 2 2 3 4" xfId="33086"/>
    <cellStyle name="EYSubTotal 2 2 4" xfId="12204"/>
    <cellStyle name="EYSubTotal 2 2 4 2" xfId="12205"/>
    <cellStyle name="EYSubTotal 2 2 4 2 2" xfId="33090"/>
    <cellStyle name="EYSubTotal 2 2 4 3" xfId="12206"/>
    <cellStyle name="EYSubTotal 2 2 4 3 2" xfId="33091"/>
    <cellStyle name="EYSubTotal 2 2 4 4" xfId="33089"/>
    <cellStyle name="EYSubTotal 2 2 5" xfId="12207"/>
    <cellStyle name="EYSubTotal 2 2 5 2" xfId="12208"/>
    <cellStyle name="EYSubTotal 2 2 5 2 2" xfId="33093"/>
    <cellStyle name="EYSubTotal 2 2 5 3" xfId="12209"/>
    <cellStyle name="EYSubTotal 2 2 5 3 2" xfId="33094"/>
    <cellStyle name="EYSubTotal 2 2 5 4" xfId="33092"/>
    <cellStyle name="EYSubTotal 2 2 6" xfId="12210"/>
    <cellStyle name="EYSubTotal 2 2 6 2" xfId="33095"/>
    <cellStyle name="EYSubTotal 2 2 7" xfId="12211"/>
    <cellStyle name="EYSubTotal 2 2 7 2" xfId="33096"/>
    <cellStyle name="EYSubTotal 2 2 8" xfId="27340"/>
    <cellStyle name="EYSubTotal 2 3" xfId="4319"/>
    <cellStyle name="EYSubTotal 2 3 2" xfId="12212"/>
    <cellStyle name="EYSubTotal 2 3 2 2" xfId="12213"/>
    <cellStyle name="EYSubTotal 2 3 2 2 2" xfId="33098"/>
    <cellStyle name="EYSubTotal 2 3 2 3" xfId="12214"/>
    <cellStyle name="EYSubTotal 2 3 2 3 2" xfId="33099"/>
    <cellStyle name="EYSubTotal 2 3 2 4" xfId="33097"/>
    <cellStyle name="EYSubTotal 2 3 3" xfId="12215"/>
    <cellStyle name="EYSubTotal 2 3 3 2" xfId="12216"/>
    <cellStyle name="EYSubTotal 2 3 3 2 2" xfId="33101"/>
    <cellStyle name="EYSubTotal 2 3 3 3" xfId="12217"/>
    <cellStyle name="EYSubTotal 2 3 3 3 2" xfId="33102"/>
    <cellStyle name="EYSubTotal 2 3 3 4" xfId="33100"/>
    <cellStyle name="EYSubTotal 2 3 4" xfId="12218"/>
    <cellStyle name="EYSubTotal 2 3 4 2" xfId="12219"/>
    <cellStyle name="EYSubTotal 2 3 4 2 2" xfId="33104"/>
    <cellStyle name="EYSubTotal 2 3 4 3" xfId="12220"/>
    <cellStyle name="EYSubTotal 2 3 4 3 2" xfId="33105"/>
    <cellStyle name="EYSubTotal 2 3 4 4" xfId="33103"/>
    <cellStyle name="EYSubTotal 2 3 5" xfId="12221"/>
    <cellStyle name="EYSubTotal 2 3 5 2" xfId="12222"/>
    <cellStyle name="EYSubTotal 2 3 5 2 2" xfId="33107"/>
    <cellStyle name="EYSubTotal 2 3 5 3" xfId="12223"/>
    <cellStyle name="EYSubTotal 2 3 5 3 2" xfId="33108"/>
    <cellStyle name="EYSubTotal 2 3 5 4" xfId="33106"/>
    <cellStyle name="EYSubTotal 2 3 6" xfId="12224"/>
    <cellStyle name="EYSubTotal 2 3 6 2" xfId="33109"/>
    <cellStyle name="EYSubTotal 2 3 7" xfId="12225"/>
    <cellStyle name="EYSubTotal 2 3 7 2" xfId="33110"/>
    <cellStyle name="EYSubTotal 2 3 8" xfId="27252"/>
    <cellStyle name="EYSubTotal 2 4" xfId="5247"/>
    <cellStyle name="EYSubTotal 2 4 2" xfId="12226"/>
    <cellStyle name="EYSubTotal 2 4 2 2" xfId="12227"/>
    <cellStyle name="EYSubTotal 2 4 2 2 2" xfId="33112"/>
    <cellStyle name="EYSubTotal 2 4 2 3" xfId="12228"/>
    <cellStyle name="EYSubTotal 2 4 2 3 2" xfId="33113"/>
    <cellStyle name="EYSubTotal 2 4 2 4" xfId="33111"/>
    <cellStyle name="EYSubTotal 2 4 3" xfId="12229"/>
    <cellStyle name="EYSubTotal 2 4 3 2" xfId="12230"/>
    <cellStyle name="EYSubTotal 2 4 3 2 2" xfId="33115"/>
    <cellStyle name="EYSubTotal 2 4 3 3" xfId="12231"/>
    <cellStyle name="EYSubTotal 2 4 3 3 2" xfId="33116"/>
    <cellStyle name="EYSubTotal 2 4 3 4" xfId="33114"/>
    <cellStyle name="EYSubTotal 2 4 4" xfId="12232"/>
    <cellStyle name="EYSubTotal 2 4 4 2" xfId="12233"/>
    <cellStyle name="EYSubTotal 2 4 4 2 2" xfId="33118"/>
    <cellStyle name="EYSubTotal 2 4 4 3" xfId="12234"/>
    <cellStyle name="EYSubTotal 2 4 4 3 2" xfId="33119"/>
    <cellStyle name="EYSubTotal 2 4 4 4" xfId="33117"/>
    <cellStyle name="EYSubTotal 2 4 5" xfId="12235"/>
    <cellStyle name="EYSubTotal 2 4 5 2" xfId="12236"/>
    <cellStyle name="EYSubTotal 2 4 5 2 2" xfId="33121"/>
    <cellStyle name="EYSubTotal 2 4 5 3" xfId="12237"/>
    <cellStyle name="EYSubTotal 2 4 5 3 2" xfId="33122"/>
    <cellStyle name="EYSubTotal 2 4 5 4" xfId="33120"/>
    <cellStyle name="EYSubTotal 2 4 6" xfId="12238"/>
    <cellStyle name="EYSubTotal 2 4 6 2" xfId="33123"/>
    <cellStyle name="EYSubTotal 2 4 7" xfId="12239"/>
    <cellStyle name="EYSubTotal 2 4 7 2" xfId="33124"/>
    <cellStyle name="EYSubTotal 2 4 8" xfId="19808"/>
    <cellStyle name="EYSubTotal 2 5" xfId="12240"/>
    <cellStyle name="EYSubTotal 2 5 2" xfId="12241"/>
    <cellStyle name="EYSubTotal 2 5 2 2" xfId="33126"/>
    <cellStyle name="EYSubTotal 2 5 3" xfId="12242"/>
    <cellStyle name="EYSubTotal 2 5 3 2" xfId="33127"/>
    <cellStyle name="EYSubTotal 2 5 4" xfId="33125"/>
    <cellStyle name="EYSubTotal 2 6" xfId="12243"/>
    <cellStyle name="EYSubTotal 2 6 2" xfId="33128"/>
    <cellStyle name="EYSubTotal 2 7" xfId="12244"/>
    <cellStyle name="EYSubTotal 2 7 2" xfId="33129"/>
    <cellStyle name="EYSubTotal 2 8" xfId="20033"/>
    <cellStyle name="EYSubTotal 3" xfId="4281"/>
    <cellStyle name="EYSubTotal 3 2" xfId="12245"/>
    <cellStyle name="EYSubTotal 3 2 2" xfId="12246"/>
    <cellStyle name="EYSubTotal 3 2 2 2" xfId="33131"/>
    <cellStyle name="EYSubTotal 3 2 3" xfId="12247"/>
    <cellStyle name="EYSubTotal 3 2 3 2" xfId="33132"/>
    <cellStyle name="EYSubTotal 3 2 4" xfId="33130"/>
    <cellStyle name="EYSubTotal 3 3" xfId="12248"/>
    <cellStyle name="EYSubTotal 3 3 2" xfId="12249"/>
    <cellStyle name="EYSubTotal 3 3 2 2" xfId="33134"/>
    <cellStyle name="EYSubTotal 3 3 3" xfId="12250"/>
    <cellStyle name="EYSubTotal 3 3 3 2" xfId="33135"/>
    <cellStyle name="EYSubTotal 3 3 4" xfId="33133"/>
    <cellStyle name="EYSubTotal 3 4" xfId="12251"/>
    <cellStyle name="EYSubTotal 3 4 2" xfId="12252"/>
    <cellStyle name="EYSubTotal 3 4 2 2" xfId="33137"/>
    <cellStyle name="EYSubTotal 3 4 3" xfId="12253"/>
    <cellStyle name="EYSubTotal 3 4 3 2" xfId="33138"/>
    <cellStyle name="EYSubTotal 3 4 4" xfId="33136"/>
    <cellStyle name="EYSubTotal 3 5" xfId="12254"/>
    <cellStyle name="EYSubTotal 3 5 2" xfId="12255"/>
    <cellStyle name="EYSubTotal 3 5 2 2" xfId="33140"/>
    <cellStyle name="EYSubTotal 3 5 3" xfId="12256"/>
    <cellStyle name="EYSubTotal 3 5 3 2" xfId="33141"/>
    <cellStyle name="EYSubTotal 3 5 4" xfId="33139"/>
    <cellStyle name="EYSubTotal 3 6" xfId="12257"/>
    <cellStyle name="EYSubTotal 3 6 2" xfId="33142"/>
    <cellStyle name="EYSubTotal 3 7" xfId="12258"/>
    <cellStyle name="EYSubTotal 3 7 2" xfId="33143"/>
    <cellStyle name="EYSubTotal 3 8" xfId="27339"/>
    <cellStyle name="EYSubTotal 4" xfId="4318"/>
    <cellStyle name="EYSubTotal 4 2" xfId="12259"/>
    <cellStyle name="EYSubTotal 4 2 2" xfId="12260"/>
    <cellStyle name="EYSubTotal 4 2 2 2" xfId="33145"/>
    <cellStyle name="EYSubTotal 4 2 3" xfId="12261"/>
    <cellStyle name="EYSubTotal 4 2 3 2" xfId="33146"/>
    <cellStyle name="EYSubTotal 4 2 4" xfId="33144"/>
    <cellStyle name="EYSubTotal 4 3" xfId="12262"/>
    <cellStyle name="EYSubTotal 4 3 2" xfId="12263"/>
    <cellStyle name="EYSubTotal 4 3 2 2" xfId="33148"/>
    <cellStyle name="EYSubTotal 4 3 3" xfId="12264"/>
    <cellStyle name="EYSubTotal 4 3 3 2" xfId="33149"/>
    <cellStyle name="EYSubTotal 4 3 4" xfId="33147"/>
    <cellStyle name="EYSubTotal 4 4" xfId="12265"/>
    <cellStyle name="EYSubTotal 4 4 2" xfId="12266"/>
    <cellStyle name="EYSubTotal 4 4 2 2" xfId="33151"/>
    <cellStyle name="EYSubTotal 4 4 3" xfId="12267"/>
    <cellStyle name="EYSubTotal 4 4 3 2" xfId="33152"/>
    <cellStyle name="EYSubTotal 4 4 4" xfId="33150"/>
    <cellStyle name="EYSubTotal 4 5" xfId="12268"/>
    <cellStyle name="EYSubTotal 4 5 2" xfId="12269"/>
    <cellStyle name="EYSubTotal 4 5 2 2" xfId="33154"/>
    <cellStyle name="EYSubTotal 4 5 3" xfId="12270"/>
    <cellStyle name="EYSubTotal 4 5 3 2" xfId="33155"/>
    <cellStyle name="EYSubTotal 4 5 4" xfId="33153"/>
    <cellStyle name="EYSubTotal 4 6" xfId="12271"/>
    <cellStyle name="EYSubTotal 4 6 2" xfId="33156"/>
    <cellStyle name="EYSubTotal 4 7" xfId="12272"/>
    <cellStyle name="EYSubTotal 4 7 2" xfId="33157"/>
    <cellStyle name="EYSubTotal 4 8" xfId="27253"/>
    <cellStyle name="EYSubTotal 5" xfId="5248"/>
    <cellStyle name="EYSubTotal 5 2" xfId="12273"/>
    <cellStyle name="EYSubTotal 5 2 2" xfId="12274"/>
    <cellStyle name="EYSubTotal 5 2 2 2" xfId="33159"/>
    <cellStyle name="EYSubTotal 5 2 3" xfId="12275"/>
    <cellStyle name="EYSubTotal 5 2 3 2" xfId="33160"/>
    <cellStyle name="EYSubTotal 5 2 4" xfId="33158"/>
    <cellStyle name="EYSubTotal 5 3" xfId="12276"/>
    <cellStyle name="EYSubTotal 5 3 2" xfId="12277"/>
    <cellStyle name="EYSubTotal 5 3 2 2" xfId="33162"/>
    <cellStyle name="EYSubTotal 5 3 3" xfId="12278"/>
    <cellStyle name="EYSubTotal 5 3 3 2" xfId="33163"/>
    <cellStyle name="EYSubTotal 5 3 4" xfId="33161"/>
    <cellStyle name="EYSubTotal 5 4" xfId="12279"/>
    <cellStyle name="EYSubTotal 5 4 2" xfId="12280"/>
    <cellStyle name="EYSubTotal 5 4 2 2" xfId="33165"/>
    <cellStyle name="EYSubTotal 5 4 3" xfId="12281"/>
    <cellStyle name="EYSubTotal 5 4 3 2" xfId="33166"/>
    <cellStyle name="EYSubTotal 5 4 4" xfId="33164"/>
    <cellStyle name="EYSubTotal 5 5" xfId="12282"/>
    <cellStyle name="EYSubTotal 5 5 2" xfId="12283"/>
    <cellStyle name="EYSubTotal 5 5 2 2" xfId="33168"/>
    <cellStyle name="EYSubTotal 5 5 3" xfId="12284"/>
    <cellStyle name="EYSubTotal 5 5 3 2" xfId="33169"/>
    <cellStyle name="EYSubTotal 5 5 4" xfId="33167"/>
    <cellStyle name="EYSubTotal 5 6" xfId="12285"/>
    <cellStyle name="EYSubTotal 5 6 2" xfId="33170"/>
    <cellStyle name="EYSubTotal 5 7" xfId="12286"/>
    <cellStyle name="EYSubTotal 5 7 2" xfId="33171"/>
    <cellStyle name="EYSubTotal 5 8" xfId="19807"/>
    <cellStyle name="EYSubTotal 6" xfId="12287"/>
    <cellStyle name="EYSubTotal 6 2" xfId="12288"/>
    <cellStyle name="EYSubTotal 6 2 2" xfId="33173"/>
    <cellStyle name="EYSubTotal 6 3" xfId="12289"/>
    <cellStyle name="EYSubTotal 6 3 2" xfId="33174"/>
    <cellStyle name="EYSubTotal 6 4" xfId="33172"/>
    <cellStyle name="EYSubTotal 7" xfId="12290"/>
    <cellStyle name="EYSubTotal 7 2" xfId="33175"/>
    <cellStyle name="EYSubTotal 8" xfId="12291"/>
    <cellStyle name="EYSubTotal 8 2" xfId="33176"/>
    <cellStyle name="EYSubTotal 9" xfId="20034"/>
    <cellStyle name="EYtext" xfId="2400"/>
    <cellStyle name="EYtext 2" xfId="2401"/>
    <cellStyle name="EYtext 3" xfId="2402"/>
    <cellStyle name="EYtextbold" xfId="2403"/>
    <cellStyle name="EYtextbolditalic" xfId="2404"/>
    <cellStyle name="EYtextitalic" xfId="2405"/>
    <cellStyle name="EYTotal" xfId="2406"/>
    <cellStyle name="EYTotal 2" xfId="2407"/>
    <cellStyle name="EYTotal 2 2" xfId="4276"/>
    <cellStyle name="EYTotal 2 2 2" xfId="12292"/>
    <cellStyle name="EYTotal 2 2 2 2" xfId="12293"/>
    <cellStyle name="EYTotal 2 2 2 2 2" xfId="33178"/>
    <cellStyle name="EYTotal 2 2 2 3" xfId="12294"/>
    <cellStyle name="EYTotal 2 2 2 3 2" xfId="33179"/>
    <cellStyle name="EYTotal 2 2 2 4" xfId="33177"/>
    <cellStyle name="EYTotal 2 2 3" xfId="12295"/>
    <cellStyle name="EYTotal 2 2 3 2" xfId="12296"/>
    <cellStyle name="EYTotal 2 2 3 2 2" xfId="33181"/>
    <cellStyle name="EYTotal 2 2 3 3" xfId="12297"/>
    <cellStyle name="EYTotal 2 2 3 3 2" xfId="33182"/>
    <cellStyle name="EYTotal 2 2 3 4" xfId="33180"/>
    <cellStyle name="EYTotal 2 2 4" xfId="12298"/>
    <cellStyle name="EYTotal 2 2 4 2" xfId="12299"/>
    <cellStyle name="EYTotal 2 2 4 2 2" xfId="33184"/>
    <cellStyle name="EYTotal 2 2 4 3" xfId="12300"/>
    <cellStyle name="EYTotal 2 2 4 3 2" xfId="33185"/>
    <cellStyle name="EYTotal 2 2 4 4" xfId="33183"/>
    <cellStyle name="EYTotal 2 2 5" xfId="12301"/>
    <cellStyle name="EYTotal 2 2 5 2" xfId="12302"/>
    <cellStyle name="EYTotal 2 2 5 2 2" xfId="33187"/>
    <cellStyle name="EYTotal 2 2 5 3" xfId="12303"/>
    <cellStyle name="EYTotal 2 2 5 3 2" xfId="33188"/>
    <cellStyle name="EYTotal 2 2 5 4" xfId="33186"/>
    <cellStyle name="EYTotal 2 2 6" xfId="12304"/>
    <cellStyle name="EYTotal 2 2 6 2" xfId="33189"/>
    <cellStyle name="EYTotal 2 2 7" xfId="12305"/>
    <cellStyle name="EYTotal 2 2 7 2" xfId="33190"/>
    <cellStyle name="EYTotal 2 2 8" xfId="27342"/>
    <cellStyle name="EYTotal 2 3" xfId="4321"/>
    <cellStyle name="EYTotal 2 3 2" xfId="12306"/>
    <cellStyle name="EYTotal 2 3 2 2" xfId="12307"/>
    <cellStyle name="EYTotal 2 3 2 2 2" xfId="33192"/>
    <cellStyle name="EYTotal 2 3 2 3" xfId="12308"/>
    <cellStyle name="EYTotal 2 3 2 3 2" xfId="33193"/>
    <cellStyle name="EYTotal 2 3 2 4" xfId="33191"/>
    <cellStyle name="EYTotal 2 3 3" xfId="12309"/>
    <cellStyle name="EYTotal 2 3 3 2" xfId="12310"/>
    <cellStyle name="EYTotal 2 3 3 2 2" xfId="33195"/>
    <cellStyle name="EYTotal 2 3 3 3" xfId="12311"/>
    <cellStyle name="EYTotal 2 3 3 3 2" xfId="33196"/>
    <cellStyle name="EYTotal 2 3 3 4" xfId="33194"/>
    <cellStyle name="EYTotal 2 3 4" xfId="12312"/>
    <cellStyle name="EYTotal 2 3 4 2" xfId="12313"/>
    <cellStyle name="EYTotal 2 3 4 2 2" xfId="33198"/>
    <cellStyle name="EYTotal 2 3 4 3" xfId="12314"/>
    <cellStyle name="EYTotal 2 3 4 3 2" xfId="33199"/>
    <cellStyle name="EYTotal 2 3 4 4" xfId="33197"/>
    <cellStyle name="EYTotal 2 3 5" xfId="12315"/>
    <cellStyle name="EYTotal 2 3 5 2" xfId="12316"/>
    <cellStyle name="EYTotal 2 3 5 2 2" xfId="33201"/>
    <cellStyle name="EYTotal 2 3 5 3" xfId="12317"/>
    <cellStyle name="EYTotal 2 3 5 3 2" xfId="33202"/>
    <cellStyle name="EYTotal 2 3 5 4" xfId="33200"/>
    <cellStyle name="EYTotal 2 3 6" xfId="12318"/>
    <cellStyle name="EYTotal 2 3 6 2" xfId="33203"/>
    <cellStyle name="EYTotal 2 3 7" xfId="12319"/>
    <cellStyle name="EYTotal 2 3 7 2" xfId="33204"/>
    <cellStyle name="EYTotal 2 3 8" xfId="27250"/>
    <cellStyle name="EYTotal 2 4" xfId="5249"/>
    <cellStyle name="EYTotal 2 4 2" xfId="12320"/>
    <cellStyle name="EYTotal 2 4 2 2" xfId="12321"/>
    <cellStyle name="EYTotal 2 4 2 2 2" xfId="33206"/>
    <cellStyle name="EYTotal 2 4 2 3" xfId="12322"/>
    <cellStyle name="EYTotal 2 4 2 3 2" xfId="33207"/>
    <cellStyle name="EYTotal 2 4 2 4" xfId="33205"/>
    <cellStyle name="EYTotal 2 4 3" xfId="12323"/>
    <cellStyle name="EYTotal 2 4 3 2" xfId="12324"/>
    <cellStyle name="EYTotal 2 4 3 2 2" xfId="33209"/>
    <cellStyle name="EYTotal 2 4 3 3" xfId="12325"/>
    <cellStyle name="EYTotal 2 4 3 3 2" xfId="33210"/>
    <cellStyle name="EYTotal 2 4 3 4" xfId="33208"/>
    <cellStyle name="EYTotal 2 4 4" xfId="12326"/>
    <cellStyle name="EYTotal 2 4 4 2" xfId="12327"/>
    <cellStyle name="EYTotal 2 4 4 2 2" xfId="33212"/>
    <cellStyle name="EYTotal 2 4 4 3" xfId="12328"/>
    <cellStyle name="EYTotal 2 4 4 3 2" xfId="33213"/>
    <cellStyle name="EYTotal 2 4 4 4" xfId="33211"/>
    <cellStyle name="EYTotal 2 4 5" xfId="12329"/>
    <cellStyle name="EYTotal 2 4 5 2" xfId="12330"/>
    <cellStyle name="EYTotal 2 4 5 2 2" xfId="33215"/>
    <cellStyle name="EYTotal 2 4 5 3" xfId="12331"/>
    <cellStyle name="EYTotal 2 4 5 3 2" xfId="33216"/>
    <cellStyle name="EYTotal 2 4 5 4" xfId="33214"/>
    <cellStyle name="EYTotal 2 4 6" xfId="12332"/>
    <cellStyle name="EYTotal 2 4 6 2" xfId="33217"/>
    <cellStyle name="EYTotal 2 4 7" xfId="12333"/>
    <cellStyle name="EYTotal 2 4 7 2" xfId="33218"/>
    <cellStyle name="EYTotal 2 4 8" xfId="19806"/>
    <cellStyle name="EYTotal 2 5" xfId="12334"/>
    <cellStyle name="EYTotal 2 5 2" xfId="12335"/>
    <cellStyle name="EYTotal 2 5 2 2" xfId="33220"/>
    <cellStyle name="EYTotal 2 5 3" xfId="12336"/>
    <cellStyle name="EYTotal 2 5 3 2" xfId="33221"/>
    <cellStyle name="EYTotal 2 5 4" xfId="33219"/>
    <cellStyle name="EYTotal 2 6" xfId="12337"/>
    <cellStyle name="EYTotal 2 6 2" xfId="33222"/>
    <cellStyle name="EYTotal 2 7" xfId="12338"/>
    <cellStyle name="EYTotal 2 7 2" xfId="33223"/>
    <cellStyle name="EYTotal 2 8" xfId="20031"/>
    <cellStyle name="EYTotal 3" xfId="4277"/>
    <cellStyle name="EYTotal 3 2" xfId="12339"/>
    <cellStyle name="EYTotal 3 2 2" xfId="12340"/>
    <cellStyle name="EYTotal 3 2 2 2" xfId="33225"/>
    <cellStyle name="EYTotal 3 2 3" xfId="12341"/>
    <cellStyle name="EYTotal 3 2 3 2" xfId="33226"/>
    <cellStyle name="EYTotal 3 2 4" xfId="33224"/>
    <cellStyle name="EYTotal 3 3" xfId="12342"/>
    <cellStyle name="EYTotal 3 3 2" xfId="12343"/>
    <cellStyle name="EYTotal 3 3 2 2" xfId="33228"/>
    <cellStyle name="EYTotal 3 3 3" xfId="12344"/>
    <cellStyle name="EYTotal 3 3 3 2" xfId="33229"/>
    <cellStyle name="EYTotal 3 3 4" xfId="33227"/>
    <cellStyle name="EYTotal 3 4" xfId="12345"/>
    <cellStyle name="EYTotal 3 4 2" xfId="12346"/>
    <cellStyle name="EYTotal 3 4 2 2" xfId="33231"/>
    <cellStyle name="EYTotal 3 4 3" xfId="12347"/>
    <cellStyle name="EYTotal 3 4 3 2" xfId="33232"/>
    <cellStyle name="EYTotal 3 4 4" xfId="33230"/>
    <cellStyle name="EYTotal 3 5" xfId="12348"/>
    <cellStyle name="EYTotal 3 5 2" xfId="12349"/>
    <cellStyle name="EYTotal 3 5 2 2" xfId="33234"/>
    <cellStyle name="EYTotal 3 5 3" xfId="12350"/>
    <cellStyle name="EYTotal 3 5 3 2" xfId="33235"/>
    <cellStyle name="EYTotal 3 5 4" xfId="33233"/>
    <cellStyle name="EYTotal 3 6" xfId="12351"/>
    <cellStyle name="EYTotal 3 6 2" xfId="33236"/>
    <cellStyle name="EYTotal 3 7" xfId="12352"/>
    <cellStyle name="EYTotal 3 7 2" xfId="33237"/>
    <cellStyle name="EYTotal 3 8" xfId="27341"/>
    <cellStyle name="EYTotal 4" xfId="4320"/>
    <cellStyle name="EYTotal 4 2" xfId="12353"/>
    <cellStyle name="EYTotal 4 2 2" xfId="12354"/>
    <cellStyle name="EYTotal 4 2 2 2" xfId="33239"/>
    <cellStyle name="EYTotal 4 2 3" xfId="12355"/>
    <cellStyle name="EYTotal 4 2 3 2" xfId="33240"/>
    <cellStyle name="EYTotal 4 2 4" xfId="33238"/>
    <cellStyle name="EYTotal 4 3" xfId="12356"/>
    <cellStyle name="EYTotal 4 3 2" xfId="12357"/>
    <cellStyle name="EYTotal 4 3 2 2" xfId="33242"/>
    <cellStyle name="EYTotal 4 3 3" xfId="12358"/>
    <cellStyle name="EYTotal 4 3 3 2" xfId="33243"/>
    <cellStyle name="EYTotal 4 3 4" xfId="33241"/>
    <cellStyle name="EYTotal 4 4" xfId="12359"/>
    <cellStyle name="EYTotal 4 4 2" xfId="12360"/>
    <cellStyle name="EYTotal 4 4 2 2" xfId="33245"/>
    <cellStyle name="EYTotal 4 4 3" xfId="12361"/>
    <cellStyle name="EYTotal 4 4 3 2" xfId="33246"/>
    <cellStyle name="EYTotal 4 4 4" xfId="33244"/>
    <cellStyle name="EYTotal 4 5" xfId="12362"/>
    <cellStyle name="EYTotal 4 5 2" xfId="12363"/>
    <cellStyle name="EYTotal 4 5 2 2" xfId="33248"/>
    <cellStyle name="EYTotal 4 5 3" xfId="12364"/>
    <cellStyle name="EYTotal 4 5 3 2" xfId="33249"/>
    <cellStyle name="EYTotal 4 5 4" xfId="33247"/>
    <cellStyle name="EYTotal 4 6" xfId="12365"/>
    <cellStyle name="EYTotal 4 6 2" xfId="33250"/>
    <cellStyle name="EYTotal 4 7" xfId="12366"/>
    <cellStyle name="EYTotal 4 7 2" xfId="33251"/>
    <cellStyle name="EYTotal 4 8" xfId="27251"/>
    <cellStyle name="EYTotal 5" xfId="5250"/>
    <cellStyle name="EYTotal 5 2" xfId="12367"/>
    <cellStyle name="EYTotal 5 2 2" xfId="12368"/>
    <cellStyle name="EYTotal 5 2 2 2" xfId="33253"/>
    <cellStyle name="EYTotal 5 2 3" xfId="12369"/>
    <cellStyle name="EYTotal 5 2 3 2" xfId="33254"/>
    <cellStyle name="EYTotal 5 2 4" xfId="33252"/>
    <cellStyle name="EYTotal 5 3" xfId="12370"/>
    <cellStyle name="EYTotal 5 3 2" xfId="12371"/>
    <cellStyle name="EYTotal 5 3 2 2" xfId="33256"/>
    <cellStyle name="EYTotal 5 3 3" xfId="12372"/>
    <cellStyle name="EYTotal 5 3 3 2" xfId="33257"/>
    <cellStyle name="EYTotal 5 3 4" xfId="33255"/>
    <cellStyle name="EYTotal 5 4" xfId="12373"/>
    <cellStyle name="EYTotal 5 4 2" xfId="12374"/>
    <cellStyle name="EYTotal 5 4 2 2" xfId="33259"/>
    <cellStyle name="EYTotal 5 4 3" xfId="12375"/>
    <cellStyle name="EYTotal 5 4 3 2" xfId="33260"/>
    <cellStyle name="EYTotal 5 4 4" xfId="33258"/>
    <cellStyle name="EYTotal 5 5" xfId="12376"/>
    <cellStyle name="EYTotal 5 5 2" xfId="12377"/>
    <cellStyle name="EYTotal 5 5 2 2" xfId="33262"/>
    <cellStyle name="EYTotal 5 5 3" xfId="12378"/>
    <cellStyle name="EYTotal 5 5 3 2" xfId="33263"/>
    <cellStyle name="EYTotal 5 5 4" xfId="33261"/>
    <cellStyle name="EYTotal 5 6" xfId="12379"/>
    <cellStyle name="EYTotal 5 6 2" xfId="33264"/>
    <cellStyle name="EYTotal 5 7" xfId="12380"/>
    <cellStyle name="EYTotal 5 7 2" xfId="33265"/>
    <cellStyle name="EYTotal 5 8" xfId="19805"/>
    <cellStyle name="EYTotal 6" xfId="12381"/>
    <cellStyle name="EYTotal 6 2" xfId="12382"/>
    <cellStyle name="EYTotal 6 2 2" xfId="33267"/>
    <cellStyle name="EYTotal 6 3" xfId="12383"/>
    <cellStyle name="EYTotal 6 3 2" xfId="33268"/>
    <cellStyle name="EYTotal 6 4" xfId="33266"/>
    <cellStyle name="EYTotal 7" xfId="12384"/>
    <cellStyle name="EYTotal 7 2" xfId="33269"/>
    <cellStyle name="EYTotal 8" xfId="12385"/>
    <cellStyle name="EYTotal 8 2" xfId="33270"/>
    <cellStyle name="EYTotal 9" xfId="20032"/>
    <cellStyle name="EYWIP" xfId="2408"/>
    <cellStyle name="F2" xfId="2409"/>
    <cellStyle name="F2 - Style1" xfId="2410"/>
    <cellStyle name="F2 2" xfId="2411"/>
    <cellStyle name="F2 3" xfId="2412"/>
    <cellStyle name="F2_01 Análisis Comparables" xfId="2413"/>
    <cellStyle name="F3" xfId="2414"/>
    <cellStyle name="F3 - Style4" xfId="2415"/>
    <cellStyle name="F3 2" xfId="2416"/>
    <cellStyle name="F3 3" xfId="2417"/>
    <cellStyle name="F3_01 Análisis Comparables" xfId="2418"/>
    <cellStyle name="F4" xfId="2419"/>
    <cellStyle name="F4 - Style2" xfId="2420"/>
    <cellStyle name="F4 2" xfId="2421"/>
    <cellStyle name="F4 3" xfId="2422"/>
    <cellStyle name="F4_01 Análisis Comparables" xfId="2423"/>
    <cellStyle name="F5" xfId="2424"/>
    <cellStyle name="F5 - Style6" xfId="2425"/>
    <cellStyle name="F5 2" xfId="2426"/>
    <cellStyle name="F5 3" xfId="2427"/>
    <cellStyle name="F5_01 Análisis Comparables" xfId="2428"/>
    <cellStyle name="F6" xfId="2429"/>
    <cellStyle name="F6 - Style5" xfId="2430"/>
    <cellStyle name="F6 2" xfId="2431"/>
    <cellStyle name="F6 3" xfId="2432"/>
    <cellStyle name="F6_01 Análisis Comparables" xfId="2433"/>
    <cellStyle name="F7" xfId="2434"/>
    <cellStyle name="F7 - Style3" xfId="2435"/>
    <cellStyle name="F7 2" xfId="2436"/>
    <cellStyle name="F7 3" xfId="2437"/>
    <cellStyle name="F7_01 Análisis Comparables" xfId="2438"/>
    <cellStyle name="F8" xfId="2439"/>
    <cellStyle name="F8 - Style1" xfId="2440"/>
    <cellStyle name="F8 2" xfId="2441"/>
    <cellStyle name="F8 3" xfId="2442"/>
    <cellStyle name="F8_01 Análisis Comparables" xfId="2443"/>
    <cellStyle name="Fábio" xfId="2444"/>
    <cellStyle name="Factor" xfId="2445"/>
    <cellStyle name="Fecha" xfId="2446"/>
    <cellStyle name="Fecha 2" xfId="2447"/>
    <cellStyle name="Fecha 3" xfId="2448"/>
    <cellStyle name="FED" xfId="2449"/>
    <cellStyle name="FED 2" xfId="4273"/>
    <cellStyle name="FED 2 2" xfId="5251"/>
    <cellStyle name="FED 2 2 2" xfId="12386"/>
    <cellStyle name="FED 2 2 2 2" xfId="12387"/>
    <cellStyle name="FED 2 2 2 2 2" xfId="33272"/>
    <cellStyle name="FED 2 2 2 3" xfId="12388"/>
    <cellStyle name="FED 2 2 2 3 2" xfId="33273"/>
    <cellStyle name="FED 2 2 2 4" xfId="33271"/>
    <cellStyle name="FED 2 2 3" xfId="12389"/>
    <cellStyle name="FED 2 2 3 2" xfId="12390"/>
    <cellStyle name="FED 2 2 3 2 2" xfId="33275"/>
    <cellStyle name="FED 2 2 3 3" xfId="12391"/>
    <cellStyle name="FED 2 2 3 3 2" xfId="33276"/>
    <cellStyle name="FED 2 2 3 4" xfId="33274"/>
    <cellStyle name="FED 2 2 4" xfId="12392"/>
    <cellStyle name="FED 2 2 4 2" xfId="12393"/>
    <cellStyle name="FED 2 2 4 2 2" xfId="33278"/>
    <cellStyle name="FED 2 2 4 3" xfId="12394"/>
    <cellStyle name="FED 2 2 4 3 2" xfId="33279"/>
    <cellStyle name="FED 2 2 4 4" xfId="33277"/>
    <cellStyle name="FED 2 2 5" xfId="12395"/>
    <cellStyle name="FED 2 2 5 2" xfId="12396"/>
    <cellStyle name="FED 2 2 5 2 2" xfId="33281"/>
    <cellStyle name="FED 2 2 5 3" xfId="12397"/>
    <cellStyle name="FED 2 2 5 3 2" xfId="33282"/>
    <cellStyle name="FED 2 2 5 4" xfId="33280"/>
    <cellStyle name="FED 2 2 6" xfId="12398"/>
    <cellStyle name="FED 2 2 6 2" xfId="33283"/>
    <cellStyle name="FED 2 2 7" xfId="19804"/>
    <cellStyle name="FED 2 3" xfId="5252"/>
    <cellStyle name="FED 2 3 2" xfId="12399"/>
    <cellStyle name="FED 2 3 2 2" xfId="12400"/>
    <cellStyle name="FED 2 3 2 2 2" xfId="33285"/>
    <cellStyle name="FED 2 3 2 3" xfId="12401"/>
    <cellStyle name="FED 2 3 2 3 2" xfId="33286"/>
    <cellStyle name="FED 2 3 2 4" xfId="33284"/>
    <cellStyle name="FED 2 3 3" xfId="12402"/>
    <cellStyle name="FED 2 3 3 2" xfId="12403"/>
    <cellStyle name="FED 2 3 3 2 2" xfId="33288"/>
    <cellStyle name="FED 2 3 3 3" xfId="12404"/>
    <cellStyle name="FED 2 3 3 3 2" xfId="33289"/>
    <cellStyle name="FED 2 3 3 4" xfId="33287"/>
    <cellStyle name="FED 2 3 4" xfId="12405"/>
    <cellStyle name="FED 2 3 4 2" xfId="12406"/>
    <cellStyle name="FED 2 3 4 2 2" xfId="33291"/>
    <cellStyle name="FED 2 3 4 3" xfId="12407"/>
    <cellStyle name="FED 2 3 4 3 2" xfId="33292"/>
    <cellStyle name="FED 2 3 4 4" xfId="33290"/>
    <cellStyle name="FED 2 3 5" xfId="12408"/>
    <cellStyle name="FED 2 3 5 2" xfId="12409"/>
    <cellStyle name="FED 2 3 5 2 2" xfId="33294"/>
    <cellStyle name="FED 2 3 5 3" xfId="12410"/>
    <cellStyle name="FED 2 3 5 3 2" xfId="33295"/>
    <cellStyle name="FED 2 3 5 4" xfId="33293"/>
    <cellStyle name="FED 2 3 6" xfId="12411"/>
    <cellStyle name="FED 2 3 6 2" xfId="33296"/>
    <cellStyle name="FED 2 3 7" xfId="19803"/>
    <cellStyle name="FED 2 4" xfId="5253"/>
    <cellStyle name="FED 2 4 2" xfId="12412"/>
    <cellStyle name="FED 2 4 2 2" xfId="12413"/>
    <cellStyle name="FED 2 4 2 2 2" xfId="33298"/>
    <cellStyle name="FED 2 4 2 3" xfId="12414"/>
    <cellStyle name="FED 2 4 2 3 2" xfId="33299"/>
    <cellStyle name="FED 2 4 2 4" xfId="33297"/>
    <cellStyle name="FED 2 4 3" xfId="12415"/>
    <cellStyle name="FED 2 4 3 2" xfId="12416"/>
    <cellStyle name="FED 2 4 3 2 2" xfId="33301"/>
    <cellStyle name="FED 2 4 3 3" xfId="12417"/>
    <cellStyle name="FED 2 4 3 3 2" xfId="33302"/>
    <cellStyle name="FED 2 4 3 4" xfId="33300"/>
    <cellStyle name="FED 2 4 4" xfId="12418"/>
    <cellStyle name="FED 2 4 4 2" xfId="12419"/>
    <cellStyle name="FED 2 4 4 2 2" xfId="33304"/>
    <cellStyle name="FED 2 4 4 3" xfId="12420"/>
    <cellStyle name="FED 2 4 4 3 2" xfId="33305"/>
    <cellStyle name="FED 2 4 4 4" xfId="33303"/>
    <cellStyle name="FED 2 4 5" xfId="12421"/>
    <cellStyle name="FED 2 4 5 2" xfId="12422"/>
    <cellStyle name="FED 2 4 5 2 2" xfId="33307"/>
    <cellStyle name="FED 2 4 5 3" xfId="12423"/>
    <cellStyle name="FED 2 4 5 3 2" xfId="33308"/>
    <cellStyle name="FED 2 4 5 4" xfId="33306"/>
    <cellStyle name="FED 2 4 6" xfId="12424"/>
    <cellStyle name="FED 2 4 6 2" xfId="33309"/>
    <cellStyle name="FED 2 4 7" xfId="19802"/>
    <cellStyle name="FED 2 5" xfId="12425"/>
    <cellStyle name="FED 2 5 2" xfId="12426"/>
    <cellStyle name="FED 2 5 2 2" xfId="33311"/>
    <cellStyle name="FED 2 5 3" xfId="12427"/>
    <cellStyle name="FED 2 5 3 2" xfId="33312"/>
    <cellStyle name="FED 2 5 4" xfId="33310"/>
    <cellStyle name="FED 2 6" xfId="12428"/>
    <cellStyle name="FED 2 6 2" xfId="12429"/>
    <cellStyle name="FED 2 6 2 2" xfId="33314"/>
    <cellStyle name="FED 2 6 3" xfId="12430"/>
    <cellStyle name="FED 2 6 3 2" xfId="33315"/>
    <cellStyle name="FED 2 6 4" xfId="33313"/>
    <cellStyle name="FED 2 7" xfId="12431"/>
    <cellStyle name="FED 2 7 2" xfId="12432"/>
    <cellStyle name="FED 2 7 2 2" xfId="33317"/>
    <cellStyle name="FED 2 7 3" xfId="12433"/>
    <cellStyle name="FED 2 7 3 2" xfId="33318"/>
    <cellStyle name="FED 2 7 4" xfId="33316"/>
    <cellStyle name="FED 2 8" xfId="12434"/>
    <cellStyle name="FED 2 8 2" xfId="33319"/>
    <cellStyle name="FED 2 9" xfId="27343"/>
    <cellStyle name="FED 3" xfId="4052"/>
    <cellStyle name="FED 3 2" xfId="12435"/>
    <cellStyle name="FED 3 2 2" xfId="12436"/>
    <cellStyle name="FED 3 2 2 2" xfId="33321"/>
    <cellStyle name="FED 3 2 3" xfId="33320"/>
    <cellStyle name="FED 3 3" xfId="12437"/>
    <cellStyle name="FED 3 3 2" xfId="12438"/>
    <cellStyle name="FED 3 3 2 2" xfId="33323"/>
    <cellStyle name="FED 3 3 3" xfId="12439"/>
    <cellStyle name="FED 3 3 3 2" xfId="33324"/>
    <cellStyle name="FED 3 3 4" xfId="33322"/>
    <cellStyle name="FED 3 4" xfId="12440"/>
    <cellStyle name="FED 3 4 2" xfId="12441"/>
    <cellStyle name="FED 3 4 2 2" xfId="33326"/>
    <cellStyle name="FED 3 4 3" xfId="12442"/>
    <cellStyle name="FED 3 4 3 2" xfId="33327"/>
    <cellStyle name="FED 3 4 4" xfId="33325"/>
    <cellStyle name="FED 3 5" xfId="12443"/>
    <cellStyle name="FED 3 5 2" xfId="33328"/>
    <cellStyle name="FED 3 6" xfId="12444"/>
    <cellStyle name="FED 3 6 2" xfId="12445"/>
    <cellStyle name="FED 3 6 2 2" xfId="33330"/>
    <cellStyle name="FED 3 6 3" xfId="12446"/>
    <cellStyle name="FED 3 6 3 2" xfId="33331"/>
    <cellStyle name="FED 3 6 4" xfId="33329"/>
    <cellStyle name="FED 3 7" xfId="19875"/>
    <cellStyle name="FED 4" xfId="12447"/>
    <cellStyle name="FED 4 2" xfId="12448"/>
    <cellStyle name="FED 4 2 2" xfId="33333"/>
    <cellStyle name="FED 4 3" xfId="12449"/>
    <cellStyle name="FED 4 3 2" xfId="33334"/>
    <cellStyle name="FED 4 4" xfId="33332"/>
    <cellStyle name="FED 5" xfId="20030"/>
    <cellStyle name="Fijo" xfId="2450"/>
    <cellStyle name="Fijo 2" xfId="2451"/>
    <cellStyle name="Fijo 3" xfId="2452"/>
    <cellStyle name="Final_Data" xfId="2453"/>
    <cellStyle name="Financial Nr" xfId="2454"/>
    <cellStyle name="Financial Pct" xfId="2455"/>
    <cellStyle name="Financials-Formulas" xfId="2456"/>
    <cellStyle name="Financiero" xfId="2457"/>
    <cellStyle name="Fine" xfId="2458"/>
    <cellStyle name="Fixed" xfId="2459"/>
    <cellStyle name="Fixed 2" xfId="2460"/>
    <cellStyle name="Fixed 3" xfId="2461"/>
    <cellStyle name="fmt.Band" xfId="2462"/>
    <cellStyle name="fmt.BasketTemplate" xfId="2463"/>
    <cellStyle name="fmt.CFWDHeading" xfId="2464"/>
    <cellStyle name="fmt.InpSumRow" xfId="2465"/>
    <cellStyle name="fmt.InpSumRow 2" xfId="2466"/>
    <cellStyle name="fmt.InpSumRow 2 2" xfId="4267"/>
    <cellStyle name="fmt.InpSumRow 2 2 2" xfId="12450"/>
    <cellStyle name="fmt.InpSumRow 2 2 2 2" xfId="12451"/>
    <cellStyle name="fmt.InpSumRow 2 2 2 2 2" xfId="33336"/>
    <cellStyle name="fmt.InpSumRow 2 2 2 3" xfId="12452"/>
    <cellStyle name="fmt.InpSumRow 2 2 2 3 2" xfId="33337"/>
    <cellStyle name="fmt.InpSumRow 2 2 2 4" xfId="33335"/>
    <cellStyle name="fmt.InpSumRow 2 2 3" xfId="12453"/>
    <cellStyle name="fmt.InpSumRow 2 2 3 2" xfId="12454"/>
    <cellStyle name="fmt.InpSumRow 2 2 3 2 2" xfId="33339"/>
    <cellStyle name="fmt.InpSumRow 2 2 3 3" xfId="12455"/>
    <cellStyle name="fmt.InpSumRow 2 2 3 3 2" xfId="33340"/>
    <cellStyle name="fmt.InpSumRow 2 2 3 4" xfId="33338"/>
    <cellStyle name="fmt.InpSumRow 2 2 4" xfId="12456"/>
    <cellStyle name="fmt.InpSumRow 2 2 4 2" xfId="12457"/>
    <cellStyle name="fmt.InpSumRow 2 2 4 2 2" xfId="33342"/>
    <cellStyle name="fmt.InpSumRow 2 2 4 3" xfId="12458"/>
    <cellStyle name="fmt.InpSumRow 2 2 4 3 2" xfId="33343"/>
    <cellStyle name="fmt.InpSumRow 2 2 4 4" xfId="33341"/>
    <cellStyle name="fmt.InpSumRow 2 2 5" xfId="12459"/>
    <cellStyle name="fmt.InpSumRow 2 2 5 2" xfId="12460"/>
    <cellStyle name="fmt.InpSumRow 2 2 5 2 2" xfId="33345"/>
    <cellStyle name="fmt.InpSumRow 2 2 5 3" xfId="12461"/>
    <cellStyle name="fmt.InpSumRow 2 2 5 3 2" xfId="33346"/>
    <cellStyle name="fmt.InpSumRow 2 2 5 4" xfId="33344"/>
    <cellStyle name="fmt.InpSumRow 2 2 6" xfId="12462"/>
    <cellStyle name="fmt.InpSumRow 2 2 6 2" xfId="33347"/>
    <cellStyle name="fmt.InpSumRow 2 2 7" xfId="12463"/>
    <cellStyle name="fmt.InpSumRow 2 2 7 2" xfId="33348"/>
    <cellStyle name="fmt.InpSumRow 2 2 8" xfId="21138"/>
    <cellStyle name="fmt.InpSumRow 2 3" xfId="4053"/>
    <cellStyle name="fmt.InpSumRow 2 3 2" xfId="12464"/>
    <cellStyle name="fmt.InpSumRow 2 3 2 2" xfId="12465"/>
    <cellStyle name="fmt.InpSumRow 2 3 2 2 2" xfId="33350"/>
    <cellStyle name="fmt.InpSumRow 2 3 2 3" xfId="12466"/>
    <cellStyle name="fmt.InpSumRow 2 3 2 3 2" xfId="33351"/>
    <cellStyle name="fmt.InpSumRow 2 3 2 4" xfId="33349"/>
    <cellStyle name="fmt.InpSumRow 2 3 3" xfId="12467"/>
    <cellStyle name="fmt.InpSumRow 2 3 3 2" xfId="12468"/>
    <cellStyle name="fmt.InpSumRow 2 3 3 2 2" xfId="33353"/>
    <cellStyle name="fmt.InpSumRow 2 3 3 3" xfId="12469"/>
    <cellStyle name="fmt.InpSumRow 2 3 3 3 2" xfId="33354"/>
    <cellStyle name="fmt.InpSumRow 2 3 3 4" xfId="33352"/>
    <cellStyle name="fmt.InpSumRow 2 3 4" xfId="12470"/>
    <cellStyle name="fmt.InpSumRow 2 3 4 2" xfId="12471"/>
    <cellStyle name="fmt.InpSumRow 2 3 4 2 2" xfId="33356"/>
    <cellStyle name="fmt.InpSumRow 2 3 4 3" xfId="12472"/>
    <cellStyle name="fmt.InpSumRow 2 3 4 3 2" xfId="33357"/>
    <cellStyle name="fmt.InpSumRow 2 3 4 4" xfId="33355"/>
    <cellStyle name="fmt.InpSumRow 2 3 5" xfId="12473"/>
    <cellStyle name="fmt.InpSumRow 2 3 5 2" xfId="12474"/>
    <cellStyle name="fmt.InpSumRow 2 3 5 2 2" xfId="33359"/>
    <cellStyle name="fmt.InpSumRow 2 3 5 3" xfId="12475"/>
    <cellStyle name="fmt.InpSumRow 2 3 5 3 2" xfId="33360"/>
    <cellStyle name="fmt.InpSumRow 2 3 5 4" xfId="33358"/>
    <cellStyle name="fmt.InpSumRow 2 3 6" xfId="12476"/>
    <cellStyle name="fmt.InpSumRow 2 3 6 2" xfId="33361"/>
    <cellStyle name="fmt.InpSumRow 2 3 7" xfId="12477"/>
    <cellStyle name="fmt.InpSumRow 2 3 7 2" xfId="33362"/>
    <cellStyle name="fmt.InpSumRow 2 3 8" xfId="19874"/>
    <cellStyle name="fmt.InpSumRow 2 4" xfId="5254"/>
    <cellStyle name="fmt.InpSumRow 2 4 2" xfId="12478"/>
    <cellStyle name="fmt.InpSumRow 2 4 2 2" xfId="12479"/>
    <cellStyle name="fmt.InpSumRow 2 4 2 2 2" xfId="33364"/>
    <cellStyle name="fmt.InpSumRow 2 4 2 3" xfId="12480"/>
    <cellStyle name="fmt.InpSumRow 2 4 2 3 2" xfId="33365"/>
    <cellStyle name="fmt.InpSumRow 2 4 2 4" xfId="33363"/>
    <cellStyle name="fmt.InpSumRow 2 4 3" xfId="12481"/>
    <cellStyle name="fmt.InpSumRow 2 4 3 2" xfId="12482"/>
    <cellStyle name="fmt.InpSumRow 2 4 3 2 2" xfId="33367"/>
    <cellStyle name="fmt.InpSumRow 2 4 3 3" xfId="12483"/>
    <cellStyle name="fmt.InpSumRow 2 4 3 3 2" xfId="33368"/>
    <cellStyle name="fmt.InpSumRow 2 4 3 4" xfId="33366"/>
    <cellStyle name="fmt.InpSumRow 2 4 4" xfId="12484"/>
    <cellStyle name="fmt.InpSumRow 2 4 4 2" xfId="12485"/>
    <cellStyle name="fmt.InpSumRow 2 4 4 2 2" xfId="33370"/>
    <cellStyle name="fmt.InpSumRow 2 4 4 3" xfId="12486"/>
    <cellStyle name="fmt.InpSumRow 2 4 4 3 2" xfId="33371"/>
    <cellStyle name="fmt.InpSumRow 2 4 4 4" xfId="33369"/>
    <cellStyle name="fmt.InpSumRow 2 4 5" xfId="12487"/>
    <cellStyle name="fmt.InpSumRow 2 4 5 2" xfId="12488"/>
    <cellStyle name="fmt.InpSumRow 2 4 5 2 2" xfId="33373"/>
    <cellStyle name="fmt.InpSumRow 2 4 5 3" xfId="12489"/>
    <cellStyle name="fmt.InpSumRow 2 4 5 3 2" xfId="33374"/>
    <cellStyle name="fmt.InpSumRow 2 4 5 4" xfId="33372"/>
    <cellStyle name="fmt.InpSumRow 2 4 6" xfId="12490"/>
    <cellStyle name="fmt.InpSumRow 2 4 6 2" xfId="33375"/>
    <cellStyle name="fmt.InpSumRow 2 4 7" xfId="12491"/>
    <cellStyle name="fmt.InpSumRow 2 4 7 2" xfId="33376"/>
    <cellStyle name="fmt.InpSumRow 2 4 8" xfId="19801"/>
    <cellStyle name="fmt.InpSumRow 2 5" xfId="12492"/>
    <cellStyle name="fmt.InpSumRow 2 5 2" xfId="12493"/>
    <cellStyle name="fmt.InpSumRow 2 5 2 2" xfId="33378"/>
    <cellStyle name="fmt.InpSumRow 2 5 3" xfId="12494"/>
    <cellStyle name="fmt.InpSumRow 2 5 3 2" xfId="33379"/>
    <cellStyle name="fmt.InpSumRow 2 5 4" xfId="33377"/>
    <cellStyle name="fmt.InpSumRow 2 6" xfId="12495"/>
    <cellStyle name="fmt.InpSumRow 2 6 2" xfId="33380"/>
    <cellStyle name="fmt.InpSumRow 2 7" xfId="12496"/>
    <cellStyle name="fmt.InpSumRow 2 7 2" xfId="33381"/>
    <cellStyle name="fmt.InpSumRow 2 8" xfId="20029"/>
    <cellStyle name="fmt.InpSumRow 3" xfId="4268"/>
    <cellStyle name="fmt.InpSumRow 3 2" xfId="12497"/>
    <cellStyle name="fmt.InpSumRow 3 2 2" xfId="12498"/>
    <cellStyle name="fmt.InpSumRow 3 2 2 2" xfId="33383"/>
    <cellStyle name="fmt.InpSumRow 3 2 3" xfId="12499"/>
    <cellStyle name="fmt.InpSumRow 3 2 3 2" xfId="33384"/>
    <cellStyle name="fmt.InpSumRow 3 2 4" xfId="33382"/>
    <cellStyle name="fmt.InpSumRow 3 3" xfId="12500"/>
    <cellStyle name="fmt.InpSumRow 3 3 2" xfId="12501"/>
    <cellStyle name="fmt.InpSumRow 3 3 2 2" xfId="33386"/>
    <cellStyle name="fmt.InpSumRow 3 3 3" xfId="12502"/>
    <cellStyle name="fmt.InpSumRow 3 3 3 2" xfId="33387"/>
    <cellStyle name="fmt.InpSumRow 3 3 4" xfId="33385"/>
    <cellStyle name="fmt.InpSumRow 3 4" xfId="12503"/>
    <cellStyle name="fmt.InpSumRow 3 4 2" xfId="12504"/>
    <cellStyle name="fmt.InpSumRow 3 4 2 2" xfId="33389"/>
    <cellStyle name="fmt.InpSumRow 3 4 3" xfId="12505"/>
    <cellStyle name="fmt.InpSumRow 3 4 3 2" xfId="33390"/>
    <cellStyle name="fmt.InpSumRow 3 4 4" xfId="33388"/>
    <cellStyle name="fmt.InpSumRow 3 5" xfId="12506"/>
    <cellStyle name="fmt.InpSumRow 3 5 2" xfId="12507"/>
    <cellStyle name="fmt.InpSumRow 3 5 2 2" xfId="33392"/>
    <cellStyle name="fmt.InpSumRow 3 5 3" xfId="12508"/>
    <cellStyle name="fmt.InpSumRow 3 5 3 2" xfId="33393"/>
    <cellStyle name="fmt.InpSumRow 3 5 4" xfId="33391"/>
    <cellStyle name="fmt.InpSumRow 3 6" xfId="12509"/>
    <cellStyle name="fmt.InpSumRow 3 6 2" xfId="33394"/>
    <cellStyle name="fmt.InpSumRow 3 7" xfId="12510"/>
    <cellStyle name="fmt.InpSumRow 3 7 2" xfId="33395"/>
    <cellStyle name="fmt.InpSumRow 3 8" xfId="27344"/>
    <cellStyle name="fmt.InpSumRow 4" xfId="4118"/>
    <cellStyle name="fmt.InpSumRow 4 2" xfId="12511"/>
    <cellStyle name="fmt.InpSumRow 4 2 2" xfId="12512"/>
    <cellStyle name="fmt.InpSumRow 4 2 2 2" xfId="33397"/>
    <cellStyle name="fmt.InpSumRow 4 2 3" xfId="12513"/>
    <cellStyle name="fmt.InpSumRow 4 2 3 2" xfId="33398"/>
    <cellStyle name="fmt.InpSumRow 4 2 4" xfId="33396"/>
    <cellStyle name="fmt.InpSumRow 4 3" xfId="12514"/>
    <cellStyle name="fmt.InpSumRow 4 3 2" xfId="12515"/>
    <cellStyle name="fmt.InpSumRow 4 3 2 2" xfId="33400"/>
    <cellStyle name="fmt.InpSumRow 4 3 3" xfId="12516"/>
    <cellStyle name="fmt.InpSumRow 4 3 3 2" xfId="33401"/>
    <cellStyle name="fmt.InpSumRow 4 3 4" xfId="33399"/>
    <cellStyle name="fmt.InpSumRow 4 4" xfId="12517"/>
    <cellStyle name="fmt.InpSumRow 4 4 2" xfId="12518"/>
    <cellStyle name="fmt.InpSumRow 4 4 2 2" xfId="33403"/>
    <cellStyle name="fmt.InpSumRow 4 4 3" xfId="12519"/>
    <cellStyle name="fmt.InpSumRow 4 4 3 2" xfId="33404"/>
    <cellStyle name="fmt.InpSumRow 4 4 4" xfId="33402"/>
    <cellStyle name="fmt.InpSumRow 4 5" xfId="12520"/>
    <cellStyle name="fmt.InpSumRow 4 5 2" xfId="12521"/>
    <cellStyle name="fmt.InpSumRow 4 5 2 2" xfId="33406"/>
    <cellStyle name="fmt.InpSumRow 4 5 3" xfId="12522"/>
    <cellStyle name="fmt.InpSumRow 4 5 3 2" xfId="33407"/>
    <cellStyle name="fmt.InpSumRow 4 5 4" xfId="33405"/>
    <cellStyle name="fmt.InpSumRow 4 6" xfId="12523"/>
    <cellStyle name="fmt.InpSumRow 4 6 2" xfId="33408"/>
    <cellStyle name="fmt.InpSumRow 4 7" xfId="12524"/>
    <cellStyle name="fmt.InpSumRow 4 7 2" xfId="33409"/>
    <cellStyle name="fmt.InpSumRow 4 8" xfId="27377"/>
    <cellStyle name="fmt.InpSumRow 5" xfId="5255"/>
    <cellStyle name="fmt.InpSumRow 5 2" xfId="12525"/>
    <cellStyle name="fmt.InpSumRow 5 2 2" xfId="12526"/>
    <cellStyle name="fmt.InpSumRow 5 2 2 2" xfId="33411"/>
    <cellStyle name="fmt.InpSumRow 5 2 3" xfId="12527"/>
    <cellStyle name="fmt.InpSumRow 5 2 3 2" xfId="33412"/>
    <cellStyle name="fmt.InpSumRow 5 2 4" xfId="33410"/>
    <cellStyle name="fmt.InpSumRow 5 3" xfId="12528"/>
    <cellStyle name="fmt.InpSumRow 5 3 2" xfId="12529"/>
    <cellStyle name="fmt.InpSumRow 5 3 2 2" xfId="33414"/>
    <cellStyle name="fmt.InpSumRow 5 3 3" xfId="12530"/>
    <cellStyle name="fmt.InpSumRow 5 3 3 2" xfId="33415"/>
    <cellStyle name="fmt.InpSumRow 5 3 4" xfId="33413"/>
    <cellStyle name="fmt.InpSumRow 5 4" xfId="12531"/>
    <cellStyle name="fmt.InpSumRow 5 4 2" xfId="12532"/>
    <cellStyle name="fmt.InpSumRow 5 4 2 2" xfId="33417"/>
    <cellStyle name="fmt.InpSumRow 5 4 3" xfId="12533"/>
    <cellStyle name="fmt.InpSumRow 5 4 3 2" xfId="33418"/>
    <cellStyle name="fmt.InpSumRow 5 4 4" xfId="33416"/>
    <cellStyle name="fmt.InpSumRow 5 5" xfId="12534"/>
    <cellStyle name="fmt.InpSumRow 5 5 2" xfId="12535"/>
    <cellStyle name="fmt.InpSumRow 5 5 2 2" xfId="33420"/>
    <cellStyle name="fmt.InpSumRow 5 5 3" xfId="12536"/>
    <cellStyle name="fmt.InpSumRow 5 5 3 2" xfId="33421"/>
    <cellStyle name="fmt.InpSumRow 5 5 4" xfId="33419"/>
    <cellStyle name="fmt.InpSumRow 5 6" xfId="12537"/>
    <cellStyle name="fmt.InpSumRow 5 6 2" xfId="33422"/>
    <cellStyle name="fmt.InpSumRow 5 7" xfId="12538"/>
    <cellStyle name="fmt.InpSumRow 5 7 2" xfId="33423"/>
    <cellStyle name="fmt.InpSumRow 5 8" xfId="19800"/>
    <cellStyle name="fmt.InpSumRow 6" xfId="12539"/>
    <cellStyle name="fmt.InpSumRow 6 2" xfId="12540"/>
    <cellStyle name="fmt.InpSumRow 6 2 2" xfId="33425"/>
    <cellStyle name="fmt.InpSumRow 6 3" xfId="12541"/>
    <cellStyle name="fmt.InpSumRow 6 3 2" xfId="33426"/>
    <cellStyle name="fmt.InpSumRow 6 4" xfId="33424"/>
    <cellStyle name="fmt.InpSumRow 7" xfId="12542"/>
    <cellStyle name="fmt.InpSumRow 7 2" xfId="33427"/>
    <cellStyle name="fmt.InpSumRow 8" xfId="12543"/>
    <cellStyle name="fmt.InpSumRow 8 2" xfId="33428"/>
    <cellStyle name="fmt.InpSumRow 9" xfId="20080"/>
    <cellStyle name="fmt.InputHeading" xfId="2467"/>
    <cellStyle name="fmt.InputRowDesc" xfId="2468"/>
    <cellStyle name="fmt.InputRowSubHead1" xfId="2469"/>
    <cellStyle name="fmt.InputRowTotal" xfId="2470"/>
    <cellStyle name="fmt.InputRowTotal 2" xfId="5256"/>
    <cellStyle name="fmt.Report%" xfId="2471"/>
    <cellStyle name="fmt.ReportApptRatio" xfId="2472"/>
    <cellStyle name="fmt.ReportDisplay" xfId="2473"/>
    <cellStyle name="fmt.ReportFX" xfId="2474"/>
    <cellStyle name="fmt.ReportHeading" xfId="2475"/>
    <cellStyle name="fmt.ReportSubHead1" xfId="2476"/>
    <cellStyle name="fmt.ReportSubHead2" xfId="2477"/>
    <cellStyle name="fmt.ReportSubHeading" xfId="2478"/>
    <cellStyle name="fmt.ReportSubtotal" xfId="2479"/>
    <cellStyle name="fmt.ReportSubtotal$" xfId="2480"/>
    <cellStyle name="fmt.ReportTotal" xfId="2481"/>
    <cellStyle name="fmt.ReportTotal 2" xfId="5257"/>
    <cellStyle name="fmt.ReportTotal 3" xfId="5258"/>
    <cellStyle name="fmt.ReportTotal$" xfId="2482"/>
    <cellStyle name="fmt.ReportTotal$ 2" xfId="5259"/>
    <cellStyle name="fmt.ReportTotal$ 3" xfId="5260"/>
    <cellStyle name="fmt.ReportUS$" xfId="2483"/>
    <cellStyle name="ƒnƒCƒp[ƒŠƒ“ƒN" xfId="2484"/>
    <cellStyle name="fo]_x000d__x000a_UserName=Murat Zelef_x000d__x000a_UserCompany=Bumerang_x000d__x000a__x000d__x000a_[File Paths]_x000d__x000a_WorkingDirectory=C:\EQUIS\DLWIN_x000d__x000a_DownLoader=C" xfId="2485"/>
    <cellStyle name="fono" xfId="2486"/>
    <cellStyle name="fono 2" xfId="2487"/>
    <cellStyle name="fono 3" xfId="2488"/>
    <cellStyle name="Footnote" xfId="2489"/>
    <cellStyle name="form" xfId="2490"/>
    <cellStyle name="Form.Normal" xfId="2491"/>
    <cellStyle name="Formula" xfId="2492"/>
    <cellStyle name="Formula 10" xfId="20028"/>
    <cellStyle name="Formula 2" xfId="2493"/>
    <cellStyle name="Formula 2 2" xfId="2494"/>
    <cellStyle name="Formula 2 2 2" xfId="5261"/>
    <cellStyle name="Formula 2 2 2 10" xfId="19799"/>
    <cellStyle name="Formula 2 2 2 2" xfId="5262"/>
    <cellStyle name="Formula 2 2 2 2 2" xfId="12544"/>
    <cellStyle name="Formula 2 2 2 2 2 2" xfId="12545"/>
    <cellStyle name="Formula 2 2 2 2 2 2 2" xfId="27421"/>
    <cellStyle name="Formula 2 2 2 2 2 2 3" xfId="33430"/>
    <cellStyle name="Formula 2 2 2 2 2 3" xfId="12546"/>
    <cellStyle name="Formula 2 2 2 2 2 3 2" xfId="27422"/>
    <cellStyle name="Formula 2 2 2 2 2 3 3" xfId="33431"/>
    <cellStyle name="Formula 2 2 2 2 2 4" xfId="27420"/>
    <cellStyle name="Formula 2 2 2 2 2 5" xfId="33429"/>
    <cellStyle name="Formula 2 2 2 2 3" xfId="12547"/>
    <cellStyle name="Formula 2 2 2 2 3 2" xfId="12548"/>
    <cellStyle name="Formula 2 2 2 2 3 2 2" xfId="27424"/>
    <cellStyle name="Formula 2 2 2 2 3 2 3" xfId="33433"/>
    <cellStyle name="Formula 2 2 2 2 3 3" xfId="12549"/>
    <cellStyle name="Formula 2 2 2 2 3 3 2" xfId="27425"/>
    <cellStyle name="Formula 2 2 2 2 3 3 3" xfId="33434"/>
    <cellStyle name="Formula 2 2 2 2 3 4" xfId="27423"/>
    <cellStyle name="Formula 2 2 2 2 3 5" xfId="33432"/>
    <cellStyle name="Formula 2 2 2 2 4" xfId="12550"/>
    <cellStyle name="Formula 2 2 2 2 4 2" xfId="12551"/>
    <cellStyle name="Formula 2 2 2 2 4 2 2" xfId="27427"/>
    <cellStyle name="Formula 2 2 2 2 4 2 3" xfId="33436"/>
    <cellStyle name="Formula 2 2 2 2 4 3" xfId="12552"/>
    <cellStyle name="Formula 2 2 2 2 4 3 2" xfId="27428"/>
    <cellStyle name="Formula 2 2 2 2 4 3 3" xfId="33437"/>
    <cellStyle name="Formula 2 2 2 2 4 4" xfId="27426"/>
    <cellStyle name="Formula 2 2 2 2 4 5" xfId="33435"/>
    <cellStyle name="Formula 2 2 2 2 5" xfId="12553"/>
    <cellStyle name="Formula 2 2 2 2 5 2" xfId="27429"/>
    <cellStyle name="Formula 2 2 2 2 5 3" xfId="33438"/>
    <cellStyle name="Formula 2 2 2 2 6" xfId="12554"/>
    <cellStyle name="Formula 2 2 2 2 6 2" xfId="27430"/>
    <cellStyle name="Formula 2 2 2 2 6 3" xfId="33439"/>
    <cellStyle name="Formula 2 2 2 2 7" xfId="21143"/>
    <cellStyle name="Formula 2 2 2 2 8" xfId="19798"/>
    <cellStyle name="Formula 2 2 2 3" xfId="5263"/>
    <cellStyle name="Formula 2 2 2 3 2" xfId="12555"/>
    <cellStyle name="Formula 2 2 2 3 2 2" xfId="12556"/>
    <cellStyle name="Formula 2 2 2 3 2 2 2" xfId="27432"/>
    <cellStyle name="Formula 2 2 2 3 2 2 3" xfId="33441"/>
    <cellStyle name="Formula 2 2 2 3 2 3" xfId="12557"/>
    <cellStyle name="Formula 2 2 2 3 2 3 2" xfId="27433"/>
    <cellStyle name="Formula 2 2 2 3 2 3 3" xfId="33442"/>
    <cellStyle name="Formula 2 2 2 3 2 4" xfId="27431"/>
    <cellStyle name="Formula 2 2 2 3 2 5" xfId="33440"/>
    <cellStyle name="Formula 2 2 2 3 3" xfId="12558"/>
    <cellStyle name="Formula 2 2 2 3 3 2" xfId="12559"/>
    <cellStyle name="Formula 2 2 2 3 3 2 2" xfId="27435"/>
    <cellStyle name="Formula 2 2 2 3 3 2 3" xfId="33444"/>
    <cellStyle name="Formula 2 2 2 3 3 3" xfId="12560"/>
    <cellStyle name="Formula 2 2 2 3 3 3 2" xfId="27436"/>
    <cellStyle name="Formula 2 2 2 3 3 3 3" xfId="33445"/>
    <cellStyle name="Formula 2 2 2 3 3 4" xfId="27434"/>
    <cellStyle name="Formula 2 2 2 3 3 5" xfId="33443"/>
    <cellStyle name="Formula 2 2 2 3 4" xfId="12561"/>
    <cellStyle name="Formula 2 2 2 3 4 2" xfId="12562"/>
    <cellStyle name="Formula 2 2 2 3 4 2 2" xfId="27438"/>
    <cellStyle name="Formula 2 2 2 3 4 2 3" xfId="33447"/>
    <cellStyle name="Formula 2 2 2 3 4 3" xfId="12563"/>
    <cellStyle name="Formula 2 2 2 3 4 3 2" xfId="27439"/>
    <cellStyle name="Formula 2 2 2 3 4 3 3" xfId="33448"/>
    <cellStyle name="Formula 2 2 2 3 4 4" xfId="27437"/>
    <cellStyle name="Formula 2 2 2 3 4 5" xfId="33446"/>
    <cellStyle name="Formula 2 2 2 3 5" xfId="12564"/>
    <cellStyle name="Formula 2 2 2 3 5 2" xfId="27440"/>
    <cellStyle name="Formula 2 2 2 3 5 3" xfId="33449"/>
    <cellStyle name="Formula 2 2 2 3 6" xfId="12565"/>
    <cellStyle name="Formula 2 2 2 3 6 2" xfId="27441"/>
    <cellStyle name="Formula 2 2 2 3 6 3" xfId="33450"/>
    <cellStyle name="Formula 2 2 2 3 7" xfId="21144"/>
    <cellStyle name="Formula 2 2 2 3 8" xfId="19797"/>
    <cellStyle name="Formula 2 2 2 4" xfId="5264"/>
    <cellStyle name="Formula 2 2 2 4 2" xfId="12566"/>
    <cellStyle name="Formula 2 2 2 4 2 2" xfId="12567"/>
    <cellStyle name="Formula 2 2 2 4 2 2 2" xfId="27443"/>
    <cellStyle name="Formula 2 2 2 4 2 2 3" xfId="33452"/>
    <cellStyle name="Formula 2 2 2 4 2 3" xfId="12568"/>
    <cellStyle name="Formula 2 2 2 4 2 3 2" xfId="27444"/>
    <cellStyle name="Formula 2 2 2 4 2 3 3" xfId="33453"/>
    <cellStyle name="Formula 2 2 2 4 2 4" xfId="27442"/>
    <cellStyle name="Formula 2 2 2 4 2 5" xfId="33451"/>
    <cellStyle name="Formula 2 2 2 4 3" xfId="12569"/>
    <cellStyle name="Formula 2 2 2 4 3 2" xfId="12570"/>
    <cellStyle name="Formula 2 2 2 4 3 2 2" xfId="27446"/>
    <cellStyle name="Formula 2 2 2 4 3 2 3" xfId="33455"/>
    <cellStyle name="Formula 2 2 2 4 3 3" xfId="12571"/>
    <cellStyle name="Formula 2 2 2 4 3 3 2" xfId="27447"/>
    <cellStyle name="Formula 2 2 2 4 3 3 3" xfId="33456"/>
    <cellStyle name="Formula 2 2 2 4 3 4" xfId="27445"/>
    <cellStyle name="Formula 2 2 2 4 3 5" xfId="33454"/>
    <cellStyle name="Formula 2 2 2 4 4" xfId="12572"/>
    <cellStyle name="Formula 2 2 2 4 4 2" xfId="12573"/>
    <cellStyle name="Formula 2 2 2 4 4 2 2" xfId="27449"/>
    <cellStyle name="Formula 2 2 2 4 4 2 3" xfId="33458"/>
    <cellStyle name="Formula 2 2 2 4 4 3" xfId="12574"/>
    <cellStyle name="Formula 2 2 2 4 4 3 2" xfId="27450"/>
    <cellStyle name="Formula 2 2 2 4 4 3 3" xfId="33459"/>
    <cellStyle name="Formula 2 2 2 4 4 4" xfId="27448"/>
    <cellStyle name="Formula 2 2 2 4 4 5" xfId="33457"/>
    <cellStyle name="Formula 2 2 2 4 5" xfId="12575"/>
    <cellStyle name="Formula 2 2 2 4 5 2" xfId="27451"/>
    <cellStyle name="Formula 2 2 2 4 5 3" xfId="33460"/>
    <cellStyle name="Formula 2 2 2 4 6" xfId="12576"/>
    <cellStyle name="Formula 2 2 2 4 6 2" xfId="27452"/>
    <cellStyle name="Formula 2 2 2 4 6 3" xfId="33461"/>
    <cellStyle name="Formula 2 2 2 4 7" xfId="21145"/>
    <cellStyle name="Formula 2 2 2 4 8" xfId="17951"/>
    <cellStyle name="Formula 2 2 2 5" xfId="12577"/>
    <cellStyle name="Formula 2 2 2 5 2" xfId="12578"/>
    <cellStyle name="Formula 2 2 2 5 2 2" xfId="27454"/>
    <cellStyle name="Formula 2 2 2 5 2 3" xfId="33463"/>
    <cellStyle name="Formula 2 2 2 5 3" xfId="12579"/>
    <cellStyle name="Formula 2 2 2 5 3 2" xfId="27455"/>
    <cellStyle name="Formula 2 2 2 5 3 3" xfId="33464"/>
    <cellStyle name="Formula 2 2 2 5 4" xfId="27453"/>
    <cellStyle name="Formula 2 2 2 5 5" xfId="33462"/>
    <cellStyle name="Formula 2 2 2 6" xfId="12580"/>
    <cellStyle name="Formula 2 2 2 6 2" xfId="12581"/>
    <cellStyle name="Formula 2 2 2 6 2 2" xfId="27457"/>
    <cellStyle name="Formula 2 2 2 6 2 3" xfId="33466"/>
    <cellStyle name="Formula 2 2 2 6 3" xfId="12582"/>
    <cellStyle name="Formula 2 2 2 6 3 2" xfId="27458"/>
    <cellStyle name="Formula 2 2 2 6 3 3" xfId="33467"/>
    <cellStyle name="Formula 2 2 2 6 4" xfId="27456"/>
    <cellStyle name="Formula 2 2 2 6 5" xfId="33465"/>
    <cellStyle name="Formula 2 2 2 7" xfId="12583"/>
    <cellStyle name="Formula 2 2 2 7 2" xfId="27459"/>
    <cellStyle name="Formula 2 2 2 7 3" xfId="33468"/>
    <cellStyle name="Formula 2 2 2 8" xfId="12584"/>
    <cellStyle name="Formula 2 2 2 8 2" xfId="27460"/>
    <cellStyle name="Formula 2 2 2 8 3" xfId="33469"/>
    <cellStyle name="Formula 2 2 2 9" xfId="21142"/>
    <cellStyle name="Formula 2 2 3" xfId="12585"/>
    <cellStyle name="Formula 2 2 3 2" xfId="12586"/>
    <cellStyle name="Formula 2 2 3 2 2" xfId="27462"/>
    <cellStyle name="Formula 2 2 3 2 3" xfId="33471"/>
    <cellStyle name="Formula 2 2 3 3" xfId="12587"/>
    <cellStyle name="Formula 2 2 3 3 2" xfId="27463"/>
    <cellStyle name="Formula 2 2 3 3 3" xfId="33472"/>
    <cellStyle name="Formula 2 2 3 4" xfId="27461"/>
    <cellStyle name="Formula 2 2 3 5" xfId="33470"/>
    <cellStyle name="Formula 2 2 4" xfId="12588"/>
    <cellStyle name="Formula 2 2 4 2" xfId="12589"/>
    <cellStyle name="Formula 2 2 4 2 2" xfId="27465"/>
    <cellStyle name="Formula 2 2 4 2 3" xfId="33474"/>
    <cellStyle name="Formula 2 2 4 3" xfId="12590"/>
    <cellStyle name="Formula 2 2 4 3 2" xfId="27466"/>
    <cellStyle name="Formula 2 2 4 3 3" xfId="33475"/>
    <cellStyle name="Formula 2 2 4 4" xfId="27464"/>
    <cellStyle name="Formula 2 2 4 5" xfId="33473"/>
    <cellStyle name="Formula 2 2 5" xfId="12591"/>
    <cellStyle name="Formula 2 2 5 2" xfId="27467"/>
    <cellStyle name="Formula 2 2 5 3" xfId="33476"/>
    <cellStyle name="Formula 2 2 6" xfId="12592"/>
    <cellStyle name="Formula 2 2 6 2" xfId="27468"/>
    <cellStyle name="Formula 2 2 6 3" xfId="33477"/>
    <cellStyle name="Formula 2 2 7" xfId="19885"/>
    <cellStyle name="Formula 2 2 8" xfId="20026"/>
    <cellStyle name="Formula 2 3" xfId="5265"/>
    <cellStyle name="Formula 2 3 10" xfId="19796"/>
    <cellStyle name="Formula 2 3 2" xfId="5266"/>
    <cellStyle name="Formula 2 3 2 2" xfId="12593"/>
    <cellStyle name="Formula 2 3 2 2 2" xfId="12594"/>
    <cellStyle name="Formula 2 3 2 2 2 2" xfId="27470"/>
    <cellStyle name="Formula 2 3 2 2 2 3" xfId="33479"/>
    <cellStyle name="Formula 2 3 2 2 3" xfId="12595"/>
    <cellStyle name="Formula 2 3 2 2 3 2" xfId="27471"/>
    <cellStyle name="Formula 2 3 2 2 3 3" xfId="33480"/>
    <cellStyle name="Formula 2 3 2 2 4" xfId="27469"/>
    <cellStyle name="Formula 2 3 2 2 5" xfId="33478"/>
    <cellStyle name="Formula 2 3 2 3" xfId="12596"/>
    <cellStyle name="Formula 2 3 2 3 2" xfId="12597"/>
    <cellStyle name="Formula 2 3 2 3 2 2" xfId="27473"/>
    <cellStyle name="Formula 2 3 2 3 2 3" xfId="33482"/>
    <cellStyle name="Formula 2 3 2 3 3" xfId="12598"/>
    <cellStyle name="Formula 2 3 2 3 3 2" xfId="27474"/>
    <cellStyle name="Formula 2 3 2 3 3 3" xfId="33483"/>
    <cellStyle name="Formula 2 3 2 3 4" xfId="27472"/>
    <cellStyle name="Formula 2 3 2 3 5" xfId="33481"/>
    <cellStyle name="Formula 2 3 2 4" xfId="12599"/>
    <cellStyle name="Formula 2 3 2 4 2" xfId="12600"/>
    <cellStyle name="Formula 2 3 2 4 2 2" xfId="27476"/>
    <cellStyle name="Formula 2 3 2 4 2 3" xfId="33485"/>
    <cellStyle name="Formula 2 3 2 4 3" xfId="12601"/>
    <cellStyle name="Formula 2 3 2 4 3 2" xfId="27477"/>
    <cellStyle name="Formula 2 3 2 4 3 3" xfId="33486"/>
    <cellStyle name="Formula 2 3 2 4 4" xfId="27475"/>
    <cellStyle name="Formula 2 3 2 4 5" xfId="33484"/>
    <cellStyle name="Formula 2 3 2 5" xfId="12602"/>
    <cellStyle name="Formula 2 3 2 5 2" xfId="27478"/>
    <cellStyle name="Formula 2 3 2 5 3" xfId="33487"/>
    <cellStyle name="Formula 2 3 2 6" xfId="12603"/>
    <cellStyle name="Formula 2 3 2 6 2" xfId="27479"/>
    <cellStyle name="Formula 2 3 2 6 3" xfId="33488"/>
    <cellStyle name="Formula 2 3 2 7" xfId="21147"/>
    <cellStyle name="Formula 2 3 2 8" xfId="19795"/>
    <cellStyle name="Formula 2 3 3" xfId="5267"/>
    <cellStyle name="Formula 2 3 3 2" xfId="12604"/>
    <cellStyle name="Formula 2 3 3 2 2" xfId="12605"/>
    <cellStyle name="Formula 2 3 3 2 2 2" xfId="27481"/>
    <cellStyle name="Formula 2 3 3 2 2 3" xfId="33490"/>
    <cellStyle name="Formula 2 3 3 2 3" xfId="12606"/>
    <cellStyle name="Formula 2 3 3 2 3 2" xfId="27482"/>
    <cellStyle name="Formula 2 3 3 2 3 3" xfId="33491"/>
    <cellStyle name="Formula 2 3 3 2 4" xfId="27480"/>
    <cellStyle name="Formula 2 3 3 2 5" xfId="33489"/>
    <cellStyle name="Formula 2 3 3 3" xfId="12607"/>
    <cellStyle name="Formula 2 3 3 3 2" xfId="12608"/>
    <cellStyle name="Formula 2 3 3 3 2 2" xfId="27484"/>
    <cellStyle name="Formula 2 3 3 3 2 3" xfId="33493"/>
    <cellStyle name="Formula 2 3 3 3 3" xfId="12609"/>
    <cellStyle name="Formula 2 3 3 3 3 2" xfId="27485"/>
    <cellStyle name="Formula 2 3 3 3 3 3" xfId="33494"/>
    <cellStyle name="Formula 2 3 3 3 4" xfId="27483"/>
    <cellStyle name="Formula 2 3 3 3 5" xfId="33492"/>
    <cellStyle name="Formula 2 3 3 4" xfId="12610"/>
    <cellStyle name="Formula 2 3 3 4 2" xfId="12611"/>
    <cellStyle name="Formula 2 3 3 4 2 2" xfId="27487"/>
    <cellStyle name="Formula 2 3 3 4 2 3" xfId="33496"/>
    <cellStyle name="Formula 2 3 3 4 3" xfId="12612"/>
    <cellStyle name="Formula 2 3 3 4 3 2" xfId="27488"/>
    <cellStyle name="Formula 2 3 3 4 3 3" xfId="33497"/>
    <cellStyle name="Formula 2 3 3 4 4" xfId="27486"/>
    <cellStyle name="Formula 2 3 3 4 5" xfId="33495"/>
    <cellStyle name="Formula 2 3 3 5" xfId="12613"/>
    <cellStyle name="Formula 2 3 3 5 2" xfId="27489"/>
    <cellStyle name="Formula 2 3 3 5 3" xfId="33498"/>
    <cellStyle name="Formula 2 3 3 6" xfId="12614"/>
    <cellStyle name="Formula 2 3 3 6 2" xfId="27490"/>
    <cellStyle name="Formula 2 3 3 6 3" xfId="33499"/>
    <cellStyle name="Formula 2 3 3 7" xfId="21148"/>
    <cellStyle name="Formula 2 3 3 8" xfId="19794"/>
    <cellStyle name="Formula 2 3 4" xfId="5268"/>
    <cellStyle name="Formula 2 3 4 2" xfId="12615"/>
    <cellStyle name="Formula 2 3 4 2 2" xfId="12616"/>
    <cellStyle name="Formula 2 3 4 2 2 2" xfId="27492"/>
    <cellStyle name="Formula 2 3 4 2 2 3" xfId="33501"/>
    <cellStyle name="Formula 2 3 4 2 3" xfId="12617"/>
    <cellStyle name="Formula 2 3 4 2 3 2" xfId="27493"/>
    <cellStyle name="Formula 2 3 4 2 3 3" xfId="33502"/>
    <cellStyle name="Formula 2 3 4 2 4" xfId="27491"/>
    <cellStyle name="Formula 2 3 4 2 5" xfId="33500"/>
    <cellStyle name="Formula 2 3 4 3" xfId="12618"/>
    <cellStyle name="Formula 2 3 4 3 2" xfId="12619"/>
    <cellStyle name="Formula 2 3 4 3 2 2" xfId="27495"/>
    <cellStyle name="Formula 2 3 4 3 2 3" xfId="33504"/>
    <cellStyle name="Formula 2 3 4 3 3" xfId="12620"/>
    <cellStyle name="Formula 2 3 4 3 3 2" xfId="27496"/>
    <cellStyle name="Formula 2 3 4 3 3 3" xfId="33505"/>
    <cellStyle name="Formula 2 3 4 3 4" xfId="27494"/>
    <cellStyle name="Formula 2 3 4 3 5" xfId="33503"/>
    <cellStyle name="Formula 2 3 4 4" xfId="12621"/>
    <cellStyle name="Formula 2 3 4 4 2" xfId="12622"/>
    <cellStyle name="Formula 2 3 4 4 2 2" xfId="27498"/>
    <cellStyle name="Formula 2 3 4 4 2 3" xfId="33507"/>
    <cellStyle name="Formula 2 3 4 4 3" xfId="12623"/>
    <cellStyle name="Formula 2 3 4 4 3 2" xfId="27499"/>
    <cellStyle name="Formula 2 3 4 4 3 3" xfId="33508"/>
    <cellStyle name="Formula 2 3 4 4 4" xfId="27497"/>
    <cellStyle name="Formula 2 3 4 4 5" xfId="33506"/>
    <cellStyle name="Formula 2 3 4 5" xfId="12624"/>
    <cellStyle name="Formula 2 3 4 5 2" xfId="27500"/>
    <cellStyle name="Formula 2 3 4 5 3" xfId="33509"/>
    <cellStyle name="Formula 2 3 4 6" xfId="12625"/>
    <cellStyle name="Formula 2 3 4 6 2" xfId="27501"/>
    <cellStyle name="Formula 2 3 4 6 3" xfId="33510"/>
    <cellStyle name="Formula 2 3 4 7" xfId="21149"/>
    <cellStyle name="Formula 2 3 4 8" xfId="19793"/>
    <cellStyle name="Formula 2 3 5" xfId="12626"/>
    <cellStyle name="Formula 2 3 5 2" xfId="12627"/>
    <cellStyle name="Formula 2 3 5 2 2" xfId="27503"/>
    <cellStyle name="Formula 2 3 5 2 3" xfId="33512"/>
    <cellStyle name="Formula 2 3 5 3" xfId="12628"/>
    <cellStyle name="Formula 2 3 5 3 2" xfId="27504"/>
    <cellStyle name="Formula 2 3 5 3 3" xfId="33513"/>
    <cellStyle name="Formula 2 3 5 4" xfId="27502"/>
    <cellStyle name="Formula 2 3 5 5" xfId="33511"/>
    <cellStyle name="Formula 2 3 6" xfId="12629"/>
    <cellStyle name="Formula 2 3 6 2" xfId="12630"/>
    <cellStyle name="Formula 2 3 6 2 2" xfId="27506"/>
    <cellStyle name="Formula 2 3 6 2 3" xfId="33515"/>
    <cellStyle name="Formula 2 3 6 3" xfId="12631"/>
    <cellStyle name="Formula 2 3 6 3 2" xfId="27507"/>
    <cellStyle name="Formula 2 3 6 3 3" xfId="33516"/>
    <cellStyle name="Formula 2 3 6 4" xfId="27505"/>
    <cellStyle name="Formula 2 3 6 5" xfId="33514"/>
    <cellStyle name="Formula 2 3 7" xfId="12632"/>
    <cellStyle name="Formula 2 3 7 2" xfId="27508"/>
    <cellStyle name="Formula 2 3 7 3" xfId="33517"/>
    <cellStyle name="Formula 2 3 8" xfId="12633"/>
    <cellStyle name="Formula 2 3 8 2" xfId="27509"/>
    <cellStyle name="Formula 2 3 8 3" xfId="33518"/>
    <cellStyle name="Formula 2 3 9" xfId="21146"/>
    <cellStyle name="Formula 2 4" xfId="12634"/>
    <cellStyle name="Formula 2 4 2" xfId="12635"/>
    <cellStyle name="Formula 2 4 2 2" xfId="27511"/>
    <cellStyle name="Formula 2 4 2 3" xfId="33520"/>
    <cellStyle name="Formula 2 4 3" xfId="12636"/>
    <cellStyle name="Formula 2 4 3 2" xfId="27512"/>
    <cellStyle name="Formula 2 4 3 3" xfId="33521"/>
    <cellStyle name="Formula 2 4 4" xfId="27510"/>
    <cellStyle name="Formula 2 4 5" xfId="33519"/>
    <cellStyle name="Formula 2 5" xfId="12637"/>
    <cellStyle name="Formula 2 5 2" xfId="12638"/>
    <cellStyle name="Formula 2 5 2 2" xfId="27514"/>
    <cellStyle name="Formula 2 5 2 3" xfId="33523"/>
    <cellStyle name="Formula 2 5 3" xfId="12639"/>
    <cellStyle name="Formula 2 5 3 2" xfId="27515"/>
    <cellStyle name="Formula 2 5 3 3" xfId="33524"/>
    <cellStyle name="Formula 2 5 4" xfId="27513"/>
    <cellStyle name="Formula 2 5 5" xfId="33522"/>
    <cellStyle name="Formula 2 6" xfId="12640"/>
    <cellStyle name="Formula 2 6 2" xfId="27516"/>
    <cellStyle name="Formula 2 6 3" xfId="33525"/>
    <cellStyle name="Formula 2 7" xfId="12641"/>
    <cellStyle name="Formula 2 7 2" xfId="27517"/>
    <cellStyle name="Formula 2 7 3" xfId="33526"/>
    <cellStyle name="Formula 2 8" xfId="19884"/>
    <cellStyle name="Formula 2 9" xfId="20027"/>
    <cellStyle name="Formula 3" xfId="2495"/>
    <cellStyle name="Formula 3 2" xfId="5269"/>
    <cellStyle name="Formula 3 2 10" xfId="19792"/>
    <cellStyle name="Formula 3 2 2" xfId="5270"/>
    <cellStyle name="Formula 3 2 2 2" xfId="12642"/>
    <cellStyle name="Formula 3 2 2 2 2" xfId="12643"/>
    <cellStyle name="Formula 3 2 2 2 2 2" xfId="27519"/>
    <cellStyle name="Formula 3 2 2 2 2 3" xfId="33528"/>
    <cellStyle name="Formula 3 2 2 2 3" xfId="12644"/>
    <cellStyle name="Formula 3 2 2 2 3 2" xfId="27520"/>
    <cellStyle name="Formula 3 2 2 2 3 3" xfId="33529"/>
    <cellStyle name="Formula 3 2 2 2 4" xfId="27518"/>
    <cellStyle name="Formula 3 2 2 2 5" xfId="33527"/>
    <cellStyle name="Formula 3 2 2 3" xfId="12645"/>
    <cellStyle name="Formula 3 2 2 3 2" xfId="12646"/>
    <cellStyle name="Formula 3 2 2 3 2 2" xfId="27522"/>
    <cellStyle name="Formula 3 2 2 3 2 3" xfId="33531"/>
    <cellStyle name="Formula 3 2 2 3 3" xfId="12647"/>
    <cellStyle name="Formula 3 2 2 3 3 2" xfId="27523"/>
    <cellStyle name="Formula 3 2 2 3 3 3" xfId="33532"/>
    <cellStyle name="Formula 3 2 2 3 4" xfId="27521"/>
    <cellStyle name="Formula 3 2 2 3 5" xfId="33530"/>
    <cellStyle name="Formula 3 2 2 4" xfId="12648"/>
    <cellStyle name="Formula 3 2 2 4 2" xfId="12649"/>
    <cellStyle name="Formula 3 2 2 4 2 2" xfId="27525"/>
    <cellStyle name="Formula 3 2 2 4 2 3" xfId="33534"/>
    <cellStyle name="Formula 3 2 2 4 3" xfId="12650"/>
    <cellStyle name="Formula 3 2 2 4 3 2" xfId="27526"/>
    <cellStyle name="Formula 3 2 2 4 3 3" xfId="33535"/>
    <cellStyle name="Formula 3 2 2 4 4" xfId="27524"/>
    <cellStyle name="Formula 3 2 2 4 5" xfId="33533"/>
    <cellStyle name="Formula 3 2 2 5" xfId="12651"/>
    <cellStyle name="Formula 3 2 2 5 2" xfId="27527"/>
    <cellStyle name="Formula 3 2 2 5 3" xfId="33536"/>
    <cellStyle name="Formula 3 2 2 6" xfId="12652"/>
    <cellStyle name="Formula 3 2 2 6 2" xfId="27528"/>
    <cellStyle name="Formula 3 2 2 6 3" xfId="33537"/>
    <cellStyle name="Formula 3 2 2 7" xfId="21151"/>
    <cellStyle name="Formula 3 2 2 8" xfId="19791"/>
    <cellStyle name="Formula 3 2 3" xfId="5271"/>
    <cellStyle name="Formula 3 2 3 2" xfId="12653"/>
    <cellStyle name="Formula 3 2 3 2 2" xfId="12654"/>
    <cellStyle name="Formula 3 2 3 2 2 2" xfId="27530"/>
    <cellStyle name="Formula 3 2 3 2 2 3" xfId="33539"/>
    <cellStyle name="Formula 3 2 3 2 3" xfId="12655"/>
    <cellStyle name="Formula 3 2 3 2 3 2" xfId="27531"/>
    <cellStyle name="Formula 3 2 3 2 3 3" xfId="33540"/>
    <cellStyle name="Formula 3 2 3 2 4" xfId="27529"/>
    <cellStyle name="Formula 3 2 3 2 5" xfId="33538"/>
    <cellStyle name="Formula 3 2 3 3" xfId="12656"/>
    <cellStyle name="Formula 3 2 3 3 2" xfId="12657"/>
    <cellStyle name="Formula 3 2 3 3 2 2" xfId="27533"/>
    <cellStyle name="Formula 3 2 3 3 2 3" xfId="33542"/>
    <cellStyle name="Formula 3 2 3 3 3" xfId="12658"/>
    <cellStyle name="Formula 3 2 3 3 3 2" xfId="27534"/>
    <cellStyle name="Formula 3 2 3 3 3 3" xfId="33543"/>
    <cellStyle name="Formula 3 2 3 3 4" xfId="27532"/>
    <cellStyle name="Formula 3 2 3 3 5" xfId="33541"/>
    <cellStyle name="Formula 3 2 3 4" xfId="12659"/>
    <cellStyle name="Formula 3 2 3 4 2" xfId="12660"/>
    <cellStyle name="Formula 3 2 3 4 2 2" xfId="27536"/>
    <cellStyle name="Formula 3 2 3 4 2 3" xfId="33545"/>
    <cellStyle name="Formula 3 2 3 4 3" xfId="12661"/>
    <cellStyle name="Formula 3 2 3 4 3 2" xfId="27537"/>
    <cellStyle name="Formula 3 2 3 4 3 3" xfId="33546"/>
    <cellStyle name="Formula 3 2 3 4 4" xfId="27535"/>
    <cellStyle name="Formula 3 2 3 4 5" xfId="33544"/>
    <cellStyle name="Formula 3 2 3 5" xfId="12662"/>
    <cellStyle name="Formula 3 2 3 5 2" xfId="27538"/>
    <cellStyle name="Formula 3 2 3 5 3" xfId="33547"/>
    <cellStyle name="Formula 3 2 3 6" xfId="12663"/>
    <cellStyle name="Formula 3 2 3 6 2" xfId="27539"/>
    <cellStyle name="Formula 3 2 3 6 3" xfId="33548"/>
    <cellStyle name="Formula 3 2 3 7" xfId="21152"/>
    <cellStyle name="Formula 3 2 3 8" xfId="19790"/>
    <cellStyle name="Formula 3 2 4" xfId="5272"/>
    <cellStyle name="Formula 3 2 4 2" xfId="12664"/>
    <cellStyle name="Formula 3 2 4 2 2" xfId="12665"/>
    <cellStyle name="Formula 3 2 4 2 2 2" xfId="27541"/>
    <cellStyle name="Formula 3 2 4 2 2 3" xfId="33550"/>
    <cellStyle name="Formula 3 2 4 2 3" xfId="12666"/>
    <cellStyle name="Formula 3 2 4 2 3 2" xfId="27542"/>
    <cellStyle name="Formula 3 2 4 2 3 3" xfId="33551"/>
    <cellStyle name="Formula 3 2 4 2 4" xfId="27540"/>
    <cellStyle name="Formula 3 2 4 2 5" xfId="33549"/>
    <cellStyle name="Formula 3 2 4 3" xfId="12667"/>
    <cellStyle name="Formula 3 2 4 3 2" xfId="12668"/>
    <cellStyle name="Formula 3 2 4 3 2 2" xfId="27544"/>
    <cellStyle name="Formula 3 2 4 3 2 3" xfId="33553"/>
    <cellStyle name="Formula 3 2 4 3 3" xfId="12669"/>
    <cellStyle name="Formula 3 2 4 3 3 2" xfId="27545"/>
    <cellStyle name="Formula 3 2 4 3 3 3" xfId="33554"/>
    <cellStyle name="Formula 3 2 4 3 4" xfId="27543"/>
    <cellStyle name="Formula 3 2 4 3 5" xfId="33552"/>
    <cellStyle name="Formula 3 2 4 4" xfId="12670"/>
    <cellStyle name="Formula 3 2 4 4 2" xfId="12671"/>
    <cellStyle name="Formula 3 2 4 4 2 2" xfId="27547"/>
    <cellStyle name="Formula 3 2 4 4 2 3" xfId="33556"/>
    <cellStyle name="Formula 3 2 4 4 3" xfId="12672"/>
    <cellStyle name="Formula 3 2 4 4 3 2" xfId="27548"/>
    <cellStyle name="Formula 3 2 4 4 3 3" xfId="33557"/>
    <cellStyle name="Formula 3 2 4 4 4" xfId="27546"/>
    <cellStyle name="Formula 3 2 4 4 5" xfId="33555"/>
    <cellStyle name="Formula 3 2 4 5" xfId="12673"/>
    <cellStyle name="Formula 3 2 4 5 2" xfId="27549"/>
    <cellStyle name="Formula 3 2 4 5 3" xfId="33558"/>
    <cellStyle name="Formula 3 2 4 6" xfId="12674"/>
    <cellStyle name="Formula 3 2 4 6 2" xfId="27550"/>
    <cellStyle name="Formula 3 2 4 6 3" xfId="33559"/>
    <cellStyle name="Formula 3 2 4 7" xfId="21153"/>
    <cellStyle name="Formula 3 2 4 8" xfId="19789"/>
    <cellStyle name="Formula 3 2 5" xfId="12675"/>
    <cellStyle name="Formula 3 2 5 2" xfId="12676"/>
    <cellStyle name="Formula 3 2 5 2 2" xfId="27552"/>
    <cellStyle name="Formula 3 2 5 2 3" xfId="33561"/>
    <cellStyle name="Formula 3 2 5 3" xfId="12677"/>
    <cellStyle name="Formula 3 2 5 3 2" xfId="27553"/>
    <cellStyle name="Formula 3 2 5 3 3" xfId="33562"/>
    <cellStyle name="Formula 3 2 5 4" xfId="27551"/>
    <cellStyle name="Formula 3 2 5 5" xfId="33560"/>
    <cellStyle name="Formula 3 2 6" xfId="12678"/>
    <cellStyle name="Formula 3 2 6 2" xfId="12679"/>
    <cellStyle name="Formula 3 2 6 2 2" xfId="27555"/>
    <cellStyle name="Formula 3 2 6 2 3" xfId="33564"/>
    <cellStyle name="Formula 3 2 6 3" xfId="12680"/>
    <cellStyle name="Formula 3 2 6 3 2" xfId="27556"/>
    <cellStyle name="Formula 3 2 6 3 3" xfId="33565"/>
    <cellStyle name="Formula 3 2 6 4" xfId="27554"/>
    <cellStyle name="Formula 3 2 6 5" xfId="33563"/>
    <cellStyle name="Formula 3 2 7" xfId="12681"/>
    <cellStyle name="Formula 3 2 7 2" xfId="27557"/>
    <cellStyle name="Formula 3 2 7 3" xfId="33566"/>
    <cellStyle name="Formula 3 2 8" xfId="12682"/>
    <cellStyle name="Formula 3 2 8 2" xfId="27558"/>
    <cellStyle name="Formula 3 2 8 3" xfId="33567"/>
    <cellStyle name="Formula 3 2 9" xfId="21150"/>
    <cellStyle name="Formula 3 3" xfId="12683"/>
    <cellStyle name="Formula 3 3 2" xfId="12684"/>
    <cellStyle name="Formula 3 3 2 2" xfId="27560"/>
    <cellStyle name="Formula 3 3 2 3" xfId="33569"/>
    <cellStyle name="Formula 3 3 3" xfId="12685"/>
    <cellStyle name="Formula 3 3 3 2" xfId="27561"/>
    <cellStyle name="Formula 3 3 3 3" xfId="33570"/>
    <cellStyle name="Formula 3 3 4" xfId="27559"/>
    <cellStyle name="Formula 3 3 5" xfId="33568"/>
    <cellStyle name="Formula 3 4" xfId="12686"/>
    <cellStyle name="Formula 3 4 2" xfId="12687"/>
    <cellStyle name="Formula 3 4 2 2" xfId="27563"/>
    <cellStyle name="Formula 3 4 2 3" xfId="33572"/>
    <cellStyle name="Formula 3 4 3" xfId="12688"/>
    <cellStyle name="Formula 3 4 3 2" xfId="27564"/>
    <cellStyle name="Formula 3 4 3 3" xfId="33573"/>
    <cellStyle name="Formula 3 4 4" xfId="27562"/>
    <cellStyle name="Formula 3 4 5" xfId="33571"/>
    <cellStyle name="Formula 3 5" xfId="12689"/>
    <cellStyle name="Formula 3 5 2" xfId="27565"/>
    <cellStyle name="Formula 3 5 3" xfId="33574"/>
    <cellStyle name="Formula 3 6" xfId="12690"/>
    <cellStyle name="Formula 3 6 2" xfId="27566"/>
    <cellStyle name="Formula 3 6 3" xfId="33575"/>
    <cellStyle name="Formula 3 7" xfId="19886"/>
    <cellStyle name="Formula 3 8" xfId="18083"/>
    <cellStyle name="Formula 4" xfId="5273"/>
    <cellStyle name="Formula 4 10" xfId="17947"/>
    <cellStyle name="Formula 4 2" xfId="5274"/>
    <cellStyle name="Formula 4 2 2" xfId="12691"/>
    <cellStyle name="Formula 4 2 2 2" xfId="12692"/>
    <cellStyle name="Formula 4 2 2 2 2" xfId="27568"/>
    <cellStyle name="Formula 4 2 2 2 3" xfId="33577"/>
    <cellStyle name="Formula 4 2 2 3" xfId="12693"/>
    <cellStyle name="Formula 4 2 2 3 2" xfId="27569"/>
    <cellStyle name="Formula 4 2 2 3 3" xfId="33578"/>
    <cellStyle name="Formula 4 2 2 4" xfId="27567"/>
    <cellStyle name="Formula 4 2 2 5" xfId="33576"/>
    <cellStyle name="Formula 4 2 3" xfId="12694"/>
    <cellStyle name="Formula 4 2 3 2" xfId="12695"/>
    <cellStyle name="Formula 4 2 3 2 2" xfId="27571"/>
    <cellStyle name="Formula 4 2 3 2 3" xfId="33580"/>
    <cellStyle name="Formula 4 2 3 3" xfId="12696"/>
    <cellStyle name="Formula 4 2 3 3 2" xfId="27572"/>
    <cellStyle name="Formula 4 2 3 3 3" xfId="33581"/>
    <cellStyle name="Formula 4 2 3 4" xfId="27570"/>
    <cellStyle name="Formula 4 2 3 5" xfId="33579"/>
    <cellStyle name="Formula 4 2 4" xfId="12697"/>
    <cellStyle name="Formula 4 2 4 2" xfId="12698"/>
    <cellStyle name="Formula 4 2 4 2 2" xfId="27574"/>
    <cellStyle name="Formula 4 2 4 2 3" xfId="33583"/>
    <cellStyle name="Formula 4 2 4 3" xfId="12699"/>
    <cellStyle name="Formula 4 2 4 3 2" xfId="27575"/>
    <cellStyle name="Formula 4 2 4 3 3" xfId="33584"/>
    <cellStyle name="Formula 4 2 4 4" xfId="27573"/>
    <cellStyle name="Formula 4 2 4 5" xfId="33582"/>
    <cellStyle name="Formula 4 2 5" xfId="12700"/>
    <cellStyle name="Formula 4 2 5 2" xfId="27576"/>
    <cellStyle name="Formula 4 2 5 3" xfId="33585"/>
    <cellStyle name="Formula 4 2 6" xfId="12701"/>
    <cellStyle name="Formula 4 2 6 2" xfId="27577"/>
    <cellStyle name="Formula 4 2 6 3" xfId="33586"/>
    <cellStyle name="Formula 4 2 7" xfId="21155"/>
    <cellStyle name="Formula 4 2 8" xfId="19788"/>
    <cellStyle name="Formula 4 3" xfId="5275"/>
    <cellStyle name="Formula 4 3 2" xfId="12702"/>
    <cellStyle name="Formula 4 3 2 2" xfId="12703"/>
    <cellStyle name="Formula 4 3 2 2 2" xfId="27579"/>
    <cellStyle name="Formula 4 3 2 2 3" xfId="33588"/>
    <cellStyle name="Formula 4 3 2 3" xfId="12704"/>
    <cellStyle name="Formula 4 3 2 3 2" xfId="27580"/>
    <cellStyle name="Formula 4 3 2 3 3" xfId="33589"/>
    <cellStyle name="Formula 4 3 2 4" xfId="27578"/>
    <cellStyle name="Formula 4 3 2 5" xfId="33587"/>
    <cellStyle name="Formula 4 3 3" xfId="12705"/>
    <cellStyle name="Formula 4 3 3 2" xfId="12706"/>
    <cellStyle name="Formula 4 3 3 2 2" xfId="27582"/>
    <cellStyle name="Formula 4 3 3 2 3" xfId="33591"/>
    <cellStyle name="Formula 4 3 3 3" xfId="12707"/>
    <cellStyle name="Formula 4 3 3 3 2" xfId="27583"/>
    <cellStyle name="Formula 4 3 3 3 3" xfId="33592"/>
    <cellStyle name="Formula 4 3 3 4" xfId="27581"/>
    <cellStyle name="Formula 4 3 3 5" xfId="33590"/>
    <cellStyle name="Formula 4 3 4" xfId="12708"/>
    <cellStyle name="Formula 4 3 4 2" xfId="12709"/>
    <cellStyle name="Formula 4 3 4 2 2" xfId="27585"/>
    <cellStyle name="Formula 4 3 4 2 3" xfId="33594"/>
    <cellStyle name="Formula 4 3 4 3" xfId="12710"/>
    <cellStyle name="Formula 4 3 4 3 2" xfId="27586"/>
    <cellStyle name="Formula 4 3 4 3 3" xfId="33595"/>
    <cellStyle name="Formula 4 3 4 4" xfId="27584"/>
    <cellStyle name="Formula 4 3 4 5" xfId="33593"/>
    <cellStyle name="Formula 4 3 5" xfId="12711"/>
    <cellStyle name="Formula 4 3 5 2" xfId="27587"/>
    <cellStyle name="Formula 4 3 5 3" xfId="33596"/>
    <cellStyle name="Formula 4 3 6" xfId="12712"/>
    <cellStyle name="Formula 4 3 6 2" xfId="27588"/>
    <cellStyle name="Formula 4 3 6 3" xfId="33597"/>
    <cellStyle name="Formula 4 3 7" xfId="21156"/>
    <cellStyle name="Formula 4 3 8" xfId="19787"/>
    <cellStyle name="Formula 4 4" xfId="5276"/>
    <cellStyle name="Formula 4 4 2" xfId="12713"/>
    <cellStyle name="Formula 4 4 2 2" xfId="12714"/>
    <cellStyle name="Formula 4 4 2 2 2" xfId="27590"/>
    <cellStyle name="Formula 4 4 2 2 3" xfId="33599"/>
    <cellStyle name="Formula 4 4 2 3" xfId="12715"/>
    <cellStyle name="Formula 4 4 2 3 2" xfId="27591"/>
    <cellStyle name="Formula 4 4 2 3 3" xfId="33600"/>
    <cellStyle name="Formula 4 4 2 4" xfId="27589"/>
    <cellStyle name="Formula 4 4 2 5" xfId="33598"/>
    <cellStyle name="Formula 4 4 3" xfId="12716"/>
    <cellStyle name="Formula 4 4 3 2" xfId="12717"/>
    <cellStyle name="Formula 4 4 3 2 2" xfId="27593"/>
    <cellStyle name="Formula 4 4 3 2 3" xfId="33602"/>
    <cellStyle name="Formula 4 4 3 3" xfId="12718"/>
    <cellStyle name="Formula 4 4 3 3 2" xfId="27594"/>
    <cellStyle name="Formula 4 4 3 3 3" xfId="33603"/>
    <cellStyle name="Formula 4 4 3 4" xfId="27592"/>
    <cellStyle name="Formula 4 4 3 5" xfId="33601"/>
    <cellStyle name="Formula 4 4 4" xfId="12719"/>
    <cellStyle name="Formula 4 4 4 2" xfId="12720"/>
    <cellStyle name="Formula 4 4 4 2 2" xfId="27596"/>
    <cellStyle name="Formula 4 4 4 2 3" xfId="33605"/>
    <cellStyle name="Formula 4 4 4 3" xfId="12721"/>
    <cellStyle name="Formula 4 4 4 3 2" xfId="27597"/>
    <cellStyle name="Formula 4 4 4 3 3" xfId="33606"/>
    <cellStyle name="Formula 4 4 4 4" xfId="27595"/>
    <cellStyle name="Formula 4 4 4 5" xfId="33604"/>
    <cellStyle name="Formula 4 4 5" xfId="12722"/>
    <cellStyle name="Formula 4 4 5 2" xfId="27598"/>
    <cellStyle name="Formula 4 4 5 3" xfId="33607"/>
    <cellStyle name="Formula 4 4 6" xfId="12723"/>
    <cellStyle name="Formula 4 4 6 2" xfId="27599"/>
    <cellStyle name="Formula 4 4 6 3" xfId="33608"/>
    <cellStyle name="Formula 4 4 7" xfId="21157"/>
    <cellStyle name="Formula 4 4 8" xfId="19786"/>
    <cellStyle name="Formula 4 5" xfId="12724"/>
    <cellStyle name="Formula 4 5 2" xfId="12725"/>
    <cellStyle name="Formula 4 5 2 2" xfId="27601"/>
    <cellStyle name="Formula 4 5 2 3" xfId="33610"/>
    <cellStyle name="Formula 4 5 3" xfId="12726"/>
    <cellStyle name="Formula 4 5 3 2" xfId="27602"/>
    <cellStyle name="Formula 4 5 3 3" xfId="33611"/>
    <cellStyle name="Formula 4 5 4" xfId="27600"/>
    <cellStyle name="Formula 4 5 5" xfId="33609"/>
    <cellStyle name="Formula 4 6" xfId="12727"/>
    <cellStyle name="Formula 4 6 2" xfId="12728"/>
    <cellStyle name="Formula 4 6 2 2" xfId="27604"/>
    <cellStyle name="Formula 4 6 2 3" xfId="33613"/>
    <cellStyle name="Formula 4 6 3" xfId="12729"/>
    <cellStyle name="Formula 4 6 3 2" xfId="27605"/>
    <cellStyle name="Formula 4 6 3 3" xfId="33614"/>
    <cellStyle name="Formula 4 6 4" xfId="27603"/>
    <cellStyle name="Formula 4 6 5" xfId="33612"/>
    <cellStyle name="Formula 4 7" xfId="12730"/>
    <cellStyle name="Formula 4 7 2" xfId="27606"/>
    <cellStyle name="Formula 4 7 3" xfId="33615"/>
    <cellStyle name="Formula 4 8" xfId="12731"/>
    <cellStyle name="Formula 4 8 2" xfId="27607"/>
    <cellStyle name="Formula 4 8 3" xfId="33616"/>
    <cellStyle name="Formula 4 9" xfId="21154"/>
    <cellStyle name="Formula 5" xfId="12732"/>
    <cellStyle name="Formula 5 2" xfId="12733"/>
    <cellStyle name="Formula 5 2 2" xfId="27609"/>
    <cellStyle name="Formula 5 2 3" xfId="33618"/>
    <cellStyle name="Formula 5 3" xfId="12734"/>
    <cellStyle name="Formula 5 3 2" xfId="27610"/>
    <cellStyle name="Formula 5 3 3" xfId="33619"/>
    <cellStyle name="Formula 5 4" xfId="27608"/>
    <cellStyle name="Formula 5 5" xfId="33617"/>
    <cellStyle name="Formula 6" xfId="12735"/>
    <cellStyle name="Formula 6 2" xfId="12736"/>
    <cellStyle name="Formula 6 2 2" xfId="27612"/>
    <cellStyle name="Formula 6 2 3" xfId="33621"/>
    <cellStyle name="Formula 6 3" xfId="12737"/>
    <cellStyle name="Formula 6 3 2" xfId="27613"/>
    <cellStyle name="Formula 6 3 3" xfId="33622"/>
    <cellStyle name="Formula 6 4" xfId="27611"/>
    <cellStyle name="Formula 6 5" xfId="33620"/>
    <cellStyle name="Formula 7" xfId="12738"/>
    <cellStyle name="Formula 7 2" xfId="27614"/>
    <cellStyle name="Formula 7 3" xfId="33623"/>
    <cellStyle name="Formula 8" xfId="12739"/>
    <cellStyle name="Formula 8 2" xfId="27615"/>
    <cellStyle name="Formula 8 3" xfId="33624"/>
    <cellStyle name="Formula 9" xfId="19883"/>
    <cellStyle name="Fraction" xfId="2496"/>
    <cellStyle name="Fraction [8]" xfId="2497"/>
    <cellStyle name="Fraction [Bl]" xfId="2498"/>
    <cellStyle name="From" xfId="2499"/>
    <cellStyle name="FY" xfId="2500"/>
    <cellStyle name="g" xfId="2501"/>
    <cellStyle name="g_Balances de escisión" xfId="2502"/>
    <cellStyle name="G10" xfId="2503"/>
    <cellStyle name="gato1" xfId="2504"/>
    <cellStyle name="General" xfId="2505"/>
    <cellStyle name="Gesellschaft" xfId="2506"/>
    <cellStyle name="Gesellschaft 2" xfId="5277"/>
    <cellStyle name="Gewichte" xfId="2507"/>
    <cellStyle name="Good 2" xfId="2508"/>
    <cellStyle name="Grand Total" xfId="2509"/>
    <cellStyle name="Grand Total 2" xfId="5278"/>
    <cellStyle name="Grand Total 3" xfId="5279"/>
    <cellStyle name="Green" xfId="2510"/>
    <cellStyle name="Grey" xfId="2511"/>
    <cellStyle name="Grey 2" xfId="2512"/>
    <cellStyle name="Grey 3" xfId="2513"/>
    <cellStyle name="GROS" xfId="2514"/>
    <cellStyle name="Grouped Head" xfId="2515"/>
    <cellStyle name="Grouped Head 2" xfId="2516"/>
    <cellStyle name="Grouped Head 2 2" xfId="2517"/>
    <cellStyle name="Grouped Head 2 2 2" xfId="4000"/>
    <cellStyle name="Grouped Head 2 2 2 2" xfId="5280"/>
    <cellStyle name="Grouped Head 2 2 2 2 2" xfId="12740"/>
    <cellStyle name="Grouped Head 2 2 2 2 2 2" xfId="27616"/>
    <cellStyle name="Grouped Head 2 2 2 2 3" xfId="12741"/>
    <cellStyle name="Grouped Head 2 2 2 2 3 2" xfId="12742"/>
    <cellStyle name="Grouped Head 2 2 2 2 3 2 2" xfId="27618"/>
    <cellStyle name="Grouped Head 2 2 2 2 3 3" xfId="12743"/>
    <cellStyle name="Grouped Head 2 2 2 2 3 3 2" xfId="27619"/>
    <cellStyle name="Grouped Head 2 2 2 2 3 4" xfId="27617"/>
    <cellStyle name="Grouped Head 2 2 2 2 4" xfId="12744"/>
    <cellStyle name="Grouped Head 2 2 2 2 4 2" xfId="27620"/>
    <cellStyle name="Grouped Head 2 2 2 2 5" xfId="21158"/>
    <cellStyle name="Grouped Head 2 2 2 3" xfId="5281"/>
    <cellStyle name="Grouped Head 2 2 2 3 2" xfId="12745"/>
    <cellStyle name="Grouped Head 2 2 2 3 2 2" xfId="27621"/>
    <cellStyle name="Grouped Head 2 2 2 3 3" xfId="12746"/>
    <cellStyle name="Grouped Head 2 2 2 3 3 2" xfId="12747"/>
    <cellStyle name="Grouped Head 2 2 2 3 3 2 2" xfId="27623"/>
    <cellStyle name="Grouped Head 2 2 2 3 3 3" xfId="12748"/>
    <cellStyle name="Grouped Head 2 2 2 3 3 3 2" xfId="27624"/>
    <cellStyle name="Grouped Head 2 2 2 3 3 4" xfId="27622"/>
    <cellStyle name="Grouped Head 2 2 2 3 4" xfId="12749"/>
    <cellStyle name="Grouped Head 2 2 2 3 4 2" xfId="27625"/>
    <cellStyle name="Grouped Head 2 2 2 3 5" xfId="21159"/>
    <cellStyle name="Grouped Head 2 2 2 4" xfId="12750"/>
    <cellStyle name="Grouped Head 2 2 2 4 2" xfId="27626"/>
    <cellStyle name="Grouped Head 2 2 2 5" xfId="12751"/>
    <cellStyle name="Grouped Head 2 2 2 5 2" xfId="12752"/>
    <cellStyle name="Grouped Head 2 2 2 5 2 2" xfId="27628"/>
    <cellStyle name="Grouped Head 2 2 2 5 3" xfId="12753"/>
    <cellStyle name="Grouped Head 2 2 2 5 3 2" xfId="27629"/>
    <cellStyle name="Grouped Head 2 2 2 5 4" xfId="27627"/>
    <cellStyle name="Grouped Head 2 2 2 6" xfId="12754"/>
    <cellStyle name="Grouped Head 2 2 2 6 2" xfId="27630"/>
    <cellStyle name="Grouped Head 2 2 2 7" xfId="12755"/>
    <cellStyle name="Grouped Head 2 2 2 7 2" xfId="12756"/>
    <cellStyle name="Grouped Head 2 2 2 7 2 2" xfId="27632"/>
    <cellStyle name="Grouped Head 2 2 2 7 3" xfId="27631"/>
    <cellStyle name="Grouped Head 2 2 2 8" xfId="20151"/>
    <cellStyle name="Grouped Head 2 2 3" xfId="12757"/>
    <cellStyle name="Grouped Head 2 2 3 2" xfId="27633"/>
    <cellStyle name="Grouped Head 2 2 4" xfId="19889"/>
    <cellStyle name="Grouped Head 2 3" xfId="2518"/>
    <cellStyle name="Grouped Head 2 3 2" xfId="4001"/>
    <cellStyle name="Grouped Head 2 3 2 2" xfId="5282"/>
    <cellStyle name="Grouped Head 2 3 2 2 2" xfId="12758"/>
    <cellStyle name="Grouped Head 2 3 2 2 2 2" xfId="27634"/>
    <cellStyle name="Grouped Head 2 3 2 2 3" xfId="12759"/>
    <cellStyle name="Grouped Head 2 3 2 2 3 2" xfId="12760"/>
    <cellStyle name="Grouped Head 2 3 2 2 3 2 2" xfId="27636"/>
    <cellStyle name="Grouped Head 2 3 2 2 3 3" xfId="12761"/>
    <cellStyle name="Grouped Head 2 3 2 2 3 3 2" xfId="27637"/>
    <cellStyle name="Grouped Head 2 3 2 2 3 4" xfId="27635"/>
    <cellStyle name="Grouped Head 2 3 2 2 4" xfId="12762"/>
    <cellStyle name="Grouped Head 2 3 2 2 4 2" xfId="27638"/>
    <cellStyle name="Grouped Head 2 3 2 2 5" xfId="21160"/>
    <cellStyle name="Grouped Head 2 3 2 3" xfId="5283"/>
    <cellStyle name="Grouped Head 2 3 2 3 2" xfId="12763"/>
    <cellStyle name="Grouped Head 2 3 2 3 2 2" xfId="27639"/>
    <cellStyle name="Grouped Head 2 3 2 3 3" xfId="12764"/>
    <cellStyle name="Grouped Head 2 3 2 3 3 2" xfId="12765"/>
    <cellStyle name="Grouped Head 2 3 2 3 3 2 2" xfId="27641"/>
    <cellStyle name="Grouped Head 2 3 2 3 3 3" xfId="12766"/>
    <cellStyle name="Grouped Head 2 3 2 3 3 3 2" xfId="27642"/>
    <cellStyle name="Grouped Head 2 3 2 3 3 4" xfId="27640"/>
    <cellStyle name="Grouped Head 2 3 2 3 4" xfId="12767"/>
    <cellStyle name="Grouped Head 2 3 2 3 4 2" xfId="27643"/>
    <cellStyle name="Grouped Head 2 3 2 3 5" xfId="21161"/>
    <cellStyle name="Grouped Head 2 3 2 4" xfId="12768"/>
    <cellStyle name="Grouped Head 2 3 2 4 2" xfId="27644"/>
    <cellStyle name="Grouped Head 2 3 2 5" xfId="12769"/>
    <cellStyle name="Grouped Head 2 3 2 5 2" xfId="12770"/>
    <cellStyle name="Grouped Head 2 3 2 5 2 2" xfId="27646"/>
    <cellStyle name="Grouped Head 2 3 2 5 3" xfId="12771"/>
    <cellStyle name="Grouped Head 2 3 2 5 3 2" xfId="27647"/>
    <cellStyle name="Grouped Head 2 3 2 5 4" xfId="27645"/>
    <cellStyle name="Grouped Head 2 3 2 6" xfId="12772"/>
    <cellStyle name="Grouped Head 2 3 2 6 2" xfId="27648"/>
    <cellStyle name="Grouped Head 2 3 2 7" xfId="12773"/>
    <cellStyle name="Grouped Head 2 3 2 7 2" xfId="12774"/>
    <cellStyle name="Grouped Head 2 3 2 7 2 2" xfId="27650"/>
    <cellStyle name="Grouped Head 2 3 2 7 3" xfId="27649"/>
    <cellStyle name="Grouped Head 2 3 2 8" xfId="20152"/>
    <cellStyle name="Grouped Head 2 3 3" xfId="12775"/>
    <cellStyle name="Grouped Head 2 3 3 2" xfId="27651"/>
    <cellStyle name="Grouped Head 2 3 4" xfId="19890"/>
    <cellStyle name="Grouped Head 2 4" xfId="3999"/>
    <cellStyle name="Grouped Head 2 4 2" xfId="5284"/>
    <cellStyle name="Grouped Head 2 4 2 2" xfId="12776"/>
    <cellStyle name="Grouped Head 2 4 2 2 2" xfId="27652"/>
    <cellStyle name="Grouped Head 2 4 2 3" xfId="12777"/>
    <cellStyle name="Grouped Head 2 4 2 3 2" xfId="12778"/>
    <cellStyle name="Grouped Head 2 4 2 3 2 2" xfId="27654"/>
    <cellStyle name="Grouped Head 2 4 2 3 3" xfId="12779"/>
    <cellStyle name="Grouped Head 2 4 2 3 3 2" xfId="27655"/>
    <cellStyle name="Grouped Head 2 4 2 3 4" xfId="27653"/>
    <cellStyle name="Grouped Head 2 4 2 4" xfId="12780"/>
    <cellStyle name="Grouped Head 2 4 2 4 2" xfId="27656"/>
    <cellStyle name="Grouped Head 2 4 2 5" xfId="21162"/>
    <cellStyle name="Grouped Head 2 4 3" xfId="5285"/>
    <cellStyle name="Grouped Head 2 4 3 2" xfId="12781"/>
    <cellStyle name="Grouped Head 2 4 3 2 2" xfId="27657"/>
    <cellStyle name="Grouped Head 2 4 3 3" xfId="12782"/>
    <cellStyle name="Grouped Head 2 4 3 3 2" xfId="12783"/>
    <cellStyle name="Grouped Head 2 4 3 3 2 2" xfId="27659"/>
    <cellStyle name="Grouped Head 2 4 3 3 3" xfId="12784"/>
    <cellStyle name="Grouped Head 2 4 3 3 3 2" xfId="27660"/>
    <cellStyle name="Grouped Head 2 4 3 3 4" xfId="27658"/>
    <cellStyle name="Grouped Head 2 4 3 4" xfId="12785"/>
    <cellStyle name="Grouped Head 2 4 3 4 2" xfId="27661"/>
    <cellStyle name="Grouped Head 2 4 3 5" xfId="21163"/>
    <cellStyle name="Grouped Head 2 4 4" xfId="12786"/>
    <cellStyle name="Grouped Head 2 4 4 2" xfId="27662"/>
    <cellStyle name="Grouped Head 2 4 5" xfId="12787"/>
    <cellStyle name="Grouped Head 2 4 5 2" xfId="12788"/>
    <cellStyle name="Grouped Head 2 4 5 2 2" xfId="27664"/>
    <cellStyle name="Grouped Head 2 4 5 3" xfId="12789"/>
    <cellStyle name="Grouped Head 2 4 5 3 2" xfId="27665"/>
    <cellStyle name="Grouped Head 2 4 5 4" xfId="27663"/>
    <cellStyle name="Grouped Head 2 4 6" xfId="12790"/>
    <cellStyle name="Grouped Head 2 4 6 2" xfId="27666"/>
    <cellStyle name="Grouped Head 2 4 7" xfId="12791"/>
    <cellStyle name="Grouped Head 2 4 7 2" xfId="12792"/>
    <cellStyle name="Grouped Head 2 4 7 2 2" xfId="27668"/>
    <cellStyle name="Grouped Head 2 4 7 3" xfId="27667"/>
    <cellStyle name="Grouped Head 2 4 8" xfId="20150"/>
    <cellStyle name="Grouped Head 2 5" xfId="12793"/>
    <cellStyle name="Grouped Head 2 5 2" xfId="27669"/>
    <cellStyle name="Grouped Head 2 6" xfId="19888"/>
    <cellStyle name="Grouped Head 3" xfId="2519"/>
    <cellStyle name="Grouped Head 3 2" xfId="2520"/>
    <cellStyle name="Grouped Head 3 2 2" xfId="4003"/>
    <cellStyle name="Grouped Head 3 2 2 2" xfId="5286"/>
    <cellStyle name="Grouped Head 3 2 2 2 2" xfId="12794"/>
    <cellStyle name="Grouped Head 3 2 2 2 2 2" xfId="27670"/>
    <cellStyle name="Grouped Head 3 2 2 2 3" xfId="12795"/>
    <cellStyle name="Grouped Head 3 2 2 2 3 2" xfId="12796"/>
    <cellStyle name="Grouped Head 3 2 2 2 3 2 2" xfId="27672"/>
    <cellStyle name="Grouped Head 3 2 2 2 3 3" xfId="12797"/>
    <cellStyle name="Grouped Head 3 2 2 2 3 3 2" xfId="27673"/>
    <cellStyle name="Grouped Head 3 2 2 2 3 4" xfId="27671"/>
    <cellStyle name="Grouped Head 3 2 2 2 4" xfId="12798"/>
    <cellStyle name="Grouped Head 3 2 2 2 4 2" xfId="27674"/>
    <cellStyle name="Grouped Head 3 2 2 2 5" xfId="21164"/>
    <cellStyle name="Grouped Head 3 2 2 3" xfId="5287"/>
    <cellStyle name="Grouped Head 3 2 2 3 2" xfId="12799"/>
    <cellStyle name="Grouped Head 3 2 2 3 2 2" xfId="27675"/>
    <cellStyle name="Grouped Head 3 2 2 3 3" xfId="12800"/>
    <cellStyle name="Grouped Head 3 2 2 3 3 2" xfId="12801"/>
    <cellStyle name="Grouped Head 3 2 2 3 3 2 2" xfId="27677"/>
    <cellStyle name="Grouped Head 3 2 2 3 3 3" xfId="12802"/>
    <cellStyle name="Grouped Head 3 2 2 3 3 3 2" xfId="27678"/>
    <cellStyle name="Grouped Head 3 2 2 3 3 4" xfId="27676"/>
    <cellStyle name="Grouped Head 3 2 2 3 4" xfId="12803"/>
    <cellStyle name="Grouped Head 3 2 2 3 4 2" xfId="27679"/>
    <cellStyle name="Grouped Head 3 2 2 3 5" xfId="21165"/>
    <cellStyle name="Grouped Head 3 2 2 4" xfId="12804"/>
    <cellStyle name="Grouped Head 3 2 2 4 2" xfId="27680"/>
    <cellStyle name="Grouped Head 3 2 2 5" xfId="12805"/>
    <cellStyle name="Grouped Head 3 2 2 5 2" xfId="12806"/>
    <cellStyle name="Grouped Head 3 2 2 5 2 2" xfId="27682"/>
    <cellStyle name="Grouped Head 3 2 2 5 3" xfId="12807"/>
    <cellStyle name="Grouped Head 3 2 2 5 3 2" xfId="27683"/>
    <cellStyle name="Grouped Head 3 2 2 5 4" xfId="27681"/>
    <cellStyle name="Grouped Head 3 2 2 6" xfId="12808"/>
    <cellStyle name="Grouped Head 3 2 2 6 2" xfId="27684"/>
    <cellStyle name="Grouped Head 3 2 2 7" xfId="12809"/>
    <cellStyle name="Grouped Head 3 2 2 7 2" xfId="12810"/>
    <cellStyle name="Grouped Head 3 2 2 7 2 2" xfId="27686"/>
    <cellStyle name="Grouped Head 3 2 2 7 3" xfId="27685"/>
    <cellStyle name="Grouped Head 3 2 2 8" xfId="20154"/>
    <cellStyle name="Grouped Head 3 2 3" xfId="12811"/>
    <cellStyle name="Grouped Head 3 2 3 2" xfId="27687"/>
    <cellStyle name="Grouped Head 3 2 4" xfId="19892"/>
    <cellStyle name="Grouped Head 3 3" xfId="2521"/>
    <cellStyle name="Grouped Head 3 3 2" xfId="4004"/>
    <cellStyle name="Grouped Head 3 3 2 2" xfId="5288"/>
    <cellStyle name="Grouped Head 3 3 2 2 2" xfId="12812"/>
    <cellStyle name="Grouped Head 3 3 2 2 2 2" xfId="27688"/>
    <cellStyle name="Grouped Head 3 3 2 2 3" xfId="12813"/>
    <cellStyle name="Grouped Head 3 3 2 2 3 2" xfId="12814"/>
    <cellStyle name="Grouped Head 3 3 2 2 3 2 2" xfId="27690"/>
    <cellStyle name="Grouped Head 3 3 2 2 3 3" xfId="12815"/>
    <cellStyle name="Grouped Head 3 3 2 2 3 3 2" xfId="27691"/>
    <cellStyle name="Grouped Head 3 3 2 2 3 4" xfId="27689"/>
    <cellStyle name="Grouped Head 3 3 2 2 4" xfId="12816"/>
    <cellStyle name="Grouped Head 3 3 2 2 4 2" xfId="27692"/>
    <cellStyle name="Grouped Head 3 3 2 2 5" xfId="21166"/>
    <cellStyle name="Grouped Head 3 3 2 3" xfId="5289"/>
    <cellStyle name="Grouped Head 3 3 2 3 2" xfId="12817"/>
    <cellStyle name="Grouped Head 3 3 2 3 2 2" xfId="27693"/>
    <cellStyle name="Grouped Head 3 3 2 3 3" xfId="12818"/>
    <cellStyle name="Grouped Head 3 3 2 3 3 2" xfId="12819"/>
    <cellStyle name="Grouped Head 3 3 2 3 3 2 2" xfId="27695"/>
    <cellStyle name="Grouped Head 3 3 2 3 3 3" xfId="12820"/>
    <cellStyle name="Grouped Head 3 3 2 3 3 3 2" xfId="27696"/>
    <cellStyle name="Grouped Head 3 3 2 3 3 4" xfId="27694"/>
    <cellStyle name="Grouped Head 3 3 2 3 4" xfId="12821"/>
    <cellStyle name="Grouped Head 3 3 2 3 4 2" xfId="27697"/>
    <cellStyle name="Grouped Head 3 3 2 3 5" xfId="21167"/>
    <cellStyle name="Grouped Head 3 3 2 4" xfId="12822"/>
    <cellStyle name="Grouped Head 3 3 2 4 2" xfId="27698"/>
    <cellStyle name="Grouped Head 3 3 2 5" xfId="12823"/>
    <cellStyle name="Grouped Head 3 3 2 5 2" xfId="12824"/>
    <cellStyle name="Grouped Head 3 3 2 5 2 2" xfId="27700"/>
    <cellStyle name="Grouped Head 3 3 2 5 3" xfId="12825"/>
    <cellStyle name="Grouped Head 3 3 2 5 3 2" xfId="27701"/>
    <cellStyle name="Grouped Head 3 3 2 5 4" xfId="27699"/>
    <cellStyle name="Grouped Head 3 3 2 6" xfId="12826"/>
    <cellStyle name="Grouped Head 3 3 2 6 2" xfId="27702"/>
    <cellStyle name="Grouped Head 3 3 2 7" xfId="12827"/>
    <cellStyle name="Grouped Head 3 3 2 7 2" xfId="12828"/>
    <cellStyle name="Grouped Head 3 3 2 7 2 2" xfId="27704"/>
    <cellStyle name="Grouped Head 3 3 2 7 3" xfId="27703"/>
    <cellStyle name="Grouped Head 3 3 2 8" xfId="20155"/>
    <cellStyle name="Grouped Head 3 3 3" xfId="12829"/>
    <cellStyle name="Grouped Head 3 3 3 2" xfId="27705"/>
    <cellStyle name="Grouped Head 3 3 4" xfId="19893"/>
    <cellStyle name="Grouped Head 3 4" xfId="4002"/>
    <cellStyle name="Grouped Head 3 4 2" xfId="5290"/>
    <cellStyle name="Grouped Head 3 4 2 2" xfId="12830"/>
    <cellStyle name="Grouped Head 3 4 2 2 2" xfId="27706"/>
    <cellStyle name="Grouped Head 3 4 2 3" xfId="12831"/>
    <cellStyle name="Grouped Head 3 4 2 3 2" xfId="12832"/>
    <cellStyle name="Grouped Head 3 4 2 3 2 2" xfId="27708"/>
    <cellStyle name="Grouped Head 3 4 2 3 3" xfId="12833"/>
    <cellStyle name="Grouped Head 3 4 2 3 3 2" xfId="27709"/>
    <cellStyle name="Grouped Head 3 4 2 3 4" xfId="27707"/>
    <cellStyle name="Grouped Head 3 4 2 4" xfId="12834"/>
    <cellStyle name="Grouped Head 3 4 2 4 2" xfId="27710"/>
    <cellStyle name="Grouped Head 3 4 2 5" xfId="21168"/>
    <cellStyle name="Grouped Head 3 4 3" xfId="5291"/>
    <cellStyle name="Grouped Head 3 4 3 2" xfId="12835"/>
    <cellStyle name="Grouped Head 3 4 3 2 2" xfId="27711"/>
    <cellStyle name="Grouped Head 3 4 3 3" xfId="12836"/>
    <cellStyle name="Grouped Head 3 4 3 3 2" xfId="12837"/>
    <cellStyle name="Grouped Head 3 4 3 3 2 2" xfId="27713"/>
    <cellStyle name="Grouped Head 3 4 3 3 3" xfId="12838"/>
    <cellStyle name="Grouped Head 3 4 3 3 3 2" xfId="27714"/>
    <cellStyle name="Grouped Head 3 4 3 3 4" xfId="27712"/>
    <cellStyle name="Grouped Head 3 4 3 4" xfId="12839"/>
    <cellStyle name="Grouped Head 3 4 3 4 2" xfId="27715"/>
    <cellStyle name="Grouped Head 3 4 3 5" xfId="21169"/>
    <cellStyle name="Grouped Head 3 4 4" xfId="12840"/>
    <cellStyle name="Grouped Head 3 4 4 2" xfId="27716"/>
    <cellStyle name="Grouped Head 3 4 5" xfId="12841"/>
    <cellStyle name="Grouped Head 3 4 5 2" xfId="12842"/>
    <cellStyle name="Grouped Head 3 4 5 2 2" xfId="27718"/>
    <cellStyle name="Grouped Head 3 4 5 3" xfId="12843"/>
    <cellStyle name="Grouped Head 3 4 5 3 2" xfId="27719"/>
    <cellStyle name="Grouped Head 3 4 5 4" xfId="27717"/>
    <cellStyle name="Grouped Head 3 4 6" xfId="12844"/>
    <cellStyle name="Grouped Head 3 4 6 2" xfId="27720"/>
    <cellStyle name="Grouped Head 3 4 7" xfId="12845"/>
    <cellStyle name="Grouped Head 3 4 7 2" xfId="12846"/>
    <cellStyle name="Grouped Head 3 4 7 2 2" xfId="27722"/>
    <cellStyle name="Grouped Head 3 4 7 3" xfId="27721"/>
    <cellStyle name="Grouped Head 3 4 8" xfId="20153"/>
    <cellStyle name="Grouped Head 3 5" xfId="12847"/>
    <cellStyle name="Grouped Head 3 5 2" xfId="27723"/>
    <cellStyle name="Grouped Head 3 6" xfId="19891"/>
    <cellStyle name="Grouped Head 4" xfId="2522"/>
    <cellStyle name="Grouped Head 4 2" xfId="4005"/>
    <cellStyle name="Grouped Head 4 2 2" xfId="5292"/>
    <cellStyle name="Grouped Head 4 2 2 2" xfId="12848"/>
    <cellStyle name="Grouped Head 4 2 2 2 2" xfId="27724"/>
    <cellStyle name="Grouped Head 4 2 2 3" xfId="12849"/>
    <cellStyle name="Grouped Head 4 2 2 3 2" xfId="12850"/>
    <cellStyle name="Grouped Head 4 2 2 3 2 2" xfId="27726"/>
    <cellStyle name="Grouped Head 4 2 2 3 3" xfId="12851"/>
    <cellStyle name="Grouped Head 4 2 2 3 3 2" xfId="27727"/>
    <cellStyle name="Grouped Head 4 2 2 3 4" xfId="27725"/>
    <cellStyle name="Grouped Head 4 2 2 4" xfId="12852"/>
    <cellStyle name="Grouped Head 4 2 2 4 2" xfId="27728"/>
    <cellStyle name="Grouped Head 4 2 2 5" xfId="21170"/>
    <cellStyle name="Grouped Head 4 2 3" xfId="5293"/>
    <cellStyle name="Grouped Head 4 2 3 2" xfId="12853"/>
    <cellStyle name="Grouped Head 4 2 3 2 2" xfId="27729"/>
    <cellStyle name="Grouped Head 4 2 3 3" xfId="12854"/>
    <cellStyle name="Grouped Head 4 2 3 3 2" xfId="12855"/>
    <cellStyle name="Grouped Head 4 2 3 3 2 2" xfId="27731"/>
    <cellStyle name="Grouped Head 4 2 3 3 3" xfId="12856"/>
    <cellStyle name="Grouped Head 4 2 3 3 3 2" xfId="27732"/>
    <cellStyle name="Grouped Head 4 2 3 3 4" xfId="27730"/>
    <cellStyle name="Grouped Head 4 2 3 4" xfId="12857"/>
    <cellStyle name="Grouped Head 4 2 3 4 2" xfId="27733"/>
    <cellStyle name="Grouped Head 4 2 3 5" xfId="21171"/>
    <cellStyle name="Grouped Head 4 2 4" xfId="12858"/>
    <cellStyle name="Grouped Head 4 2 4 2" xfId="27734"/>
    <cellStyle name="Grouped Head 4 2 5" xfId="12859"/>
    <cellStyle name="Grouped Head 4 2 5 2" xfId="12860"/>
    <cellStyle name="Grouped Head 4 2 5 2 2" xfId="27736"/>
    <cellStyle name="Grouped Head 4 2 5 3" xfId="12861"/>
    <cellStyle name="Grouped Head 4 2 5 3 2" xfId="27737"/>
    <cellStyle name="Grouped Head 4 2 5 4" xfId="27735"/>
    <cellStyle name="Grouped Head 4 2 6" xfId="12862"/>
    <cellStyle name="Grouped Head 4 2 6 2" xfId="27738"/>
    <cellStyle name="Grouped Head 4 2 7" xfId="12863"/>
    <cellStyle name="Grouped Head 4 2 7 2" xfId="12864"/>
    <cellStyle name="Grouped Head 4 2 7 2 2" xfId="27740"/>
    <cellStyle name="Grouped Head 4 2 7 3" xfId="27739"/>
    <cellStyle name="Grouped Head 4 2 8" xfId="20156"/>
    <cellStyle name="Grouped Head 4 3" xfId="12865"/>
    <cellStyle name="Grouped Head 4 3 2" xfId="27741"/>
    <cellStyle name="Grouped Head 4 4" xfId="19894"/>
    <cellStyle name="Grouped Head 5" xfId="2523"/>
    <cellStyle name="Grouped Head 5 2" xfId="4006"/>
    <cellStyle name="Grouped Head 5 2 2" xfId="5294"/>
    <cellStyle name="Grouped Head 5 2 2 2" xfId="12866"/>
    <cellStyle name="Grouped Head 5 2 2 2 2" xfId="27742"/>
    <cellStyle name="Grouped Head 5 2 2 3" xfId="12867"/>
    <cellStyle name="Grouped Head 5 2 2 3 2" xfId="12868"/>
    <cellStyle name="Grouped Head 5 2 2 3 2 2" xfId="27744"/>
    <cellStyle name="Grouped Head 5 2 2 3 3" xfId="12869"/>
    <cellStyle name="Grouped Head 5 2 2 3 3 2" xfId="27745"/>
    <cellStyle name="Grouped Head 5 2 2 3 4" xfId="27743"/>
    <cellStyle name="Grouped Head 5 2 2 4" xfId="12870"/>
    <cellStyle name="Grouped Head 5 2 2 4 2" xfId="27746"/>
    <cellStyle name="Grouped Head 5 2 2 5" xfId="21172"/>
    <cellStyle name="Grouped Head 5 2 3" xfId="5295"/>
    <cellStyle name="Grouped Head 5 2 3 2" xfId="12871"/>
    <cellStyle name="Grouped Head 5 2 3 2 2" xfId="27747"/>
    <cellStyle name="Grouped Head 5 2 3 3" xfId="12872"/>
    <cellStyle name="Grouped Head 5 2 3 3 2" xfId="12873"/>
    <cellStyle name="Grouped Head 5 2 3 3 2 2" xfId="27749"/>
    <cellStyle name="Grouped Head 5 2 3 3 3" xfId="12874"/>
    <cellStyle name="Grouped Head 5 2 3 3 3 2" xfId="27750"/>
    <cellStyle name="Grouped Head 5 2 3 3 4" xfId="27748"/>
    <cellStyle name="Grouped Head 5 2 3 4" xfId="12875"/>
    <cellStyle name="Grouped Head 5 2 3 4 2" xfId="27751"/>
    <cellStyle name="Grouped Head 5 2 3 5" xfId="21173"/>
    <cellStyle name="Grouped Head 5 2 4" xfId="12876"/>
    <cellStyle name="Grouped Head 5 2 4 2" xfId="27752"/>
    <cellStyle name="Grouped Head 5 2 5" xfId="12877"/>
    <cellStyle name="Grouped Head 5 2 5 2" xfId="12878"/>
    <cellStyle name="Grouped Head 5 2 5 2 2" xfId="27754"/>
    <cellStyle name="Grouped Head 5 2 5 3" xfId="12879"/>
    <cellStyle name="Grouped Head 5 2 5 3 2" xfId="27755"/>
    <cellStyle name="Grouped Head 5 2 5 4" xfId="27753"/>
    <cellStyle name="Grouped Head 5 2 6" xfId="12880"/>
    <cellStyle name="Grouped Head 5 2 6 2" xfId="27756"/>
    <cellStyle name="Grouped Head 5 2 7" xfId="12881"/>
    <cellStyle name="Grouped Head 5 2 7 2" xfId="12882"/>
    <cellStyle name="Grouped Head 5 2 7 2 2" xfId="27758"/>
    <cellStyle name="Grouped Head 5 2 7 3" xfId="27757"/>
    <cellStyle name="Grouped Head 5 2 8" xfId="20157"/>
    <cellStyle name="Grouped Head 5 3" xfId="12883"/>
    <cellStyle name="Grouped Head 5 3 2" xfId="27759"/>
    <cellStyle name="Grouped Head 5 4" xfId="19895"/>
    <cellStyle name="Grouped Head 6" xfId="3998"/>
    <cellStyle name="Grouped Head 6 2" xfId="5296"/>
    <cellStyle name="Grouped Head 6 2 2" xfId="12884"/>
    <cellStyle name="Grouped Head 6 2 2 2" xfId="27760"/>
    <cellStyle name="Grouped Head 6 2 3" xfId="12885"/>
    <cellStyle name="Grouped Head 6 2 3 2" xfId="12886"/>
    <cellStyle name="Grouped Head 6 2 3 2 2" xfId="27762"/>
    <cellStyle name="Grouped Head 6 2 3 3" xfId="12887"/>
    <cellStyle name="Grouped Head 6 2 3 3 2" xfId="27763"/>
    <cellStyle name="Grouped Head 6 2 3 4" xfId="27761"/>
    <cellStyle name="Grouped Head 6 2 4" xfId="12888"/>
    <cellStyle name="Grouped Head 6 2 4 2" xfId="27764"/>
    <cellStyle name="Grouped Head 6 2 5" xfId="21174"/>
    <cellStyle name="Grouped Head 6 3" xfId="5297"/>
    <cellStyle name="Grouped Head 6 3 2" xfId="12889"/>
    <cellStyle name="Grouped Head 6 3 2 2" xfId="27765"/>
    <cellStyle name="Grouped Head 6 3 3" xfId="12890"/>
    <cellStyle name="Grouped Head 6 3 3 2" xfId="12891"/>
    <cellStyle name="Grouped Head 6 3 3 2 2" xfId="27767"/>
    <cellStyle name="Grouped Head 6 3 3 3" xfId="12892"/>
    <cellStyle name="Grouped Head 6 3 3 3 2" xfId="27768"/>
    <cellStyle name="Grouped Head 6 3 3 4" xfId="27766"/>
    <cellStyle name="Grouped Head 6 3 4" xfId="12893"/>
    <cellStyle name="Grouped Head 6 3 4 2" xfId="27769"/>
    <cellStyle name="Grouped Head 6 3 5" xfId="21175"/>
    <cellStyle name="Grouped Head 6 4" xfId="12894"/>
    <cellStyle name="Grouped Head 6 4 2" xfId="27770"/>
    <cellStyle name="Grouped Head 6 5" xfId="12895"/>
    <cellStyle name="Grouped Head 6 5 2" xfId="12896"/>
    <cellStyle name="Grouped Head 6 5 2 2" xfId="27772"/>
    <cellStyle name="Grouped Head 6 5 3" xfId="12897"/>
    <cellStyle name="Grouped Head 6 5 3 2" xfId="27773"/>
    <cellStyle name="Grouped Head 6 5 4" xfId="27771"/>
    <cellStyle name="Grouped Head 6 6" xfId="12898"/>
    <cellStyle name="Grouped Head 6 6 2" xfId="27774"/>
    <cellStyle name="Grouped Head 6 7" xfId="12899"/>
    <cellStyle name="Grouped Head 6 7 2" xfId="12900"/>
    <cellStyle name="Grouped Head 6 7 2 2" xfId="27776"/>
    <cellStyle name="Grouped Head 6 7 3" xfId="27775"/>
    <cellStyle name="Grouped Head 6 8" xfId="20149"/>
    <cellStyle name="Grouped Head 7" xfId="12901"/>
    <cellStyle name="Grouped Head 7 2" xfId="27777"/>
    <cellStyle name="Grouped Head 8" xfId="19887"/>
    <cellStyle name="gs]_x000d__x000a_Window=0,0,640,480, , ,3_x000d__x000a_dir1=5,7,637,250,-1,-1,1,30,201,1905,231,G:\UGRC\RB\B-DADOS\FOX-PRO\CRED-VEN\KP" xfId="2524"/>
    <cellStyle name="H1 (2)_FCG046A" xfId="2525"/>
    <cellStyle name="Hard Percent" xfId="2526"/>
    <cellStyle name="Hauptkriterien" xfId="2527"/>
    <cellStyle name="Head/Foot" xfId="2528"/>
    <cellStyle name="HeadBig" xfId="2529"/>
    <cellStyle name="Header" xfId="2530"/>
    <cellStyle name="Header 10" xfId="12902"/>
    <cellStyle name="Header 10 2" xfId="27778"/>
    <cellStyle name="Header 11" xfId="12903"/>
    <cellStyle name="Header 11 2" xfId="27779"/>
    <cellStyle name="Header 12" xfId="19896"/>
    <cellStyle name="HEADER 2" xfId="2531"/>
    <cellStyle name="HEADER 3" xfId="2532"/>
    <cellStyle name="Header 4" xfId="2533"/>
    <cellStyle name="Header 4 2" xfId="4008"/>
    <cellStyle name="Header 4 2 2" xfId="5298"/>
    <cellStyle name="Header 4 2 2 2" xfId="12904"/>
    <cellStyle name="Header 4 2 2 2 2" xfId="27780"/>
    <cellStyle name="Header 4 2 2 3" xfId="12905"/>
    <cellStyle name="Header 4 2 2 3 2" xfId="12906"/>
    <cellStyle name="Header 4 2 2 3 2 2" xfId="27782"/>
    <cellStyle name="Header 4 2 2 3 3" xfId="12907"/>
    <cellStyle name="Header 4 2 2 3 3 2" xfId="27783"/>
    <cellStyle name="Header 4 2 2 3 4" xfId="27781"/>
    <cellStyle name="Header 4 2 2 4" xfId="12908"/>
    <cellStyle name="Header 4 2 2 4 2" xfId="27784"/>
    <cellStyle name="Header 4 2 2 5" xfId="21176"/>
    <cellStyle name="Header 4 2 3" xfId="5299"/>
    <cellStyle name="Header 4 2 3 2" xfId="12909"/>
    <cellStyle name="Header 4 2 3 2 2" xfId="27785"/>
    <cellStyle name="Header 4 2 3 3" xfId="12910"/>
    <cellStyle name="Header 4 2 3 3 2" xfId="12911"/>
    <cellStyle name="Header 4 2 3 3 2 2" xfId="27787"/>
    <cellStyle name="Header 4 2 3 3 3" xfId="12912"/>
    <cellStyle name="Header 4 2 3 3 3 2" xfId="27788"/>
    <cellStyle name="Header 4 2 3 3 4" xfId="27786"/>
    <cellStyle name="Header 4 2 3 4" xfId="12913"/>
    <cellStyle name="Header 4 2 3 4 2" xfId="27789"/>
    <cellStyle name="Header 4 2 3 5" xfId="21177"/>
    <cellStyle name="Header 4 2 4" xfId="12914"/>
    <cellStyle name="Header 4 2 4 2" xfId="27790"/>
    <cellStyle name="Header 4 2 5" xfId="12915"/>
    <cellStyle name="Header 4 2 5 2" xfId="12916"/>
    <cellStyle name="Header 4 2 5 2 2" xfId="27792"/>
    <cellStyle name="Header 4 2 5 3" xfId="12917"/>
    <cellStyle name="Header 4 2 5 3 2" xfId="27793"/>
    <cellStyle name="Header 4 2 5 4" xfId="27791"/>
    <cellStyle name="Header 4 2 6" xfId="12918"/>
    <cellStyle name="Header 4 2 6 2" xfId="27794"/>
    <cellStyle name="Header 4 2 7" xfId="12919"/>
    <cellStyle name="Header 4 2 7 2" xfId="12920"/>
    <cellStyle name="Header 4 2 7 2 2" xfId="27796"/>
    <cellStyle name="Header 4 2 7 3" xfId="27795"/>
    <cellStyle name="Header 4 2 8" xfId="20159"/>
    <cellStyle name="Header 4 3" xfId="12921"/>
    <cellStyle name="Header 4 3 2" xfId="27797"/>
    <cellStyle name="Header 4 4" xfId="19897"/>
    <cellStyle name="Header 5" xfId="2534"/>
    <cellStyle name="Header 5 2" xfId="4009"/>
    <cellStyle name="Header 5 2 2" xfId="5300"/>
    <cellStyle name="Header 5 2 2 2" xfId="12922"/>
    <cellStyle name="Header 5 2 2 2 2" xfId="27798"/>
    <cellStyle name="Header 5 2 2 3" xfId="12923"/>
    <cellStyle name="Header 5 2 2 3 2" xfId="12924"/>
    <cellStyle name="Header 5 2 2 3 2 2" xfId="27800"/>
    <cellStyle name="Header 5 2 2 3 3" xfId="12925"/>
    <cellStyle name="Header 5 2 2 3 3 2" xfId="27801"/>
    <cellStyle name="Header 5 2 2 3 4" xfId="27799"/>
    <cellStyle name="Header 5 2 2 4" xfId="12926"/>
    <cellStyle name="Header 5 2 2 4 2" xfId="27802"/>
    <cellStyle name="Header 5 2 2 5" xfId="21178"/>
    <cellStyle name="Header 5 2 3" xfId="5301"/>
    <cellStyle name="Header 5 2 3 2" xfId="12927"/>
    <cellStyle name="Header 5 2 3 2 2" xfId="27803"/>
    <cellStyle name="Header 5 2 3 3" xfId="12928"/>
    <cellStyle name="Header 5 2 3 3 2" xfId="12929"/>
    <cellStyle name="Header 5 2 3 3 2 2" xfId="27805"/>
    <cellStyle name="Header 5 2 3 3 3" xfId="12930"/>
    <cellStyle name="Header 5 2 3 3 3 2" xfId="27806"/>
    <cellStyle name="Header 5 2 3 3 4" xfId="27804"/>
    <cellStyle name="Header 5 2 3 4" xfId="12931"/>
    <cellStyle name="Header 5 2 3 4 2" xfId="27807"/>
    <cellStyle name="Header 5 2 3 5" xfId="21179"/>
    <cellStyle name="Header 5 2 4" xfId="12932"/>
    <cellStyle name="Header 5 2 4 2" xfId="27808"/>
    <cellStyle name="Header 5 2 5" xfId="12933"/>
    <cellStyle name="Header 5 2 5 2" xfId="12934"/>
    <cellStyle name="Header 5 2 5 2 2" xfId="27810"/>
    <cellStyle name="Header 5 2 5 3" xfId="12935"/>
    <cellStyle name="Header 5 2 5 3 2" xfId="27811"/>
    <cellStyle name="Header 5 2 5 4" xfId="27809"/>
    <cellStyle name="Header 5 2 6" xfId="12936"/>
    <cellStyle name="Header 5 2 6 2" xfId="27812"/>
    <cellStyle name="Header 5 2 7" xfId="12937"/>
    <cellStyle name="Header 5 2 7 2" xfId="12938"/>
    <cellStyle name="Header 5 2 7 2 2" xfId="27814"/>
    <cellStyle name="Header 5 2 7 3" xfId="27813"/>
    <cellStyle name="Header 5 2 8" xfId="20160"/>
    <cellStyle name="Header 5 3" xfId="12939"/>
    <cellStyle name="Header 5 3 2" xfId="27815"/>
    <cellStyle name="Header 5 4" xfId="19898"/>
    <cellStyle name="Header 6" xfId="2535"/>
    <cellStyle name="Header 6 2" xfId="4010"/>
    <cellStyle name="Header 6 2 2" xfId="5302"/>
    <cellStyle name="Header 6 2 2 2" xfId="12940"/>
    <cellStyle name="Header 6 2 2 2 2" xfId="27816"/>
    <cellStyle name="Header 6 2 2 3" xfId="12941"/>
    <cellStyle name="Header 6 2 2 3 2" xfId="12942"/>
    <cellStyle name="Header 6 2 2 3 2 2" xfId="27818"/>
    <cellStyle name="Header 6 2 2 3 3" xfId="12943"/>
    <cellStyle name="Header 6 2 2 3 3 2" xfId="27819"/>
    <cellStyle name="Header 6 2 2 3 4" xfId="27817"/>
    <cellStyle name="Header 6 2 2 4" xfId="12944"/>
    <cellStyle name="Header 6 2 2 4 2" xfId="27820"/>
    <cellStyle name="Header 6 2 2 5" xfId="21180"/>
    <cellStyle name="Header 6 2 3" xfId="5303"/>
    <cellStyle name="Header 6 2 3 2" xfId="12945"/>
    <cellStyle name="Header 6 2 3 2 2" xfId="27821"/>
    <cellStyle name="Header 6 2 3 3" xfId="12946"/>
    <cellStyle name="Header 6 2 3 3 2" xfId="12947"/>
    <cellStyle name="Header 6 2 3 3 2 2" xfId="27823"/>
    <cellStyle name="Header 6 2 3 3 3" xfId="12948"/>
    <cellStyle name="Header 6 2 3 3 3 2" xfId="27824"/>
    <cellStyle name="Header 6 2 3 3 4" xfId="27822"/>
    <cellStyle name="Header 6 2 3 4" xfId="12949"/>
    <cellStyle name="Header 6 2 3 4 2" xfId="27825"/>
    <cellStyle name="Header 6 2 3 5" xfId="21181"/>
    <cellStyle name="Header 6 2 4" xfId="12950"/>
    <cellStyle name="Header 6 2 4 2" xfId="27826"/>
    <cellStyle name="Header 6 2 5" xfId="12951"/>
    <cellStyle name="Header 6 2 5 2" xfId="12952"/>
    <cellStyle name="Header 6 2 5 2 2" xfId="27828"/>
    <cellStyle name="Header 6 2 5 3" xfId="12953"/>
    <cellStyle name="Header 6 2 5 3 2" xfId="27829"/>
    <cellStyle name="Header 6 2 5 4" xfId="27827"/>
    <cellStyle name="Header 6 2 6" xfId="12954"/>
    <cellStyle name="Header 6 2 6 2" xfId="27830"/>
    <cellStyle name="Header 6 2 7" xfId="12955"/>
    <cellStyle name="Header 6 2 7 2" xfId="12956"/>
    <cellStyle name="Header 6 2 7 2 2" xfId="27832"/>
    <cellStyle name="Header 6 2 7 3" xfId="27831"/>
    <cellStyle name="Header 6 2 8" xfId="20161"/>
    <cellStyle name="Header 6 3" xfId="12957"/>
    <cellStyle name="Header 6 3 2" xfId="27833"/>
    <cellStyle name="Header 6 4" xfId="19899"/>
    <cellStyle name="Header 7" xfId="4007"/>
    <cellStyle name="Header 7 2" xfId="5304"/>
    <cellStyle name="Header 7 2 2" xfId="12958"/>
    <cellStyle name="Header 7 2 2 2" xfId="27834"/>
    <cellStyle name="Header 7 2 3" xfId="12959"/>
    <cellStyle name="Header 7 2 3 2" xfId="12960"/>
    <cellStyle name="Header 7 2 3 2 2" xfId="27836"/>
    <cellStyle name="Header 7 2 3 3" xfId="12961"/>
    <cellStyle name="Header 7 2 3 3 2" xfId="27837"/>
    <cellStyle name="Header 7 2 3 4" xfId="27835"/>
    <cellStyle name="Header 7 2 4" xfId="12962"/>
    <cellStyle name="Header 7 2 4 2" xfId="27838"/>
    <cellStyle name="Header 7 2 5" xfId="21182"/>
    <cellStyle name="Header 7 3" xfId="5305"/>
    <cellStyle name="Header 7 3 2" xfId="12963"/>
    <cellStyle name="Header 7 3 2 2" xfId="27839"/>
    <cellStyle name="Header 7 3 3" xfId="12964"/>
    <cellStyle name="Header 7 3 3 2" xfId="12965"/>
    <cellStyle name="Header 7 3 3 2 2" xfId="27841"/>
    <cellStyle name="Header 7 3 3 3" xfId="12966"/>
    <cellStyle name="Header 7 3 3 3 2" xfId="27842"/>
    <cellStyle name="Header 7 3 3 4" xfId="27840"/>
    <cellStyle name="Header 7 3 4" xfId="12967"/>
    <cellStyle name="Header 7 3 4 2" xfId="27843"/>
    <cellStyle name="Header 7 3 5" xfId="21183"/>
    <cellStyle name="Header 7 4" xfId="12968"/>
    <cellStyle name="Header 7 4 2" xfId="27844"/>
    <cellStyle name="Header 7 5" xfId="12969"/>
    <cellStyle name="Header 7 5 2" xfId="12970"/>
    <cellStyle name="Header 7 5 2 2" xfId="27846"/>
    <cellStyle name="Header 7 5 3" xfId="12971"/>
    <cellStyle name="Header 7 5 3 2" xfId="27847"/>
    <cellStyle name="Header 7 5 4" xfId="27845"/>
    <cellStyle name="Header 7 6" xfId="12972"/>
    <cellStyle name="Header 7 6 2" xfId="27848"/>
    <cellStyle name="Header 7 7" xfId="12973"/>
    <cellStyle name="Header 7 7 2" xfId="12974"/>
    <cellStyle name="Header 7 7 2 2" xfId="27850"/>
    <cellStyle name="Header 7 7 3" xfId="27849"/>
    <cellStyle name="Header 7 8" xfId="20158"/>
    <cellStyle name="Header 8" xfId="5306"/>
    <cellStyle name="Header 8 2" xfId="12975"/>
    <cellStyle name="Header 8 2 2" xfId="27851"/>
    <cellStyle name="Header 8 3" xfId="12976"/>
    <cellStyle name="Header 8 3 2" xfId="12977"/>
    <cellStyle name="Header 8 3 2 2" xfId="27853"/>
    <cellStyle name="Header 8 3 3" xfId="12978"/>
    <cellStyle name="Header 8 3 3 2" xfId="27854"/>
    <cellStyle name="Header 8 3 4" xfId="27852"/>
    <cellStyle name="Header 8 4" xfId="12979"/>
    <cellStyle name="Header 8 4 2" xfId="27855"/>
    <cellStyle name="Header 8 5" xfId="12980"/>
    <cellStyle name="Header 8 5 2" xfId="12981"/>
    <cellStyle name="Header 8 5 2 2" xfId="27857"/>
    <cellStyle name="Header 8 5 3" xfId="27856"/>
    <cellStyle name="Header 8 6" xfId="21184"/>
    <cellStyle name="Header 9" xfId="5307"/>
    <cellStyle name="Header 9 2" xfId="12982"/>
    <cellStyle name="Header 9 2 2" xfId="27858"/>
    <cellStyle name="Header 9 3" xfId="12983"/>
    <cellStyle name="Header 9 3 2" xfId="12984"/>
    <cellStyle name="Header 9 3 2 2" xfId="27860"/>
    <cellStyle name="Header 9 3 3" xfId="12985"/>
    <cellStyle name="Header 9 3 3 2" xfId="27861"/>
    <cellStyle name="Header 9 3 4" xfId="27859"/>
    <cellStyle name="Header 9 4" xfId="12986"/>
    <cellStyle name="Header 9 4 2" xfId="27862"/>
    <cellStyle name="Header 9 5" xfId="12987"/>
    <cellStyle name="Header 9 5 2" xfId="12988"/>
    <cellStyle name="Header 9 5 2 2" xfId="27864"/>
    <cellStyle name="Header 9 5 3" xfId="27863"/>
    <cellStyle name="Header 9 6" xfId="21185"/>
    <cellStyle name="Header1" xfId="2536"/>
    <cellStyle name="Header1 10" xfId="12989"/>
    <cellStyle name="Header1 10 2" xfId="33625"/>
    <cellStyle name="Header1 11" xfId="12990"/>
    <cellStyle name="Header1 11 2" xfId="33626"/>
    <cellStyle name="Header1 2" xfId="2537"/>
    <cellStyle name="Header1 2 2" xfId="3950"/>
    <cellStyle name="Header1 2 2 10" xfId="4618"/>
    <cellStyle name="Header1 2 2 10 2" xfId="20539"/>
    <cellStyle name="Header1 2 2 11" xfId="4635"/>
    <cellStyle name="Header1 2 2 11 2" xfId="20550"/>
    <cellStyle name="Header1 2 2 12" xfId="4646"/>
    <cellStyle name="Header1 2 2 12 2" xfId="20561"/>
    <cellStyle name="Header1 2 2 13" xfId="4655"/>
    <cellStyle name="Header1 2 2 13 2" xfId="20568"/>
    <cellStyle name="Header1 2 2 14" xfId="4662"/>
    <cellStyle name="Header1 2 2 14 2" xfId="20575"/>
    <cellStyle name="Header1 2 2 15" xfId="4669"/>
    <cellStyle name="Header1 2 2 15 2" xfId="20582"/>
    <cellStyle name="Header1 2 2 16" xfId="20104"/>
    <cellStyle name="Header1 2 2 2" xfId="4576"/>
    <cellStyle name="Header1 2 2 2 2" xfId="12991"/>
    <cellStyle name="Header1 2 2 2 2 2" xfId="33627"/>
    <cellStyle name="Header1 2 2 2 3" xfId="20503"/>
    <cellStyle name="Header1 2 2 3" xfId="4583"/>
    <cellStyle name="Header1 2 2 3 2" xfId="12992"/>
    <cellStyle name="Header1 2 2 3 2 2" xfId="33628"/>
    <cellStyle name="Header1 2 2 3 3" xfId="20509"/>
    <cellStyle name="Header1 2 2 4" xfId="4592"/>
    <cellStyle name="Header1 2 2 4 2" xfId="12993"/>
    <cellStyle name="Header1 2 2 4 2 2" xfId="33629"/>
    <cellStyle name="Header1 2 2 4 3" xfId="20517"/>
    <cellStyle name="Header1 2 2 5" xfId="4532"/>
    <cellStyle name="Header1 2 2 5 2" xfId="12994"/>
    <cellStyle name="Header1 2 2 5 2 2" xfId="33630"/>
    <cellStyle name="Header1 2 2 5 3" xfId="20473"/>
    <cellStyle name="Header1 2 2 6" xfId="4602"/>
    <cellStyle name="Header1 2 2 6 2" xfId="12995"/>
    <cellStyle name="Header1 2 2 6 2 2" xfId="33631"/>
    <cellStyle name="Header1 2 2 6 3" xfId="20524"/>
    <cellStyle name="Header1 2 2 7" xfId="4607"/>
    <cellStyle name="Header1 2 2 7 2" xfId="20529"/>
    <cellStyle name="Header1 2 2 8" xfId="4610"/>
    <cellStyle name="Header1 2 2 8 2" xfId="20532"/>
    <cellStyle name="Header1 2 2 9" xfId="4135"/>
    <cellStyle name="Header1 2 2 9 2" xfId="20253"/>
    <cellStyle name="Header1 2 3" xfId="12996"/>
    <cellStyle name="Header1 2 3 2" xfId="12997"/>
    <cellStyle name="Header1 2 3 2 2" xfId="33633"/>
    <cellStyle name="Header1 2 3 3" xfId="33632"/>
    <cellStyle name="Header1 2 4" xfId="12998"/>
    <cellStyle name="Header1 2 4 2" xfId="12999"/>
    <cellStyle name="Header1 2 4 2 2" xfId="33635"/>
    <cellStyle name="Header1 2 4 3" xfId="33634"/>
    <cellStyle name="Header1 2 5" xfId="13000"/>
    <cellStyle name="Header1 2 5 2" xfId="13001"/>
    <cellStyle name="Header1 2 5 2 2" xfId="33637"/>
    <cellStyle name="Header1 2 5 3" xfId="33636"/>
    <cellStyle name="Header1 2 6" xfId="13002"/>
    <cellStyle name="Header1 2 6 2" xfId="13003"/>
    <cellStyle name="Header1 2 6 2 2" xfId="33639"/>
    <cellStyle name="Header1 2 6 3" xfId="33638"/>
    <cellStyle name="Header1 2 7" xfId="13004"/>
    <cellStyle name="Header1 2 7 2" xfId="13005"/>
    <cellStyle name="Header1 2 7 2 2" xfId="33641"/>
    <cellStyle name="Header1 2 7 3" xfId="33640"/>
    <cellStyle name="Header1 2 8" xfId="13006"/>
    <cellStyle name="Header1 2 8 2" xfId="33642"/>
    <cellStyle name="Header1 2 9" xfId="13007"/>
    <cellStyle name="Header1 2 9 2" xfId="33643"/>
    <cellStyle name="Header1 3" xfId="2538"/>
    <cellStyle name="Header1 3 2" xfId="3951"/>
    <cellStyle name="Header1 3 2 10" xfId="4619"/>
    <cellStyle name="Header1 3 2 10 2" xfId="20540"/>
    <cellStyle name="Header1 3 2 11" xfId="4636"/>
    <cellStyle name="Header1 3 2 11 2" xfId="20551"/>
    <cellStyle name="Header1 3 2 12" xfId="4647"/>
    <cellStyle name="Header1 3 2 12 2" xfId="20562"/>
    <cellStyle name="Header1 3 2 13" xfId="4656"/>
    <cellStyle name="Header1 3 2 13 2" xfId="20569"/>
    <cellStyle name="Header1 3 2 14" xfId="4663"/>
    <cellStyle name="Header1 3 2 14 2" xfId="20576"/>
    <cellStyle name="Header1 3 2 15" xfId="4670"/>
    <cellStyle name="Header1 3 2 15 2" xfId="20583"/>
    <cellStyle name="Header1 3 2 16" xfId="20105"/>
    <cellStyle name="Header1 3 2 2" xfId="4577"/>
    <cellStyle name="Header1 3 2 2 2" xfId="13008"/>
    <cellStyle name="Header1 3 2 2 2 2" xfId="33644"/>
    <cellStyle name="Header1 3 2 2 3" xfId="20504"/>
    <cellStyle name="Header1 3 2 3" xfId="4584"/>
    <cellStyle name="Header1 3 2 3 2" xfId="13009"/>
    <cellStyle name="Header1 3 2 3 2 2" xfId="33645"/>
    <cellStyle name="Header1 3 2 3 3" xfId="20510"/>
    <cellStyle name="Header1 3 2 4" xfId="4593"/>
    <cellStyle name="Header1 3 2 4 2" xfId="13010"/>
    <cellStyle name="Header1 3 2 4 2 2" xfId="33646"/>
    <cellStyle name="Header1 3 2 4 3" xfId="20518"/>
    <cellStyle name="Header1 3 2 5" xfId="4191"/>
    <cellStyle name="Header1 3 2 5 2" xfId="13011"/>
    <cellStyle name="Header1 3 2 5 2 2" xfId="33647"/>
    <cellStyle name="Header1 3 2 5 3" xfId="20286"/>
    <cellStyle name="Header1 3 2 6" xfId="4603"/>
    <cellStyle name="Header1 3 2 6 2" xfId="13012"/>
    <cellStyle name="Header1 3 2 6 2 2" xfId="33648"/>
    <cellStyle name="Header1 3 2 6 3" xfId="20525"/>
    <cellStyle name="Header1 3 2 7" xfId="4608"/>
    <cellStyle name="Header1 3 2 7 2" xfId="20530"/>
    <cellStyle name="Header1 3 2 8" xfId="4611"/>
    <cellStyle name="Header1 3 2 8 2" xfId="20533"/>
    <cellStyle name="Header1 3 2 9" xfId="4058"/>
    <cellStyle name="Header1 3 2 9 2" xfId="20207"/>
    <cellStyle name="Header1 3 3" xfId="13013"/>
    <cellStyle name="Header1 3 3 2" xfId="13014"/>
    <cellStyle name="Header1 3 3 2 2" xfId="33650"/>
    <cellStyle name="Header1 3 3 3" xfId="33649"/>
    <cellStyle name="Header1 3 4" xfId="13015"/>
    <cellStyle name="Header1 3 4 2" xfId="13016"/>
    <cellStyle name="Header1 3 4 2 2" xfId="33652"/>
    <cellStyle name="Header1 3 4 3" xfId="33651"/>
    <cellStyle name="Header1 3 5" xfId="13017"/>
    <cellStyle name="Header1 3 5 2" xfId="13018"/>
    <cellStyle name="Header1 3 5 2 2" xfId="33654"/>
    <cellStyle name="Header1 3 5 3" xfId="33653"/>
    <cellStyle name="Header1 3 6" xfId="13019"/>
    <cellStyle name="Header1 3 6 2" xfId="13020"/>
    <cellStyle name="Header1 3 6 2 2" xfId="33656"/>
    <cellStyle name="Header1 3 6 3" xfId="33655"/>
    <cellStyle name="Header1 3 7" xfId="13021"/>
    <cellStyle name="Header1 3 7 2" xfId="13022"/>
    <cellStyle name="Header1 3 7 2 2" xfId="33658"/>
    <cellStyle name="Header1 3 7 3" xfId="33657"/>
    <cellStyle name="Header1 3 8" xfId="13023"/>
    <cellStyle name="Header1 3 8 2" xfId="33659"/>
    <cellStyle name="Header1 3 9" xfId="13024"/>
    <cellStyle name="Header1 3 9 2" xfId="33660"/>
    <cellStyle name="Header1 4" xfId="3949"/>
    <cellStyle name="Header1 4 10" xfId="4617"/>
    <cellStyle name="Header1 4 10 2" xfId="20538"/>
    <cellStyle name="Header1 4 11" xfId="4634"/>
    <cellStyle name="Header1 4 11 2" xfId="20549"/>
    <cellStyle name="Header1 4 12" xfId="4645"/>
    <cellStyle name="Header1 4 12 2" xfId="20560"/>
    <cellStyle name="Header1 4 13" xfId="4654"/>
    <cellStyle name="Header1 4 13 2" xfId="20567"/>
    <cellStyle name="Header1 4 14" xfId="4661"/>
    <cellStyle name="Header1 4 14 2" xfId="20574"/>
    <cellStyle name="Header1 4 15" xfId="4668"/>
    <cellStyle name="Header1 4 15 2" xfId="20581"/>
    <cellStyle name="Header1 4 16" xfId="20103"/>
    <cellStyle name="Header1 4 2" xfId="4575"/>
    <cellStyle name="Header1 4 2 2" xfId="13025"/>
    <cellStyle name="Header1 4 2 2 2" xfId="33661"/>
    <cellStyle name="Header1 4 2 3" xfId="20502"/>
    <cellStyle name="Header1 4 3" xfId="4582"/>
    <cellStyle name="Header1 4 3 2" xfId="13026"/>
    <cellStyle name="Header1 4 3 2 2" xfId="33662"/>
    <cellStyle name="Header1 4 3 3" xfId="20508"/>
    <cellStyle name="Header1 4 4" xfId="4591"/>
    <cellStyle name="Header1 4 4 2" xfId="13027"/>
    <cellStyle name="Header1 4 4 2 2" xfId="33663"/>
    <cellStyle name="Header1 4 4 3" xfId="20516"/>
    <cellStyle name="Header1 4 5" xfId="3955"/>
    <cellStyle name="Header1 4 5 2" xfId="13028"/>
    <cellStyle name="Header1 4 5 2 2" xfId="33664"/>
    <cellStyle name="Header1 4 5 3" xfId="20107"/>
    <cellStyle name="Header1 4 6" xfId="4601"/>
    <cellStyle name="Header1 4 6 2" xfId="13029"/>
    <cellStyle name="Header1 4 6 2 2" xfId="33665"/>
    <cellStyle name="Header1 4 6 3" xfId="20523"/>
    <cellStyle name="Header1 4 7" xfId="4606"/>
    <cellStyle name="Header1 4 7 2" xfId="20528"/>
    <cellStyle name="Header1 4 8" xfId="4609"/>
    <cellStyle name="Header1 4 8 2" xfId="20531"/>
    <cellStyle name="Header1 4 9" xfId="4110"/>
    <cellStyle name="Header1 4 9 2" xfId="20239"/>
    <cellStyle name="Header1 5" xfId="13030"/>
    <cellStyle name="Header1 5 2" xfId="13031"/>
    <cellStyle name="Header1 5 2 2" xfId="33667"/>
    <cellStyle name="Header1 5 3" xfId="33666"/>
    <cellStyle name="Header1 6" xfId="13032"/>
    <cellStyle name="Header1 6 2" xfId="13033"/>
    <cellStyle name="Header1 6 2 2" xfId="33669"/>
    <cellStyle name="Header1 6 3" xfId="33668"/>
    <cellStyle name="Header1 7" xfId="13034"/>
    <cellStyle name="Header1 7 2" xfId="13035"/>
    <cellStyle name="Header1 7 2 2" xfId="33671"/>
    <cellStyle name="Header1 7 3" xfId="33670"/>
    <cellStyle name="Header1 8" xfId="13036"/>
    <cellStyle name="Header1 8 2" xfId="13037"/>
    <cellStyle name="Header1 8 2 2" xfId="33673"/>
    <cellStyle name="Header1 8 3" xfId="33672"/>
    <cellStyle name="Header1 9" xfId="13038"/>
    <cellStyle name="Header1 9 2" xfId="13039"/>
    <cellStyle name="Header1 9 2 2" xfId="33675"/>
    <cellStyle name="Header1 9 3" xfId="33674"/>
    <cellStyle name="Header2" xfId="2539"/>
    <cellStyle name="Header2 2" xfId="4571"/>
    <cellStyle name="Header2 2 10" xfId="27037"/>
    <cellStyle name="Header2 2 2" xfId="5308"/>
    <cellStyle name="Header2 2 2 2" xfId="13040"/>
    <cellStyle name="Header2 2 2 2 2" xfId="13041"/>
    <cellStyle name="Header2 2 2 2 2 2" xfId="27872"/>
    <cellStyle name="Header2 2 2 2 2 3" xfId="33677"/>
    <cellStyle name="Header2 2 2 2 3" xfId="13042"/>
    <cellStyle name="Header2 2 2 2 3 2" xfId="27873"/>
    <cellStyle name="Header2 2 2 2 3 3" xfId="33678"/>
    <cellStyle name="Header2 2 2 2 4" xfId="27871"/>
    <cellStyle name="Header2 2 2 2 5" xfId="33676"/>
    <cellStyle name="Header2 2 2 3" xfId="13043"/>
    <cellStyle name="Header2 2 2 3 2" xfId="13044"/>
    <cellStyle name="Header2 2 2 3 2 2" xfId="27875"/>
    <cellStyle name="Header2 2 2 3 2 3" xfId="33680"/>
    <cellStyle name="Header2 2 2 3 3" xfId="13045"/>
    <cellStyle name="Header2 2 2 3 3 2" xfId="27876"/>
    <cellStyle name="Header2 2 2 3 3 3" xfId="33681"/>
    <cellStyle name="Header2 2 2 3 4" xfId="27874"/>
    <cellStyle name="Header2 2 2 3 5" xfId="33679"/>
    <cellStyle name="Header2 2 2 4" xfId="13046"/>
    <cellStyle name="Header2 2 2 4 2" xfId="13047"/>
    <cellStyle name="Header2 2 2 4 2 2" xfId="27878"/>
    <cellStyle name="Header2 2 2 4 2 3" xfId="33683"/>
    <cellStyle name="Header2 2 2 4 3" xfId="13048"/>
    <cellStyle name="Header2 2 2 4 3 2" xfId="27879"/>
    <cellStyle name="Header2 2 2 4 3 3" xfId="33684"/>
    <cellStyle name="Header2 2 2 4 4" xfId="27877"/>
    <cellStyle name="Header2 2 2 4 5" xfId="33682"/>
    <cellStyle name="Header2 2 2 5" xfId="13049"/>
    <cellStyle name="Header2 2 2 5 2" xfId="27880"/>
    <cellStyle name="Header2 2 2 5 3" xfId="33685"/>
    <cellStyle name="Header2 2 2 6" xfId="13050"/>
    <cellStyle name="Header2 2 2 6 2" xfId="27881"/>
    <cellStyle name="Header2 2 2 6 3" xfId="33686"/>
    <cellStyle name="Header2 2 2 7" xfId="21186"/>
    <cellStyle name="Header2 2 2 8" xfId="19785"/>
    <cellStyle name="Header2 2 3" xfId="5309"/>
    <cellStyle name="Header2 2 3 2" xfId="13051"/>
    <cellStyle name="Header2 2 3 2 2" xfId="13052"/>
    <cellStyle name="Header2 2 3 2 2 2" xfId="27883"/>
    <cellStyle name="Header2 2 3 2 2 3" xfId="33688"/>
    <cellStyle name="Header2 2 3 2 3" xfId="13053"/>
    <cellStyle name="Header2 2 3 2 3 2" xfId="27884"/>
    <cellStyle name="Header2 2 3 2 3 3" xfId="33689"/>
    <cellStyle name="Header2 2 3 2 4" xfId="27882"/>
    <cellStyle name="Header2 2 3 2 5" xfId="33687"/>
    <cellStyle name="Header2 2 3 3" xfId="13054"/>
    <cellStyle name="Header2 2 3 3 2" xfId="13055"/>
    <cellStyle name="Header2 2 3 3 2 2" xfId="27886"/>
    <cellStyle name="Header2 2 3 3 2 3" xfId="33691"/>
    <cellStyle name="Header2 2 3 3 3" xfId="13056"/>
    <cellStyle name="Header2 2 3 3 3 2" xfId="27887"/>
    <cellStyle name="Header2 2 3 3 3 3" xfId="33692"/>
    <cellStyle name="Header2 2 3 3 4" xfId="27885"/>
    <cellStyle name="Header2 2 3 3 5" xfId="33690"/>
    <cellStyle name="Header2 2 3 4" xfId="13057"/>
    <cellStyle name="Header2 2 3 4 2" xfId="13058"/>
    <cellStyle name="Header2 2 3 4 2 2" xfId="27889"/>
    <cellStyle name="Header2 2 3 4 2 3" xfId="33694"/>
    <cellStyle name="Header2 2 3 4 3" xfId="13059"/>
    <cellStyle name="Header2 2 3 4 3 2" xfId="27890"/>
    <cellStyle name="Header2 2 3 4 3 3" xfId="33695"/>
    <cellStyle name="Header2 2 3 4 4" xfId="27888"/>
    <cellStyle name="Header2 2 3 4 5" xfId="33693"/>
    <cellStyle name="Header2 2 3 5" xfId="13060"/>
    <cellStyle name="Header2 2 3 5 2" xfId="27891"/>
    <cellStyle name="Header2 2 3 5 3" xfId="33696"/>
    <cellStyle name="Header2 2 3 6" xfId="13061"/>
    <cellStyle name="Header2 2 3 6 2" xfId="27892"/>
    <cellStyle name="Header2 2 3 6 3" xfId="33697"/>
    <cellStyle name="Header2 2 3 7" xfId="21187"/>
    <cellStyle name="Header2 2 3 8" xfId="17935"/>
    <cellStyle name="Header2 2 4" xfId="5310"/>
    <cellStyle name="Header2 2 4 2" xfId="13062"/>
    <cellStyle name="Header2 2 4 2 2" xfId="13063"/>
    <cellStyle name="Header2 2 4 2 2 2" xfId="27894"/>
    <cellStyle name="Header2 2 4 2 2 3" xfId="33699"/>
    <cellStyle name="Header2 2 4 2 3" xfId="13064"/>
    <cellStyle name="Header2 2 4 2 3 2" xfId="27895"/>
    <cellStyle name="Header2 2 4 2 3 3" xfId="33700"/>
    <cellStyle name="Header2 2 4 2 4" xfId="27893"/>
    <cellStyle name="Header2 2 4 2 5" xfId="33698"/>
    <cellStyle name="Header2 2 4 3" xfId="13065"/>
    <cellStyle name="Header2 2 4 3 2" xfId="13066"/>
    <cellStyle name="Header2 2 4 3 2 2" xfId="27897"/>
    <cellStyle name="Header2 2 4 3 2 3" xfId="33702"/>
    <cellStyle name="Header2 2 4 3 3" xfId="13067"/>
    <cellStyle name="Header2 2 4 3 3 2" xfId="27898"/>
    <cellStyle name="Header2 2 4 3 3 3" xfId="33703"/>
    <cellStyle name="Header2 2 4 3 4" xfId="27896"/>
    <cellStyle name="Header2 2 4 3 5" xfId="33701"/>
    <cellStyle name="Header2 2 4 4" xfId="13068"/>
    <cellStyle name="Header2 2 4 4 2" xfId="13069"/>
    <cellStyle name="Header2 2 4 4 2 2" xfId="27900"/>
    <cellStyle name="Header2 2 4 4 2 3" xfId="33705"/>
    <cellStyle name="Header2 2 4 4 3" xfId="13070"/>
    <cellStyle name="Header2 2 4 4 3 2" xfId="27901"/>
    <cellStyle name="Header2 2 4 4 3 3" xfId="33706"/>
    <cellStyle name="Header2 2 4 4 4" xfId="27899"/>
    <cellStyle name="Header2 2 4 4 5" xfId="33704"/>
    <cellStyle name="Header2 2 4 5" xfId="13071"/>
    <cellStyle name="Header2 2 4 5 2" xfId="27902"/>
    <cellStyle name="Header2 2 4 5 3" xfId="33707"/>
    <cellStyle name="Header2 2 4 6" xfId="13072"/>
    <cellStyle name="Header2 2 4 6 2" xfId="27903"/>
    <cellStyle name="Header2 2 4 6 3" xfId="33708"/>
    <cellStyle name="Header2 2 4 7" xfId="21188"/>
    <cellStyle name="Header2 2 4 8" xfId="19784"/>
    <cellStyle name="Header2 2 5" xfId="13073"/>
    <cellStyle name="Header2 2 5 2" xfId="13074"/>
    <cellStyle name="Header2 2 5 2 2" xfId="27905"/>
    <cellStyle name="Header2 2 5 2 3" xfId="33710"/>
    <cellStyle name="Header2 2 5 3" xfId="13075"/>
    <cellStyle name="Header2 2 5 3 2" xfId="27906"/>
    <cellStyle name="Header2 2 5 3 3" xfId="33711"/>
    <cellStyle name="Header2 2 5 4" xfId="27904"/>
    <cellStyle name="Header2 2 5 5" xfId="33709"/>
    <cellStyle name="Header2 2 6" xfId="13076"/>
    <cellStyle name="Header2 2 6 2" xfId="13077"/>
    <cellStyle name="Header2 2 6 2 2" xfId="27908"/>
    <cellStyle name="Header2 2 6 2 3" xfId="33713"/>
    <cellStyle name="Header2 2 6 3" xfId="13078"/>
    <cellStyle name="Header2 2 6 3 2" xfId="27909"/>
    <cellStyle name="Header2 2 6 3 3" xfId="33714"/>
    <cellStyle name="Header2 2 6 4" xfId="27907"/>
    <cellStyle name="Header2 2 6 5" xfId="33712"/>
    <cellStyle name="Header2 2 7" xfId="13079"/>
    <cellStyle name="Header2 2 7 2" xfId="27910"/>
    <cellStyle name="Header2 2 7 3" xfId="33715"/>
    <cellStyle name="Header2 2 8" xfId="13080"/>
    <cellStyle name="Header2 2 8 2" xfId="27911"/>
    <cellStyle name="Header2 2 8 3" xfId="33716"/>
    <cellStyle name="Header2 2 9" xfId="20500"/>
    <cellStyle name="Header2 3" xfId="4638"/>
    <cellStyle name="Header2 3 2" xfId="13081"/>
    <cellStyle name="Header2 3 2 2" xfId="27912"/>
    <cellStyle name="Header2 3 2 3" xfId="33717"/>
    <cellStyle name="Header2 3 3" xfId="13082"/>
    <cellStyle name="Header2 3 3 2" xfId="27913"/>
    <cellStyle name="Header2 3 3 3" xfId="33718"/>
    <cellStyle name="Header2 3 4" xfId="20553"/>
    <cellStyle name="Header2 3 5" xfId="26835"/>
    <cellStyle name="Header2 4" xfId="4011"/>
    <cellStyle name="Header2 4 2" xfId="13083"/>
    <cellStyle name="Header2 4 2 2" xfId="27914"/>
    <cellStyle name="Header2 4 2 3" xfId="33719"/>
    <cellStyle name="Header2 4 3" xfId="13084"/>
    <cellStyle name="Header2 4 3 2" xfId="27915"/>
    <cellStyle name="Header2 4 3 3" xfId="33720"/>
    <cellStyle name="Header2 4 4" xfId="20162"/>
    <cellStyle name="Header2 4 5" xfId="27385"/>
    <cellStyle name="Header2 5" xfId="13085"/>
    <cellStyle name="Header2 5 2" xfId="27916"/>
    <cellStyle name="Header2 5 3" xfId="33721"/>
    <cellStyle name="Header2 6" xfId="13086"/>
    <cellStyle name="Header2 6 2" xfId="27917"/>
    <cellStyle name="Header2 6 3" xfId="33722"/>
    <cellStyle name="Header2 7" xfId="19900"/>
    <cellStyle name="Header2 8" xfId="20025"/>
    <cellStyle name="Heading" xfId="2540"/>
    <cellStyle name="Heading 1 2" xfId="2541"/>
    <cellStyle name="Heading 1 2 2" xfId="2542"/>
    <cellStyle name="Heading 1 3" xfId="2543"/>
    <cellStyle name="Heading 2 2" xfId="414"/>
    <cellStyle name="Heading 2 2 2" xfId="2544"/>
    <cellStyle name="Heading 2 3" xfId="2545"/>
    <cellStyle name="Heading 3 2" xfId="2546"/>
    <cellStyle name="Heading 4 2" xfId="2547"/>
    <cellStyle name="Heading 5" xfId="2548"/>
    <cellStyle name="Heading 6" xfId="2549"/>
    <cellStyle name="Heading Left" xfId="2550"/>
    <cellStyle name="Heading Right" xfId="2551"/>
    <cellStyle name="Heading1" xfId="2552"/>
    <cellStyle name="Heading1 2" xfId="2553"/>
    <cellStyle name="Heading1 3" xfId="2554"/>
    <cellStyle name="Heading2" xfId="2555"/>
    <cellStyle name="Heading2 2" xfId="2556"/>
    <cellStyle name="Heading2 3" xfId="2557"/>
    <cellStyle name="HEADINGS" xfId="2558"/>
    <cellStyle name="HEADINGS 10" xfId="4250"/>
    <cellStyle name="HEADINGS 11" xfId="4370"/>
    <cellStyle name="HEADINGS 12" xfId="4362"/>
    <cellStyle name="HEADINGS 13" xfId="4256"/>
    <cellStyle name="HEADINGS 14" xfId="4358"/>
    <cellStyle name="HEADINGS 15" xfId="4260"/>
    <cellStyle name="HEADINGS 16" xfId="4366"/>
    <cellStyle name="HEADINGS 17" xfId="4265"/>
    <cellStyle name="HEADINGS 18" xfId="4536"/>
    <cellStyle name="HEADINGS 19" xfId="4538"/>
    <cellStyle name="HEADINGS 2" xfId="2559"/>
    <cellStyle name="HEADINGS 2 10" xfId="4363"/>
    <cellStyle name="HEADINGS 2 11" xfId="4466"/>
    <cellStyle name="HEADINGS 2 12" xfId="4505"/>
    <cellStyle name="HEADINGS 2 13" xfId="4460"/>
    <cellStyle name="HEADINGS 2 14" xfId="4454"/>
    <cellStyle name="HEADINGS 2 15" xfId="4600"/>
    <cellStyle name="HEADINGS 2 16" xfId="4361"/>
    <cellStyle name="HEADINGS 2 17" xfId="4357"/>
    <cellStyle name="HEADINGS 2 18" xfId="4064"/>
    <cellStyle name="HEADINGS 2 19" xfId="4450"/>
    <cellStyle name="HEADINGS 2 2" xfId="4383"/>
    <cellStyle name="HEADINGS 2 2 2" xfId="5311"/>
    <cellStyle name="HEADINGS 2 2 2 2" xfId="13087"/>
    <cellStyle name="HEADINGS 2 2 2 2 2" xfId="13088"/>
    <cellStyle name="HEADINGS 2 2 2 3" xfId="13089"/>
    <cellStyle name="HEADINGS 2 2 3" xfId="5312"/>
    <cellStyle name="HEADINGS 2 2 3 2" xfId="13090"/>
    <cellStyle name="HEADINGS 2 2 3 2 2" xfId="13091"/>
    <cellStyle name="HEADINGS 2 2 3 3" xfId="13092"/>
    <cellStyle name="HEADINGS 2 2 4" xfId="13093"/>
    <cellStyle name="HEADINGS 2 2 4 2" xfId="13094"/>
    <cellStyle name="HEADINGS 2 2 5" xfId="13095"/>
    <cellStyle name="HEADINGS 2 20" xfId="4134"/>
    <cellStyle name="HEADINGS 2 21" xfId="4158"/>
    <cellStyle name="HEADINGS 2 22" xfId="4205"/>
    <cellStyle name="HEADINGS 2 23" xfId="4269"/>
    <cellStyle name="HEADINGS 2 24" xfId="4141"/>
    <cellStyle name="HEADINGS 2 25" xfId="4531"/>
    <cellStyle name="HEADINGS 2 3" xfId="4237"/>
    <cellStyle name="HEADINGS 2 3 2" xfId="13096"/>
    <cellStyle name="HEADINGS 2 3 2 2" xfId="13097"/>
    <cellStyle name="HEADINGS 2 3 3" xfId="13098"/>
    <cellStyle name="HEADINGS 2 4" xfId="4377"/>
    <cellStyle name="HEADINGS 2 4 2" xfId="13099"/>
    <cellStyle name="HEADINGS 2 4 2 2" xfId="13100"/>
    <cellStyle name="HEADINGS 2 4 3" xfId="13101"/>
    <cellStyle name="HEADINGS 2 5" xfId="4506"/>
    <cellStyle name="HEADINGS 2 5 2" xfId="13102"/>
    <cellStyle name="HEADINGS 2 6" xfId="4245"/>
    <cellStyle name="HEADINGS 2 7" xfId="4192"/>
    <cellStyle name="HEADINGS 2 8" xfId="4160"/>
    <cellStyle name="HEADINGS 2 9" xfId="4497"/>
    <cellStyle name="HEADINGS 20" xfId="4271"/>
    <cellStyle name="HEADINGS 21" xfId="4180"/>
    <cellStyle name="HEADINGS 22" xfId="4349"/>
    <cellStyle name="HEADINGS 23" xfId="4282"/>
    <cellStyle name="HEADINGS 24" xfId="4628"/>
    <cellStyle name="HEADINGS 25" xfId="4197"/>
    <cellStyle name="HEADINGS 26" xfId="4385"/>
    <cellStyle name="HEADINGS 27" xfId="4323"/>
    <cellStyle name="HEADINGS 3" xfId="2560"/>
    <cellStyle name="HEADINGS 3 10" xfId="4364"/>
    <cellStyle name="HEADINGS 3 11" xfId="4616"/>
    <cellStyle name="HEADINGS 3 12" xfId="4089"/>
    <cellStyle name="HEADINGS 3 13" xfId="4259"/>
    <cellStyle name="HEADINGS 3 14" xfId="4367"/>
    <cellStyle name="HEADINGS 3 15" xfId="4264"/>
    <cellStyle name="HEADINGS 3 16" xfId="4567"/>
    <cellStyle name="HEADINGS 3 17" xfId="4555"/>
    <cellStyle name="HEADINGS 3 18" xfId="4270"/>
    <cellStyle name="HEADINGS 3 19" xfId="4275"/>
    <cellStyle name="HEADINGS 3 2" xfId="4384"/>
    <cellStyle name="HEADINGS 3 2 2" xfId="5313"/>
    <cellStyle name="HEADINGS 3 2 2 2" xfId="13103"/>
    <cellStyle name="HEADINGS 3 2 2 2 2" xfId="13104"/>
    <cellStyle name="HEADINGS 3 2 2 3" xfId="13105"/>
    <cellStyle name="HEADINGS 3 2 3" xfId="5314"/>
    <cellStyle name="HEADINGS 3 2 3 2" xfId="13106"/>
    <cellStyle name="HEADINGS 3 2 3 2 2" xfId="13107"/>
    <cellStyle name="HEADINGS 3 2 3 3" xfId="13108"/>
    <cellStyle name="HEADINGS 3 2 4" xfId="13109"/>
    <cellStyle name="HEADINGS 3 2 4 2" xfId="13110"/>
    <cellStyle name="HEADINGS 3 2 5" xfId="13111"/>
    <cellStyle name="HEADINGS 3 20" xfId="4350"/>
    <cellStyle name="HEADINGS 3 21" xfId="4279"/>
    <cellStyle name="HEADINGS 3 22" xfId="4347"/>
    <cellStyle name="HEADINGS 3 23" xfId="4475"/>
    <cellStyle name="HEADINGS 3 24" xfId="4274"/>
    <cellStyle name="HEADINGS 3 25" xfId="4557"/>
    <cellStyle name="HEADINGS 3 3" xfId="4236"/>
    <cellStyle name="HEADINGS 3 3 2" xfId="13112"/>
    <cellStyle name="HEADINGS 3 3 2 2" xfId="13113"/>
    <cellStyle name="HEADINGS 3 3 3" xfId="13114"/>
    <cellStyle name="HEADINGS 3 4" xfId="4378"/>
    <cellStyle name="HEADINGS 3 4 2" xfId="13115"/>
    <cellStyle name="HEADINGS 3 4 2 2" xfId="13116"/>
    <cellStyle name="HEADINGS 3 4 3" xfId="13117"/>
    <cellStyle name="HEADINGS 3 5" xfId="4240"/>
    <cellStyle name="HEADINGS 3 5 2" xfId="13118"/>
    <cellStyle name="HEADINGS 3 6" xfId="4595"/>
    <cellStyle name="HEADINGS 3 7" xfId="4373"/>
    <cellStyle name="HEADINGS 3 8" xfId="4249"/>
    <cellStyle name="HEADINGS 3 9" xfId="4568"/>
    <cellStyle name="HEADINGS 4" xfId="4382"/>
    <cellStyle name="HEADINGS 4 2" xfId="5315"/>
    <cellStyle name="HEADINGS 4 2 2" xfId="13119"/>
    <cellStyle name="HEADINGS 4 2 2 2" xfId="13120"/>
    <cellStyle name="HEADINGS 4 2 3" xfId="13121"/>
    <cellStyle name="HEADINGS 4 3" xfId="5316"/>
    <cellStyle name="HEADINGS 4 3 2" xfId="13122"/>
    <cellStyle name="HEADINGS 4 3 2 2" xfId="13123"/>
    <cellStyle name="HEADINGS 4 3 3" xfId="13124"/>
    <cellStyle name="HEADINGS 4 4" xfId="13125"/>
    <cellStyle name="HEADINGS 4 4 2" xfId="13126"/>
    <cellStyle name="HEADINGS 4 5" xfId="13127"/>
    <cellStyle name="HEADINGS 5" xfId="4238"/>
    <cellStyle name="HEADINGS 5 2" xfId="13128"/>
    <cellStyle name="HEADINGS 5 2 2" xfId="13129"/>
    <cellStyle name="HEADINGS 5 3" xfId="13130"/>
    <cellStyle name="HEADINGS 6" xfId="4578"/>
    <cellStyle name="HEADINGS 6 2" xfId="13131"/>
    <cellStyle name="HEADINGS 6 2 2" xfId="13132"/>
    <cellStyle name="HEADINGS 6 3" xfId="13133"/>
    <cellStyle name="HEADINGS 7" xfId="4241"/>
    <cellStyle name="HEADINGS 7 2" xfId="13134"/>
    <cellStyle name="HEADINGS 8" xfId="4246"/>
    <cellStyle name="HEADINGS 9" xfId="4372"/>
    <cellStyle name="HEADINGSTOP" xfId="2561"/>
    <cellStyle name="HEADINGSTOP 2" xfId="2562"/>
    <cellStyle name="HEADINGSTOP 3" xfId="2563"/>
    <cellStyle name="Headline3" xfId="2564"/>
    <cellStyle name="HeadMain" xfId="2565"/>
    <cellStyle name="HIDDEN" xfId="2566"/>
    <cellStyle name="HIGHLIGHT" xfId="2567"/>
    <cellStyle name="Hipervínculo" xfId="4671" builtinId="8"/>
    <cellStyle name="Hipervínculo 2" xfId="134"/>
    <cellStyle name="Hipervínculo 2 2" xfId="37751"/>
    <cellStyle name="Hipervínculo 2 3" xfId="37732"/>
    <cellStyle name="Hipervínculo 3" xfId="415"/>
    <cellStyle name="Hipervínculo visitado" xfId="2568"/>
    <cellStyle name="hola" xfId="2569"/>
    <cellStyle name="Hyperlink 2" xfId="2570"/>
    <cellStyle name="Hyperlink 3" xfId="2571"/>
    <cellStyle name="Hyperlink 3 2" xfId="2572"/>
    <cellStyle name="Hyperlink 4" xfId="13135"/>
    <cellStyle name="I_x0008_" xfId="2573"/>
    <cellStyle name="Impsat" xfId="2574"/>
    <cellStyle name="Incorrecto" xfId="29" builtinId="27" customBuiltin="1"/>
    <cellStyle name="Incorrecto 2" xfId="2575"/>
    <cellStyle name="Incorrecto 3" xfId="2576"/>
    <cellStyle name="Incorreto" xfId="2577"/>
    <cellStyle name="Indent" xfId="2578"/>
    <cellStyle name="inp.Dropdown" xfId="2579"/>
    <cellStyle name="inp.Dropdown 2" xfId="2580"/>
    <cellStyle name="inp.Dropdown 2 2" xfId="5317"/>
    <cellStyle name="inp.Dropdown 2 2 2" xfId="13136"/>
    <cellStyle name="inp.Dropdown 2 2 2 2" xfId="13137"/>
    <cellStyle name="inp.Dropdown 2 2 2 2 2" xfId="27919"/>
    <cellStyle name="inp.Dropdown 2 2 2 2 3" xfId="33724"/>
    <cellStyle name="inp.Dropdown 2 2 2 3" xfId="27918"/>
    <cellStyle name="inp.Dropdown 2 2 2 4" xfId="33723"/>
    <cellStyle name="inp.Dropdown 2 2 3" xfId="13138"/>
    <cellStyle name="inp.Dropdown 2 2 3 2" xfId="13139"/>
    <cellStyle name="inp.Dropdown 2 2 3 2 2" xfId="27921"/>
    <cellStyle name="inp.Dropdown 2 2 3 2 3" xfId="33726"/>
    <cellStyle name="inp.Dropdown 2 2 3 3" xfId="13140"/>
    <cellStyle name="inp.Dropdown 2 2 3 3 2" xfId="27922"/>
    <cellStyle name="inp.Dropdown 2 2 3 3 3" xfId="33727"/>
    <cellStyle name="inp.Dropdown 2 2 3 4" xfId="27920"/>
    <cellStyle name="inp.Dropdown 2 2 3 5" xfId="33725"/>
    <cellStyle name="inp.Dropdown 2 2 4" xfId="13141"/>
    <cellStyle name="inp.Dropdown 2 2 4 2" xfId="27923"/>
    <cellStyle name="inp.Dropdown 2 2 4 3" xfId="33728"/>
    <cellStyle name="inp.Dropdown 2 2 5" xfId="21189"/>
    <cellStyle name="inp.Dropdown 2 2 6" xfId="19783"/>
    <cellStyle name="inp.Dropdown 2 3" xfId="5318"/>
    <cellStyle name="inp.Dropdown 2 3 2" xfId="13142"/>
    <cellStyle name="inp.Dropdown 2 3 2 2" xfId="13143"/>
    <cellStyle name="inp.Dropdown 2 3 2 2 2" xfId="27925"/>
    <cellStyle name="inp.Dropdown 2 3 2 2 3" xfId="33730"/>
    <cellStyle name="inp.Dropdown 2 3 2 3" xfId="27924"/>
    <cellStyle name="inp.Dropdown 2 3 2 4" xfId="33729"/>
    <cellStyle name="inp.Dropdown 2 3 3" xfId="13144"/>
    <cellStyle name="inp.Dropdown 2 3 3 2" xfId="13145"/>
    <cellStyle name="inp.Dropdown 2 3 3 2 2" xfId="27927"/>
    <cellStyle name="inp.Dropdown 2 3 3 2 3" xfId="33732"/>
    <cellStyle name="inp.Dropdown 2 3 3 3" xfId="13146"/>
    <cellStyle name="inp.Dropdown 2 3 3 3 2" xfId="27928"/>
    <cellStyle name="inp.Dropdown 2 3 3 3 3" xfId="33733"/>
    <cellStyle name="inp.Dropdown 2 3 3 4" xfId="27926"/>
    <cellStyle name="inp.Dropdown 2 3 3 5" xfId="33731"/>
    <cellStyle name="inp.Dropdown 2 3 4" xfId="13147"/>
    <cellStyle name="inp.Dropdown 2 3 4 2" xfId="27929"/>
    <cellStyle name="inp.Dropdown 2 3 4 3" xfId="33734"/>
    <cellStyle name="inp.Dropdown 2 3 5" xfId="21190"/>
    <cellStyle name="inp.Dropdown 2 3 6" xfId="19782"/>
    <cellStyle name="inp.Dropdown 2 4" xfId="5319"/>
    <cellStyle name="inp.Dropdown 2 4 2" xfId="13148"/>
    <cellStyle name="inp.Dropdown 2 4 2 2" xfId="13149"/>
    <cellStyle name="inp.Dropdown 2 4 2 2 2" xfId="27931"/>
    <cellStyle name="inp.Dropdown 2 4 2 2 3" xfId="33736"/>
    <cellStyle name="inp.Dropdown 2 4 2 3" xfId="13150"/>
    <cellStyle name="inp.Dropdown 2 4 2 3 2" xfId="27932"/>
    <cellStyle name="inp.Dropdown 2 4 2 3 3" xfId="33737"/>
    <cellStyle name="inp.Dropdown 2 4 2 4" xfId="27930"/>
    <cellStyle name="inp.Dropdown 2 4 2 5" xfId="33735"/>
    <cellStyle name="inp.Dropdown 2 4 3" xfId="13151"/>
    <cellStyle name="inp.Dropdown 2 4 3 2" xfId="13152"/>
    <cellStyle name="inp.Dropdown 2 4 3 2 2" xfId="27934"/>
    <cellStyle name="inp.Dropdown 2 4 3 2 3" xfId="33739"/>
    <cellStyle name="inp.Dropdown 2 4 3 3" xfId="27933"/>
    <cellStyle name="inp.Dropdown 2 4 3 4" xfId="33738"/>
    <cellStyle name="inp.Dropdown 2 4 4" xfId="13153"/>
    <cellStyle name="inp.Dropdown 2 4 4 2" xfId="27935"/>
    <cellStyle name="inp.Dropdown 2 4 4 3" xfId="33740"/>
    <cellStyle name="inp.Dropdown 2 4 5" xfId="21191"/>
    <cellStyle name="inp.Dropdown 2 4 6" xfId="19781"/>
    <cellStyle name="inp.Dropdown 2 5" xfId="13154"/>
    <cellStyle name="inp.Dropdown 2 5 2" xfId="13155"/>
    <cellStyle name="inp.Dropdown 2 5 2 2" xfId="27937"/>
    <cellStyle name="inp.Dropdown 2 5 2 3" xfId="33742"/>
    <cellStyle name="inp.Dropdown 2 5 3" xfId="27936"/>
    <cellStyle name="inp.Dropdown 2 5 4" xfId="33741"/>
    <cellStyle name="inp.Dropdown 2 6" xfId="13156"/>
    <cellStyle name="inp.Dropdown 2 6 2" xfId="27938"/>
    <cellStyle name="inp.Dropdown 2 6 3" xfId="33743"/>
    <cellStyle name="inp.Dropdown 2 7" xfId="21429"/>
    <cellStyle name="inp.Dropdown 3" xfId="2581"/>
    <cellStyle name="inp.Dropdown 3 2" xfId="5320"/>
    <cellStyle name="inp.Dropdown 3 2 2" xfId="13157"/>
    <cellStyle name="inp.Dropdown 3 2 2 2" xfId="13158"/>
    <cellStyle name="inp.Dropdown 3 2 2 2 2" xfId="27940"/>
    <cellStyle name="inp.Dropdown 3 2 2 2 3" xfId="33745"/>
    <cellStyle name="inp.Dropdown 3 2 2 3" xfId="27939"/>
    <cellStyle name="inp.Dropdown 3 2 2 4" xfId="33744"/>
    <cellStyle name="inp.Dropdown 3 2 3" xfId="13159"/>
    <cellStyle name="inp.Dropdown 3 2 3 2" xfId="13160"/>
    <cellStyle name="inp.Dropdown 3 2 3 2 2" xfId="27942"/>
    <cellStyle name="inp.Dropdown 3 2 3 2 3" xfId="33747"/>
    <cellStyle name="inp.Dropdown 3 2 3 3" xfId="13161"/>
    <cellStyle name="inp.Dropdown 3 2 3 3 2" xfId="27943"/>
    <cellStyle name="inp.Dropdown 3 2 3 3 3" xfId="33748"/>
    <cellStyle name="inp.Dropdown 3 2 3 4" xfId="27941"/>
    <cellStyle name="inp.Dropdown 3 2 3 5" xfId="33746"/>
    <cellStyle name="inp.Dropdown 3 2 4" xfId="13162"/>
    <cellStyle name="inp.Dropdown 3 2 4 2" xfId="27944"/>
    <cellStyle name="inp.Dropdown 3 2 4 3" xfId="33749"/>
    <cellStyle name="inp.Dropdown 3 2 5" xfId="21192"/>
    <cellStyle name="inp.Dropdown 3 2 6" xfId="19780"/>
    <cellStyle name="inp.Dropdown 3 3" xfId="5321"/>
    <cellStyle name="inp.Dropdown 3 3 2" xfId="13163"/>
    <cellStyle name="inp.Dropdown 3 3 2 2" xfId="13164"/>
    <cellStyle name="inp.Dropdown 3 3 2 2 2" xfId="27946"/>
    <cellStyle name="inp.Dropdown 3 3 2 2 3" xfId="33751"/>
    <cellStyle name="inp.Dropdown 3 3 2 3" xfId="27945"/>
    <cellStyle name="inp.Dropdown 3 3 2 4" xfId="33750"/>
    <cellStyle name="inp.Dropdown 3 3 3" xfId="13165"/>
    <cellStyle name="inp.Dropdown 3 3 3 2" xfId="13166"/>
    <cellStyle name="inp.Dropdown 3 3 3 2 2" xfId="27948"/>
    <cellStyle name="inp.Dropdown 3 3 3 2 3" xfId="33753"/>
    <cellStyle name="inp.Dropdown 3 3 3 3" xfId="13167"/>
    <cellStyle name="inp.Dropdown 3 3 3 3 2" xfId="27949"/>
    <cellStyle name="inp.Dropdown 3 3 3 3 3" xfId="33754"/>
    <cellStyle name="inp.Dropdown 3 3 3 4" xfId="27947"/>
    <cellStyle name="inp.Dropdown 3 3 3 5" xfId="33752"/>
    <cellStyle name="inp.Dropdown 3 3 4" xfId="13168"/>
    <cellStyle name="inp.Dropdown 3 3 4 2" xfId="27950"/>
    <cellStyle name="inp.Dropdown 3 3 4 3" xfId="33755"/>
    <cellStyle name="inp.Dropdown 3 3 5" xfId="21193"/>
    <cellStyle name="inp.Dropdown 3 3 6" xfId="19779"/>
    <cellStyle name="inp.Dropdown 3 4" xfId="5322"/>
    <cellStyle name="inp.Dropdown 3 4 2" xfId="13169"/>
    <cellStyle name="inp.Dropdown 3 4 2 2" xfId="13170"/>
    <cellStyle name="inp.Dropdown 3 4 2 2 2" xfId="27952"/>
    <cellStyle name="inp.Dropdown 3 4 2 2 3" xfId="33757"/>
    <cellStyle name="inp.Dropdown 3 4 2 3" xfId="13171"/>
    <cellStyle name="inp.Dropdown 3 4 2 3 2" xfId="27953"/>
    <cellStyle name="inp.Dropdown 3 4 2 3 3" xfId="33758"/>
    <cellStyle name="inp.Dropdown 3 4 2 4" xfId="27951"/>
    <cellStyle name="inp.Dropdown 3 4 2 5" xfId="33756"/>
    <cellStyle name="inp.Dropdown 3 4 3" xfId="13172"/>
    <cellStyle name="inp.Dropdown 3 4 3 2" xfId="13173"/>
    <cellStyle name="inp.Dropdown 3 4 3 2 2" xfId="27955"/>
    <cellStyle name="inp.Dropdown 3 4 3 2 3" xfId="33760"/>
    <cellStyle name="inp.Dropdown 3 4 3 3" xfId="27954"/>
    <cellStyle name="inp.Dropdown 3 4 3 4" xfId="33759"/>
    <cellStyle name="inp.Dropdown 3 4 4" xfId="13174"/>
    <cellStyle name="inp.Dropdown 3 4 4 2" xfId="27956"/>
    <cellStyle name="inp.Dropdown 3 4 4 3" xfId="33761"/>
    <cellStyle name="inp.Dropdown 3 4 5" xfId="21194"/>
    <cellStyle name="inp.Dropdown 3 4 6" xfId="19778"/>
    <cellStyle name="inp.Dropdown 3 5" xfId="13175"/>
    <cellStyle name="inp.Dropdown 3 5 2" xfId="13176"/>
    <cellStyle name="inp.Dropdown 3 5 2 2" xfId="27958"/>
    <cellStyle name="inp.Dropdown 3 5 2 3" xfId="33763"/>
    <cellStyle name="inp.Dropdown 3 5 3" xfId="27957"/>
    <cellStyle name="inp.Dropdown 3 5 4" xfId="33762"/>
    <cellStyle name="inp.Dropdown 3 6" xfId="13177"/>
    <cellStyle name="inp.Dropdown 3 6 2" xfId="27959"/>
    <cellStyle name="inp.Dropdown 3 6 3" xfId="33764"/>
    <cellStyle name="inp.Dropdown 3 7" xfId="21428"/>
    <cellStyle name="inp.Dropdown 4" xfId="5323"/>
    <cellStyle name="inp.Dropdown 4 2" xfId="13178"/>
    <cellStyle name="inp.Dropdown 4 2 2" xfId="13179"/>
    <cellStyle name="inp.Dropdown 4 2 2 2" xfId="27961"/>
    <cellStyle name="inp.Dropdown 4 2 2 3" xfId="33766"/>
    <cellStyle name="inp.Dropdown 4 2 3" xfId="27960"/>
    <cellStyle name="inp.Dropdown 4 2 4" xfId="33765"/>
    <cellStyle name="inp.Dropdown 4 3" xfId="13180"/>
    <cellStyle name="inp.Dropdown 4 3 2" xfId="13181"/>
    <cellStyle name="inp.Dropdown 4 3 2 2" xfId="27963"/>
    <cellStyle name="inp.Dropdown 4 3 2 3" xfId="33768"/>
    <cellStyle name="inp.Dropdown 4 3 3" xfId="13182"/>
    <cellStyle name="inp.Dropdown 4 3 3 2" xfId="27964"/>
    <cellStyle name="inp.Dropdown 4 3 3 3" xfId="33769"/>
    <cellStyle name="inp.Dropdown 4 3 4" xfId="27962"/>
    <cellStyle name="inp.Dropdown 4 3 5" xfId="33767"/>
    <cellStyle name="inp.Dropdown 4 4" xfId="13183"/>
    <cellStyle name="inp.Dropdown 4 4 2" xfId="27965"/>
    <cellStyle name="inp.Dropdown 4 4 3" xfId="33770"/>
    <cellStyle name="inp.Dropdown 4 5" xfId="21195"/>
    <cellStyle name="inp.Dropdown 4 6" xfId="19777"/>
    <cellStyle name="inp.Dropdown 5" xfId="5324"/>
    <cellStyle name="inp.Dropdown 5 2" xfId="13184"/>
    <cellStyle name="inp.Dropdown 5 2 2" xfId="13185"/>
    <cellStyle name="inp.Dropdown 5 2 2 2" xfId="27967"/>
    <cellStyle name="inp.Dropdown 5 2 2 3" xfId="33772"/>
    <cellStyle name="inp.Dropdown 5 2 3" xfId="27966"/>
    <cellStyle name="inp.Dropdown 5 2 4" xfId="33771"/>
    <cellStyle name="inp.Dropdown 5 3" xfId="13186"/>
    <cellStyle name="inp.Dropdown 5 3 2" xfId="13187"/>
    <cellStyle name="inp.Dropdown 5 3 2 2" xfId="27969"/>
    <cellStyle name="inp.Dropdown 5 3 2 3" xfId="33774"/>
    <cellStyle name="inp.Dropdown 5 3 3" xfId="13188"/>
    <cellStyle name="inp.Dropdown 5 3 3 2" xfId="27970"/>
    <cellStyle name="inp.Dropdown 5 3 3 3" xfId="33775"/>
    <cellStyle name="inp.Dropdown 5 3 4" xfId="27968"/>
    <cellStyle name="inp.Dropdown 5 3 5" xfId="33773"/>
    <cellStyle name="inp.Dropdown 5 4" xfId="13189"/>
    <cellStyle name="inp.Dropdown 5 4 2" xfId="27971"/>
    <cellStyle name="inp.Dropdown 5 4 3" xfId="33776"/>
    <cellStyle name="inp.Dropdown 5 5" xfId="21196"/>
    <cellStyle name="inp.Dropdown 5 6" xfId="17928"/>
    <cellStyle name="inp.Dropdown 6" xfId="5325"/>
    <cellStyle name="inp.Dropdown 6 2" xfId="13190"/>
    <cellStyle name="inp.Dropdown 6 2 2" xfId="13191"/>
    <cellStyle name="inp.Dropdown 6 2 2 2" xfId="27973"/>
    <cellStyle name="inp.Dropdown 6 2 2 3" xfId="33778"/>
    <cellStyle name="inp.Dropdown 6 2 3" xfId="13192"/>
    <cellStyle name="inp.Dropdown 6 2 3 2" xfId="27974"/>
    <cellStyle name="inp.Dropdown 6 2 3 3" xfId="33779"/>
    <cellStyle name="inp.Dropdown 6 2 4" xfId="27972"/>
    <cellStyle name="inp.Dropdown 6 2 5" xfId="33777"/>
    <cellStyle name="inp.Dropdown 6 3" xfId="13193"/>
    <cellStyle name="inp.Dropdown 6 3 2" xfId="13194"/>
    <cellStyle name="inp.Dropdown 6 3 2 2" xfId="27976"/>
    <cellStyle name="inp.Dropdown 6 3 2 3" xfId="33781"/>
    <cellStyle name="inp.Dropdown 6 3 3" xfId="27975"/>
    <cellStyle name="inp.Dropdown 6 3 4" xfId="33780"/>
    <cellStyle name="inp.Dropdown 6 4" xfId="13195"/>
    <cellStyle name="inp.Dropdown 6 4 2" xfId="27977"/>
    <cellStyle name="inp.Dropdown 6 4 3" xfId="33782"/>
    <cellStyle name="inp.Dropdown 6 5" xfId="21197"/>
    <cellStyle name="inp.Dropdown 6 6" xfId="19776"/>
    <cellStyle name="inp.Dropdown 7" xfId="13196"/>
    <cellStyle name="inp.Dropdown 7 2" xfId="13197"/>
    <cellStyle name="inp.Dropdown 7 2 2" xfId="27979"/>
    <cellStyle name="inp.Dropdown 7 2 3" xfId="33784"/>
    <cellStyle name="inp.Dropdown 7 3" xfId="27978"/>
    <cellStyle name="inp.Dropdown 7 4" xfId="33783"/>
    <cellStyle name="inp.Dropdown 8" xfId="13198"/>
    <cellStyle name="inp.Dropdown 8 2" xfId="27980"/>
    <cellStyle name="inp.Dropdown 8 3" xfId="33785"/>
    <cellStyle name="inp.Dropdown 9" xfId="18149"/>
    <cellStyle name="inp.FX" xfId="2582"/>
    <cellStyle name="inp.FX 2" xfId="2583"/>
    <cellStyle name="inp.FX 2 2" xfId="5326"/>
    <cellStyle name="inp.FX 2 2 2" xfId="13199"/>
    <cellStyle name="inp.FX 2 2 2 2" xfId="13200"/>
    <cellStyle name="inp.FX 2 2 2 2 2" xfId="27982"/>
    <cellStyle name="inp.FX 2 2 2 2 3" xfId="33787"/>
    <cellStyle name="inp.FX 2 2 2 3" xfId="27981"/>
    <cellStyle name="inp.FX 2 2 2 4" xfId="33786"/>
    <cellStyle name="inp.FX 2 2 3" xfId="13201"/>
    <cellStyle name="inp.FX 2 2 3 2" xfId="13202"/>
    <cellStyle name="inp.FX 2 2 3 2 2" xfId="27984"/>
    <cellStyle name="inp.FX 2 2 3 2 3" xfId="33789"/>
    <cellStyle name="inp.FX 2 2 3 3" xfId="13203"/>
    <cellStyle name="inp.FX 2 2 3 3 2" xfId="27985"/>
    <cellStyle name="inp.FX 2 2 3 3 3" xfId="33790"/>
    <cellStyle name="inp.FX 2 2 3 4" xfId="27983"/>
    <cellStyle name="inp.FX 2 2 3 5" xfId="33788"/>
    <cellStyle name="inp.FX 2 2 4" xfId="13204"/>
    <cellStyle name="inp.FX 2 2 4 2" xfId="27986"/>
    <cellStyle name="inp.FX 2 2 4 3" xfId="33791"/>
    <cellStyle name="inp.FX 2 2 5" xfId="21198"/>
    <cellStyle name="inp.FX 2 2 6" xfId="19775"/>
    <cellStyle name="inp.FX 2 3" xfId="5327"/>
    <cellStyle name="inp.FX 2 3 2" xfId="13205"/>
    <cellStyle name="inp.FX 2 3 2 2" xfId="13206"/>
    <cellStyle name="inp.FX 2 3 2 2 2" xfId="27988"/>
    <cellStyle name="inp.FX 2 3 2 2 3" xfId="33793"/>
    <cellStyle name="inp.FX 2 3 2 3" xfId="27987"/>
    <cellStyle name="inp.FX 2 3 2 4" xfId="33792"/>
    <cellStyle name="inp.FX 2 3 3" xfId="13207"/>
    <cellStyle name="inp.FX 2 3 3 2" xfId="13208"/>
    <cellStyle name="inp.FX 2 3 3 2 2" xfId="27990"/>
    <cellStyle name="inp.FX 2 3 3 2 3" xfId="33795"/>
    <cellStyle name="inp.FX 2 3 3 3" xfId="13209"/>
    <cellStyle name="inp.FX 2 3 3 3 2" xfId="27991"/>
    <cellStyle name="inp.FX 2 3 3 3 3" xfId="33796"/>
    <cellStyle name="inp.FX 2 3 3 4" xfId="27989"/>
    <cellStyle name="inp.FX 2 3 3 5" xfId="33794"/>
    <cellStyle name="inp.FX 2 3 4" xfId="13210"/>
    <cellStyle name="inp.FX 2 3 4 2" xfId="27992"/>
    <cellStyle name="inp.FX 2 3 4 3" xfId="33797"/>
    <cellStyle name="inp.FX 2 3 5" xfId="21199"/>
    <cellStyle name="inp.FX 2 3 6" xfId="19774"/>
    <cellStyle name="inp.FX 2 4" xfId="5328"/>
    <cellStyle name="inp.FX 2 4 2" xfId="13211"/>
    <cellStyle name="inp.FX 2 4 2 2" xfId="13212"/>
    <cellStyle name="inp.FX 2 4 2 2 2" xfId="27994"/>
    <cellStyle name="inp.FX 2 4 2 2 3" xfId="33799"/>
    <cellStyle name="inp.FX 2 4 2 3" xfId="13213"/>
    <cellStyle name="inp.FX 2 4 2 3 2" xfId="27995"/>
    <cellStyle name="inp.FX 2 4 2 3 3" xfId="33800"/>
    <cellStyle name="inp.FX 2 4 2 4" xfId="27993"/>
    <cellStyle name="inp.FX 2 4 2 5" xfId="33798"/>
    <cellStyle name="inp.FX 2 4 3" xfId="13214"/>
    <cellStyle name="inp.FX 2 4 3 2" xfId="13215"/>
    <cellStyle name="inp.FX 2 4 3 2 2" xfId="27997"/>
    <cellStyle name="inp.FX 2 4 3 2 3" xfId="33802"/>
    <cellStyle name="inp.FX 2 4 3 3" xfId="27996"/>
    <cellStyle name="inp.FX 2 4 3 4" xfId="33801"/>
    <cellStyle name="inp.FX 2 4 4" xfId="13216"/>
    <cellStyle name="inp.FX 2 4 4 2" xfId="27998"/>
    <cellStyle name="inp.FX 2 4 4 3" xfId="33803"/>
    <cellStyle name="inp.FX 2 4 5" xfId="21200"/>
    <cellStyle name="inp.FX 2 4 6" xfId="19773"/>
    <cellStyle name="inp.FX 2 5" xfId="13217"/>
    <cellStyle name="inp.FX 2 5 2" xfId="13218"/>
    <cellStyle name="inp.FX 2 5 2 2" xfId="28000"/>
    <cellStyle name="inp.FX 2 5 2 3" xfId="33805"/>
    <cellStyle name="inp.FX 2 5 3" xfId="27999"/>
    <cellStyle name="inp.FX 2 5 4" xfId="33804"/>
    <cellStyle name="inp.FX 2 6" xfId="13219"/>
    <cellStyle name="inp.FX 2 6 2" xfId="28001"/>
    <cellStyle name="inp.FX 2 6 3" xfId="33806"/>
    <cellStyle name="inp.FX 2 7" xfId="21427"/>
    <cellStyle name="inp.FX 3" xfId="2584"/>
    <cellStyle name="inp.FX 3 2" xfId="5329"/>
    <cellStyle name="inp.FX 3 2 2" xfId="13220"/>
    <cellStyle name="inp.FX 3 2 2 2" xfId="13221"/>
    <cellStyle name="inp.FX 3 2 2 2 2" xfId="28003"/>
    <cellStyle name="inp.FX 3 2 2 2 3" xfId="33808"/>
    <cellStyle name="inp.FX 3 2 2 3" xfId="28002"/>
    <cellStyle name="inp.FX 3 2 2 4" xfId="33807"/>
    <cellStyle name="inp.FX 3 2 3" xfId="13222"/>
    <cellStyle name="inp.FX 3 2 3 2" xfId="13223"/>
    <cellStyle name="inp.FX 3 2 3 2 2" xfId="28005"/>
    <cellStyle name="inp.FX 3 2 3 2 3" xfId="33810"/>
    <cellStyle name="inp.FX 3 2 3 3" xfId="13224"/>
    <cellStyle name="inp.FX 3 2 3 3 2" xfId="28006"/>
    <cellStyle name="inp.FX 3 2 3 3 3" xfId="33811"/>
    <cellStyle name="inp.FX 3 2 3 4" xfId="28004"/>
    <cellStyle name="inp.FX 3 2 3 5" xfId="33809"/>
    <cellStyle name="inp.FX 3 2 4" xfId="13225"/>
    <cellStyle name="inp.FX 3 2 4 2" xfId="28007"/>
    <cellStyle name="inp.FX 3 2 4 3" xfId="33812"/>
    <cellStyle name="inp.FX 3 2 5" xfId="21201"/>
    <cellStyle name="inp.FX 3 2 6" xfId="19772"/>
    <cellStyle name="inp.FX 3 3" xfId="5330"/>
    <cellStyle name="inp.FX 3 3 2" xfId="13226"/>
    <cellStyle name="inp.FX 3 3 2 2" xfId="13227"/>
    <cellStyle name="inp.FX 3 3 2 2 2" xfId="28009"/>
    <cellStyle name="inp.FX 3 3 2 2 3" xfId="33814"/>
    <cellStyle name="inp.FX 3 3 2 3" xfId="28008"/>
    <cellStyle name="inp.FX 3 3 2 4" xfId="33813"/>
    <cellStyle name="inp.FX 3 3 3" xfId="13228"/>
    <cellStyle name="inp.FX 3 3 3 2" xfId="13229"/>
    <cellStyle name="inp.FX 3 3 3 2 2" xfId="28011"/>
    <cellStyle name="inp.FX 3 3 3 2 3" xfId="33816"/>
    <cellStyle name="inp.FX 3 3 3 3" xfId="13230"/>
    <cellStyle name="inp.FX 3 3 3 3 2" xfId="28012"/>
    <cellStyle name="inp.FX 3 3 3 3 3" xfId="33817"/>
    <cellStyle name="inp.FX 3 3 3 4" xfId="28010"/>
    <cellStyle name="inp.FX 3 3 3 5" xfId="33815"/>
    <cellStyle name="inp.FX 3 3 4" xfId="13231"/>
    <cellStyle name="inp.FX 3 3 4 2" xfId="28013"/>
    <cellStyle name="inp.FX 3 3 4 3" xfId="33818"/>
    <cellStyle name="inp.FX 3 3 5" xfId="21202"/>
    <cellStyle name="inp.FX 3 3 6" xfId="19771"/>
    <cellStyle name="inp.FX 3 4" xfId="5331"/>
    <cellStyle name="inp.FX 3 4 2" xfId="13232"/>
    <cellStyle name="inp.FX 3 4 2 2" xfId="13233"/>
    <cellStyle name="inp.FX 3 4 2 2 2" xfId="28015"/>
    <cellStyle name="inp.FX 3 4 2 2 3" xfId="33820"/>
    <cellStyle name="inp.FX 3 4 2 3" xfId="13234"/>
    <cellStyle name="inp.FX 3 4 2 3 2" xfId="28016"/>
    <cellStyle name="inp.FX 3 4 2 3 3" xfId="33821"/>
    <cellStyle name="inp.FX 3 4 2 4" xfId="28014"/>
    <cellStyle name="inp.FX 3 4 2 5" xfId="33819"/>
    <cellStyle name="inp.FX 3 4 3" xfId="13235"/>
    <cellStyle name="inp.FX 3 4 3 2" xfId="13236"/>
    <cellStyle name="inp.FX 3 4 3 2 2" xfId="28018"/>
    <cellStyle name="inp.FX 3 4 3 2 3" xfId="33823"/>
    <cellStyle name="inp.FX 3 4 3 3" xfId="28017"/>
    <cellStyle name="inp.FX 3 4 3 4" xfId="33822"/>
    <cellStyle name="inp.FX 3 4 4" xfId="13237"/>
    <cellStyle name="inp.FX 3 4 4 2" xfId="28019"/>
    <cellStyle name="inp.FX 3 4 4 3" xfId="33824"/>
    <cellStyle name="inp.FX 3 4 5" xfId="21203"/>
    <cellStyle name="inp.FX 3 4 6" xfId="19770"/>
    <cellStyle name="inp.FX 3 5" xfId="13238"/>
    <cellStyle name="inp.FX 3 5 2" xfId="13239"/>
    <cellStyle name="inp.FX 3 5 2 2" xfId="28021"/>
    <cellStyle name="inp.FX 3 5 2 3" xfId="33826"/>
    <cellStyle name="inp.FX 3 5 3" xfId="28020"/>
    <cellStyle name="inp.FX 3 5 4" xfId="33825"/>
    <cellStyle name="inp.FX 3 6" xfId="13240"/>
    <cellStyle name="inp.FX 3 6 2" xfId="28022"/>
    <cellStyle name="inp.FX 3 6 3" xfId="33827"/>
    <cellStyle name="inp.FX 3 7" xfId="21426"/>
    <cellStyle name="inp.FX 4" xfId="5332"/>
    <cellStyle name="inp.FX 4 2" xfId="13241"/>
    <cellStyle name="inp.FX 4 2 2" xfId="13242"/>
    <cellStyle name="inp.FX 4 2 2 2" xfId="28024"/>
    <cellStyle name="inp.FX 4 2 2 3" xfId="33829"/>
    <cellStyle name="inp.FX 4 2 3" xfId="28023"/>
    <cellStyle name="inp.FX 4 2 4" xfId="33828"/>
    <cellStyle name="inp.FX 4 3" xfId="13243"/>
    <cellStyle name="inp.FX 4 3 2" xfId="13244"/>
    <cellStyle name="inp.FX 4 3 2 2" xfId="28026"/>
    <cellStyle name="inp.FX 4 3 2 3" xfId="33831"/>
    <cellStyle name="inp.FX 4 3 3" xfId="13245"/>
    <cellStyle name="inp.FX 4 3 3 2" xfId="28027"/>
    <cellStyle name="inp.FX 4 3 3 3" xfId="33832"/>
    <cellStyle name="inp.FX 4 3 4" xfId="28025"/>
    <cellStyle name="inp.FX 4 3 5" xfId="33830"/>
    <cellStyle name="inp.FX 4 4" xfId="13246"/>
    <cellStyle name="inp.FX 4 4 2" xfId="28028"/>
    <cellStyle name="inp.FX 4 4 3" xfId="33833"/>
    <cellStyle name="inp.FX 4 5" xfId="21204"/>
    <cellStyle name="inp.FX 4 6" xfId="19769"/>
    <cellStyle name="inp.FX 5" xfId="5333"/>
    <cellStyle name="inp.FX 5 2" xfId="13247"/>
    <cellStyle name="inp.FX 5 2 2" xfId="13248"/>
    <cellStyle name="inp.FX 5 2 2 2" xfId="28030"/>
    <cellStyle name="inp.FX 5 2 2 3" xfId="33835"/>
    <cellStyle name="inp.FX 5 2 3" xfId="28029"/>
    <cellStyle name="inp.FX 5 2 4" xfId="33834"/>
    <cellStyle name="inp.FX 5 3" xfId="13249"/>
    <cellStyle name="inp.FX 5 3 2" xfId="13250"/>
    <cellStyle name="inp.FX 5 3 2 2" xfId="28032"/>
    <cellStyle name="inp.FX 5 3 2 3" xfId="33837"/>
    <cellStyle name="inp.FX 5 3 3" xfId="13251"/>
    <cellStyle name="inp.FX 5 3 3 2" xfId="28033"/>
    <cellStyle name="inp.FX 5 3 3 3" xfId="33838"/>
    <cellStyle name="inp.FX 5 3 4" xfId="28031"/>
    <cellStyle name="inp.FX 5 3 5" xfId="33836"/>
    <cellStyle name="inp.FX 5 4" xfId="13252"/>
    <cellStyle name="inp.FX 5 4 2" xfId="28034"/>
    <cellStyle name="inp.FX 5 4 3" xfId="33839"/>
    <cellStyle name="inp.FX 5 5" xfId="21205"/>
    <cellStyle name="inp.FX 5 6" xfId="19768"/>
    <cellStyle name="inp.FX 6" xfId="5334"/>
    <cellStyle name="inp.FX 6 2" xfId="13253"/>
    <cellStyle name="inp.FX 6 2 2" xfId="13254"/>
    <cellStyle name="inp.FX 6 2 2 2" xfId="28036"/>
    <cellStyle name="inp.FX 6 2 2 3" xfId="33841"/>
    <cellStyle name="inp.FX 6 2 3" xfId="13255"/>
    <cellStyle name="inp.FX 6 2 3 2" xfId="28037"/>
    <cellStyle name="inp.FX 6 2 3 3" xfId="33842"/>
    <cellStyle name="inp.FX 6 2 4" xfId="28035"/>
    <cellStyle name="inp.FX 6 2 5" xfId="33840"/>
    <cellStyle name="inp.FX 6 3" xfId="13256"/>
    <cellStyle name="inp.FX 6 3 2" xfId="13257"/>
    <cellStyle name="inp.FX 6 3 2 2" xfId="28039"/>
    <cellStyle name="inp.FX 6 3 2 3" xfId="33844"/>
    <cellStyle name="inp.FX 6 3 3" xfId="28038"/>
    <cellStyle name="inp.FX 6 3 4" xfId="33843"/>
    <cellStyle name="inp.FX 6 4" xfId="13258"/>
    <cellStyle name="inp.FX 6 4 2" xfId="28040"/>
    <cellStyle name="inp.FX 6 4 3" xfId="33845"/>
    <cellStyle name="inp.FX 6 5" xfId="21206"/>
    <cellStyle name="inp.FX 6 6" xfId="19767"/>
    <cellStyle name="inp.FX 7" xfId="13259"/>
    <cellStyle name="inp.FX 7 2" xfId="13260"/>
    <cellStyle name="inp.FX 7 2 2" xfId="28042"/>
    <cellStyle name="inp.FX 7 2 3" xfId="33847"/>
    <cellStyle name="inp.FX 7 3" xfId="28041"/>
    <cellStyle name="inp.FX 7 4" xfId="33846"/>
    <cellStyle name="inp.FX 8" xfId="13261"/>
    <cellStyle name="inp.FX 8 2" xfId="28043"/>
    <cellStyle name="inp.FX 8 3" xfId="33848"/>
    <cellStyle name="inp.FX 9" xfId="18160"/>
    <cellStyle name="inp.General" xfId="2585"/>
    <cellStyle name="inp.General 2" xfId="2586"/>
    <cellStyle name="inp.General 2 2" xfId="5335"/>
    <cellStyle name="inp.General 2 2 2" xfId="13262"/>
    <cellStyle name="inp.General 2 2 2 2" xfId="13263"/>
    <cellStyle name="inp.General 2 2 2 2 2" xfId="28045"/>
    <cellStyle name="inp.General 2 2 2 2 3" xfId="33850"/>
    <cellStyle name="inp.General 2 2 2 3" xfId="28044"/>
    <cellStyle name="inp.General 2 2 2 4" xfId="33849"/>
    <cellStyle name="inp.General 2 2 3" xfId="13264"/>
    <cellStyle name="inp.General 2 2 3 2" xfId="13265"/>
    <cellStyle name="inp.General 2 2 3 2 2" xfId="28047"/>
    <cellStyle name="inp.General 2 2 3 2 3" xfId="33852"/>
    <cellStyle name="inp.General 2 2 3 3" xfId="13266"/>
    <cellStyle name="inp.General 2 2 3 3 2" xfId="28048"/>
    <cellStyle name="inp.General 2 2 3 3 3" xfId="33853"/>
    <cellStyle name="inp.General 2 2 3 4" xfId="28046"/>
    <cellStyle name="inp.General 2 2 3 5" xfId="33851"/>
    <cellStyle name="inp.General 2 2 4" xfId="13267"/>
    <cellStyle name="inp.General 2 2 4 2" xfId="28049"/>
    <cellStyle name="inp.General 2 2 4 3" xfId="33854"/>
    <cellStyle name="inp.General 2 2 5" xfId="21207"/>
    <cellStyle name="inp.General 2 2 6" xfId="19766"/>
    <cellStyle name="inp.General 2 3" xfId="5336"/>
    <cellStyle name="inp.General 2 3 2" xfId="13268"/>
    <cellStyle name="inp.General 2 3 2 2" xfId="13269"/>
    <cellStyle name="inp.General 2 3 2 2 2" xfId="28051"/>
    <cellStyle name="inp.General 2 3 2 2 3" xfId="33856"/>
    <cellStyle name="inp.General 2 3 2 3" xfId="28050"/>
    <cellStyle name="inp.General 2 3 2 4" xfId="33855"/>
    <cellStyle name="inp.General 2 3 3" xfId="13270"/>
    <cellStyle name="inp.General 2 3 3 2" xfId="13271"/>
    <cellStyle name="inp.General 2 3 3 2 2" xfId="28053"/>
    <cellStyle name="inp.General 2 3 3 2 3" xfId="33858"/>
    <cellStyle name="inp.General 2 3 3 3" xfId="13272"/>
    <cellStyle name="inp.General 2 3 3 3 2" xfId="28054"/>
    <cellStyle name="inp.General 2 3 3 3 3" xfId="33859"/>
    <cellStyle name="inp.General 2 3 3 4" xfId="28052"/>
    <cellStyle name="inp.General 2 3 3 5" xfId="33857"/>
    <cellStyle name="inp.General 2 3 4" xfId="13273"/>
    <cellStyle name="inp.General 2 3 4 2" xfId="28055"/>
    <cellStyle name="inp.General 2 3 4 3" xfId="33860"/>
    <cellStyle name="inp.General 2 3 5" xfId="21208"/>
    <cellStyle name="inp.General 2 3 6" xfId="19765"/>
    <cellStyle name="inp.General 2 4" xfId="5337"/>
    <cellStyle name="inp.General 2 4 2" xfId="13274"/>
    <cellStyle name="inp.General 2 4 2 2" xfId="13275"/>
    <cellStyle name="inp.General 2 4 2 2 2" xfId="28057"/>
    <cellStyle name="inp.General 2 4 2 2 3" xfId="33862"/>
    <cellStyle name="inp.General 2 4 2 3" xfId="13276"/>
    <cellStyle name="inp.General 2 4 2 3 2" xfId="28058"/>
    <cellStyle name="inp.General 2 4 2 3 3" xfId="33863"/>
    <cellStyle name="inp.General 2 4 2 4" xfId="28056"/>
    <cellStyle name="inp.General 2 4 2 5" xfId="33861"/>
    <cellStyle name="inp.General 2 4 3" xfId="13277"/>
    <cellStyle name="inp.General 2 4 3 2" xfId="13278"/>
    <cellStyle name="inp.General 2 4 3 2 2" xfId="28060"/>
    <cellStyle name="inp.General 2 4 3 2 3" xfId="33865"/>
    <cellStyle name="inp.General 2 4 3 3" xfId="28059"/>
    <cellStyle name="inp.General 2 4 3 4" xfId="33864"/>
    <cellStyle name="inp.General 2 4 4" xfId="13279"/>
    <cellStyle name="inp.General 2 4 4 2" xfId="28061"/>
    <cellStyle name="inp.General 2 4 4 3" xfId="33866"/>
    <cellStyle name="inp.General 2 4 5" xfId="21209"/>
    <cellStyle name="inp.General 2 4 6" xfId="19764"/>
    <cellStyle name="inp.General 2 5" xfId="13280"/>
    <cellStyle name="inp.General 2 5 2" xfId="13281"/>
    <cellStyle name="inp.General 2 5 2 2" xfId="28063"/>
    <cellStyle name="inp.General 2 5 2 3" xfId="33868"/>
    <cellStyle name="inp.General 2 5 3" xfId="28062"/>
    <cellStyle name="inp.General 2 5 4" xfId="33867"/>
    <cellStyle name="inp.General 2 6" xfId="13282"/>
    <cellStyle name="inp.General 2 6 2" xfId="28064"/>
    <cellStyle name="inp.General 2 6 3" xfId="33869"/>
    <cellStyle name="inp.General 2 7" xfId="18151"/>
    <cellStyle name="inp.General 3" xfId="2587"/>
    <cellStyle name="inp.General 3 2" xfId="5338"/>
    <cellStyle name="inp.General 3 2 2" xfId="13283"/>
    <cellStyle name="inp.General 3 2 2 2" xfId="13284"/>
    <cellStyle name="inp.General 3 2 2 2 2" xfId="28066"/>
    <cellStyle name="inp.General 3 2 2 2 3" xfId="33871"/>
    <cellStyle name="inp.General 3 2 2 3" xfId="28065"/>
    <cellStyle name="inp.General 3 2 2 4" xfId="33870"/>
    <cellStyle name="inp.General 3 2 3" xfId="13285"/>
    <cellStyle name="inp.General 3 2 3 2" xfId="13286"/>
    <cellStyle name="inp.General 3 2 3 2 2" xfId="28068"/>
    <cellStyle name="inp.General 3 2 3 2 3" xfId="33873"/>
    <cellStyle name="inp.General 3 2 3 3" xfId="13287"/>
    <cellStyle name="inp.General 3 2 3 3 2" xfId="28069"/>
    <cellStyle name="inp.General 3 2 3 3 3" xfId="33874"/>
    <cellStyle name="inp.General 3 2 3 4" xfId="28067"/>
    <cellStyle name="inp.General 3 2 3 5" xfId="33872"/>
    <cellStyle name="inp.General 3 2 4" xfId="13288"/>
    <cellStyle name="inp.General 3 2 4 2" xfId="28070"/>
    <cellStyle name="inp.General 3 2 4 3" xfId="33875"/>
    <cellStyle name="inp.General 3 2 5" xfId="21210"/>
    <cellStyle name="inp.General 3 2 6" xfId="19763"/>
    <cellStyle name="inp.General 3 3" xfId="5339"/>
    <cellStyle name="inp.General 3 3 2" xfId="13289"/>
    <cellStyle name="inp.General 3 3 2 2" xfId="13290"/>
    <cellStyle name="inp.General 3 3 2 2 2" xfId="28072"/>
    <cellStyle name="inp.General 3 3 2 2 3" xfId="33877"/>
    <cellStyle name="inp.General 3 3 2 3" xfId="28071"/>
    <cellStyle name="inp.General 3 3 2 4" xfId="33876"/>
    <cellStyle name="inp.General 3 3 3" xfId="13291"/>
    <cellStyle name="inp.General 3 3 3 2" xfId="13292"/>
    <cellStyle name="inp.General 3 3 3 2 2" xfId="28074"/>
    <cellStyle name="inp.General 3 3 3 2 3" xfId="33879"/>
    <cellStyle name="inp.General 3 3 3 3" xfId="13293"/>
    <cellStyle name="inp.General 3 3 3 3 2" xfId="28075"/>
    <cellStyle name="inp.General 3 3 3 3 3" xfId="33880"/>
    <cellStyle name="inp.General 3 3 3 4" xfId="28073"/>
    <cellStyle name="inp.General 3 3 3 5" xfId="33878"/>
    <cellStyle name="inp.General 3 3 4" xfId="13294"/>
    <cellStyle name="inp.General 3 3 4 2" xfId="28076"/>
    <cellStyle name="inp.General 3 3 4 3" xfId="33881"/>
    <cellStyle name="inp.General 3 3 5" xfId="21211"/>
    <cellStyle name="inp.General 3 3 6" xfId="19762"/>
    <cellStyle name="inp.General 3 4" xfId="5340"/>
    <cellStyle name="inp.General 3 4 2" xfId="13295"/>
    <cellStyle name="inp.General 3 4 2 2" xfId="13296"/>
    <cellStyle name="inp.General 3 4 2 2 2" xfId="28078"/>
    <cellStyle name="inp.General 3 4 2 2 3" xfId="33883"/>
    <cellStyle name="inp.General 3 4 2 3" xfId="13297"/>
    <cellStyle name="inp.General 3 4 2 3 2" xfId="28079"/>
    <cellStyle name="inp.General 3 4 2 3 3" xfId="33884"/>
    <cellStyle name="inp.General 3 4 2 4" xfId="28077"/>
    <cellStyle name="inp.General 3 4 2 5" xfId="33882"/>
    <cellStyle name="inp.General 3 4 3" xfId="13298"/>
    <cellStyle name="inp.General 3 4 3 2" xfId="13299"/>
    <cellStyle name="inp.General 3 4 3 2 2" xfId="28081"/>
    <cellStyle name="inp.General 3 4 3 2 3" xfId="33886"/>
    <cellStyle name="inp.General 3 4 3 3" xfId="28080"/>
    <cellStyle name="inp.General 3 4 3 4" xfId="33885"/>
    <cellStyle name="inp.General 3 4 4" xfId="13300"/>
    <cellStyle name="inp.General 3 4 4 2" xfId="28082"/>
    <cellStyle name="inp.General 3 4 4 3" xfId="33887"/>
    <cellStyle name="inp.General 3 4 5" xfId="21212"/>
    <cellStyle name="inp.General 3 4 6" xfId="19761"/>
    <cellStyle name="inp.General 3 5" xfId="13301"/>
    <cellStyle name="inp.General 3 5 2" xfId="13302"/>
    <cellStyle name="inp.General 3 5 2 2" xfId="28084"/>
    <cellStyle name="inp.General 3 5 2 3" xfId="33889"/>
    <cellStyle name="inp.General 3 5 3" xfId="28083"/>
    <cellStyle name="inp.General 3 5 4" xfId="33888"/>
    <cellStyle name="inp.General 3 6" xfId="13303"/>
    <cellStyle name="inp.General 3 6 2" xfId="28085"/>
    <cellStyle name="inp.General 3 6 3" xfId="33890"/>
    <cellStyle name="inp.General 3 7" xfId="18148"/>
    <cellStyle name="inp.General 4" xfId="5341"/>
    <cellStyle name="inp.General 4 2" xfId="13304"/>
    <cellStyle name="inp.General 4 2 2" xfId="13305"/>
    <cellStyle name="inp.General 4 2 2 2" xfId="28087"/>
    <cellStyle name="inp.General 4 2 2 3" xfId="33892"/>
    <cellStyle name="inp.General 4 2 3" xfId="28086"/>
    <cellStyle name="inp.General 4 2 4" xfId="33891"/>
    <cellStyle name="inp.General 4 3" xfId="13306"/>
    <cellStyle name="inp.General 4 3 2" xfId="13307"/>
    <cellStyle name="inp.General 4 3 2 2" xfId="28089"/>
    <cellStyle name="inp.General 4 3 2 3" xfId="33894"/>
    <cellStyle name="inp.General 4 3 3" xfId="13308"/>
    <cellStyle name="inp.General 4 3 3 2" xfId="28090"/>
    <cellStyle name="inp.General 4 3 3 3" xfId="33895"/>
    <cellStyle name="inp.General 4 3 4" xfId="28088"/>
    <cellStyle name="inp.General 4 3 5" xfId="33893"/>
    <cellStyle name="inp.General 4 4" xfId="13309"/>
    <cellStyle name="inp.General 4 4 2" xfId="28091"/>
    <cellStyle name="inp.General 4 4 3" xfId="33896"/>
    <cellStyle name="inp.General 4 5" xfId="21213"/>
    <cellStyle name="inp.General 4 6" xfId="19760"/>
    <cellStyle name="inp.General 5" xfId="5342"/>
    <cellStyle name="inp.General 5 2" xfId="13310"/>
    <cellStyle name="inp.General 5 2 2" xfId="13311"/>
    <cellStyle name="inp.General 5 2 2 2" xfId="28093"/>
    <cellStyle name="inp.General 5 2 2 3" xfId="33898"/>
    <cellStyle name="inp.General 5 2 3" xfId="28092"/>
    <cellStyle name="inp.General 5 2 4" xfId="33897"/>
    <cellStyle name="inp.General 5 3" xfId="13312"/>
    <cellStyle name="inp.General 5 3 2" xfId="13313"/>
    <cellStyle name="inp.General 5 3 2 2" xfId="28095"/>
    <cellStyle name="inp.General 5 3 2 3" xfId="33900"/>
    <cellStyle name="inp.General 5 3 3" xfId="13314"/>
    <cellStyle name="inp.General 5 3 3 2" xfId="28096"/>
    <cellStyle name="inp.General 5 3 3 3" xfId="33901"/>
    <cellStyle name="inp.General 5 3 4" xfId="28094"/>
    <cellStyle name="inp.General 5 3 5" xfId="33899"/>
    <cellStyle name="inp.General 5 4" xfId="13315"/>
    <cellStyle name="inp.General 5 4 2" xfId="28097"/>
    <cellStyle name="inp.General 5 4 3" xfId="33902"/>
    <cellStyle name="inp.General 5 5" xfId="21214"/>
    <cellStyle name="inp.General 5 6" xfId="19759"/>
    <cellStyle name="inp.General 6" xfId="5343"/>
    <cellStyle name="inp.General 6 2" xfId="13316"/>
    <cellStyle name="inp.General 6 2 2" xfId="13317"/>
    <cellStyle name="inp.General 6 2 2 2" xfId="28099"/>
    <cellStyle name="inp.General 6 2 2 3" xfId="33904"/>
    <cellStyle name="inp.General 6 2 3" xfId="13318"/>
    <cellStyle name="inp.General 6 2 3 2" xfId="28100"/>
    <cellStyle name="inp.General 6 2 3 3" xfId="33905"/>
    <cellStyle name="inp.General 6 2 4" xfId="28098"/>
    <cellStyle name="inp.General 6 2 5" xfId="33903"/>
    <cellStyle name="inp.General 6 3" xfId="13319"/>
    <cellStyle name="inp.General 6 3 2" xfId="13320"/>
    <cellStyle name="inp.General 6 3 2 2" xfId="28102"/>
    <cellStyle name="inp.General 6 3 2 3" xfId="33907"/>
    <cellStyle name="inp.General 6 3 3" xfId="28101"/>
    <cellStyle name="inp.General 6 3 4" xfId="33906"/>
    <cellStyle name="inp.General 6 4" xfId="13321"/>
    <cellStyle name="inp.General 6 4 2" xfId="28103"/>
    <cellStyle name="inp.General 6 4 3" xfId="33908"/>
    <cellStyle name="inp.General 6 5" xfId="21215"/>
    <cellStyle name="inp.General 6 6" xfId="19757"/>
    <cellStyle name="inp.General 7" xfId="13322"/>
    <cellStyle name="inp.General 7 2" xfId="13323"/>
    <cellStyle name="inp.General 7 2 2" xfId="28105"/>
    <cellStyle name="inp.General 7 2 3" xfId="33910"/>
    <cellStyle name="inp.General 7 3" xfId="28104"/>
    <cellStyle name="inp.General 7 4" xfId="33909"/>
    <cellStyle name="inp.General 8" xfId="13324"/>
    <cellStyle name="inp.General 8 2" xfId="28106"/>
    <cellStyle name="inp.General 8 3" xfId="33911"/>
    <cellStyle name="inp.General 9" xfId="18153"/>
    <cellStyle name="inp.Number" xfId="2588"/>
    <cellStyle name="inp.Number 2" xfId="2589"/>
    <cellStyle name="inp.Number 2 2" xfId="5344"/>
    <cellStyle name="inp.Number 2 2 2" xfId="13325"/>
    <cellStyle name="inp.Number 2 2 2 2" xfId="13326"/>
    <cellStyle name="inp.Number 2 2 2 2 2" xfId="28108"/>
    <cellStyle name="inp.Number 2 2 2 2 3" xfId="33913"/>
    <cellStyle name="inp.Number 2 2 2 3" xfId="28107"/>
    <cellStyle name="inp.Number 2 2 2 4" xfId="33912"/>
    <cellStyle name="inp.Number 2 2 3" xfId="13327"/>
    <cellStyle name="inp.Number 2 2 3 2" xfId="13328"/>
    <cellStyle name="inp.Number 2 2 3 2 2" xfId="28110"/>
    <cellStyle name="inp.Number 2 2 3 2 3" xfId="33915"/>
    <cellStyle name="inp.Number 2 2 3 3" xfId="13329"/>
    <cellStyle name="inp.Number 2 2 3 3 2" xfId="28111"/>
    <cellStyle name="inp.Number 2 2 3 3 3" xfId="33916"/>
    <cellStyle name="inp.Number 2 2 3 4" xfId="28109"/>
    <cellStyle name="inp.Number 2 2 3 5" xfId="33914"/>
    <cellStyle name="inp.Number 2 2 4" xfId="13330"/>
    <cellStyle name="inp.Number 2 2 4 2" xfId="28112"/>
    <cellStyle name="inp.Number 2 2 4 3" xfId="33917"/>
    <cellStyle name="inp.Number 2 2 5" xfId="21216"/>
    <cellStyle name="inp.Number 2 2 6" xfId="19756"/>
    <cellStyle name="inp.Number 2 3" xfId="5345"/>
    <cellStyle name="inp.Number 2 3 2" xfId="13331"/>
    <cellStyle name="inp.Number 2 3 2 2" xfId="13332"/>
    <cellStyle name="inp.Number 2 3 2 2 2" xfId="28114"/>
    <cellStyle name="inp.Number 2 3 2 2 3" xfId="33919"/>
    <cellStyle name="inp.Number 2 3 2 3" xfId="28113"/>
    <cellStyle name="inp.Number 2 3 2 4" xfId="33918"/>
    <cellStyle name="inp.Number 2 3 3" xfId="13333"/>
    <cellStyle name="inp.Number 2 3 3 2" xfId="13334"/>
    <cellStyle name="inp.Number 2 3 3 2 2" xfId="28116"/>
    <cellStyle name="inp.Number 2 3 3 2 3" xfId="33921"/>
    <cellStyle name="inp.Number 2 3 3 3" xfId="13335"/>
    <cellStyle name="inp.Number 2 3 3 3 2" xfId="28117"/>
    <cellStyle name="inp.Number 2 3 3 3 3" xfId="33922"/>
    <cellStyle name="inp.Number 2 3 3 4" xfId="28115"/>
    <cellStyle name="inp.Number 2 3 3 5" xfId="33920"/>
    <cellStyle name="inp.Number 2 3 4" xfId="13336"/>
    <cellStyle name="inp.Number 2 3 4 2" xfId="28118"/>
    <cellStyle name="inp.Number 2 3 4 3" xfId="33923"/>
    <cellStyle name="inp.Number 2 3 5" xfId="21217"/>
    <cellStyle name="inp.Number 2 3 6" xfId="19755"/>
    <cellStyle name="inp.Number 2 4" xfId="5346"/>
    <cellStyle name="inp.Number 2 4 2" xfId="13337"/>
    <cellStyle name="inp.Number 2 4 2 2" xfId="13338"/>
    <cellStyle name="inp.Number 2 4 2 2 2" xfId="28120"/>
    <cellStyle name="inp.Number 2 4 2 2 3" xfId="33925"/>
    <cellStyle name="inp.Number 2 4 2 3" xfId="13339"/>
    <cellStyle name="inp.Number 2 4 2 3 2" xfId="28121"/>
    <cellStyle name="inp.Number 2 4 2 3 3" xfId="33926"/>
    <cellStyle name="inp.Number 2 4 2 4" xfId="28119"/>
    <cellStyle name="inp.Number 2 4 2 5" xfId="33924"/>
    <cellStyle name="inp.Number 2 4 3" xfId="13340"/>
    <cellStyle name="inp.Number 2 4 3 2" xfId="13341"/>
    <cellStyle name="inp.Number 2 4 3 2 2" xfId="28123"/>
    <cellStyle name="inp.Number 2 4 3 2 3" xfId="33928"/>
    <cellStyle name="inp.Number 2 4 3 3" xfId="28122"/>
    <cellStyle name="inp.Number 2 4 3 4" xfId="33927"/>
    <cellStyle name="inp.Number 2 4 4" xfId="13342"/>
    <cellStyle name="inp.Number 2 4 4 2" xfId="28124"/>
    <cellStyle name="inp.Number 2 4 4 3" xfId="33929"/>
    <cellStyle name="inp.Number 2 4 5" xfId="21218"/>
    <cellStyle name="inp.Number 2 4 6" xfId="19754"/>
    <cellStyle name="inp.Number 2 5" xfId="13343"/>
    <cellStyle name="inp.Number 2 5 2" xfId="13344"/>
    <cellStyle name="inp.Number 2 5 2 2" xfId="28126"/>
    <cellStyle name="inp.Number 2 5 2 3" xfId="33931"/>
    <cellStyle name="inp.Number 2 5 3" xfId="28125"/>
    <cellStyle name="inp.Number 2 5 4" xfId="33930"/>
    <cellStyle name="inp.Number 2 6" xfId="13345"/>
    <cellStyle name="inp.Number 2 6 2" xfId="28127"/>
    <cellStyle name="inp.Number 2 6 3" xfId="33932"/>
    <cellStyle name="inp.Number 2 7" xfId="20023"/>
    <cellStyle name="inp.Number 3" xfId="2590"/>
    <cellStyle name="inp.Number 3 2" xfId="5347"/>
    <cellStyle name="inp.Number 3 2 2" xfId="13346"/>
    <cellStyle name="inp.Number 3 2 2 2" xfId="13347"/>
    <cellStyle name="inp.Number 3 2 2 2 2" xfId="28129"/>
    <cellStyle name="inp.Number 3 2 2 2 3" xfId="33934"/>
    <cellStyle name="inp.Number 3 2 2 3" xfId="28128"/>
    <cellStyle name="inp.Number 3 2 2 4" xfId="33933"/>
    <cellStyle name="inp.Number 3 2 3" xfId="13348"/>
    <cellStyle name="inp.Number 3 2 3 2" xfId="13349"/>
    <cellStyle name="inp.Number 3 2 3 2 2" xfId="28131"/>
    <cellStyle name="inp.Number 3 2 3 2 3" xfId="33936"/>
    <cellStyle name="inp.Number 3 2 3 3" xfId="13350"/>
    <cellStyle name="inp.Number 3 2 3 3 2" xfId="28132"/>
    <cellStyle name="inp.Number 3 2 3 3 3" xfId="33937"/>
    <cellStyle name="inp.Number 3 2 3 4" xfId="28130"/>
    <cellStyle name="inp.Number 3 2 3 5" xfId="33935"/>
    <cellStyle name="inp.Number 3 2 4" xfId="13351"/>
    <cellStyle name="inp.Number 3 2 4 2" xfId="28133"/>
    <cellStyle name="inp.Number 3 2 4 3" xfId="33938"/>
    <cellStyle name="inp.Number 3 2 5" xfId="21219"/>
    <cellStyle name="inp.Number 3 2 6" xfId="21092"/>
    <cellStyle name="inp.Number 3 3" xfId="5348"/>
    <cellStyle name="inp.Number 3 3 2" xfId="13352"/>
    <cellStyle name="inp.Number 3 3 2 2" xfId="13353"/>
    <cellStyle name="inp.Number 3 3 2 2 2" xfId="28135"/>
    <cellStyle name="inp.Number 3 3 2 2 3" xfId="33940"/>
    <cellStyle name="inp.Number 3 3 2 3" xfId="28134"/>
    <cellStyle name="inp.Number 3 3 2 4" xfId="33939"/>
    <cellStyle name="inp.Number 3 3 3" xfId="13354"/>
    <cellStyle name="inp.Number 3 3 3 2" xfId="13355"/>
    <cellStyle name="inp.Number 3 3 3 2 2" xfId="28137"/>
    <cellStyle name="inp.Number 3 3 3 2 3" xfId="33942"/>
    <cellStyle name="inp.Number 3 3 3 3" xfId="13356"/>
    <cellStyle name="inp.Number 3 3 3 3 2" xfId="28138"/>
    <cellStyle name="inp.Number 3 3 3 3 3" xfId="33943"/>
    <cellStyle name="inp.Number 3 3 3 4" xfId="28136"/>
    <cellStyle name="inp.Number 3 3 3 5" xfId="33941"/>
    <cellStyle name="inp.Number 3 3 4" xfId="13357"/>
    <cellStyle name="inp.Number 3 3 4 2" xfId="28139"/>
    <cellStyle name="inp.Number 3 3 4 3" xfId="33944"/>
    <cellStyle name="inp.Number 3 3 5" xfId="21220"/>
    <cellStyle name="inp.Number 3 3 6" xfId="21091"/>
    <cellStyle name="inp.Number 3 4" xfId="5349"/>
    <cellStyle name="inp.Number 3 4 2" xfId="13358"/>
    <cellStyle name="inp.Number 3 4 2 2" xfId="13359"/>
    <cellStyle name="inp.Number 3 4 2 2 2" xfId="28141"/>
    <cellStyle name="inp.Number 3 4 2 2 3" xfId="33946"/>
    <cellStyle name="inp.Number 3 4 2 3" xfId="13360"/>
    <cellStyle name="inp.Number 3 4 2 3 2" xfId="28142"/>
    <cellStyle name="inp.Number 3 4 2 3 3" xfId="33947"/>
    <cellStyle name="inp.Number 3 4 2 4" xfId="28140"/>
    <cellStyle name="inp.Number 3 4 2 5" xfId="33945"/>
    <cellStyle name="inp.Number 3 4 3" xfId="13361"/>
    <cellStyle name="inp.Number 3 4 3 2" xfId="13362"/>
    <cellStyle name="inp.Number 3 4 3 2 2" xfId="28144"/>
    <cellStyle name="inp.Number 3 4 3 2 3" xfId="33949"/>
    <cellStyle name="inp.Number 3 4 3 3" xfId="28143"/>
    <cellStyle name="inp.Number 3 4 3 4" xfId="33948"/>
    <cellStyle name="inp.Number 3 4 4" xfId="13363"/>
    <cellStyle name="inp.Number 3 4 4 2" xfId="28145"/>
    <cellStyle name="inp.Number 3 4 4 3" xfId="33950"/>
    <cellStyle name="inp.Number 3 4 5" xfId="21221"/>
    <cellStyle name="inp.Number 3 4 6" xfId="19753"/>
    <cellStyle name="inp.Number 3 5" xfId="13364"/>
    <cellStyle name="inp.Number 3 5 2" xfId="13365"/>
    <cellStyle name="inp.Number 3 5 2 2" xfId="28147"/>
    <cellStyle name="inp.Number 3 5 2 3" xfId="33952"/>
    <cellStyle name="inp.Number 3 5 3" xfId="28146"/>
    <cellStyle name="inp.Number 3 5 4" xfId="33951"/>
    <cellStyle name="inp.Number 3 6" xfId="13366"/>
    <cellStyle name="inp.Number 3 6 2" xfId="28148"/>
    <cellStyle name="inp.Number 3 6 3" xfId="33953"/>
    <cellStyle name="inp.Number 3 7" xfId="18110"/>
    <cellStyle name="inp.Number 4" xfId="5350"/>
    <cellStyle name="inp.Number 4 2" xfId="13367"/>
    <cellStyle name="inp.Number 4 2 2" xfId="13368"/>
    <cellStyle name="inp.Number 4 2 2 2" xfId="28150"/>
    <cellStyle name="inp.Number 4 2 2 3" xfId="33955"/>
    <cellStyle name="inp.Number 4 2 3" xfId="28149"/>
    <cellStyle name="inp.Number 4 2 4" xfId="33954"/>
    <cellStyle name="inp.Number 4 3" xfId="13369"/>
    <cellStyle name="inp.Number 4 3 2" xfId="13370"/>
    <cellStyle name="inp.Number 4 3 2 2" xfId="28152"/>
    <cellStyle name="inp.Number 4 3 2 3" xfId="33957"/>
    <cellStyle name="inp.Number 4 3 3" xfId="13371"/>
    <cellStyle name="inp.Number 4 3 3 2" xfId="28153"/>
    <cellStyle name="inp.Number 4 3 3 3" xfId="33958"/>
    <cellStyle name="inp.Number 4 3 4" xfId="28151"/>
    <cellStyle name="inp.Number 4 3 5" xfId="33956"/>
    <cellStyle name="inp.Number 4 4" xfId="13372"/>
    <cellStyle name="inp.Number 4 4 2" xfId="28154"/>
    <cellStyle name="inp.Number 4 4 3" xfId="33959"/>
    <cellStyle name="inp.Number 4 5" xfId="21222"/>
    <cellStyle name="inp.Number 4 6" xfId="26429"/>
    <cellStyle name="inp.Number 5" xfId="5351"/>
    <cellStyle name="inp.Number 5 2" xfId="13373"/>
    <cellStyle name="inp.Number 5 2 2" xfId="13374"/>
    <cellStyle name="inp.Number 5 2 2 2" xfId="28156"/>
    <cellStyle name="inp.Number 5 2 2 3" xfId="33961"/>
    <cellStyle name="inp.Number 5 2 3" xfId="28155"/>
    <cellStyle name="inp.Number 5 2 4" xfId="33960"/>
    <cellStyle name="inp.Number 5 3" xfId="13375"/>
    <cellStyle name="inp.Number 5 3 2" xfId="13376"/>
    <cellStyle name="inp.Number 5 3 2 2" xfId="28158"/>
    <cellStyle name="inp.Number 5 3 2 3" xfId="33963"/>
    <cellStyle name="inp.Number 5 3 3" xfId="13377"/>
    <cellStyle name="inp.Number 5 3 3 2" xfId="28159"/>
    <cellStyle name="inp.Number 5 3 3 3" xfId="33964"/>
    <cellStyle name="inp.Number 5 3 4" xfId="28157"/>
    <cellStyle name="inp.Number 5 3 5" xfId="33962"/>
    <cellStyle name="inp.Number 5 4" xfId="13378"/>
    <cellStyle name="inp.Number 5 4 2" xfId="28160"/>
    <cellStyle name="inp.Number 5 4 3" xfId="33965"/>
    <cellStyle name="inp.Number 5 5" xfId="21223"/>
    <cellStyle name="inp.Number 5 6" xfId="26428"/>
    <cellStyle name="inp.Number 6" xfId="5352"/>
    <cellStyle name="inp.Number 6 2" xfId="13379"/>
    <cellStyle name="inp.Number 6 2 2" xfId="13380"/>
    <cellStyle name="inp.Number 6 2 2 2" xfId="28162"/>
    <cellStyle name="inp.Number 6 2 2 3" xfId="33967"/>
    <cellStyle name="inp.Number 6 2 3" xfId="13381"/>
    <cellStyle name="inp.Number 6 2 3 2" xfId="28163"/>
    <cellStyle name="inp.Number 6 2 3 3" xfId="33968"/>
    <cellStyle name="inp.Number 6 2 4" xfId="28161"/>
    <cellStyle name="inp.Number 6 2 5" xfId="33966"/>
    <cellStyle name="inp.Number 6 3" xfId="13382"/>
    <cellStyle name="inp.Number 6 3 2" xfId="13383"/>
    <cellStyle name="inp.Number 6 3 2 2" xfId="28165"/>
    <cellStyle name="inp.Number 6 3 2 3" xfId="33970"/>
    <cellStyle name="inp.Number 6 3 3" xfId="28164"/>
    <cellStyle name="inp.Number 6 3 4" xfId="33969"/>
    <cellStyle name="inp.Number 6 4" xfId="13384"/>
    <cellStyle name="inp.Number 6 4 2" xfId="28166"/>
    <cellStyle name="inp.Number 6 4 3" xfId="33971"/>
    <cellStyle name="inp.Number 6 5" xfId="21224"/>
    <cellStyle name="inp.Number 6 6" xfId="26427"/>
    <cellStyle name="inp.Number 7" xfId="13385"/>
    <cellStyle name="inp.Number 7 2" xfId="13386"/>
    <cellStyle name="inp.Number 7 2 2" xfId="28168"/>
    <cellStyle name="inp.Number 7 2 3" xfId="33973"/>
    <cellStyle name="inp.Number 7 3" xfId="28167"/>
    <cellStyle name="inp.Number 7 4" xfId="33972"/>
    <cellStyle name="inp.Number 8" xfId="13387"/>
    <cellStyle name="inp.Number 8 2" xfId="28169"/>
    <cellStyle name="inp.Number 8 3" xfId="33974"/>
    <cellStyle name="inp.Number 9" xfId="20024"/>
    <cellStyle name="inp.Percent" xfId="2591"/>
    <cellStyle name="inp.Protected" xfId="2592"/>
    <cellStyle name="inp.Protected 2" xfId="2593"/>
    <cellStyle name="inp.Protected 2 2" xfId="4013"/>
    <cellStyle name="inp.Protected 2 2 2" xfId="5353"/>
    <cellStyle name="inp.Protected 2 2 2 2" xfId="13388"/>
    <cellStyle name="inp.Protected 2 2 2 2 2" xfId="28170"/>
    <cellStyle name="inp.Protected 2 2 2 3" xfId="13389"/>
    <cellStyle name="inp.Protected 2 2 2 3 2" xfId="13390"/>
    <cellStyle name="inp.Protected 2 2 2 3 2 2" xfId="28172"/>
    <cellStyle name="inp.Protected 2 2 2 3 3" xfId="13391"/>
    <cellStyle name="inp.Protected 2 2 2 3 3 2" xfId="28173"/>
    <cellStyle name="inp.Protected 2 2 2 3 4" xfId="28171"/>
    <cellStyle name="inp.Protected 2 2 2 4" xfId="13392"/>
    <cellStyle name="inp.Protected 2 2 2 4 2" xfId="28174"/>
    <cellStyle name="inp.Protected 2 2 2 5" xfId="21225"/>
    <cellStyle name="inp.Protected 2 2 3" xfId="5354"/>
    <cellStyle name="inp.Protected 2 2 3 2" xfId="13393"/>
    <cellStyle name="inp.Protected 2 2 3 2 2" xfId="28175"/>
    <cellStyle name="inp.Protected 2 2 3 3" xfId="13394"/>
    <cellStyle name="inp.Protected 2 2 3 3 2" xfId="13395"/>
    <cellStyle name="inp.Protected 2 2 3 3 2 2" xfId="28177"/>
    <cellStyle name="inp.Protected 2 2 3 3 3" xfId="13396"/>
    <cellStyle name="inp.Protected 2 2 3 3 3 2" xfId="28178"/>
    <cellStyle name="inp.Protected 2 2 3 3 4" xfId="28176"/>
    <cellStyle name="inp.Protected 2 2 3 4" xfId="13397"/>
    <cellStyle name="inp.Protected 2 2 3 4 2" xfId="28179"/>
    <cellStyle name="inp.Protected 2 2 3 5" xfId="21226"/>
    <cellStyle name="inp.Protected 2 2 4" xfId="13398"/>
    <cellStyle name="inp.Protected 2 2 4 2" xfId="28180"/>
    <cellStyle name="inp.Protected 2 2 5" xfId="13399"/>
    <cellStyle name="inp.Protected 2 2 5 2" xfId="13400"/>
    <cellStyle name="inp.Protected 2 2 5 2 2" xfId="28182"/>
    <cellStyle name="inp.Protected 2 2 5 3" xfId="13401"/>
    <cellStyle name="inp.Protected 2 2 5 3 2" xfId="28183"/>
    <cellStyle name="inp.Protected 2 2 5 4" xfId="28181"/>
    <cellStyle name="inp.Protected 2 2 6" xfId="13402"/>
    <cellStyle name="inp.Protected 2 2 6 2" xfId="28184"/>
    <cellStyle name="inp.Protected 2 2 7" xfId="13403"/>
    <cellStyle name="inp.Protected 2 2 7 2" xfId="13404"/>
    <cellStyle name="inp.Protected 2 2 7 2 2" xfId="28186"/>
    <cellStyle name="inp.Protected 2 2 7 3" xfId="28185"/>
    <cellStyle name="inp.Protected 2 2 8" xfId="20164"/>
    <cellStyle name="inp.Protected 2 3" xfId="13405"/>
    <cellStyle name="inp.Protected 2 3 2" xfId="28187"/>
    <cellStyle name="inp.Protected 2 4" xfId="19905"/>
    <cellStyle name="inp.Protected 3" xfId="2594"/>
    <cellStyle name="inp.Protected 3 2" xfId="4014"/>
    <cellStyle name="inp.Protected 3 2 2" xfId="5355"/>
    <cellStyle name="inp.Protected 3 2 2 2" xfId="13406"/>
    <cellStyle name="inp.Protected 3 2 2 2 2" xfId="28188"/>
    <cellStyle name="inp.Protected 3 2 2 3" xfId="13407"/>
    <cellStyle name="inp.Protected 3 2 2 3 2" xfId="13408"/>
    <cellStyle name="inp.Protected 3 2 2 3 2 2" xfId="28190"/>
    <cellStyle name="inp.Protected 3 2 2 3 3" xfId="13409"/>
    <cellStyle name="inp.Protected 3 2 2 3 3 2" xfId="28191"/>
    <cellStyle name="inp.Protected 3 2 2 3 4" xfId="28189"/>
    <cellStyle name="inp.Protected 3 2 2 4" xfId="13410"/>
    <cellStyle name="inp.Protected 3 2 2 4 2" xfId="28192"/>
    <cellStyle name="inp.Protected 3 2 2 5" xfId="21227"/>
    <cellStyle name="inp.Protected 3 2 3" xfId="5356"/>
    <cellStyle name="inp.Protected 3 2 3 2" xfId="13411"/>
    <cellStyle name="inp.Protected 3 2 3 2 2" xfId="28193"/>
    <cellStyle name="inp.Protected 3 2 3 3" xfId="13412"/>
    <cellStyle name="inp.Protected 3 2 3 3 2" xfId="13413"/>
    <cellStyle name="inp.Protected 3 2 3 3 2 2" xfId="28195"/>
    <cellStyle name="inp.Protected 3 2 3 3 3" xfId="13414"/>
    <cellStyle name="inp.Protected 3 2 3 3 3 2" xfId="28196"/>
    <cellStyle name="inp.Protected 3 2 3 3 4" xfId="28194"/>
    <cellStyle name="inp.Protected 3 2 3 4" xfId="13415"/>
    <cellStyle name="inp.Protected 3 2 3 4 2" xfId="28197"/>
    <cellStyle name="inp.Protected 3 2 3 5" xfId="21228"/>
    <cellStyle name="inp.Protected 3 2 4" xfId="13416"/>
    <cellStyle name="inp.Protected 3 2 4 2" xfId="28198"/>
    <cellStyle name="inp.Protected 3 2 5" xfId="13417"/>
    <cellStyle name="inp.Protected 3 2 5 2" xfId="13418"/>
    <cellStyle name="inp.Protected 3 2 5 2 2" xfId="28200"/>
    <cellStyle name="inp.Protected 3 2 5 3" xfId="13419"/>
    <cellStyle name="inp.Protected 3 2 5 3 2" xfId="28201"/>
    <cellStyle name="inp.Protected 3 2 5 4" xfId="28199"/>
    <cellStyle name="inp.Protected 3 2 6" xfId="13420"/>
    <cellStyle name="inp.Protected 3 2 6 2" xfId="28202"/>
    <cellStyle name="inp.Protected 3 2 7" xfId="13421"/>
    <cellStyle name="inp.Protected 3 2 7 2" xfId="13422"/>
    <cellStyle name="inp.Protected 3 2 7 2 2" xfId="28204"/>
    <cellStyle name="inp.Protected 3 2 7 3" xfId="28203"/>
    <cellStyle name="inp.Protected 3 2 8" xfId="20165"/>
    <cellStyle name="inp.Protected 3 3" xfId="13423"/>
    <cellStyle name="inp.Protected 3 3 2" xfId="28205"/>
    <cellStyle name="inp.Protected 3 4" xfId="19906"/>
    <cellStyle name="inp.Protected 4" xfId="4012"/>
    <cellStyle name="inp.Protected 4 2" xfId="5357"/>
    <cellStyle name="inp.Protected 4 2 2" xfId="13424"/>
    <cellStyle name="inp.Protected 4 2 2 2" xfId="28206"/>
    <cellStyle name="inp.Protected 4 2 3" xfId="13425"/>
    <cellStyle name="inp.Protected 4 2 3 2" xfId="13426"/>
    <cellStyle name="inp.Protected 4 2 3 2 2" xfId="28208"/>
    <cellStyle name="inp.Protected 4 2 3 3" xfId="13427"/>
    <cellStyle name="inp.Protected 4 2 3 3 2" xfId="28209"/>
    <cellStyle name="inp.Protected 4 2 3 4" xfId="28207"/>
    <cellStyle name="inp.Protected 4 2 4" xfId="13428"/>
    <cellStyle name="inp.Protected 4 2 4 2" xfId="28210"/>
    <cellStyle name="inp.Protected 4 2 5" xfId="21229"/>
    <cellStyle name="inp.Protected 4 3" xfId="5358"/>
    <cellStyle name="inp.Protected 4 3 2" xfId="13429"/>
    <cellStyle name="inp.Protected 4 3 2 2" xfId="28211"/>
    <cellStyle name="inp.Protected 4 3 3" xfId="13430"/>
    <cellStyle name="inp.Protected 4 3 3 2" xfId="13431"/>
    <cellStyle name="inp.Protected 4 3 3 2 2" xfId="28213"/>
    <cellStyle name="inp.Protected 4 3 3 3" xfId="13432"/>
    <cellStyle name="inp.Protected 4 3 3 3 2" xfId="28214"/>
    <cellStyle name="inp.Protected 4 3 3 4" xfId="28212"/>
    <cellStyle name="inp.Protected 4 3 4" xfId="13433"/>
    <cellStyle name="inp.Protected 4 3 4 2" xfId="28215"/>
    <cellStyle name="inp.Protected 4 3 5" xfId="21230"/>
    <cellStyle name="inp.Protected 4 4" xfId="13434"/>
    <cellStyle name="inp.Protected 4 4 2" xfId="28216"/>
    <cellStyle name="inp.Protected 4 5" xfId="13435"/>
    <cellStyle name="inp.Protected 4 5 2" xfId="13436"/>
    <cellStyle name="inp.Protected 4 5 2 2" xfId="28218"/>
    <cellStyle name="inp.Protected 4 5 3" xfId="13437"/>
    <cellStyle name="inp.Protected 4 5 3 2" xfId="28219"/>
    <cellStyle name="inp.Protected 4 5 4" xfId="28217"/>
    <cellStyle name="inp.Protected 4 6" xfId="13438"/>
    <cellStyle name="inp.Protected 4 6 2" xfId="28220"/>
    <cellStyle name="inp.Protected 4 7" xfId="13439"/>
    <cellStyle name="inp.Protected 4 7 2" xfId="13440"/>
    <cellStyle name="inp.Protected 4 7 2 2" xfId="28222"/>
    <cellStyle name="inp.Protected 4 7 3" xfId="28221"/>
    <cellStyle name="inp.Protected 4 8" xfId="20163"/>
    <cellStyle name="inp.Protected 5" xfId="13441"/>
    <cellStyle name="inp.Protected 5 2" xfId="28223"/>
    <cellStyle name="inp.Protected 6" xfId="19904"/>
    <cellStyle name="inp.US$" xfId="2595"/>
    <cellStyle name="inp.US$ 2" xfId="2596"/>
    <cellStyle name="inp.US$ 2 2" xfId="5359"/>
    <cellStyle name="inp.US$ 2 2 2" xfId="13442"/>
    <cellStyle name="inp.US$ 2 2 2 2" xfId="13443"/>
    <cellStyle name="inp.US$ 2 2 2 2 2" xfId="28225"/>
    <cellStyle name="inp.US$ 2 2 2 2 3" xfId="33976"/>
    <cellStyle name="inp.US$ 2 2 2 3" xfId="28224"/>
    <cellStyle name="inp.US$ 2 2 2 4" xfId="33975"/>
    <cellStyle name="inp.US$ 2 2 3" xfId="13444"/>
    <cellStyle name="inp.US$ 2 2 3 2" xfId="13445"/>
    <cellStyle name="inp.US$ 2 2 3 2 2" xfId="28227"/>
    <cellStyle name="inp.US$ 2 2 3 2 3" xfId="33978"/>
    <cellStyle name="inp.US$ 2 2 3 3" xfId="13446"/>
    <cellStyle name="inp.US$ 2 2 3 3 2" xfId="28228"/>
    <cellStyle name="inp.US$ 2 2 3 3 3" xfId="33979"/>
    <cellStyle name="inp.US$ 2 2 3 4" xfId="28226"/>
    <cellStyle name="inp.US$ 2 2 3 5" xfId="33977"/>
    <cellStyle name="inp.US$ 2 2 4" xfId="13447"/>
    <cellStyle name="inp.US$ 2 2 4 2" xfId="28229"/>
    <cellStyle name="inp.US$ 2 2 4 3" xfId="33980"/>
    <cellStyle name="inp.US$ 2 2 5" xfId="21231"/>
    <cellStyle name="inp.US$ 2 2 6" xfId="26426"/>
    <cellStyle name="inp.US$ 2 3" xfId="5360"/>
    <cellStyle name="inp.US$ 2 3 2" xfId="13448"/>
    <cellStyle name="inp.US$ 2 3 2 2" xfId="13449"/>
    <cellStyle name="inp.US$ 2 3 2 2 2" xfId="28231"/>
    <cellStyle name="inp.US$ 2 3 2 2 3" xfId="33982"/>
    <cellStyle name="inp.US$ 2 3 2 3" xfId="28230"/>
    <cellStyle name="inp.US$ 2 3 2 4" xfId="33981"/>
    <cellStyle name="inp.US$ 2 3 3" xfId="13450"/>
    <cellStyle name="inp.US$ 2 3 3 2" xfId="13451"/>
    <cellStyle name="inp.US$ 2 3 3 2 2" xfId="28233"/>
    <cellStyle name="inp.US$ 2 3 3 2 3" xfId="33984"/>
    <cellStyle name="inp.US$ 2 3 3 3" xfId="13452"/>
    <cellStyle name="inp.US$ 2 3 3 3 2" xfId="28234"/>
    <cellStyle name="inp.US$ 2 3 3 3 3" xfId="33985"/>
    <cellStyle name="inp.US$ 2 3 3 4" xfId="28232"/>
    <cellStyle name="inp.US$ 2 3 3 5" xfId="33983"/>
    <cellStyle name="inp.US$ 2 3 4" xfId="13453"/>
    <cellStyle name="inp.US$ 2 3 4 2" xfId="28235"/>
    <cellStyle name="inp.US$ 2 3 4 3" xfId="33986"/>
    <cellStyle name="inp.US$ 2 3 5" xfId="21232"/>
    <cellStyle name="inp.US$ 2 3 6" xfId="26425"/>
    <cellStyle name="inp.US$ 2 4" xfId="5361"/>
    <cellStyle name="inp.US$ 2 4 2" xfId="13454"/>
    <cellStyle name="inp.US$ 2 4 2 2" xfId="13455"/>
    <cellStyle name="inp.US$ 2 4 2 2 2" xfId="28237"/>
    <cellStyle name="inp.US$ 2 4 2 2 3" xfId="33988"/>
    <cellStyle name="inp.US$ 2 4 2 3" xfId="13456"/>
    <cellStyle name="inp.US$ 2 4 2 3 2" xfId="28238"/>
    <cellStyle name="inp.US$ 2 4 2 3 3" xfId="33989"/>
    <cellStyle name="inp.US$ 2 4 2 4" xfId="28236"/>
    <cellStyle name="inp.US$ 2 4 2 5" xfId="33987"/>
    <cellStyle name="inp.US$ 2 4 3" xfId="13457"/>
    <cellStyle name="inp.US$ 2 4 3 2" xfId="13458"/>
    <cellStyle name="inp.US$ 2 4 3 2 2" xfId="28240"/>
    <cellStyle name="inp.US$ 2 4 3 2 3" xfId="33991"/>
    <cellStyle name="inp.US$ 2 4 3 3" xfId="28239"/>
    <cellStyle name="inp.US$ 2 4 3 4" xfId="33990"/>
    <cellStyle name="inp.US$ 2 4 4" xfId="13459"/>
    <cellStyle name="inp.US$ 2 4 4 2" xfId="28241"/>
    <cellStyle name="inp.US$ 2 4 4 3" xfId="33992"/>
    <cellStyle name="inp.US$ 2 4 5" xfId="21233"/>
    <cellStyle name="inp.US$ 2 4 6" xfId="26424"/>
    <cellStyle name="inp.US$ 2 5" xfId="13460"/>
    <cellStyle name="inp.US$ 2 5 2" xfId="13461"/>
    <cellStyle name="inp.US$ 2 5 2 2" xfId="28243"/>
    <cellStyle name="inp.US$ 2 5 2 3" xfId="33994"/>
    <cellStyle name="inp.US$ 2 5 3" xfId="28242"/>
    <cellStyle name="inp.US$ 2 5 4" xfId="33993"/>
    <cellStyle name="inp.US$ 2 6" xfId="13462"/>
    <cellStyle name="inp.US$ 2 6 2" xfId="28244"/>
    <cellStyle name="inp.US$ 2 6 3" xfId="33995"/>
    <cellStyle name="inp.US$ 2 7" xfId="17926"/>
    <cellStyle name="inp.US$ 3" xfId="2597"/>
    <cellStyle name="inp.US$ 3 2" xfId="5362"/>
    <cellStyle name="inp.US$ 3 2 2" xfId="13463"/>
    <cellStyle name="inp.US$ 3 2 2 2" xfId="13464"/>
    <cellStyle name="inp.US$ 3 2 2 2 2" xfId="28246"/>
    <cellStyle name="inp.US$ 3 2 2 2 3" xfId="33997"/>
    <cellStyle name="inp.US$ 3 2 2 3" xfId="28245"/>
    <cellStyle name="inp.US$ 3 2 2 4" xfId="33996"/>
    <cellStyle name="inp.US$ 3 2 3" xfId="13465"/>
    <cellStyle name="inp.US$ 3 2 3 2" xfId="13466"/>
    <cellStyle name="inp.US$ 3 2 3 2 2" xfId="28248"/>
    <cellStyle name="inp.US$ 3 2 3 2 3" xfId="33999"/>
    <cellStyle name="inp.US$ 3 2 3 3" xfId="13467"/>
    <cellStyle name="inp.US$ 3 2 3 3 2" xfId="28249"/>
    <cellStyle name="inp.US$ 3 2 3 3 3" xfId="34000"/>
    <cellStyle name="inp.US$ 3 2 3 4" xfId="28247"/>
    <cellStyle name="inp.US$ 3 2 3 5" xfId="33998"/>
    <cellStyle name="inp.US$ 3 2 4" xfId="13468"/>
    <cellStyle name="inp.US$ 3 2 4 2" xfId="28250"/>
    <cellStyle name="inp.US$ 3 2 4 3" xfId="34001"/>
    <cellStyle name="inp.US$ 3 2 5" xfId="21234"/>
    <cellStyle name="inp.US$ 3 2 6" xfId="26423"/>
    <cellStyle name="inp.US$ 3 3" xfId="5363"/>
    <cellStyle name="inp.US$ 3 3 2" xfId="13469"/>
    <cellStyle name="inp.US$ 3 3 2 2" xfId="13470"/>
    <cellStyle name="inp.US$ 3 3 2 2 2" xfId="28252"/>
    <cellStyle name="inp.US$ 3 3 2 2 3" xfId="34003"/>
    <cellStyle name="inp.US$ 3 3 2 3" xfId="28251"/>
    <cellStyle name="inp.US$ 3 3 2 4" xfId="34002"/>
    <cellStyle name="inp.US$ 3 3 3" xfId="13471"/>
    <cellStyle name="inp.US$ 3 3 3 2" xfId="13472"/>
    <cellStyle name="inp.US$ 3 3 3 2 2" xfId="28254"/>
    <cellStyle name="inp.US$ 3 3 3 2 3" xfId="34005"/>
    <cellStyle name="inp.US$ 3 3 3 3" xfId="13473"/>
    <cellStyle name="inp.US$ 3 3 3 3 2" xfId="28255"/>
    <cellStyle name="inp.US$ 3 3 3 3 3" xfId="34006"/>
    <cellStyle name="inp.US$ 3 3 3 4" xfId="28253"/>
    <cellStyle name="inp.US$ 3 3 3 5" xfId="34004"/>
    <cellStyle name="inp.US$ 3 3 4" xfId="13474"/>
    <cellStyle name="inp.US$ 3 3 4 2" xfId="28256"/>
    <cellStyle name="inp.US$ 3 3 4 3" xfId="34007"/>
    <cellStyle name="inp.US$ 3 3 5" xfId="21235"/>
    <cellStyle name="inp.US$ 3 3 6" xfId="26422"/>
    <cellStyle name="inp.US$ 3 4" xfId="5364"/>
    <cellStyle name="inp.US$ 3 4 2" xfId="13475"/>
    <cellStyle name="inp.US$ 3 4 2 2" xfId="13476"/>
    <cellStyle name="inp.US$ 3 4 2 2 2" xfId="28258"/>
    <cellStyle name="inp.US$ 3 4 2 2 3" xfId="34009"/>
    <cellStyle name="inp.US$ 3 4 2 3" xfId="13477"/>
    <cellStyle name="inp.US$ 3 4 2 3 2" xfId="28259"/>
    <cellStyle name="inp.US$ 3 4 2 3 3" xfId="34010"/>
    <cellStyle name="inp.US$ 3 4 2 4" xfId="28257"/>
    <cellStyle name="inp.US$ 3 4 2 5" xfId="34008"/>
    <cellStyle name="inp.US$ 3 4 3" xfId="13478"/>
    <cellStyle name="inp.US$ 3 4 3 2" xfId="13479"/>
    <cellStyle name="inp.US$ 3 4 3 2 2" xfId="28261"/>
    <cellStyle name="inp.US$ 3 4 3 2 3" xfId="34012"/>
    <cellStyle name="inp.US$ 3 4 3 3" xfId="28260"/>
    <cellStyle name="inp.US$ 3 4 3 4" xfId="34011"/>
    <cellStyle name="inp.US$ 3 4 4" xfId="13480"/>
    <cellStyle name="inp.US$ 3 4 4 2" xfId="28262"/>
    <cellStyle name="inp.US$ 3 4 4 3" xfId="34013"/>
    <cellStyle name="inp.US$ 3 4 5" xfId="21236"/>
    <cellStyle name="inp.US$ 3 4 6" xfId="26421"/>
    <cellStyle name="inp.US$ 3 5" xfId="13481"/>
    <cellStyle name="inp.US$ 3 5 2" xfId="13482"/>
    <cellStyle name="inp.US$ 3 5 2 2" xfId="28264"/>
    <cellStyle name="inp.US$ 3 5 2 3" xfId="34015"/>
    <cellStyle name="inp.US$ 3 5 3" xfId="28263"/>
    <cellStyle name="inp.US$ 3 5 4" xfId="34014"/>
    <cellStyle name="inp.US$ 3 6" xfId="13483"/>
    <cellStyle name="inp.US$ 3 6 2" xfId="28265"/>
    <cellStyle name="inp.US$ 3 6 3" xfId="34016"/>
    <cellStyle name="inp.US$ 3 7" xfId="18010"/>
    <cellStyle name="inp.US$ 4" xfId="5365"/>
    <cellStyle name="inp.US$ 4 2" xfId="13484"/>
    <cellStyle name="inp.US$ 4 2 2" xfId="13485"/>
    <cellStyle name="inp.US$ 4 2 2 2" xfId="28267"/>
    <cellStyle name="inp.US$ 4 2 2 3" xfId="34018"/>
    <cellStyle name="inp.US$ 4 2 3" xfId="28266"/>
    <cellStyle name="inp.US$ 4 2 4" xfId="34017"/>
    <cellStyle name="inp.US$ 4 3" xfId="13486"/>
    <cellStyle name="inp.US$ 4 3 2" xfId="13487"/>
    <cellStyle name="inp.US$ 4 3 2 2" xfId="28269"/>
    <cellStyle name="inp.US$ 4 3 2 3" xfId="34020"/>
    <cellStyle name="inp.US$ 4 3 3" xfId="13488"/>
    <cellStyle name="inp.US$ 4 3 3 2" xfId="28270"/>
    <cellStyle name="inp.US$ 4 3 3 3" xfId="34021"/>
    <cellStyle name="inp.US$ 4 3 4" xfId="28268"/>
    <cellStyle name="inp.US$ 4 3 5" xfId="34019"/>
    <cellStyle name="inp.US$ 4 4" xfId="13489"/>
    <cellStyle name="inp.US$ 4 4 2" xfId="28271"/>
    <cellStyle name="inp.US$ 4 4 3" xfId="34022"/>
    <cellStyle name="inp.US$ 4 5" xfId="21237"/>
    <cellStyle name="inp.US$ 4 6" xfId="26420"/>
    <cellStyle name="inp.US$ 5" xfId="5366"/>
    <cellStyle name="inp.US$ 5 2" xfId="13490"/>
    <cellStyle name="inp.US$ 5 2 2" xfId="13491"/>
    <cellStyle name="inp.US$ 5 2 2 2" xfId="28273"/>
    <cellStyle name="inp.US$ 5 2 2 3" xfId="34024"/>
    <cellStyle name="inp.US$ 5 2 3" xfId="28272"/>
    <cellStyle name="inp.US$ 5 2 4" xfId="34023"/>
    <cellStyle name="inp.US$ 5 3" xfId="13492"/>
    <cellStyle name="inp.US$ 5 3 2" xfId="13493"/>
    <cellStyle name="inp.US$ 5 3 2 2" xfId="28275"/>
    <cellStyle name="inp.US$ 5 3 2 3" xfId="34026"/>
    <cellStyle name="inp.US$ 5 3 3" xfId="13494"/>
    <cellStyle name="inp.US$ 5 3 3 2" xfId="28276"/>
    <cellStyle name="inp.US$ 5 3 3 3" xfId="34027"/>
    <cellStyle name="inp.US$ 5 3 4" xfId="28274"/>
    <cellStyle name="inp.US$ 5 3 5" xfId="34025"/>
    <cellStyle name="inp.US$ 5 4" xfId="13495"/>
    <cellStyle name="inp.US$ 5 4 2" xfId="28277"/>
    <cellStyle name="inp.US$ 5 4 3" xfId="34028"/>
    <cellStyle name="inp.US$ 5 5" xfId="21238"/>
    <cellStyle name="inp.US$ 5 6" xfId="26419"/>
    <cellStyle name="inp.US$ 6" xfId="5367"/>
    <cellStyle name="inp.US$ 6 2" xfId="13496"/>
    <cellStyle name="inp.US$ 6 2 2" xfId="13497"/>
    <cellStyle name="inp.US$ 6 2 2 2" xfId="28279"/>
    <cellStyle name="inp.US$ 6 2 2 3" xfId="34030"/>
    <cellStyle name="inp.US$ 6 2 3" xfId="13498"/>
    <cellStyle name="inp.US$ 6 2 3 2" xfId="28280"/>
    <cellStyle name="inp.US$ 6 2 3 3" xfId="34031"/>
    <cellStyle name="inp.US$ 6 2 4" xfId="28278"/>
    <cellStyle name="inp.US$ 6 2 5" xfId="34029"/>
    <cellStyle name="inp.US$ 6 3" xfId="13499"/>
    <cellStyle name="inp.US$ 6 3 2" xfId="13500"/>
    <cellStyle name="inp.US$ 6 3 2 2" xfId="28282"/>
    <cellStyle name="inp.US$ 6 3 2 3" xfId="34033"/>
    <cellStyle name="inp.US$ 6 3 3" xfId="28281"/>
    <cellStyle name="inp.US$ 6 3 4" xfId="34032"/>
    <cellStyle name="inp.US$ 6 4" xfId="13501"/>
    <cellStyle name="inp.US$ 6 4 2" xfId="28283"/>
    <cellStyle name="inp.US$ 6 4 3" xfId="34034"/>
    <cellStyle name="inp.US$ 6 5" xfId="21239"/>
    <cellStyle name="inp.US$ 6 6" xfId="21090"/>
    <cellStyle name="inp.US$ 7" xfId="13502"/>
    <cellStyle name="inp.US$ 7 2" xfId="13503"/>
    <cellStyle name="inp.US$ 7 2 2" xfId="28285"/>
    <cellStyle name="inp.US$ 7 2 3" xfId="34036"/>
    <cellStyle name="inp.US$ 7 3" xfId="28284"/>
    <cellStyle name="inp.US$ 7 4" xfId="34035"/>
    <cellStyle name="inp.US$ 8" xfId="13504"/>
    <cellStyle name="inp.US$ 8 2" xfId="28286"/>
    <cellStyle name="inp.US$ 8 3" xfId="34037"/>
    <cellStyle name="inp.US$ 9" xfId="18144"/>
    <cellStyle name="inp.YesNo" xfId="2598"/>
    <cellStyle name="inp.YesNo 2" xfId="2599"/>
    <cellStyle name="inp.YesNo 2 2" xfId="5368"/>
    <cellStyle name="inp.YesNo 2 2 2" xfId="13505"/>
    <cellStyle name="inp.YesNo 2 2 2 2" xfId="13506"/>
    <cellStyle name="inp.YesNo 2 2 2 2 2" xfId="28288"/>
    <cellStyle name="inp.YesNo 2 2 2 2 3" xfId="34039"/>
    <cellStyle name="inp.YesNo 2 2 2 3" xfId="28287"/>
    <cellStyle name="inp.YesNo 2 2 2 4" xfId="34038"/>
    <cellStyle name="inp.YesNo 2 2 3" xfId="13507"/>
    <cellStyle name="inp.YesNo 2 2 3 2" xfId="13508"/>
    <cellStyle name="inp.YesNo 2 2 3 2 2" xfId="28290"/>
    <cellStyle name="inp.YesNo 2 2 3 2 3" xfId="34041"/>
    <cellStyle name="inp.YesNo 2 2 3 3" xfId="13509"/>
    <cellStyle name="inp.YesNo 2 2 3 3 2" xfId="28291"/>
    <cellStyle name="inp.YesNo 2 2 3 3 3" xfId="34042"/>
    <cellStyle name="inp.YesNo 2 2 3 4" xfId="28289"/>
    <cellStyle name="inp.YesNo 2 2 3 5" xfId="34040"/>
    <cellStyle name="inp.YesNo 2 2 4" xfId="13510"/>
    <cellStyle name="inp.YesNo 2 2 4 2" xfId="28292"/>
    <cellStyle name="inp.YesNo 2 2 4 3" xfId="34043"/>
    <cellStyle name="inp.YesNo 2 2 5" xfId="21240"/>
    <cellStyle name="inp.YesNo 2 2 6" xfId="26418"/>
    <cellStyle name="inp.YesNo 2 3" xfId="5369"/>
    <cellStyle name="inp.YesNo 2 3 2" xfId="13511"/>
    <cellStyle name="inp.YesNo 2 3 2 2" xfId="13512"/>
    <cellStyle name="inp.YesNo 2 3 2 2 2" xfId="28294"/>
    <cellStyle name="inp.YesNo 2 3 2 2 3" xfId="34045"/>
    <cellStyle name="inp.YesNo 2 3 2 3" xfId="28293"/>
    <cellStyle name="inp.YesNo 2 3 2 4" xfId="34044"/>
    <cellStyle name="inp.YesNo 2 3 3" xfId="13513"/>
    <cellStyle name="inp.YesNo 2 3 3 2" xfId="13514"/>
    <cellStyle name="inp.YesNo 2 3 3 2 2" xfId="28296"/>
    <cellStyle name="inp.YesNo 2 3 3 2 3" xfId="34047"/>
    <cellStyle name="inp.YesNo 2 3 3 3" xfId="13515"/>
    <cellStyle name="inp.YesNo 2 3 3 3 2" xfId="28297"/>
    <cellStyle name="inp.YesNo 2 3 3 3 3" xfId="34048"/>
    <cellStyle name="inp.YesNo 2 3 3 4" xfId="28295"/>
    <cellStyle name="inp.YesNo 2 3 3 5" xfId="34046"/>
    <cellStyle name="inp.YesNo 2 3 4" xfId="13516"/>
    <cellStyle name="inp.YesNo 2 3 4 2" xfId="28298"/>
    <cellStyle name="inp.YesNo 2 3 4 3" xfId="34049"/>
    <cellStyle name="inp.YesNo 2 3 5" xfId="21241"/>
    <cellStyle name="inp.YesNo 2 3 6" xfId="26417"/>
    <cellStyle name="inp.YesNo 2 4" xfId="5370"/>
    <cellStyle name="inp.YesNo 2 4 2" xfId="13517"/>
    <cellStyle name="inp.YesNo 2 4 2 2" xfId="13518"/>
    <cellStyle name="inp.YesNo 2 4 2 2 2" xfId="28300"/>
    <cellStyle name="inp.YesNo 2 4 2 2 3" xfId="34051"/>
    <cellStyle name="inp.YesNo 2 4 2 3" xfId="13519"/>
    <cellStyle name="inp.YesNo 2 4 2 3 2" xfId="28301"/>
    <cellStyle name="inp.YesNo 2 4 2 3 3" xfId="34052"/>
    <cellStyle name="inp.YesNo 2 4 2 4" xfId="28299"/>
    <cellStyle name="inp.YesNo 2 4 2 5" xfId="34050"/>
    <cellStyle name="inp.YesNo 2 4 3" xfId="13520"/>
    <cellStyle name="inp.YesNo 2 4 3 2" xfId="13521"/>
    <cellStyle name="inp.YesNo 2 4 3 2 2" xfId="28303"/>
    <cellStyle name="inp.YesNo 2 4 3 2 3" xfId="34054"/>
    <cellStyle name="inp.YesNo 2 4 3 3" xfId="28302"/>
    <cellStyle name="inp.YesNo 2 4 3 4" xfId="34053"/>
    <cellStyle name="inp.YesNo 2 4 4" xfId="13522"/>
    <cellStyle name="inp.YesNo 2 4 4 2" xfId="28304"/>
    <cellStyle name="inp.YesNo 2 4 4 3" xfId="34055"/>
    <cellStyle name="inp.YesNo 2 4 5" xfId="21242"/>
    <cellStyle name="inp.YesNo 2 4 6" xfId="26416"/>
    <cellStyle name="inp.YesNo 2 5" xfId="13523"/>
    <cellStyle name="inp.YesNo 2 5 2" xfId="13524"/>
    <cellStyle name="inp.YesNo 2 5 2 2" xfId="28306"/>
    <cellStyle name="inp.YesNo 2 5 2 3" xfId="34057"/>
    <cellStyle name="inp.YesNo 2 5 3" xfId="28305"/>
    <cellStyle name="inp.YesNo 2 5 4" xfId="34056"/>
    <cellStyle name="inp.YesNo 2 6" xfId="13525"/>
    <cellStyle name="inp.YesNo 2 6 2" xfId="28307"/>
    <cellStyle name="inp.YesNo 2 6 3" xfId="34058"/>
    <cellStyle name="inp.YesNo 2 7" xfId="20021"/>
    <cellStyle name="inp.YesNo 3" xfId="2600"/>
    <cellStyle name="inp.YesNo 3 2" xfId="5371"/>
    <cellStyle name="inp.YesNo 3 2 2" xfId="13526"/>
    <cellStyle name="inp.YesNo 3 2 2 2" xfId="13527"/>
    <cellStyle name="inp.YesNo 3 2 2 2 2" xfId="28309"/>
    <cellStyle name="inp.YesNo 3 2 2 2 3" xfId="34060"/>
    <cellStyle name="inp.YesNo 3 2 2 3" xfId="28308"/>
    <cellStyle name="inp.YesNo 3 2 2 4" xfId="34059"/>
    <cellStyle name="inp.YesNo 3 2 3" xfId="13528"/>
    <cellStyle name="inp.YesNo 3 2 3 2" xfId="13529"/>
    <cellStyle name="inp.YesNo 3 2 3 2 2" xfId="28311"/>
    <cellStyle name="inp.YesNo 3 2 3 2 3" xfId="34062"/>
    <cellStyle name="inp.YesNo 3 2 3 3" xfId="13530"/>
    <cellStyle name="inp.YesNo 3 2 3 3 2" xfId="28312"/>
    <cellStyle name="inp.YesNo 3 2 3 3 3" xfId="34063"/>
    <cellStyle name="inp.YesNo 3 2 3 4" xfId="28310"/>
    <cellStyle name="inp.YesNo 3 2 3 5" xfId="34061"/>
    <cellStyle name="inp.YesNo 3 2 4" xfId="13531"/>
    <cellStyle name="inp.YesNo 3 2 4 2" xfId="28313"/>
    <cellStyle name="inp.YesNo 3 2 4 3" xfId="34064"/>
    <cellStyle name="inp.YesNo 3 2 5" xfId="21243"/>
    <cellStyle name="inp.YesNo 3 2 6" xfId="26415"/>
    <cellStyle name="inp.YesNo 3 3" xfId="5372"/>
    <cellStyle name="inp.YesNo 3 3 2" xfId="13532"/>
    <cellStyle name="inp.YesNo 3 3 2 2" xfId="13533"/>
    <cellStyle name="inp.YesNo 3 3 2 2 2" xfId="28315"/>
    <cellStyle name="inp.YesNo 3 3 2 2 3" xfId="34066"/>
    <cellStyle name="inp.YesNo 3 3 2 3" xfId="28314"/>
    <cellStyle name="inp.YesNo 3 3 2 4" xfId="34065"/>
    <cellStyle name="inp.YesNo 3 3 3" xfId="13534"/>
    <cellStyle name="inp.YesNo 3 3 3 2" xfId="13535"/>
    <cellStyle name="inp.YesNo 3 3 3 2 2" xfId="28317"/>
    <cellStyle name="inp.YesNo 3 3 3 2 3" xfId="34068"/>
    <cellStyle name="inp.YesNo 3 3 3 3" xfId="13536"/>
    <cellStyle name="inp.YesNo 3 3 3 3 2" xfId="28318"/>
    <cellStyle name="inp.YesNo 3 3 3 3 3" xfId="34069"/>
    <cellStyle name="inp.YesNo 3 3 3 4" xfId="28316"/>
    <cellStyle name="inp.YesNo 3 3 3 5" xfId="34067"/>
    <cellStyle name="inp.YesNo 3 3 4" xfId="13537"/>
    <cellStyle name="inp.YesNo 3 3 4 2" xfId="28319"/>
    <cellStyle name="inp.YesNo 3 3 4 3" xfId="34070"/>
    <cellStyle name="inp.YesNo 3 3 5" xfId="21244"/>
    <cellStyle name="inp.YesNo 3 3 6" xfId="26414"/>
    <cellStyle name="inp.YesNo 3 4" xfId="5373"/>
    <cellStyle name="inp.YesNo 3 4 2" xfId="13538"/>
    <cellStyle name="inp.YesNo 3 4 2 2" xfId="13539"/>
    <cellStyle name="inp.YesNo 3 4 2 2 2" xfId="28321"/>
    <cellStyle name="inp.YesNo 3 4 2 2 3" xfId="34072"/>
    <cellStyle name="inp.YesNo 3 4 2 3" xfId="13540"/>
    <cellStyle name="inp.YesNo 3 4 2 3 2" xfId="28322"/>
    <cellStyle name="inp.YesNo 3 4 2 3 3" xfId="34073"/>
    <cellStyle name="inp.YesNo 3 4 2 4" xfId="28320"/>
    <cellStyle name="inp.YesNo 3 4 2 5" xfId="34071"/>
    <cellStyle name="inp.YesNo 3 4 3" xfId="13541"/>
    <cellStyle name="inp.YesNo 3 4 3 2" xfId="13542"/>
    <cellStyle name="inp.YesNo 3 4 3 2 2" xfId="28324"/>
    <cellStyle name="inp.YesNo 3 4 3 2 3" xfId="34075"/>
    <cellStyle name="inp.YesNo 3 4 3 3" xfId="28323"/>
    <cellStyle name="inp.YesNo 3 4 3 4" xfId="34074"/>
    <cellStyle name="inp.YesNo 3 4 4" xfId="13543"/>
    <cellStyle name="inp.YesNo 3 4 4 2" xfId="28325"/>
    <cellStyle name="inp.YesNo 3 4 4 3" xfId="34076"/>
    <cellStyle name="inp.YesNo 3 4 5" xfId="21245"/>
    <cellStyle name="inp.YesNo 3 4 6" xfId="26413"/>
    <cellStyle name="inp.YesNo 3 5" xfId="13544"/>
    <cellStyle name="inp.YesNo 3 5 2" xfId="13545"/>
    <cellStyle name="inp.YesNo 3 5 2 2" xfId="28327"/>
    <cellStyle name="inp.YesNo 3 5 2 3" xfId="34078"/>
    <cellStyle name="inp.YesNo 3 5 3" xfId="28326"/>
    <cellStyle name="inp.YesNo 3 5 4" xfId="34077"/>
    <cellStyle name="inp.YesNo 3 6" xfId="13546"/>
    <cellStyle name="inp.YesNo 3 6 2" xfId="28328"/>
    <cellStyle name="inp.YesNo 3 6 3" xfId="34079"/>
    <cellStyle name="inp.YesNo 3 7" xfId="20020"/>
    <cellStyle name="inp.YesNo 4" xfId="5374"/>
    <cellStyle name="inp.YesNo 4 2" xfId="13547"/>
    <cellStyle name="inp.YesNo 4 2 2" xfId="13548"/>
    <cellStyle name="inp.YesNo 4 2 2 2" xfId="28330"/>
    <cellStyle name="inp.YesNo 4 2 2 3" xfId="34081"/>
    <cellStyle name="inp.YesNo 4 2 3" xfId="28329"/>
    <cellStyle name="inp.YesNo 4 2 4" xfId="34080"/>
    <cellStyle name="inp.YesNo 4 3" xfId="13549"/>
    <cellStyle name="inp.YesNo 4 3 2" xfId="13550"/>
    <cellStyle name="inp.YesNo 4 3 2 2" xfId="28332"/>
    <cellStyle name="inp.YesNo 4 3 2 3" xfId="34083"/>
    <cellStyle name="inp.YesNo 4 3 3" xfId="13551"/>
    <cellStyle name="inp.YesNo 4 3 3 2" xfId="28333"/>
    <cellStyle name="inp.YesNo 4 3 3 3" xfId="34084"/>
    <cellStyle name="inp.YesNo 4 3 4" xfId="28331"/>
    <cellStyle name="inp.YesNo 4 3 5" xfId="34082"/>
    <cellStyle name="inp.YesNo 4 4" xfId="13552"/>
    <cellStyle name="inp.YesNo 4 4 2" xfId="28334"/>
    <cellStyle name="inp.YesNo 4 4 3" xfId="34085"/>
    <cellStyle name="inp.YesNo 4 5" xfId="21246"/>
    <cellStyle name="inp.YesNo 4 6" xfId="26412"/>
    <cellStyle name="inp.YesNo 5" xfId="5375"/>
    <cellStyle name="inp.YesNo 5 2" xfId="13553"/>
    <cellStyle name="inp.YesNo 5 2 2" xfId="13554"/>
    <cellStyle name="inp.YesNo 5 2 2 2" xfId="28336"/>
    <cellStyle name="inp.YesNo 5 2 2 3" xfId="34087"/>
    <cellStyle name="inp.YesNo 5 2 3" xfId="28335"/>
    <cellStyle name="inp.YesNo 5 2 4" xfId="34086"/>
    <cellStyle name="inp.YesNo 5 3" xfId="13555"/>
    <cellStyle name="inp.YesNo 5 3 2" xfId="13556"/>
    <cellStyle name="inp.YesNo 5 3 2 2" xfId="28338"/>
    <cellStyle name="inp.YesNo 5 3 2 3" xfId="34089"/>
    <cellStyle name="inp.YesNo 5 3 3" xfId="13557"/>
    <cellStyle name="inp.YesNo 5 3 3 2" xfId="28339"/>
    <cellStyle name="inp.YesNo 5 3 3 3" xfId="34090"/>
    <cellStyle name="inp.YesNo 5 3 4" xfId="28337"/>
    <cellStyle name="inp.YesNo 5 3 5" xfId="34088"/>
    <cellStyle name="inp.YesNo 5 4" xfId="13558"/>
    <cellStyle name="inp.YesNo 5 4 2" xfId="28340"/>
    <cellStyle name="inp.YesNo 5 4 3" xfId="34091"/>
    <cellStyle name="inp.YesNo 5 5" xfId="21247"/>
    <cellStyle name="inp.YesNo 5 6" xfId="26411"/>
    <cellStyle name="inp.YesNo 6" xfId="5376"/>
    <cellStyle name="inp.YesNo 6 2" xfId="13559"/>
    <cellStyle name="inp.YesNo 6 2 2" xfId="13560"/>
    <cellStyle name="inp.YesNo 6 2 2 2" xfId="28342"/>
    <cellStyle name="inp.YesNo 6 2 2 3" xfId="34093"/>
    <cellStyle name="inp.YesNo 6 2 3" xfId="13561"/>
    <cellStyle name="inp.YesNo 6 2 3 2" xfId="28343"/>
    <cellStyle name="inp.YesNo 6 2 3 3" xfId="34094"/>
    <cellStyle name="inp.YesNo 6 2 4" xfId="28341"/>
    <cellStyle name="inp.YesNo 6 2 5" xfId="34092"/>
    <cellStyle name="inp.YesNo 6 3" xfId="13562"/>
    <cellStyle name="inp.YesNo 6 3 2" xfId="13563"/>
    <cellStyle name="inp.YesNo 6 3 2 2" xfId="28345"/>
    <cellStyle name="inp.YesNo 6 3 2 3" xfId="34096"/>
    <cellStyle name="inp.YesNo 6 3 3" xfId="28344"/>
    <cellStyle name="inp.YesNo 6 3 4" xfId="34095"/>
    <cellStyle name="inp.YesNo 6 4" xfId="13564"/>
    <cellStyle name="inp.YesNo 6 4 2" xfId="28346"/>
    <cellStyle name="inp.YesNo 6 4 3" xfId="34097"/>
    <cellStyle name="inp.YesNo 6 5" xfId="21248"/>
    <cellStyle name="inp.YesNo 6 6" xfId="26410"/>
    <cellStyle name="inp.YesNo 7" xfId="13565"/>
    <cellStyle name="inp.YesNo 7 2" xfId="13566"/>
    <cellStyle name="inp.YesNo 7 2 2" xfId="28348"/>
    <cellStyle name="inp.YesNo 7 2 3" xfId="34099"/>
    <cellStyle name="inp.YesNo 7 3" xfId="28347"/>
    <cellStyle name="inp.YesNo 7 4" xfId="34098"/>
    <cellStyle name="inp.YesNo 8" xfId="13567"/>
    <cellStyle name="inp.YesNo 8 2" xfId="28349"/>
    <cellStyle name="inp.YesNo 8 3" xfId="34100"/>
    <cellStyle name="inp.YesNo 9" xfId="20022"/>
    <cellStyle name="Input %" xfId="2601"/>
    <cellStyle name="Input (StyleA)" xfId="2602"/>
    <cellStyle name="Input (StyleA) 2" xfId="2603"/>
    <cellStyle name="Input (StyleA) 2 2" xfId="5377"/>
    <cellStyle name="Input (StyleA) 2 2 2" xfId="13568"/>
    <cellStyle name="Input (StyleA) 2 2 2 2" xfId="13569"/>
    <cellStyle name="Input (StyleA) 2 2 2 2 2" xfId="28351"/>
    <cellStyle name="Input (StyleA) 2 2 2 2 3" xfId="34102"/>
    <cellStyle name="Input (StyleA) 2 2 2 3" xfId="28350"/>
    <cellStyle name="Input (StyleA) 2 2 2 4" xfId="34101"/>
    <cellStyle name="Input (StyleA) 2 2 3" xfId="13570"/>
    <cellStyle name="Input (StyleA) 2 2 3 2" xfId="13571"/>
    <cellStyle name="Input (StyleA) 2 2 3 2 2" xfId="28353"/>
    <cellStyle name="Input (StyleA) 2 2 3 2 3" xfId="34104"/>
    <cellStyle name="Input (StyleA) 2 2 3 3" xfId="13572"/>
    <cellStyle name="Input (StyleA) 2 2 3 3 2" xfId="28354"/>
    <cellStyle name="Input (StyleA) 2 2 3 3 3" xfId="34105"/>
    <cellStyle name="Input (StyleA) 2 2 3 4" xfId="28352"/>
    <cellStyle name="Input (StyleA) 2 2 3 5" xfId="34103"/>
    <cellStyle name="Input (StyleA) 2 2 4" xfId="13573"/>
    <cellStyle name="Input (StyleA) 2 2 4 2" xfId="28355"/>
    <cellStyle name="Input (StyleA) 2 2 4 3" xfId="34106"/>
    <cellStyle name="Input (StyleA) 2 2 5" xfId="21249"/>
    <cellStyle name="Input (StyleA) 2 2 6" xfId="26409"/>
    <cellStyle name="Input (StyleA) 2 3" xfId="5378"/>
    <cellStyle name="Input (StyleA) 2 3 2" xfId="13574"/>
    <cellStyle name="Input (StyleA) 2 3 2 2" xfId="13575"/>
    <cellStyle name="Input (StyleA) 2 3 2 2 2" xfId="28357"/>
    <cellStyle name="Input (StyleA) 2 3 2 2 3" xfId="34108"/>
    <cellStyle name="Input (StyleA) 2 3 2 3" xfId="28356"/>
    <cellStyle name="Input (StyleA) 2 3 2 4" xfId="34107"/>
    <cellStyle name="Input (StyleA) 2 3 3" xfId="13576"/>
    <cellStyle name="Input (StyleA) 2 3 3 2" xfId="13577"/>
    <cellStyle name="Input (StyleA) 2 3 3 2 2" xfId="28359"/>
    <cellStyle name="Input (StyleA) 2 3 3 2 3" xfId="34110"/>
    <cellStyle name="Input (StyleA) 2 3 3 3" xfId="13578"/>
    <cellStyle name="Input (StyleA) 2 3 3 3 2" xfId="28360"/>
    <cellStyle name="Input (StyleA) 2 3 3 3 3" xfId="34111"/>
    <cellStyle name="Input (StyleA) 2 3 3 4" xfId="28358"/>
    <cellStyle name="Input (StyleA) 2 3 3 5" xfId="34109"/>
    <cellStyle name="Input (StyleA) 2 3 4" xfId="13579"/>
    <cellStyle name="Input (StyleA) 2 3 4 2" xfId="28361"/>
    <cellStyle name="Input (StyleA) 2 3 4 3" xfId="34112"/>
    <cellStyle name="Input (StyleA) 2 3 5" xfId="21250"/>
    <cellStyle name="Input (StyleA) 2 3 6" xfId="26408"/>
    <cellStyle name="Input (StyleA) 2 4" xfId="5379"/>
    <cellStyle name="Input (StyleA) 2 4 2" xfId="13580"/>
    <cellStyle name="Input (StyleA) 2 4 2 2" xfId="13581"/>
    <cellStyle name="Input (StyleA) 2 4 2 2 2" xfId="28363"/>
    <cellStyle name="Input (StyleA) 2 4 2 2 3" xfId="34114"/>
    <cellStyle name="Input (StyleA) 2 4 2 3" xfId="13582"/>
    <cellStyle name="Input (StyleA) 2 4 2 3 2" xfId="28364"/>
    <cellStyle name="Input (StyleA) 2 4 2 3 3" xfId="34115"/>
    <cellStyle name="Input (StyleA) 2 4 2 4" xfId="28362"/>
    <cellStyle name="Input (StyleA) 2 4 2 5" xfId="34113"/>
    <cellStyle name="Input (StyleA) 2 4 3" xfId="13583"/>
    <cellStyle name="Input (StyleA) 2 4 3 2" xfId="13584"/>
    <cellStyle name="Input (StyleA) 2 4 3 2 2" xfId="28366"/>
    <cellStyle name="Input (StyleA) 2 4 3 2 3" xfId="34117"/>
    <cellStyle name="Input (StyleA) 2 4 3 3" xfId="28365"/>
    <cellStyle name="Input (StyleA) 2 4 3 4" xfId="34116"/>
    <cellStyle name="Input (StyleA) 2 4 4" xfId="13585"/>
    <cellStyle name="Input (StyleA) 2 4 4 2" xfId="28367"/>
    <cellStyle name="Input (StyleA) 2 4 4 3" xfId="34118"/>
    <cellStyle name="Input (StyleA) 2 4 5" xfId="21251"/>
    <cellStyle name="Input (StyleA) 2 4 6" xfId="26407"/>
    <cellStyle name="Input (StyleA) 2 5" xfId="13586"/>
    <cellStyle name="Input (StyleA) 2 5 2" xfId="13587"/>
    <cellStyle name="Input (StyleA) 2 5 2 2" xfId="28369"/>
    <cellStyle name="Input (StyleA) 2 5 2 3" xfId="34120"/>
    <cellStyle name="Input (StyleA) 2 5 3" xfId="28368"/>
    <cellStyle name="Input (StyleA) 2 5 4" xfId="34119"/>
    <cellStyle name="Input (StyleA) 2 6" xfId="13588"/>
    <cellStyle name="Input (StyleA) 2 6 2" xfId="28370"/>
    <cellStyle name="Input (StyleA) 2 6 3" xfId="34121"/>
    <cellStyle name="Input (StyleA) 2 7" xfId="17998"/>
    <cellStyle name="Input (StyleA) 3" xfId="2604"/>
    <cellStyle name="Input (StyleA) 3 2" xfId="5380"/>
    <cellStyle name="Input (StyleA) 3 2 2" xfId="13589"/>
    <cellStyle name="Input (StyleA) 3 2 2 2" xfId="13590"/>
    <cellStyle name="Input (StyleA) 3 2 2 2 2" xfId="28372"/>
    <cellStyle name="Input (StyleA) 3 2 2 2 3" xfId="34123"/>
    <cellStyle name="Input (StyleA) 3 2 2 3" xfId="28371"/>
    <cellStyle name="Input (StyleA) 3 2 2 4" xfId="34122"/>
    <cellStyle name="Input (StyleA) 3 2 3" xfId="13591"/>
    <cellStyle name="Input (StyleA) 3 2 3 2" xfId="13592"/>
    <cellStyle name="Input (StyleA) 3 2 3 2 2" xfId="28374"/>
    <cellStyle name="Input (StyleA) 3 2 3 2 3" xfId="34125"/>
    <cellStyle name="Input (StyleA) 3 2 3 3" xfId="13593"/>
    <cellStyle name="Input (StyleA) 3 2 3 3 2" xfId="28375"/>
    <cellStyle name="Input (StyleA) 3 2 3 3 3" xfId="34126"/>
    <cellStyle name="Input (StyleA) 3 2 3 4" xfId="28373"/>
    <cellStyle name="Input (StyleA) 3 2 3 5" xfId="34124"/>
    <cellStyle name="Input (StyleA) 3 2 4" xfId="13594"/>
    <cellStyle name="Input (StyleA) 3 2 4 2" xfId="28376"/>
    <cellStyle name="Input (StyleA) 3 2 4 3" xfId="34127"/>
    <cellStyle name="Input (StyleA) 3 2 5" xfId="21252"/>
    <cellStyle name="Input (StyleA) 3 2 6" xfId="26406"/>
    <cellStyle name="Input (StyleA) 3 3" xfId="5381"/>
    <cellStyle name="Input (StyleA) 3 3 2" xfId="13595"/>
    <cellStyle name="Input (StyleA) 3 3 2 2" xfId="13596"/>
    <cellStyle name="Input (StyleA) 3 3 2 2 2" xfId="28378"/>
    <cellStyle name="Input (StyleA) 3 3 2 2 3" xfId="34129"/>
    <cellStyle name="Input (StyleA) 3 3 2 3" xfId="28377"/>
    <cellStyle name="Input (StyleA) 3 3 2 4" xfId="34128"/>
    <cellStyle name="Input (StyleA) 3 3 3" xfId="13597"/>
    <cellStyle name="Input (StyleA) 3 3 3 2" xfId="13598"/>
    <cellStyle name="Input (StyleA) 3 3 3 2 2" xfId="28380"/>
    <cellStyle name="Input (StyleA) 3 3 3 2 3" xfId="34131"/>
    <cellStyle name="Input (StyleA) 3 3 3 3" xfId="13599"/>
    <cellStyle name="Input (StyleA) 3 3 3 3 2" xfId="28381"/>
    <cellStyle name="Input (StyleA) 3 3 3 3 3" xfId="34132"/>
    <cellStyle name="Input (StyleA) 3 3 3 4" xfId="28379"/>
    <cellStyle name="Input (StyleA) 3 3 3 5" xfId="34130"/>
    <cellStyle name="Input (StyleA) 3 3 4" xfId="13600"/>
    <cellStyle name="Input (StyleA) 3 3 4 2" xfId="28382"/>
    <cellStyle name="Input (StyleA) 3 3 4 3" xfId="34133"/>
    <cellStyle name="Input (StyleA) 3 3 5" xfId="21253"/>
    <cellStyle name="Input (StyleA) 3 3 6" xfId="26405"/>
    <cellStyle name="Input (StyleA) 3 4" xfId="5382"/>
    <cellStyle name="Input (StyleA) 3 4 2" xfId="13601"/>
    <cellStyle name="Input (StyleA) 3 4 2 2" xfId="13602"/>
    <cellStyle name="Input (StyleA) 3 4 2 2 2" xfId="28384"/>
    <cellStyle name="Input (StyleA) 3 4 2 2 3" xfId="34135"/>
    <cellStyle name="Input (StyleA) 3 4 2 3" xfId="13603"/>
    <cellStyle name="Input (StyleA) 3 4 2 3 2" xfId="28385"/>
    <cellStyle name="Input (StyleA) 3 4 2 3 3" xfId="34136"/>
    <cellStyle name="Input (StyleA) 3 4 2 4" xfId="28383"/>
    <cellStyle name="Input (StyleA) 3 4 2 5" xfId="34134"/>
    <cellStyle name="Input (StyleA) 3 4 3" xfId="13604"/>
    <cellStyle name="Input (StyleA) 3 4 3 2" xfId="13605"/>
    <cellStyle name="Input (StyleA) 3 4 3 2 2" xfId="28387"/>
    <cellStyle name="Input (StyleA) 3 4 3 2 3" xfId="34138"/>
    <cellStyle name="Input (StyleA) 3 4 3 3" xfId="28386"/>
    <cellStyle name="Input (StyleA) 3 4 3 4" xfId="34137"/>
    <cellStyle name="Input (StyleA) 3 4 4" xfId="13606"/>
    <cellStyle name="Input (StyleA) 3 4 4 2" xfId="28388"/>
    <cellStyle name="Input (StyleA) 3 4 4 3" xfId="34139"/>
    <cellStyle name="Input (StyleA) 3 4 5" xfId="21254"/>
    <cellStyle name="Input (StyleA) 3 4 6" xfId="20564"/>
    <cellStyle name="Input (StyleA) 3 5" xfId="13607"/>
    <cellStyle name="Input (StyleA) 3 5 2" xfId="13608"/>
    <cellStyle name="Input (StyleA) 3 5 2 2" xfId="28390"/>
    <cellStyle name="Input (StyleA) 3 5 2 3" xfId="34141"/>
    <cellStyle name="Input (StyleA) 3 5 3" xfId="28389"/>
    <cellStyle name="Input (StyleA) 3 5 4" xfId="34140"/>
    <cellStyle name="Input (StyleA) 3 6" xfId="13609"/>
    <cellStyle name="Input (StyleA) 3 6 2" xfId="28391"/>
    <cellStyle name="Input (StyleA) 3 6 3" xfId="34142"/>
    <cellStyle name="Input (StyleA) 3 7" xfId="20019"/>
    <cellStyle name="Input (StyleA) 4" xfId="5383"/>
    <cellStyle name="Input (StyleA) 4 2" xfId="13610"/>
    <cellStyle name="Input (StyleA) 4 2 2" xfId="13611"/>
    <cellStyle name="Input (StyleA) 4 2 2 2" xfId="28393"/>
    <cellStyle name="Input (StyleA) 4 2 2 3" xfId="34144"/>
    <cellStyle name="Input (StyleA) 4 2 3" xfId="28392"/>
    <cellStyle name="Input (StyleA) 4 2 4" xfId="34143"/>
    <cellStyle name="Input (StyleA) 4 3" xfId="13612"/>
    <cellStyle name="Input (StyleA) 4 3 2" xfId="13613"/>
    <cellStyle name="Input (StyleA) 4 3 2 2" xfId="28395"/>
    <cellStyle name="Input (StyleA) 4 3 2 3" xfId="34146"/>
    <cellStyle name="Input (StyleA) 4 3 3" xfId="13614"/>
    <cellStyle name="Input (StyleA) 4 3 3 2" xfId="28396"/>
    <cellStyle name="Input (StyleA) 4 3 3 3" xfId="34147"/>
    <cellStyle name="Input (StyleA) 4 3 4" xfId="28394"/>
    <cellStyle name="Input (StyleA) 4 3 5" xfId="34145"/>
    <cellStyle name="Input (StyleA) 4 4" xfId="13615"/>
    <cellStyle name="Input (StyleA) 4 4 2" xfId="28397"/>
    <cellStyle name="Input (StyleA) 4 4 3" xfId="34148"/>
    <cellStyle name="Input (StyleA) 4 5" xfId="21255"/>
    <cellStyle name="Input (StyleA) 4 6" xfId="26404"/>
    <cellStyle name="Input (StyleA) 5" xfId="5384"/>
    <cellStyle name="Input (StyleA) 5 2" xfId="13616"/>
    <cellStyle name="Input (StyleA) 5 2 2" xfId="13617"/>
    <cellStyle name="Input (StyleA) 5 2 2 2" xfId="28399"/>
    <cellStyle name="Input (StyleA) 5 2 2 3" xfId="34150"/>
    <cellStyle name="Input (StyleA) 5 2 3" xfId="28398"/>
    <cellStyle name="Input (StyleA) 5 2 4" xfId="34149"/>
    <cellStyle name="Input (StyleA) 5 3" xfId="13618"/>
    <cellStyle name="Input (StyleA) 5 3 2" xfId="13619"/>
    <cellStyle name="Input (StyleA) 5 3 2 2" xfId="28401"/>
    <cellStyle name="Input (StyleA) 5 3 2 3" xfId="34152"/>
    <cellStyle name="Input (StyleA) 5 3 3" xfId="13620"/>
    <cellStyle name="Input (StyleA) 5 3 3 2" xfId="28402"/>
    <cellStyle name="Input (StyleA) 5 3 3 3" xfId="34153"/>
    <cellStyle name="Input (StyleA) 5 3 4" xfId="28400"/>
    <cellStyle name="Input (StyleA) 5 3 5" xfId="34151"/>
    <cellStyle name="Input (StyleA) 5 4" xfId="13621"/>
    <cellStyle name="Input (StyleA) 5 4 2" xfId="28403"/>
    <cellStyle name="Input (StyleA) 5 4 3" xfId="34154"/>
    <cellStyle name="Input (StyleA) 5 5" xfId="21256"/>
    <cellStyle name="Input (StyleA) 5 6" xfId="26403"/>
    <cellStyle name="Input (StyleA) 6" xfId="5385"/>
    <cellStyle name="Input (StyleA) 6 2" xfId="13622"/>
    <cellStyle name="Input (StyleA) 6 2 2" xfId="13623"/>
    <cellStyle name="Input (StyleA) 6 2 2 2" xfId="28405"/>
    <cellStyle name="Input (StyleA) 6 2 2 3" xfId="34156"/>
    <cellStyle name="Input (StyleA) 6 2 3" xfId="13624"/>
    <cellStyle name="Input (StyleA) 6 2 3 2" xfId="28406"/>
    <cellStyle name="Input (StyleA) 6 2 3 3" xfId="34157"/>
    <cellStyle name="Input (StyleA) 6 2 4" xfId="28404"/>
    <cellStyle name="Input (StyleA) 6 2 5" xfId="34155"/>
    <cellStyle name="Input (StyleA) 6 3" xfId="13625"/>
    <cellStyle name="Input (StyleA) 6 3 2" xfId="13626"/>
    <cellStyle name="Input (StyleA) 6 3 2 2" xfId="28408"/>
    <cellStyle name="Input (StyleA) 6 3 2 3" xfId="34159"/>
    <cellStyle name="Input (StyleA) 6 3 3" xfId="28407"/>
    <cellStyle name="Input (StyleA) 6 3 4" xfId="34158"/>
    <cellStyle name="Input (StyleA) 6 4" xfId="13627"/>
    <cellStyle name="Input (StyleA) 6 4 2" xfId="28409"/>
    <cellStyle name="Input (StyleA) 6 4 3" xfId="34160"/>
    <cellStyle name="Input (StyleA) 6 5" xfId="21257"/>
    <cellStyle name="Input (StyleA) 6 6" xfId="26402"/>
    <cellStyle name="Input (StyleA) 7" xfId="13628"/>
    <cellStyle name="Input (StyleA) 7 2" xfId="13629"/>
    <cellStyle name="Input (StyleA) 7 2 2" xfId="28411"/>
    <cellStyle name="Input (StyleA) 7 2 3" xfId="34162"/>
    <cellStyle name="Input (StyleA) 7 3" xfId="28410"/>
    <cellStyle name="Input (StyleA) 7 4" xfId="34161"/>
    <cellStyle name="Input (StyleA) 8" xfId="13630"/>
    <cellStyle name="Input (StyleA) 8 2" xfId="28412"/>
    <cellStyle name="Input (StyleA) 8 3" xfId="34163"/>
    <cellStyle name="Input (StyleA) 9" xfId="18098"/>
    <cellStyle name="Input [yellow]" xfId="2605"/>
    <cellStyle name="Input [yellow] 10" xfId="13631"/>
    <cellStyle name="Input [yellow] 10 2" xfId="28413"/>
    <cellStyle name="Input [yellow] 10 3" xfId="34164"/>
    <cellStyle name="Input [yellow] 11" xfId="19907"/>
    <cellStyle name="Input [yellow] 12" xfId="21425"/>
    <cellStyle name="Input [yellow] 2" xfId="2606"/>
    <cellStyle name="Input [yellow] 2 10" xfId="18161"/>
    <cellStyle name="Input [yellow] 2 2" xfId="2607"/>
    <cellStyle name="Input [yellow] 2 2 2" xfId="2608"/>
    <cellStyle name="Input [yellow] 2 2 2 2" xfId="5386"/>
    <cellStyle name="Input [yellow] 2 2 2 2 10" xfId="26401"/>
    <cellStyle name="Input [yellow] 2 2 2 2 2" xfId="5387"/>
    <cellStyle name="Input [yellow] 2 2 2 2 2 2" xfId="13632"/>
    <cellStyle name="Input [yellow] 2 2 2 2 2 2 2" xfId="13633"/>
    <cellStyle name="Input [yellow] 2 2 2 2 2 2 2 2" xfId="28415"/>
    <cellStyle name="Input [yellow] 2 2 2 2 2 2 2 3" xfId="34166"/>
    <cellStyle name="Input [yellow] 2 2 2 2 2 2 3" xfId="13634"/>
    <cellStyle name="Input [yellow] 2 2 2 2 2 2 3 2" xfId="28416"/>
    <cellStyle name="Input [yellow] 2 2 2 2 2 2 3 3" xfId="34167"/>
    <cellStyle name="Input [yellow] 2 2 2 2 2 2 4" xfId="28414"/>
    <cellStyle name="Input [yellow] 2 2 2 2 2 2 5" xfId="34165"/>
    <cellStyle name="Input [yellow] 2 2 2 2 2 3" xfId="13635"/>
    <cellStyle name="Input [yellow] 2 2 2 2 2 3 2" xfId="13636"/>
    <cellStyle name="Input [yellow] 2 2 2 2 2 3 2 2" xfId="28418"/>
    <cellStyle name="Input [yellow] 2 2 2 2 2 3 2 3" xfId="34169"/>
    <cellStyle name="Input [yellow] 2 2 2 2 2 3 3" xfId="13637"/>
    <cellStyle name="Input [yellow] 2 2 2 2 2 3 3 2" xfId="28419"/>
    <cellStyle name="Input [yellow] 2 2 2 2 2 3 3 3" xfId="34170"/>
    <cellStyle name="Input [yellow] 2 2 2 2 2 3 4" xfId="28417"/>
    <cellStyle name="Input [yellow] 2 2 2 2 2 3 5" xfId="34168"/>
    <cellStyle name="Input [yellow] 2 2 2 2 2 4" xfId="13638"/>
    <cellStyle name="Input [yellow] 2 2 2 2 2 4 2" xfId="13639"/>
    <cellStyle name="Input [yellow] 2 2 2 2 2 4 2 2" xfId="28421"/>
    <cellStyle name="Input [yellow] 2 2 2 2 2 4 2 3" xfId="34172"/>
    <cellStyle name="Input [yellow] 2 2 2 2 2 4 3" xfId="13640"/>
    <cellStyle name="Input [yellow] 2 2 2 2 2 4 3 2" xfId="28422"/>
    <cellStyle name="Input [yellow] 2 2 2 2 2 4 3 3" xfId="34173"/>
    <cellStyle name="Input [yellow] 2 2 2 2 2 4 4" xfId="28420"/>
    <cellStyle name="Input [yellow] 2 2 2 2 2 4 5" xfId="34171"/>
    <cellStyle name="Input [yellow] 2 2 2 2 2 5" xfId="13641"/>
    <cellStyle name="Input [yellow] 2 2 2 2 2 5 2" xfId="28423"/>
    <cellStyle name="Input [yellow] 2 2 2 2 2 5 3" xfId="34174"/>
    <cellStyle name="Input [yellow] 2 2 2 2 2 6" xfId="13642"/>
    <cellStyle name="Input [yellow] 2 2 2 2 2 6 2" xfId="28424"/>
    <cellStyle name="Input [yellow] 2 2 2 2 2 6 3" xfId="34175"/>
    <cellStyle name="Input [yellow] 2 2 2 2 2 7" xfId="21259"/>
    <cellStyle name="Input [yellow] 2 2 2 2 2 8" xfId="26400"/>
    <cellStyle name="Input [yellow] 2 2 2 2 3" xfId="5388"/>
    <cellStyle name="Input [yellow] 2 2 2 2 3 2" xfId="13643"/>
    <cellStyle name="Input [yellow] 2 2 2 2 3 2 2" xfId="13644"/>
    <cellStyle name="Input [yellow] 2 2 2 2 3 2 2 2" xfId="28426"/>
    <cellStyle name="Input [yellow] 2 2 2 2 3 2 2 3" xfId="34177"/>
    <cellStyle name="Input [yellow] 2 2 2 2 3 2 3" xfId="13645"/>
    <cellStyle name="Input [yellow] 2 2 2 2 3 2 3 2" xfId="28427"/>
    <cellStyle name="Input [yellow] 2 2 2 2 3 2 3 3" xfId="34178"/>
    <cellStyle name="Input [yellow] 2 2 2 2 3 2 4" xfId="28425"/>
    <cellStyle name="Input [yellow] 2 2 2 2 3 2 5" xfId="34176"/>
    <cellStyle name="Input [yellow] 2 2 2 2 3 3" xfId="13646"/>
    <cellStyle name="Input [yellow] 2 2 2 2 3 3 2" xfId="13647"/>
    <cellStyle name="Input [yellow] 2 2 2 2 3 3 2 2" xfId="28429"/>
    <cellStyle name="Input [yellow] 2 2 2 2 3 3 2 3" xfId="34180"/>
    <cellStyle name="Input [yellow] 2 2 2 2 3 3 3" xfId="13648"/>
    <cellStyle name="Input [yellow] 2 2 2 2 3 3 3 2" xfId="28430"/>
    <cellStyle name="Input [yellow] 2 2 2 2 3 3 3 3" xfId="34181"/>
    <cellStyle name="Input [yellow] 2 2 2 2 3 3 4" xfId="28428"/>
    <cellStyle name="Input [yellow] 2 2 2 2 3 3 5" xfId="34179"/>
    <cellStyle name="Input [yellow] 2 2 2 2 3 4" xfId="13649"/>
    <cellStyle name="Input [yellow] 2 2 2 2 3 4 2" xfId="13650"/>
    <cellStyle name="Input [yellow] 2 2 2 2 3 4 2 2" xfId="28432"/>
    <cellStyle name="Input [yellow] 2 2 2 2 3 4 2 3" xfId="34183"/>
    <cellStyle name="Input [yellow] 2 2 2 2 3 4 3" xfId="13651"/>
    <cellStyle name="Input [yellow] 2 2 2 2 3 4 3 2" xfId="28433"/>
    <cellStyle name="Input [yellow] 2 2 2 2 3 4 3 3" xfId="34184"/>
    <cellStyle name="Input [yellow] 2 2 2 2 3 4 4" xfId="28431"/>
    <cellStyle name="Input [yellow] 2 2 2 2 3 4 5" xfId="34182"/>
    <cellStyle name="Input [yellow] 2 2 2 2 3 5" xfId="13652"/>
    <cellStyle name="Input [yellow] 2 2 2 2 3 5 2" xfId="28434"/>
    <cellStyle name="Input [yellow] 2 2 2 2 3 5 3" xfId="34185"/>
    <cellStyle name="Input [yellow] 2 2 2 2 3 6" xfId="13653"/>
    <cellStyle name="Input [yellow] 2 2 2 2 3 6 2" xfId="28435"/>
    <cellStyle name="Input [yellow] 2 2 2 2 3 6 3" xfId="34186"/>
    <cellStyle name="Input [yellow] 2 2 2 2 3 7" xfId="21260"/>
    <cellStyle name="Input [yellow] 2 2 2 2 3 8" xfId="26399"/>
    <cellStyle name="Input [yellow] 2 2 2 2 4" xfId="5389"/>
    <cellStyle name="Input [yellow] 2 2 2 2 4 2" xfId="13654"/>
    <cellStyle name="Input [yellow] 2 2 2 2 4 2 2" xfId="13655"/>
    <cellStyle name="Input [yellow] 2 2 2 2 4 2 2 2" xfId="28437"/>
    <cellStyle name="Input [yellow] 2 2 2 2 4 2 2 3" xfId="34188"/>
    <cellStyle name="Input [yellow] 2 2 2 2 4 2 3" xfId="13656"/>
    <cellStyle name="Input [yellow] 2 2 2 2 4 2 3 2" xfId="28438"/>
    <cellStyle name="Input [yellow] 2 2 2 2 4 2 3 3" xfId="34189"/>
    <cellStyle name="Input [yellow] 2 2 2 2 4 2 4" xfId="28436"/>
    <cellStyle name="Input [yellow] 2 2 2 2 4 2 5" xfId="34187"/>
    <cellStyle name="Input [yellow] 2 2 2 2 4 3" xfId="13657"/>
    <cellStyle name="Input [yellow] 2 2 2 2 4 3 2" xfId="13658"/>
    <cellStyle name="Input [yellow] 2 2 2 2 4 3 2 2" xfId="28440"/>
    <cellStyle name="Input [yellow] 2 2 2 2 4 3 2 3" xfId="34191"/>
    <cellStyle name="Input [yellow] 2 2 2 2 4 3 3" xfId="13659"/>
    <cellStyle name="Input [yellow] 2 2 2 2 4 3 3 2" xfId="28441"/>
    <cellStyle name="Input [yellow] 2 2 2 2 4 3 3 3" xfId="34192"/>
    <cellStyle name="Input [yellow] 2 2 2 2 4 3 4" xfId="28439"/>
    <cellStyle name="Input [yellow] 2 2 2 2 4 3 5" xfId="34190"/>
    <cellStyle name="Input [yellow] 2 2 2 2 4 4" xfId="13660"/>
    <cellStyle name="Input [yellow] 2 2 2 2 4 4 2" xfId="13661"/>
    <cellStyle name="Input [yellow] 2 2 2 2 4 4 2 2" xfId="28443"/>
    <cellStyle name="Input [yellow] 2 2 2 2 4 4 2 3" xfId="34194"/>
    <cellStyle name="Input [yellow] 2 2 2 2 4 4 3" xfId="13662"/>
    <cellStyle name="Input [yellow] 2 2 2 2 4 4 3 2" xfId="28444"/>
    <cellStyle name="Input [yellow] 2 2 2 2 4 4 3 3" xfId="34195"/>
    <cellStyle name="Input [yellow] 2 2 2 2 4 4 4" xfId="28442"/>
    <cellStyle name="Input [yellow] 2 2 2 2 4 4 5" xfId="34193"/>
    <cellStyle name="Input [yellow] 2 2 2 2 4 5" xfId="13663"/>
    <cellStyle name="Input [yellow] 2 2 2 2 4 5 2" xfId="28445"/>
    <cellStyle name="Input [yellow] 2 2 2 2 4 5 3" xfId="34196"/>
    <cellStyle name="Input [yellow] 2 2 2 2 4 6" xfId="13664"/>
    <cellStyle name="Input [yellow] 2 2 2 2 4 6 2" xfId="28446"/>
    <cellStyle name="Input [yellow] 2 2 2 2 4 6 3" xfId="34197"/>
    <cellStyle name="Input [yellow] 2 2 2 2 4 7" xfId="21261"/>
    <cellStyle name="Input [yellow] 2 2 2 2 4 8" xfId="26398"/>
    <cellStyle name="Input [yellow] 2 2 2 2 5" xfId="13665"/>
    <cellStyle name="Input [yellow] 2 2 2 2 5 2" xfId="13666"/>
    <cellStyle name="Input [yellow] 2 2 2 2 5 2 2" xfId="28448"/>
    <cellStyle name="Input [yellow] 2 2 2 2 5 2 3" xfId="34199"/>
    <cellStyle name="Input [yellow] 2 2 2 2 5 3" xfId="13667"/>
    <cellStyle name="Input [yellow] 2 2 2 2 5 3 2" xfId="28449"/>
    <cellStyle name="Input [yellow] 2 2 2 2 5 3 3" xfId="34200"/>
    <cellStyle name="Input [yellow] 2 2 2 2 5 4" xfId="28447"/>
    <cellStyle name="Input [yellow] 2 2 2 2 5 5" xfId="34198"/>
    <cellStyle name="Input [yellow] 2 2 2 2 6" xfId="13668"/>
    <cellStyle name="Input [yellow] 2 2 2 2 6 2" xfId="13669"/>
    <cellStyle name="Input [yellow] 2 2 2 2 6 2 2" xfId="28451"/>
    <cellStyle name="Input [yellow] 2 2 2 2 6 2 3" xfId="34202"/>
    <cellStyle name="Input [yellow] 2 2 2 2 6 3" xfId="13670"/>
    <cellStyle name="Input [yellow] 2 2 2 2 6 3 2" xfId="28452"/>
    <cellStyle name="Input [yellow] 2 2 2 2 6 3 3" xfId="34203"/>
    <cellStyle name="Input [yellow] 2 2 2 2 6 4" xfId="28450"/>
    <cellStyle name="Input [yellow] 2 2 2 2 6 5" xfId="34201"/>
    <cellStyle name="Input [yellow] 2 2 2 2 7" xfId="13671"/>
    <cellStyle name="Input [yellow] 2 2 2 2 7 2" xfId="28453"/>
    <cellStyle name="Input [yellow] 2 2 2 2 7 3" xfId="34204"/>
    <cellStyle name="Input [yellow] 2 2 2 2 8" xfId="13672"/>
    <cellStyle name="Input [yellow] 2 2 2 2 8 2" xfId="28454"/>
    <cellStyle name="Input [yellow] 2 2 2 2 8 3" xfId="34205"/>
    <cellStyle name="Input [yellow] 2 2 2 2 9" xfId="21258"/>
    <cellStyle name="Input [yellow] 2 2 2 3" xfId="13673"/>
    <cellStyle name="Input [yellow] 2 2 2 3 2" xfId="13674"/>
    <cellStyle name="Input [yellow] 2 2 2 3 2 2" xfId="28456"/>
    <cellStyle name="Input [yellow] 2 2 2 3 2 3" xfId="34207"/>
    <cellStyle name="Input [yellow] 2 2 2 3 3" xfId="13675"/>
    <cellStyle name="Input [yellow] 2 2 2 3 3 2" xfId="28457"/>
    <cellStyle name="Input [yellow] 2 2 2 3 3 3" xfId="34208"/>
    <cellStyle name="Input [yellow] 2 2 2 3 4" xfId="28455"/>
    <cellStyle name="Input [yellow] 2 2 2 3 5" xfId="34206"/>
    <cellStyle name="Input [yellow] 2 2 2 4" xfId="13676"/>
    <cellStyle name="Input [yellow] 2 2 2 4 2" xfId="13677"/>
    <cellStyle name="Input [yellow] 2 2 2 4 2 2" xfId="28459"/>
    <cellStyle name="Input [yellow] 2 2 2 4 2 3" xfId="34210"/>
    <cellStyle name="Input [yellow] 2 2 2 4 3" xfId="13678"/>
    <cellStyle name="Input [yellow] 2 2 2 4 3 2" xfId="28460"/>
    <cellStyle name="Input [yellow] 2 2 2 4 3 3" xfId="34211"/>
    <cellStyle name="Input [yellow] 2 2 2 4 4" xfId="28458"/>
    <cellStyle name="Input [yellow] 2 2 2 4 5" xfId="34209"/>
    <cellStyle name="Input [yellow] 2 2 2 5" xfId="13679"/>
    <cellStyle name="Input [yellow] 2 2 2 5 2" xfId="28461"/>
    <cellStyle name="Input [yellow] 2 2 2 5 3" xfId="34212"/>
    <cellStyle name="Input [yellow] 2 2 2 6" xfId="13680"/>
    <cellStyle name="Input [yellow] 2 2 2 6 2" xfId="28462"/>
    <cellStyle name="Input [yellow] 2 2 2 6 3" xfId="34213"/>
    <cellStyle name="Input [yellow] 2 2 2 7" xfId="19910"/>
    <cellStyle name="Input [yellow] 2 2 2 8" xfId="20017"/>
    <cellStyle name="Input [yellow] 2 2 3" xfId="5390"/>
    <cellStyle name="Input [yellow] 2 2 3 10" xfId="26397"/>
    <cellStyle name="Input [yellow] 2 2 3 2" xfId="5391"/>
    <cellStyle name="Input [yellow] 2 2 3 2 2" xfId="13681"/>
    <cellStyle name="Input [yellow] 2 2 3 2 2 2" xfId="13682"/>
    <cellStyle name="Input [yellow] 2 2 3 2 2 2 2" xfId="28464"/>
    <cellStyle name="Input [yellow] 2 2 3 2 2 2 3" xfId="34215"/>
    <cellStyle name="Input [yellow] 2 2 3 2 2 3" xfId="13683"/>
    <cellStyle name="Input [yellow] 2 2 3 2 2 3 2" xfId="28465"/>
    <cellStyle name="Input [yellow] 2 2 3 2 2 3 3" xfId="34216"/>
    <cellStyle name="Input [yellow] 2 2 3 2 2 4" xfId="28463"/>
    <cellStyle name="Input [yellow] 2 2 3 2 2 5" xfId="34214"/>
    <cellStyle name="Input [yellow] 2 2 3 2 3" xfId="13684"/>
    <cellStyle name="Input [yellow] 2 2 3 2 3 2" xfId="13685"/>
    <cellStyle name="Input [yellow] 2 2 3 2 3 2 2" xfId="28467"/>
    <cellStyle name="Input [yellow] 2 2 3 2 3 2 3" xfId="34218"/>
    <cellStyle name="Input [yellow] 2 2 3 2 3 3" xfId="13686"/>
    <cellStyle name="Input [yellow] 2 2 3 2 3 3 2" xfId="28468"/>
    <cellStyle name="Input [yellow] 2 2 3 2 3 3 3" xfId="34219"/>
    <cellStyle name="Input [yellow] 2 2 3 2 3 4" xfId="28466"/>
    <cellStyle name="Input [yellow] 2 2 3 2 3 5" xfId="34217"/>
    <cellStyle name="Input [yellow] 2 2 3 2 4" xfId="13687"/>
    <cellStyle name="Input [yellow] 2 2 3 2 4 2" xfId="13688"/>
    <cellStyle name="Input [yellow] 2 2 3 2 4 2 2" xfId="28470"/>
    <cellStyle name="Input [yellow] 2 2 3 2 4 2 3" xfId="34221"/>
    <cellStyle name="Input [yellow] 2 2 3 2 4 3" xfId="13689"/>
    <cellStyle name="Input [yellow] 2 2 3 2 4 3 2" xfId="28471"/>
    <cellStyle name="Input [yellow] 2 2 3 2 4 3 3" xfId="34222"/>
    <cellStyle name="Input [yellow] 2 2 3 2 4 4" xfId="28469"/>
    <cellStyle name="Input [yellow] 2 2 3 2 4 5" xfId="34220"/>
    <cellStyle name="Input [yellow] 2 2 3 2 5" xfId="13690"/>
    <cellStyle name="Input [yellow] 2 2 3 2 5 2" xfId="28472"/>
    <cellStyle name="Input [yellow] 2 2 3 2 5 3" xfId="34223"/>
    <cellStyle name="Input [yellow] 2 2 3 2 6" xfId="13691"/>
    <cellStyle name="Input [yellow] 2 2 3 2 6 2" xfId="28473"/>
    <cellStyle name="Input [yellow] 2 2 3 2 6 3" xfId="34224"/>
    <cellStyle name="Input [yellow] 2 2 3 2 7" xfId="21263"/>
    <cellStyle name="Input [yellow] 2 2 3 2 8" xfId="26396"/>
    <cellStyle name="Input [yellow] 2 2 3 3" xfId="5392"/>
    <cellStyle name="Input [yellow] 2 2 3 3 2" xfId="13692"/>
    <cellStyle name="Input [yellow] 2 2 3 3 2 2" xfId="13693"/>
    <cellStyle name="Input [yellow] 2 2 3 3 2 2 2" xfId="28475"/>
    <cellStyle name="Input [yellow] 2 2 3 3 2 2 3" xfId="34226"/>
    <cellStyle name="Input [yellow] 2 2 3 3 2 3" xfId="13694"/>
    <cellStyle name="Input [yellow] 2 2 3 3 2 3 2" xfId="28476"/>
    <cellStyle name="Input [yellow] 2 2 3 3 2 3 3" xfId="34227"/>
    <cellStyle name="Input [yellow] 2 2 3 3 2 4" xfId="28474"/>
    <cellStyle name="Input [yellow] 2 2 3 3 2 5" xfId="34225"/>
    <cellStyle name="Input [yellow] 2 2 3 3 3" xfId="13695"/>
    <cellStyle name="Input [yellow] 2 2 3 3 3 2" xfId="13696"/>
    <cellStyle name="Input [yellow] 2 2 3 3 3 2 2" xfId="28478"/>
    <cellStyle name="Input [yellow] 2 2 3 3 3 2 3" xfId="34229"/>
    <cellStyle name="Input [yellow] 2 2 3 3 3 3" xfId="13697"/>
    <cellStyle name="Input [yellow] 2 2 3 3 3 3 2" xfId="28479"/>
    <cellStyle name="Input [yellow] 2 2 3 3 3 3 3" xfId="34230"/>
    <cellStyle name="Input [yellow] 2 2 3 3 3 4" xfId="28477"/>
    <cellStyle name="Input [yellow] 2 2 3 3 3 5" xfId="34228"/>
    <cellStyle name="Input [yellow] 2 2 3 3 4" xfId="13698"/>
    <cellStyle name="Input [yellow] 2 2 3 3 4 2" xfId="13699"/>
    <cellStyle name="Input [yellow] 2 2 3 3 4 2 2" xfId="28481"/>
    <cellStyle name="Input [yellow] 2 2 3 3 4 2 3" xfId="34232"/>
    <cellStyle name="Input [yellow] 2 2 3 3 4 3" xfId="13700"/>
    <cellStyle name="Input [yellow] 2 2 3 3 4 3 2" xfId="28482"/>
    <cellStyle name="Input [yellow] 2 2 3 3 4 3 3" xfId="34233"/>
    <cellStyle name="Input [yellow] 2 2 3 3 4 4" xfId="28480"/>
    <cellStyle name="Input [yellow] 2 2 3 3 4 5" xfId="34231"/>
    <cellStyle name="Input [yellow] 2 2 3 3 5" xfId="13701"/>
    <cellStyle name="Input [yellow] 2 2 3 3 5 2" xfId="28483"/>
    <cellStyle name="Input [yellow] 2 2 3 3 5 3" xfId="34234"/>
    <cellStyle name="Input [yellow] 2 2 3 3 6" xfId="13702"/>
    <cellStyle name="Input [yellow] 2 2 3 3 6 2" xfId="28484"/>
    <cellStyle name="Input [yellow] 2 2 3 3 6 3" xfId="34235"/>
    <cellStyle name="Input [yellow] 2 2 3 3 7" xfId="21264"/>
    <cellStyle name="Input [yellow] 2 2 3 3 8" xfId="26395"/>
    <cellStyle name="Input [yellow] 2 2 3 4" xfId="5393"/>
    <cellStyle name="Input [yellow] 2 2 3 4 2" xfId="13703"/>
    <cellStyle name="Input [yellow] 2 2 3 4 2 2" xfId="13704"/>
    <cellStyle name="Input [yellow] 2 2 3 4 2 2 2" xfId="28486"/>
    <cellStyle name="Input [yellow] 2 2 3 4 2 2 3" xfId="34237"/>
    <cellStyle name="Input [yellow] 2 2 3 4 2 3" xfId="13705"/>
    <cellStyle name="Input [yellow] 2 2 3 4 2 3 2" xfId="28487"/>
    <cellStyle name="Input [yellow] 2 2 3 4 2 3 3" xfId="34238"/>
    <cellStyle name="Input [yellow] 2 2 3 4 2 4" xfId="28485"/>
    <cellStyle name="Input [yellow] 2 2 3 4 2 5" xfId="34236"/>
    <cellStyle name="Input [yellow] 2 2 3 4 3" xfId="13706"/>
    <cellStyle name="Input [yellow] 2 2 3 4 3 2" xfId="13707"/>
    <cellStyle name="Input [yellow] 2 2 3 4 3 2 2" xfId="28489"/>
    <cellStyle name="Input [yellow] 2 2 3 4 3 2 3" xfId="34240"/>
    <cellStyle name="Input [yellow] 2 2 3 4 3 3" xfId="13708"/>
    <cellStyle name="Input [yellow] 2 2 3 4 3 3 2" xfId="28490"/>
    <cellStyle name="Input [yellow] 2 2 3 4 3 3 3" xfId="34241"/>
    <cellStyle name="Input [yellow] 2 2 3 4 3 4" xfId="28488"/>
    <cellStyle name="Input [yellow] 2 2 3 4 3 5" xfId="34239"/>
    <cellStyle name="Input [yellow] 2 2 3 4 4" xfId="13709"/>
    <cellStyle name="Input [yellow] 2 2 3 4 4 2" xfId="13710"/>
    <cellStyle name="Input [yellow] 2 2 3 4 4 2 2" xfId="28492"/>
    <cellStyle name="Input [yellow] 2 2 3 4 4 2 3" xfId="34243"/>
    <cellStyle name="Input [yellow] 2 2 3 4 4 3" xfId="13711"/>
    <cellStyle name="Input [yellow] 2 2 3 4 4 3 2" xfId="28493"/>
    <cellStyle name="Input [yellow] 2 2 3 4 4 3 3" xfId="34244"/>
    <cellStyle name="Input [yellow] 2 2 3 4 4 4" xfId="28491"/>
    <cellStyle name="Input [yellow] 2 2 3 4 4 5" xfId="34242"/>
    <cellStyle name="Input [yellow] 2 2 3 4 5" xfId="13712"/>
    <cellStyle name="Input [yellow] 2 2 3 4 5 2" xfId="28494"/>
    <cellStyle name="Input [yellow] 2 2 3 4 5 3" xfId="34245"/>
    <cellStyle name="Input [yellow] 2 2 3 4 6" xfId="13713"/>
    <cellStyle name="Input [yellow] 2 2 3 4 6 2" xfId="28495"/>
    <cellStyle name="Input [yellow] 2 2 3 4 6 3" xfId="34246"/>
    <cellStyle name="Input [yellow] 2 2 3 4 7" xfId="21265"/>
    <cellStyle name="Input [yellow] 2 2 3 4 8" xfId="26394"/>
    <cellStyle name="Input [yellow] 2 2 3 5" xfId="13714"/>
    <cellStyle name="Input [yellow] 2 2 3 5 2" xfId="13715"/>
    <cellStyle name="Input [yellow] 2 2 3 5 2 2" xfId="28497"/>
    <cellStyle name="Input [yellow] 2 2 3 5 2 3" xfId="34248"/>
    <cellStyle name="Input [yellow] 2 2 3 5 3" xfId="13716"/>
    <cellStyle name="Input [yellow] 2 2 3 5 3 2" xfId="28498"/>
    <cellStyle name="Input [yellow] 2 2 3 5 3 3" xfId="34249"/>
    <cellStyle name="Input [yellow] 2 2 3 5 4" xfId="28496"/>
    <cellStyle name="Input [yellow] 2 2 3 5 5" xfId="34247"/>
    <cellStyle name="Input [yellow] 2 2 3 6" xfId="13717"/>
    <cellStyle name="Input [yellow] 2 2 3 6 2" xfId="13718"/>
    <cellStyle name="Input [yellow] 2 2 3 6 2 2" xfId="28500"/>
    <cellStyle name="Input [yellow] 2 2 3 6 2 3" xfId="34251"/>
    <cellStyle name="Input [yellow] 2 2 3 6 3" xfId="13719"/>
    <cellStyle name="Input [yellow] 2 2 3 6 3 2" xfId="28501"/>
    <cellStyle name="Input [yellow] 2 2 3 6 3 3" xfId="34252"/>
    <cellStyle name="Input [yellow] 2 2 3 6 4" xfId="28499"/>
    <cellStyle name="Input [yellow] 2 2 3 6 5" xfId="34250"/>
    <cellStyle name="Input [yellow] 2 2 3 7" xfId="13720"/>
    <cellStyle name="Input [yellow] 2 2 3 7 2" xfId="28502"/>
    <cellStyle name="Input [yellow] 2 2 3 7 3" xfId="34253"/>
    <cellStyle name="Input [yellow] 2 2 3 8" xfId="13721"/>
    <cellStyle name="Input [yellow] 2 2 3 8 2" xfId="28503"/>
    <cellStyle name="Input [yellow] 2 2 3 8 3" xfId="34254"/>
    <cellStyle name="Input [yellow] 2 2 3 9" xfId="21262"/>
    <cellStyle name="Input [yellow] 2 2 4" xfId="13722"/>
    <cellStyle name="Input [yellow] 2 2 4 2" xfId="13723"/>
    <cellStyle name="Input [yellow] 2 2 4 2 2" xfId="28505"/>
    <cellStyle name="Input [yellow] 2 2 4 2 3" xfId="34256"/>
    <cellStyle name="Input [yellow] 2 2 4 3" xfId="13724"/>
    <cellStyle name="Input [yellow] 2 2 4 3 2" xfId="28506"/>
    <cellStyle name="Input [yellow] 2 2 4 3 3" xfId="34257"/>
    <cellStyle name="Input [yellow] 2 2 4 4" xfId="28504"/>
    <cellStyle name="Input [yellow] 2 2 4 5" xfId="34255"/>
    <cellStyle name="Input [yellow] 2 2 5" xfId="13725"/>
    <cellStyle name="Input [yellow] 2 2 5 2" xfId="13726"/>
    <cellStyle name="Input [yellow] 2 2 5 2 2" xfId="28508"/>
    <cellStyle name="Input [yellow] 2 2 5 2 3" xfId="34259"/>
    <cellStyle name="Input [yellow] 2 2 5 3" xfId="13727"/>
    <cellStyle name="Input [yellow] 2 2 5 3 2" xfId="28509"/>
    <cellStyle name="Input [yellow] 2 2 5 3 3" xfId="34260"/>
    <cellStyle name="Input [yellow] 2 2 5 4" xfId="28507"/>
    <cellStyle name="Input [yellow] 2 2 5 5" xfId="34258"/>
    <cellStyle name="Input [yellow] 2 2 6" xfId="13728"/>
    <cellStyle name="Input [yellow] 2 2 6 2" xfId="28510"/>
    <cellStyle name="Input [yellow] 2 2 6 3" xfId="34261"/>
    <cellStyle name="Input [yellow] 2 2 7" xfId="13729"/>
    <cellStyle name="Input [yellow] 2 2 7 2" xfId="28511"/>
    <cellStyle name="Input [yellow] 2 2 7 3" xfId="34262"/>
    <cellStyle name="Input [yellow] 2 2 8" xfId="19909"/>
    <cellStyle name="Input [yellow] 2 2 9" xfId="20018"/>
    <cellStyle name="Input [yellow] 2 3" xfId="2609"/>
    <cellStyle name="Input [yellow] 2 3 2" xfId="5394"/>
    <cellStyle name="Input [yellow] 2 3 2 10" xfId="26393"/>
    <cellStyle name="Input [yellow] 2 3 2 2" xfId="5395"/>
    <cellStyle name="Input [yellow] 2 3 2 2 2" xfId="13730"/>
    <cellStyle name="Input [yellow] 2 3 2 2 2 2" xfId="13731"/>
    <cellStyle name="Input [yellow] 2 3 2 2 2 2 2" xfId="28513"/>
    <cellStyle name="Input [yellow] 2 3 2 2 2 2 3" xfId="34264"/>
    <cellStyle name="Input [yellow] 2 3 2 2 2 3" xfId="13732"/>
    <cellStyle name="Input [yellow] 2 3 2 2 2 3 2" xfId="28514"/>
    <cellStyle name="Input [yellow] 2 3 2 2 2 3 3" xfId="34265"/>
    <cellStyle name="Input [yellow] 2 3 2 2 2 4" xfId="28512"/>
    <cellStyle name="Input [yellow] 2 3 2 2 2 5" xfId="34263"/>
    <cellStyle name="Input [yellow] 2 3 2 2 3" xfId="13733"/>
    <cellStyle name="Input [yellow] 2 3 2 2 3 2" xfId="13734"/>
    <cellStyle name="Input [yellow] 2 3 2 2 3 2 2" xfId="28516"/>
    <cellStyle name="Input [yellow] 2 3 2 2 3 2 3" xfId="34267"/>
    <cellStyle name="Input [yellow] 2 3 2 2 3 3" xfId="13735"/>
    <cellStyle name="Input [yellow] 2 3 2 2 3 3 2" xfId="28517"/>
    <cellStyle name="Input [yellow] 2 3 2 2 3 3 3" xfId="34268"/>
    <cellStyle name="Input [yellow] 2 3 2 2 3 4" xfId="28515"/>
    <cellStyle name="Input [yellow] 2 3 2 2 3 5" xfId="34266"/>
    <cellStyle name="Input [yellow] 2 3 2 2 4" xfId="13736"/>
    <cellStyle name="Input [yellow] 2 3 2 2 4 2" xfId="13737"/>
    <cellStyle name="Input [yellow] 2 3 2 2 4 2 2" xfId="28519"/>
    <cellStyle name="Input [yellow] 2 3 2 2 4 2 3" xfId="34270"/>
    <cellStyle name="Input [yellow] 2 3 2 2 4 3" xfId="13738"/>
    <cellStyle name="Input [yellow] 2 3 2 2 4 3 2" xfId="28520"/>
    <cellStyle name="Input [yellow] 2 3 2 2 4 3 3" xfId="34271"/>
    <cellStyle name="Input [yellow] 2 3 2 2 4 4" xfId="28518"/>
    <cellStyle name="Input [yellow] 2 3 2 2 4 5" xfId="34269"/>
    <cellStyle name="Input [yellow] 2 3 2 2 5" xfId="13739"/>
    <cellStyle name="Input [yellow] 2 3 2 2 5 2" xfId="28521"/>
    <cellStyle name="Input [yellow] 2 3 2 2 5 3" xfId="34272"/>
    <cellStyle name="Input [yellow] 2 3 2 2 6" xfId="13740"/>
    <cellStyle name="Input [yellow] 2 3 2 2 6 2" xfId="28522"/>
    <cellStyle name="Input [yellow] 2 3 2 2 6 3" xfId="34273"/>
    <cellStyle name="Input [yellow] 2 3 2 2 7" xfId="21267"/>
    <cellStyle name="Input [yellow] 2 3 2 2 8" xfId="26392"/>
    <cellStyle name="Input [yellow] 2 3 2 3" xfId="5396"/>
    <cellStyle name="Input [yellow] 2 3 2 3 2" xfId="13741"/>
    <cellStyle name="Input [yellow] 2 3 2 3 2 2" xfId="13742"/>
    <cellStyle name="Input [yellow] 2 3 2 3 2 2 2" xfId="28524"/>
    <cellStyle name="Input [yellow] 2 3 2 3 2 2 3" xfId="34275"/>
    <cellStyle name="Input [yellow] 2 3 2 3 2 3" xfId="13743"/>
    <cellStyle name="Input [yellow] 2 3 2 3 2 3 2" xfId="28525"/>
    <cellStyle name="Input [yellow] 2 3 2 3 2 3 3" xfId="34276"/>
    <cellStyle name="Input [yellow] 2 3 2 3 2 4" xfId="28523"/>
    <cellStyle name="Input [yellow] 2 3 2 3 2 5" xfId="34274"/>
    <cellStyle name="Input [yellow] 2 3 2 3 3" xfId="13744"/>
    <cellStyle name="Input [yellow] 2 3 2 3 3 2" xfId="13745"/>
    <cellStyle name="Input [yellow] 2 3 2 3 3 2 2" xfId="28527"/>
    <cellStyle name="Input [yellow] 2 3 2 3 3 2 3" xfId="34278"/>
    <cellStyle name="Input [yellow] 2 3 2 3 3 3" xfId="13746"/>
    <cellStyle name="Input [yellow] 2 3 2 3 3 3 2" xfId="28528"/>
    <cellStyle name="Input [yellow] 2 3 2 3 3 3 3" xfId="34279"/>
    <cellStyle name="Input [yellow] 2 3 2 3 3 4" xfId="28526"/>
    <cellStyle name="Input [yellow] 2 3 2 3 3 5" xfId="34277"/>
    <cellStyle name="Input [yellow] 2 3 2 3 4" xfId="13747"/>
    <cellStyle name="Input [yellow] 2 3 2 3 4 2" xfId="13748"/>
    <cellStyle name="Input [yellow] 2 3 2 3 4 2 2" xfId="28530"/>
    <cellStyle name="Input [yellow] 2 3 2 3 4 2 3" xfId="34281"/>
    <cellStyle name="Input [yellow] 2 3 2 3 4 3" xfId="13749"/>
    <cellStyle name="Input [yellow] 2 3 2 3 4 3 2" xfId="28531"/>
    <cellStyle name="Input [yellow] 2 3 2 3 4 3 3" xfId="34282"/>
    <cellStyle name="Input [yellow] 2 3 2 3 4 4" xfId="28529"/>
    <cellStyle name="Input [yellow] 2 3 2 3 4 5" xfId="34280"/>
    <cellStyle name="Input [yellow] 2 3 2 3 5" xfId="13750"/>
    <cellStyle name="Input [yellow] 2 3 2 3 5 2" xfId="28532"/>
    <cellStyle name="Input [yellow] 2 3 2 3 5 3" xfId="34283"/>
    <cellStyle name="Input [yellow] 2 3 2 3 6" xfId="13751"/>
    <cellStyle name="Input [yellow] 2 3 2 3 6 2" xfId="28533"/>
    <cellStyle name="Input [yellow] 2 3 2 3 6 3" xfId="34284"/>
    <cellStyle name="Input [yellow] 2 3 2 3 7" xfId="21268"/>
    <cellStyle name="Input [yellow] 2 3 2 3 8" xfId="26391"/>
    <cellStyle name="Input [yellow] 2 3 2 4" xfId="5397"/>
    <cellStyle name="Input [yellow] 2 3 2 4 2" xfId="13752"/>
    <cellStyle name="Input [yellow] 2 3 2 4 2 2" xfId="13753"/>
    <cellStyle name="Input [yellow] 2 3 2 4 2 2 2" xfId="28535"/>
    <cellStyle name="Input [yellow] 2 3 2 4 2 2 3" xfId="34286"/>
    <cellStyle name="Input [yellow] 2 3 2 4 2 3" xfId="13754"/>
    <cellStyle name="Input [yellow] 2 3 2 4 2 3 2" xfId="28536"/>
    <cellStyle name="Input [yellow] 2 3 2 4 2 3 3" xfId="34287"/>
    <cellStyle name="Input [yellow] 2 3 2 4 2 4" xfId="28534"/>
    <cellStyle name="Input [yellow] 2 3 2 4 2 5" xfId="34285"/>
    <cellStyle name="Input [yellow] 2 3 2 4 3" xfId="13755"/>
    <cellStyle name="Input [yellow] 2 3 2 4 3 2" xfId="13756"/>
    <cellStyle name="Input [yellow] 2 3 2 4 3 2 2" xfId="28538"/>
    <cellStyle name="Input [yellow] 2 3 2 4 3 2 3" xfId="34289"/>
    <cellStyle name="Input [yellow] 2 3 2 4 3 3" xfId="13757"/>
    <cellStyle name="Input [yellow] 2 3 2 4 3 3 2" xfId="28539"/>
    <cellStyle name="Input [yellow] 2 3 2 4 3 3 3" xfId="34290"/>
    <cellStyle name="Input [yellow] 2 3 2 4 3 4" xfId="28537"/>
    <cellStyle name="Input [yellow] 2 3 2 4 3 5" xfId="34288"/>
    <cellStyle name="Input [yellow] 2 3 2 4 4" xfId="13758"/>
    <cellStyle name="Input [yellow] 2 3 2 4 4 2" xfId="13759"/>
    <cellStyle name="Input [yellow] 2 3 2 4 4 2 2" xfId="28541"/>
    <cellStyle name="Input [yellow] 2 3 2 4 4 2 3" xfId="34292"/>
    <cellStyle name="Input [yellow] 2 3 2 4 4 3" xfId="13760"/>
    <cellStyle name="Input [yellow] 2 3 2 4 4 3 2" xfId="28542"/>
    <cellStyle name="Input [yellow] 2 3 2 4 4 3 3" xfId="34293"/>
    <cellStyle name="Input [yellow] 2 3 2 4 4 4" xfId="28540"/>
    <cellStyle name="Input [yellow] 2 3 2 4 4 5" xfId="34291"/>
    <cellStyle name="Input [yellow] 2 3 2 4 5" xfId="13761"/>
    <cellStyle name="Input [yellow] 2 3 2 4 5 2" xfId="28543"/>
    <cellStyle name="Input [yellow] 2 3 2 4 5 3" xfId="34294"/>
    <cellStyle name="Input [yellow] 2 3 2 4 6" xfId="13762"/>
    <cellStyle name="Input [yellow] 2 3 2 4 6 2" xfId="28544"/>
    <cellStyle name="Input [yellow] 2 3 2 4 6 3" xfId="34295"/>
    <cellStyle name="Input [yellow] 2 3 2 4 7" xfId="21269"/>
    <cellStyle name="Input [yellow] 2 3 2 4 8" xfId="26390"/>
    <cellStyle name="Input [yellow] 2 3 2 5" xfId="13763"/>
    <cellStyle name="Input [yellow] 2 3 2 5 2" xfId="13764"/>
    <cellStyle name="Input [yellow] 2 3 2 5 2 2" xfId="28546"/>
    <cellStyle name="Input [yellow] 2 3 2 5 2 3" xfId="34297"/>
    <cellStyle name="Input [yellow] 2 3 2 5 3" xfId="13765"/>
    <cellStyle name="Input [yellow] 2 3 2 5 3 2" xfId="28547"/>
    <cellStyle name="Input [yellow] 2 3 2 5 3 3" xfId="34298"/>
    <cellStyle name="Input [yellow] 2 3 2 5 4" xfId="28545"/>
    <cellStyle name="Input [yellow] 2 3 2 5 5" xfId="34296"/>
    <cellStyle name="Input [yellow] 2 3 2 6" xfId="13766"/>
    <cellStyle name="Input [yellow] 2 3 2 6 2" xfId="13767"/>
    <cellStyle name="Input [yellow] 2 3 2 6 2 2" xfId="28549"/>
    <cellStyle name="Input [yellow] 2 3 2 6 2 3" xfId="34300"/>
    <cellStyle name="Input [yellow] 2 3 2 6 3" xfId="13768"/>
    <cellStyle name="Input [yellow] 2 3 2 6 3 2" xfId="28550"/>
    <cellStyle name="Input [yellow] 2 3 2 6 3 3" xfId="34301"/>
    <cellStyle name="Input [yellow] 2 3 2 6 4" xfId="28548"/>
    <cellStyle name="Input [yellow] 2 3 2 6 5" xfId="34299"/>
    <cellStyle name="Input [yellow] 2 3 2 7" xfId="13769"/>
    <cellStyle name="Input [yellow] 2 3 2 7 2" xfId="28551"/>
    <cellStyle name="Input [yellow] 2 3 2 7 3" xfId="34302"/>
    <cellStyle name="Input [yellow] 2 3 2 8" xfId="13770"/>
    <cellStyle name="Input [yellow] 2 3 2 8 2" xfId="28552"/>
    <cellStyle name="Input [yellow] 2 3 2 8 3" xfId="34303"/>
    <cellStyle name="Input [yellow] 2 3 2 9" xfId="21266"/>
    <cellStyle name="Input [yellow] 2 3 3" xfId="13771"/>
    <cellStyle name="Input [yellow] 2 3 3 2" xfId="13772"/>
    <cellStyle name="Input [yellow] 2 3 3 2 2" xfId="28554"/>
    <cellStyle name="Input [yellow] 2 3 3 2 3" xfId="34305"/>
    <cellStyle name="Input [yellow] 2 3 3 3" xfId="13773"/>
    <cellStyle name="Input [yellow] 2 3 3 3 2" xfId="28555"/>
    <cellStyle name="Input [yellow] 2 3 3 3 3" xfId="34306"/>
    <cellStyle name="Input [yellow] 2 3 3 4" xfId="28553"/>
    <cellStyle name="Input [yellow] 2 3 3 5" xfId="34304"/>
    <cellStyle name="Input [yellow] 2 3 4" xfId="13774"/>
    <cellStyle name="Input [yellow] 2 3 4 2" xfId="13775"/>
    <cellStyle name="Input [yellow] 2 3 4 2 2" xfId="28557"/>
    <cellStyle name="Input [yellow] 2 3 4 2 3" xfId="34308"/>
    <cellStyle name="Input [yellow] 2 3 4 3" xfId="13776"/>
    <cellStyle name="Input [yellow] 2 3 4 3 2" xfId="28558"/>
    <cellStyle name="Input [yellow] 2 3 4 3 3" xfId="34309"/>
    <cellStyle name="Input [yellow] 2 3 4 4" xfId="28556"/>
    <cellStyle name="Input [yellow] 2 3 4 5" xfId="34307"/>
    <cellStyle name="Input [yellow] 2 3 5" xfId="13777"/>
    <cellStyle name="Input [yellow] 2 3 5 2" xfId="28559"/>
    <cellStyle name="Input [yellow] 2 3 5 3" xfId="34310"/>
    <cellStyle name="Input [yellow] 2 3 6" xfId="13778"/>
    <cellStyle name="Input [yellow] 2 3 6 2" xfId="28560"/>
    <cellStyle name="Input [yellow] 2 3 6 3" xfId="34311"/>
    <cellStyle name="Input [yellow] 2 3 7" xfId="19911"/>
    <cellStyle name="Input [yellow] 2 3 8" xfId="18086"/>
    <cellStyle name="Input [yellow] 2 4" xfId="5398"/>
    <cellStyle name="Input [yellow] 2 4 10" xfId="26389"/>
    <cellStyle name="Input [yellow] 2 4 2" xfId="5399"/>
    <cellStyle name="Input [yellow] 2 4 2 2" xfId="13779"/>
    <cellStyle name="Input [yellow] 2 4 2 2 2" xfId="13780"/>
    <cellStyle name="Input [yellow] 2 4 2 2 2 2" xfId="28562"/>
    <cellStyle name="Input [yellow] 2 4 2 2 2 3" xfId="34313"/>
    <cellStyle name="Input [yellow] 2 4 2 2 3" xfId="13781"/>
    <cellStyle name="Input [yellow] 2 4 2 2 3 2" xfId="28563"/>
    <cellStyle name="Input [yellow] 2 4 2 2 3 3" xfId="34314"/>
    <cellStyle name="Input [yellow] 2 4 2 2 4" xfId="28561"/>
    <cellStyle name="Input [yellow] 2 4 2 2 5" xfId="34312"/>
    <cellStyle name="Input [yellow] 2 4 2 3" xfId="13782"/>
    <cellStyle name="Input [yellow] 2 4 2 3 2" xfId="13783"/>
    <cellStyle name="Input [yellow] 2 4 2 3 2 2" xfId="28565"/>
    <cellStyle name="Input [yellow] 2 4 2 3 2 3" xfId="34316"/>
    <cellStyle name="Input [yellow] 2 4 2 3 3" xfId="13784"/>
    <cellStyle name="Input [yellow] 2 4 2 3 3 2" xfId="28566"/>
    <cellStyle name="Input [yellow] 2 4 2 3 3 3" xfId="34317"/>
    <cellStyle name="Input [yellow] 2 4 2 3 4" xfId="28564"/>
    <cellStyle name="Input [yellow] 2 4 2 3 5" xfId="34315"/>
    <cellStyle name="Input [yellow] 2 4 2 4" xfId="13785"/>
    <cellStyle name="Input [yellow] 2 4 2 4 2" xfId="13786"/>
    <cellStyle name="Input [yellow] 2 4 2 4 2 2" xfId="28568"/>
    <cellStyle name="Input [yellow] 2 4 2 4 2 3" xfId="34319"/>
    <cellStyle name="Input [yellow] 2 4 2 4 3" xfId="13787"/>
    <cellStyle name="Input [yellow] 2 4 2 4 3 2" xfId="28569"/>
    <cellStyle name="Input [yellow] 2 4 2 4 3 3" xfId="34320"/>
    <cellStyle name="Input [yellow] 2 4 2 4 4" xfId="28567"/>
    <cellStyle name="Input [yellow] 2 4 2 4 5" xfId="34318"/>
    <cellStyle name="Input [yellow] 2 4 2 5" xfId="13788"/>
    <cellStyle name="Input [yellow] 2 4 2 5 2" xfId="28570"/>
    <cellStyle name="Input [yellow] 2 4 2 5 3" xfId="34321"/>
    <cellStyle name="Input [yellow] 2 4 2 6" xfId="13789"/>
    <cellStyle name="Input [yellow] 2 4 2 6 2" xfId="28571"/>
    <cellStyle name="Input [yellow] 2 4 2 6 3" xfId="34322"/>
    <cellStyle name="Input [yellow] 2 4 2 7" xfId="21271"/>
    <cellStyle name="Input [yellow] 2 4 2 8" xfId="26388"/>
    <cellStyle name="Input [yellow] 2 4 3" xfId="5400"/>
    <cellStyle name="Input [yellow] 2 4 3 2" xfId="13790"/>
    <cellStyle name="Input [yellow] 2 4 3 2 2" xfId="13791"/>
    <cellStyle name="Input [yellow] 2 4 3 2 2 2" xfId="28573"/>
    <cellStyle name="Input [yellow] 2 4 3 2 2 3" xfId="34324"/>
    <cellStyle name="Input [yellow] 2 4 3 2 3" xfId="13792"/>
    <cellStyle name="Input [yellow] 2 4 3 2 3 2" xfId="28574"/>
    <cellStyle name="Input [yellow] 2 4 3 2 3 3" xfId="34325"/>
    <cellStyle name="Input [yellow] 2 4 3 2 4" xfId="28572"/>
    <cellStyle name="Input [yellow] 2 4 3 2 5" xfId="34323"/>
    <cellStyle name="Input [yellow] 2 4 3 3" xfId="13793"/>
    <cellStyle name="Input [yellow] 2 4 3 3 2" xfId="13794"/>
    <cellStyle name="Input [yellow] 2 4 3 3 2 2" xfId="28576"/>
    <cellStyle name="Input [yellow] 2 4 3 3 2 3" xfId="34327"/>
    <cellStyle name="Input [yellow] 2 4 3 3 3" xfId="13795"/>
    <cellStyle name="Input [yellow] 2 4 3 3 3 2" xfId="28577"/>
    <cellStyle name="Input [yellow] 2 4 3 3 3 3" xfId="34328"/>
    <cellStyle name="Input [yellow] 2 4 3 3 4" xfId="28575"/>
    <cellStyle name="Input [yellow] 2 4 3 3 5" xfId="34326"/>
    <cellStyle name="Input [yellow] 2 4 3 4" xfId="13796"/>
    <cellStyle name="Input [yellow] 2 4 3 4 2" xfId="13797"/>
    <cellStyle name="Input [yellow] 2 4 3 4 2 2" xfId="28579"/>
    <cellStyle name="Input [yellow] 2 4 3 4 2 3" xfId="34330"/>
    <cellStyle name="Input [yellow] 2 4 3 4 3" xfId="13798"/>
    <cellStyle name="Input [yellow] 2 4 3 4 3 2" xfId="28580"/>
    <cellStyle name="Input [yellow] 2 4 3 4 3 3" xfId="34331"/>
    <cellStyle name="Input [yellow] 2 4 3 4 4" xfId="28578"/>
    <cellStyle name="Input [yellow] 2 4 3 4 5" xfId="34329"/>
    <cellStyle name="Input [yellow] 2 4 3 5" xfId="13799"/>
    <cellStyle name="Input [yellow] 2 4 3 5 2" xfId="28581"/>
    <cellStyle name="Input [yellow] 2 4 3 5 3" xfId="34332"/>
    <cellStyle name="Input [yellow] 2 4 3 6" xfId="13800"/>
    <cellStyle name="Input [yellow] 2 4 3 6 2" xfId="28582"/>
    <cellStyle name="Input [yellow] 2 4 3 6 3" xfId="34333"/>
    <cellStyle name="Input [yellow] 2 4 3 7" xfId="21272"/>
    <cellStyle name="Input [yellow] 2 4 3 8" xfId="26387"/>
    <cellStyle name="Input [yellow] 2 4 4" xfId="5401"/>
    <cellStyle name="Input [yellow] 2 4 4 2" xfId="13801"/>
    <cellStyle name="Input [yellow] 2 4 4 2 2" xfId="13802"/>
    <cellStyle name="Input [yellow] 2 4 4 2 2 2" xfId="28584"/>
    <cellStyle name="Input [yellow] 2 4 4 2 2 3" xfId="34335"/>
    <cellStyle name="Input [yellow] 2 4 4 2 3" xfId="13803"/>
    <cellStyle name="Input [yellow] 2 4 4 2 3 2" xfId="28585"/>
    <cellStyle name="Input [yellow] 2 4 4 2 3 3" xfId="34336"/>
    <cellStyle name="Input [yellow] 2 4 4 2 4" xfId="28583"/>
    <cellStyle name="Input [yellow] 2 4 4 2 5" xfId="34334"/>
    <cellStyle name="Input [yellow] 2 4 4 3" xfId="13804"/>
    <cellStyle name="Input [yellow] 2 4 4 3 2" xfId="13805"/>
    <cellStyle name="Input [yellow] 2 4 4 3 2 2" xfId="28587"/>
    <cellStyle name="Input [yellow] 2 4 4 3 2 3" xfId="34338"/>
    <cellStyle name="Input [yellow] 2 4 4 3 3" xfId="13806"/>
    <cellStyle name="Input [yellow] 2 4 4 3 3 2" xfId="28588"/>
    <cellStyle name="Input [yellow] 2 4 4 3 3 3" xfId="34339"/>
    <cellStyle name="Input [yellow] 2 4 4 3 4" xfId="28586"/>
    <cellStyle name="Input [yellow] 2 4 4 3 5" xfId="34337"/>
    <cellStyle name="Input [yellow] 2 4 4 4" xfId="13807"/>
    <cellStyle name="Input [yellow] 2 4 4 4 2" xfId="13808"/>
    <cellStyle name="Input [yellow] 2 4 4 4 2 2" xfId="28590"/>
    <cellStyle name="Input [yellow] 2 4 4 4 2 3" xfId="34341"/>
    <cellStyle name="Input [yellow] 2 4 4 4 3" xfId="13809"/>
    <cellStyle name="Input [yellow] 2 4 4 4 3 2" xfId="28591"/>
    <cellStyle name="Input [yellow] 2 4 4 4 3 3" xfId="34342"/>
    <cellStyle name="Input [yellow] 2 4 4 4 4" xfId="28589"/>
    <cellStyle name="Input [yellow] 2 4 4 4 5" xfId="34340"/>
    <cellStyle name="Input [yellow] 2 4 4 5" xfId="13810"/>
    <cellStyle name="Input [yellow] 2 4 4 5 2" xfId="28592"/>
    <cellStyle name="Input [yellow] 2 4 4 5 3" xfId="34343"/>
    <cellStyle name="Input [yellow] 2 4 4 6" xfId="13811"/>
    <cellStyle name="Input [yellow] 2 4 4 6 2" xfId="28593"/>
    <cellStyle name="Input [yellow] 2 4 4 6 3" xfId="34344"/>
    <cellStyle name="Input [yellow] 2 4 4 7" xfId="21273"/>
    <cellStyle name="Input [yellow] 2 4 4 8" xfId="26386"/>
    <cellStyle name="Input [yellow] 2 4 5" xfId="13812"/>
    <cellStyle name="Input [yellow] 2 4 5 2" xfId="13813"/>
    <cellStyle name="Input [yellow] 2 4 5 2 2" xfId="28595"/>
    <cellStyle name="Input [yellow] 2 4 5 2 3" xfId="34346"/>
    <cellStyle name="Input [yellow] 2 4 5 3" xfId="13814"/>
    <cellStyle name="Input [yellow] 2 4 5 3 2" xfId="28596"/>
    <cellStyle name="Input [yellow] 2 4 5 3 3" xfId="34347"/>
    <cellStyle name="Input [yellow] 2 4 5 4" xfId="28594"/>
    <cellStyle name="Input [yellow] 2 4 5 5" xfId="34345"/>
    <cellStyle name="Input [yellow] 2 4 6" xfId="13815"/>
    <cellStyle name="Input [yellow] 2 4 6 2" xfId="13816"/>
    <cellStyle name="Input [yellow] 2 4 6 2 2" xfId="28598"/>
    <cellStyle name="Input [yellow] 2 4 6 2 3" xfId="34349"/>
    <cellStyle name="Input [yellow] 2 4 6 3" xfId="13817"/>
    <cellStyle name="Input [yellow] 2 4 6 3 2" xfId="28599"/>
    <cellStyle name="Input [yellow] 2 4 6 3 3" xfId="34350"/>
    <cellStyle name="Input [yellow] 2 4 6 4" xfId="28597"/>
    <cellStyle name="Input [yellow] 2 4 6 5" xfId="34348"/>
    <cellStyle name="Input [yellow] 2 4 7" xfId="13818"/>
    <cellStyle name="Input [yellow] 2 4 7 2" xfId="28600"/>
    <cellStyle name="Input [yellow] 2 4 7 3" xfId="34351"/>
    <cellStyle name="Input [yellow] 2 4 8" xfId="13819"/>
    <cellStyle name="Input [yellow] 2 4 8 2" xfId="28601"/>
    <cellStyle name="Input [yellow] 2 4 8 3" xfId="34352"/>
    <cellStyle name="Input [yellow] 2 4 9" xfId="21270"/>
    <cellStyle name="Input [yellow] 2 5" xfId="13820"/>
    <cellStyle name="Input [yellow] 2 5 2" xfId="13821"/>
    <cellStyle name="Input [yellow] 2 5 2 2" xfId="28603"/>
    <cellStyle name="Input [yellow] 2 5 2 3" xfId="34354"/>
    <cellStyle name="Input [yellow] 2 5 3" xfId="13822"/>
    <cellStyle name="Input [yellow] 2 5 3 2" xfId="28604"/>
    <cellStyle name="Input [yellow] 2 5 3 3" xfId="34355"/>
    <cellStyle name="Input [yellow] 2 5 4" xfId="28602"/>
    <cellStyle name="Input [yellow] 2 5 5" xfId="34353"/>
    <cellStyle name="Input [yellow] 2 6" xfId="13823"/>
    <cellStyle name="Input [yellow] 2 6 2" xfId="13824"/>
    <cellStyle name="Input [yellow] 2 6 2 2" xfId="28606"/>
    <cellStyle name="Input [yellow] 2 6 2 3" xfId="34357"/>
    <cellStyle name="Input [yellow] 2 6 3" xfId="13825"/>
    <cellStyle name="Input [yellow] 2 6 3 2" xfId="28607"/>
    <cellStyle name="Input [yellow] 2 6 3 3" xfId="34358"/>
    <cellStyle name="Input [yellow] 2 6 4" xfId="28605"/>
    <cellStyle name="Input [yellow] 2 6 5" xfId="34356"/>
    <cellStyle name="Input [yellow] 2 7" xfId="13826"/>
    <cellStyle name="Input [yellow] 2 7 2" xfId="28608"/>
    <cellStyle name="Input [yellow] 2 7 3" xfId="34359"/>
    <cellStyle name="Input [yellow] 2 8" xfId="13827"/>
    <cellStyle name="Input [yellow] 2 8 2" xfId="28609"/>
    <cellStyle name="Input [yellow] 2 8 3" xfId="34360"/>
    <cellStyle name="Input [yellow] 2 9" xfId="19908"/>
    <cellStyle name="Input [yellow] 3" xfId="2610"/>
    <cellStyle name="Input [yellow] 3 10" xfId="17986"/>
    <cellStyle name="Input [yellow] 3 2" xfId="2611"/>
    <cellStyle name="Input [yellow] 3 2 2" xfId="2612"/>
    <cellStyle name="Input [yellow] 3 2 2 2" xfId="5402"/>
    <cellStyle name="Input [yellow] 3 2 2 2 10" xfId="26385"/>
    <cellStyle name="Input [yellow] 3 2 2 2 2" xfId="5403"/>
    <cellStyle name="Input [yellow] 3 2 2 2 2 2" xfId="13828"/>
    <cellStyle name="Input [yellow] 3 2 2 2 2 2 2" xfId="13829"/>
    <cellStyle name="Input [yellow] 3 2 2 2 2 2 2 2" xfId="28611"/>
    <cellStyle name="Input [yellow] 3 2 2 2 2 2 2 3" xfId="34362"/>
    <cellStyle name="Input [yellow] 3 2 2 2 2 2 3" xfId="13830"/>
    <cellStyle name="Input [yellow] 3 2 2 2 2 2 3 2" xfId="28612"/>
    <cellStyle name="Input [yellow] 3 2 2 2 2 2 3 3" xfId="34363"/>
    <cellStyle name="Input [yellow] 3 2 2 2 2 2 4" xfId="28610"/>
    <cellStyle name="Input [yellow] 3 2 2 2 2 2 5" xfId="34361"/>
    <cellStyle name="Input [yellow] 3 2 2 2 2 3" xfId="13831"/>
    <cellStyle name="Input [yellow] 3 2 2 2 2 3 2" xfId="13832"/>
    <cellStyle name="Input [yellow] 3 2 2 2 2 3 2 2" xfId="28614"/>
    <cellStyle name="Input [yellow] 3 2 2 2 2 3 2 3" xfId="34365"/>
    <cellStyle name="Input [yellow] 3 2 2 2 2 3 3" xfId="13833"/>
    <cellStyle name="Input [yellow] 3 2 2 2 2 3 3 2" xfId="28615"/>
    <cellStyle name="Input [yellow] 3 2 2 2 2 3 3 3" xfId="34366"/>
    <cellStyle name="Input [yellow] 3 2 2 2 2 3 4" xfId="28613"/>
    <cellStyle name="Input [yellow] 3 2 2 2 2 3 5" xfId="34364"/>
    <cellStyle name="Input [yellow] 3 2 2 2 2 4" xfId="13834"/>
    <cellStyle name="Input [yellow] 3 2 2 2 2 4 2" xfId="13835"/>
    <cellStyle name="Input [yellow] 3 2 2 2 2 4 2 2" xfId="28617"/>
    <cellStyle name="Input [yellow] 3 2 2 2 2 4 2 3" xfId="34368"/>
    <cellStyle name="Input [yellow] 3 2 2 2 2 4 3" xfId="13836"/>
    <cellStyle name="Input [yellow] 3 2 2 2 2 4 3 2" xfId="28618"/>
    <cellStyle name="Input [yellow] 3 2 2 2 2 4 3 3" xfId="34369"/>
    <cellStyle name="Input [yellow] 3 2 2 2 2 4 4" xfId="28616"/>
    <cellStyle name="Input [yellow] 3 2 2 2 2 4 5" xfId="34367"/>
    <cellStyle name="Input [yellow] 3 2 2 2 2 5" xfId="13837"/>
    <cellStyle name="Input [yellow] 3 2 2 2 2 5 2" xfId="28619"/>
    <cellStyle name="Input [yellow] 3 2 2 2 2 5 3" xfId="34370"/>
    <cellStyle name="Input [yellow] 3 2 2 2 2 6" xfId="13838"/>
    <cellStyle name="Input [yellow] 3 2 2 2 2 6 2" xfId="28620"/>
    <cellStyle name="Input [yellow] 3 2 2 2 2 6 3" xfId="34371"/>
    <cellStyle name="Input [yellow] 3 2 2 2 2 7" xfId="21275"/>
    <cellStyle name="Input [yellow] 3 2 2 2 2 8" xfId="26384"/>
    <cellStyle name="Input [yellow] 3 2 2 2 3" xfId="5404"/>
    <cellStyle name="Input [yellow] 3 2 2 2 3 2" xfId="13839"/>
    <cellStyle name="Input [yellow] 3 2 2 2 3 2 2" xfId="13840"/>
    <cellStyle name="Input [yellow] 3 2 2 2 3 2 2 2" xfId="28622"/>
    <cellStyle name="Input [yellow] 3 2 2 2 3 2 2 3" xfId="34373"/>
    <cellStyle name="Input [yellow] 3 2 2 2 3 2 3" xfId="13841"/>
    <cellStyle name="Input [yellow] 3 2 2 2 3 2 3 2" xfId="28623"/>
    <cellStyle name="Input [yellow] 3 2 2 2 3 2 3 3" xfId="34374"/>
    <cellStyle name="Input [yellow] 3 2 2 2 3 2 4" xfId="28621"/>
    <cellStyle name="Input [yellow] 3 2 2 2 3 2 5" xfId="34372"/>
    <cellStyle name="Input [yellow] 3 2 2 2 3 3" xfId="13842"/>
    <cellStyle name="Input [yellow] 3 2 2 2 3 3 2" xfId="13843"/>
    <cellStyle name="Input [yellow] 3 2 2 2 3 3 2 2" xfId="28625"/>
    <cellStyle name="Input [yellow] 3 2 2 2 3 3 2 3" xfId="34376"/>
    <cellStyle name="Input [yellow] 3 2 2 2 3 3 3" xfId="13844"/>
    <cellStyle name="Input [yellow] 3 2 2 2 3 3 3 2" xfId="28626"/>
    <cellStyle name="Input [yellow] 3 2 2 2 3 3 3 3" xfId="34377"/>
    <cellStyle name="Input [yellow] 3 2 2 2 3 3 4" xfId="28624"/>
    <cellStyle name="Input [yellow] 3 2 2 2 3 3 5" xfId="34375"/>
    <cellStyle name="Input [yellow] 3 2 2 2 3 4" xfId="13845"/>
    <cellStyle name="Input [yellow] 3 2 2 2 3 4 2" xfId="13846"/>
    <cellStyle name="Input [yellow] 3 2 2 2 3 4 2 2" xfId="28628"/>
    <cellStyle name="Input [yellow] 3 2 2 2 3 4 2 3" xfId="34379"/>
    <cellStyle name="Input [yellow] 3 2 2 2 3 4 3" xfId="13847"/>
    <cellStyle name="Input [yellow] 3 2 2 2 3 4 3 2" xfId="28629"/>
    <cellStyle name="Input [yellow] 3 2 2 2 3 4 3 3" xfId="34380"/>
    <cellStyle name="Input [yellow] 3 2 2 2 3 4 4" xfId="28627"/>
    <cellStyle name="Input [yellow] 3 2 2 2 3 4 5" xfId="34378"/>
    <cellStyle name="Input [yellow] 3 2 2 2 3 5" xfId="13848"/>
    <cellStyle name="Input [yellow] 3 2 2 2 3 5 2" xfId="28630"/>
    <cellStyle name="Input [yellow] 3 2 2 2 3 5 3" xfId="34381"/>
    <cellStyle name="Input [yellow] 3 2 2 2 3 6" xfId="13849"/>
    <cellStyle name="Input [yellow] 3 2 2 2 3 6 2" xfId="28631"/>
    <cellStyle name="Input [yellow] 3 2 2 2 3 6 3" xfId="34382"/>
    <cellStyle name="Input [yellow] 3 2 2 2 3 7" xfId="21276"/>
    <cellStyle name="Input [yellow] 3 2 2 2 3 8" xfId="26383"/>
    <cellStyle name="Input [yellow] 3 2 2 2 4" xfId="5405"/>
    <cellStyle name="Input [yellow] 3 2 2 2 4 2" xfId="13850"/>
    <cellStyle name="Input [yellow] 3 2 2 2 4 2 2" xfId="13851"/>
    <cellStyle name="Input [yellow] 3 2 2 2 4 2 2 2" xfId="28633"/>
    <cellStyle name="Input [yellow] 3 2 2 2 4 2 2 3" xfId="34384"/>
    <cellStyle name="Input [yellow] 3 2 2 2 4 2 3" xfId="13852"/>
    <cellStyle name="Input [yellow] 3 2 2 2 4 2 3 2" xfId="28634"/>
    <cellStyle name="Input [yellow] 3 2 2 2 4 2 3 3" xfId="34385"/>
    <cellStyle name="Input [yellow] 3 2 2 2 4 2 4" xfId="28632"/>
    <cellStyle name="Input [yellow] 3 2 2 2 4 2 5" xfId="34383"/>
    <cellStyle name="Input [yellow] 3 2 2 2 4 3" xfId="13853"/>
    <cellStyle name="Input [yellow] 3 2 2 2 4 3 2" xfId="13854"/>
    <cellStyle name="Input [yellow] 3 2 2 2 4 3 2 2" xfId="28636"/>
    <cellStyle name="Input [yellow] 3 2 2 2 4 3 2 3" xfId="34387"/>
    <cellStyle name="Input [yellow] 3 2 2 2 4 3 3" xfId="13855"/>
    <cellStyle name="Input [yellow] 3 2 2 2 4 3 3 2" xfId="28637"/>
    <cellStyle name="Input [yellow] 3 2 2 2 4 3 3 3" xfId="34388"/>
    <cellStyle name="Input [yellow] 3 2 2 2 4 3 4" xfId="28635"/>
    <cellStyle name="Input [yellow] 3 2 2 2 4 3 5" xfId="34386"/>
    <cellStyle name="Input [yellow] 3 2 2 2 4 4" xfId="13856"/>
    <cellStyle name="Input [yellow] 3 2 2 2 4 4 2" xfId="13857"/>
    <cellStyle name="Input [yellow] 3 2 2 2 4 4 2 2" xfId="28639"/>
    <cellStyle name="Input [yellow] 3 2 2 2 4 4 2 3" xfId="34390"/>
    <cellStyle name="Input [yellow] 3 2 2 2 4 4 3" xfId="13858"/>
    <cellStyle name="Input [yellow] 3 2 2 2 4 4 3 2" xfId="28640"/>
    <cellStyle name="Input [yellow] 3 2 2 2 4 4 3 3" xfId="34391"/>
    <cellStyle name="Input [yellow] 3 2 2 2 4 4 4" xfId="28638"/>
    <cellStyle name="Input [yellow] 3 2 2 2 4 4 5" xfId="34389"/>
    <cellStyle name="Input [yellow] 3 2 2 2 4 5" xfId="13859"/>
    <cellStyle name="Input [yellow] 3 2 2 2 4 5 2" xfId="28641"/>
    <cellStyle name="Input [yellow] 3 2 2 2 4 5 3" xfId="34392"/>
    <cellStyle name="Input [yellow] 3 2 2 2 4 6" xfId="13860"/>
    <cellStyle name="Input [yellow] 3 2 2 2 4 6 2" xfId="28642"/>
    <cellStyle name="Input [yellow] 3 2 2 2 4 6 3" xfId="34393"/>
    <cellStyle name="Input [yellow] 3 2 2 2 4 7" xfId="21277"/>
    <cellStyle name="Input [yellow] 3 2 2 2 4 8" xfId="26382"/>
    <cellStyle name="Input [yellow] 3 2 2 2 5" xfId="13861"/>
    <cellStyle name="Input [yellow] 3 2 2 2 5 2" xfId="13862"/>
    <cellStyle name="Input [yellow] 3 2 2 2 5 2 2" xfId="28644"/>
    <cellStyle name="Input [yellow] 3 2 2 2 5 2 3" xfId="34395"/>
    <cellStyle name="Input [yellow] 3 2 2 2 5 3" xfId="13863"/>
    <cellStyle name="Input [yellow] 3 2 2 2 5 3 2" xfId="28645"/>
    <cellStyle name="Input [yellow] 3 2 2 2 5 3 3" xfId="34396"/>
    <cellStyle name="Input [yellow] 3 2 2 2 5 4" xfId="28643"/>
    <cellStyle name="Input [yellow] 3 2 2 2 5 5" xfId="34394"/>
    <cellStyle name="Input [yellow] 3 2 2 2 6" xfId="13864"/>
    <cellStyle name="Input [yellow] 3 2 2 2 6 2" xfId="13865"/>
    <cellStyle name="Input [yellow] 3 2 2 2 6 2 2" xfId="28647"/>
    <cellStyle name="Input [yellow] 3 2 2 2 6 2 3" xfId="34398"/>
    <cellStyle name="Input [yellow] 3 2 2 2 6 3" xfId="13866"/>
    <cellStyle name="Input [yellow] 3 2 2 2 6 3 2" xfId="28648"/>
    <cellStyle name="Input [yellow] 3 2 2 2 6 3 3" xfId="34399"/>
    <cellStyle name="Input [yellow] 3 2 2 2 6 4" xfId="28646"/>
    <cellStyle name="Input [yellow] 3 2 2 2 6 5" xfId="34397"/>
    <cellStyle name="Input [yellow] 3 2 2 2 7" xfId="13867"/>
    <cellStyle name="Input [yellow] 3 2 2 2 7 2" xfId="28649"/>
    <cellStyle name="Input [yellow] 3 2 2 2 7 3" xfId="34400"/>
    <cellStyle name="Input [yellow] 3 2 2 2 8" xfId="13868"/>
    <cellStyle name="Input [yellow] 3 2 2 2 8 2" xfId="28650"/>
    <cellStyle name="Input [yellow] 3 2 2 2 8 3" xfId="34401"/>
    <cellStyle name="Input [yellow] 3 2 2 2 9" xfId="21274"/>
    <cellStyle name="Input [yellow] 3 2 2 3" xfId="13869"/>
    <cellStyle name="Input [yellow] 3 2 2 3 2" xfId="13870"/>
    <cellStyle name="Input [yellow] 3 2 2 3 2 2" xfId="28652"/>
    <cellStyle name="Input [yellow] 3 2 2 3 2 3" xfId="34403"/>
    <cellStyle name="Input [yellow] 3 2 2 3 3" xfId="13871"/>
    <cellStyle name="Input [yellow] 3 2 2 3 3 2" xfId="28653"/>
    <cellStyle name="Input [yellow] 3 2 2 3 3 3" xfId="34404"/>
    <cellStyle name="Input [yellow] 3 2 2 3 4" xfId="28651"/>
    <cellStyle name="Input [yellow] 3 2 2 3 5" xfId="34402"/>
    <cellStyle name="Input [yellow] 3 2 2 4" xfId="13872"/>
    <cellStyle name="Input [yellow] 3 2 2 4 2" xfId="13873"/>
    <cellStyle name="Input [yellow] 3 2 2 4 2 2" xfId="28655"/>
    <cellStyle name="Input [yellow] 3 2 2 4 2 3" xfId="34406"/>
    <cellStyle name="Input [yellow] 3 2 2 4 3" xfId="13874"/>
    <cellStyle name="Input [yellow] 3 2 2 4 3 2" xfId="28656"/>
    <cellStyle name="Input [yellow] 3 2 2 4 3 3" xfId="34407"/>
    <cellStyle name="Input [yellow] 3 2 2 4 4" xfId="28654"/>
    <cellStyle name="Input [yellow] 3 2 2 4 5" xfId="34405"/>
    <cellStyle name="Input [yellow] 3 2 2 5" xfId="13875"/>
    <cellStyle name="Input [yellow] 3 2 2 5 2" xfId="28657"/>
    <cellStyle name="Input [yellow] 3 2 2 5 3" xfId="34408"/>
    <cellStyle name="Input [yellow] 3 2 2 6" xfId="13876"/>
    <cellStyle name="Input [yellow] 3 2 2 6 2" xfId="28658"/>
    <cellStyle name="Input [yellow] 3 2 2 6 3" xfId="34409"/>
    <cellStyle name="Input [yellow] 3 2 2 7" xfId="19914"/>
    <cellStyle name="Input [yellow] 3 2 2 8" xfId="18150"/>
    <cellStyle name="Input [yellow] 3 2 3" xfId="5406"/>
    <cellStyle name="Input [yellow] 3 2 3 10" xfId="26381"/>
    <cellStyle name="Input [yellow] 3 2 3 2" xfId="5407"/>
    <cellStyle name="Input [yellow] 3 2 3 2 2" xfId="13877"/>
    <cellStyle name="Input [yellow] 3 2 3 2 2 2" xfId="13878"/>
    <cellStyle name="Input [yellow] 3 2 3 2 2 2 2" xfId="28660"/>
    <cellStyle name="Input [yellow] 3 2 3 2 2 2 3" xfId="34411"/>
    <cellStyle name="Input [yellow] 3 2 3 2 2 3" xfId="13879"/>
    <cellStyle name="Input [yellow] 3 2 3 2 2 3 2" xfId="28661"/>
    <cellStyle name="Input [yellow] 3 2 3 2 2 3 3" xfId="34412"/>
    <cellStyle name="Input [yellow] 3 2 3 2 2 4" xfId="28659"/>
    <cellStyle name="Input [yellow] 3 2 3 2 2 5" xfId="34410"/>
    <cellStyle name="Input [yellow] 3 2 3 2 3" xfId="13880"/>
    <cellStyle name="Input [yellow] 3 2 3 2 3 2" xfId="13881"/>
    <cellStyle name="Input [yellow] 3 2 3 2 3 2 2" xfId="28663"/>
    <cellStyle name="Input [yellow] 3 2 3 2 3 2 3" xfId="34414"/>
    <cellStyle name="Input [yellow] 3 2 3 2 3 3" xfId="13882"/>
    <cellStyle name="Input [yellow] 3 2 3 2 3 3 2" xfId="28664"/>
    <cellStyle name="Input [yellow] 3 2 3 2 3 3 3" xfId="34415"/>
    <cellStyle name="Input [yellow] 3 2 3 2 3 4" xfId="28662"/>
    <cellStyle name="Input [yellow] 3 2 3 2 3 5" xfId="34413"/>
    <cellStyle name="Input [yellow] 3 2 3 2 4" xfId="13883"/>
    <cellStyle name="Input [yellow] 3 2 3 2 4 2" xfId="13884"/>
    <cellStyle name="Input [yellow] 3 2 3 2 4 2 2" xfId="28666"/>
    <cellStyle name="Input [yellow] 3 2 3 2 4 2 3" xfId="34417"/>
    <cellStyle name="Input [yellow] 3 2 3 2 4 3" xfId="13885"/>
    <cellStyle name="Input [yellow] 3 2 3 2 4 3 2" xfId="28667"/>
    <cellStyle name="Input [yellow] 3 2 3 2 4 3 3" xfId="34418"/>
    <cellStyle name="Input [yellow] 3 2 3 2 4 4" xfId="28665"/>
    <cellStyle name="Input [yellow] 3 2 3 2 4 5" xfId="34416"/>
    <cellStyle name="Input [yellow] 3 2 3 2 5" xfId="13886"/>
    <cellStyle name="Input [yellow] 3 2 3 2 5 2" xfId="28668"/>
    <cellStyle name="Input [yellow] 3 2 3 2 5 3" xfId="34419"/>
    <cellStyle name="Input [yellow] 3 2 3 2 6" xfId="13887"/>
    <cellStyle name="Input [yellow] 3 2 3 2 6 2" xfId="28669"/>
    <cellStyle name="Input [yellow] 3 2 3 2 6 3" xfId="34420"/>
    <cellStyle name="Input [yellow] 3 2 3 2 7" xfId="21279"/>
    <cellStyle name="Input [yellow] 3 2 3 2 8" xfId="26380"/>
    <cellStyle name="Input [yellow] 3 2 3 3" xfId="5408"/>
    <cellStyle name="Input [yellow] 3 2 3 3 2" xfId="13888"/>
    <cellStyle name="Input [yellow] 3 2 3 3 2 2" xfId="13889"/>
    <cellStyle name="Input [yellow] 3 2 3 3 2 2 2" xfId="28671"/>
    <cellStyle name="Input [yellow] 3 2 3 3 2 2 3" xfId="34422"/>
    <cellStyle name="Input [yellow] 3 2 3 3 2 3" xfId="13890"/>
    <cellStyle name="Input [yellow] 3 2 3 3 2 3 2" xfId="28672"/>
    <cellStyle name="Input [yellow] 3 2 3 3 2 3 3" xfId="34423"/>
    <cellStyle name="Input [yellow] 3 2 3 3 2 4" xfId="28670"/>
    <cellStyle name="Input [yellow] 3 2 3 3 2 5" xfId="34421"/>
    <cellStyle name="Input [yellow] 3 2 3 3 3" xfId="13891"/>
    <cellStyle name="Input [yellow] 3 2 3 3 3 2" xfId="13892"/>
    <cellStyle name="Input [yellow] 3 2 3 3 3 2 2" xfId="28674"/>
    <cellStyle name="Input [yellow] 3 2 3 3 3 2 3" xfId="34425"/>
    <cellStyle name="Input [yellow] 3 2 3 3 3 3" xfId="13893"/>
    <cellStyle name="Input [yellow] 3 2 3 3 3 3 2" xfId="28675"/>
    <cellStyle name="Input [yellow] 3 2 3 3 3 3 3" xfId="34426"/>
    <cellStyle name="Input [yellow] 3 2 3 3 3 4" xfId="28673"/>
    <cellStyle name="Input [yellow] 3 2 3 3 3 5" xfId="34424"/>
    <cellStyle name="Input [yellow] 3 2 3 3 4" xfId="13894"/>
    <cellStyle name="Input [yellow] 3 2 3 3 4 2" xfId="13895"/>
    <cellStyle name="Input [yellow] 3 2 3 3 4 2 2" xfId="28677"/>
    <cellStyle name="Input [yellow] 3 2 3 3 4 2 3" xfId="34428"/>
    <cellStyle name="Input [yellow] 3 2 3 3 4 3" xfId="13896"/>
    <cellStyle name="Input [yellow] 3 2 3 3 4 3 2" xfId="28678"/>
    <cellStyle name="Input [yellow] 3 2 3 3 4 3 3" xfId="34429"/>
    <cellStyle name="Input [yellow] 3 2 3 3 4 4" xfId="28676"/>
    <cellStyle name="Input [yellow] 3 2 3 3 4 5" xfId="34427"/>
    <cellStyle name="Input [yellow] 3 2 3 3 5" xfId="13897"/>
    <cellStyle name="Input [yellow] 3 2 3 3 5 2" xfId="28679"/>
    <cellStyle name="Input [yellow] 3 2 3 3 5 3" xfId="34430"/>
    <cellStyle name="Input [yellow] 3 2 3 3 6" xfId="13898"/>
    <cellStyle name="Input [yellow] 3 2 3 3 6 2" xfId="28680"/>
    <cellStyle name="Input [yellow] 3 2 3 3 6 3" xfId="34431"/>
    <cellStyle name="Input [yellow] 3 2 3 3 7" xfId="21280"/>
    <cellStyle name="Input [yellow] 3 2 3 3 8" xfId="21089"/>
    <cellStyle name="Input [yellow] 3 2 3 4" xfId="5409"/>
    <cellStyle name="Input [yellow] 3 2 3 4 2" xfId="13899"/>
    <cellStyle name="Input [yellow] 3 2 3 4 2 2" xfId="13900"/>
    <cellStyle name="Input [yellow] 3 2 3 4 2 2 2" xfId="28682"/>
    <cellStyle name="Input [yellow] 3 2 3 4 2 2 3" xfId="34433"/>
    <cellStyle name="Input [yellow] 3 2 3 4 2 3" xfId="13901"/>
    <cellStyle name="Input [yellow] 3 2 3 4 2 3 2" xfId="28683"/>
    <cellStyle name="Input [yellow] 3 2 3 4 2 3 3" xfId="34434"/>
    <cellStyle name="Input [yellow] 3 2 3 4 2 4" xfId="28681"/>
    <cellStyle name="Input [yellow] 3 2 3 4 2 5" xfId="34432"/>
    <cellStyle name="Input [yellow] 3 2 3 4 3" xfId="13902"/>
    <cellStyle name="Input [yellow] 3 2 3 4 3 2" xfId="13903"/>
    <cellStyle name="Input [yellow] 3 2 3 4 3 2 2" xfId="28685"/>
    <cellStyle name="Input [yellow] 3 2 3 4 3 2 3" xfId="34436"/>
    <cellStyle name="Input [yellow] 3 2 3 4 3 3" xfId="13904"/>
    <cellStyle name="Input [yellow] 3 2 3 4 3 3 2" xfId="28686"/>
    <cellStyle name="Input [yellow] 3 2 3 4 3 3 3" xfId="34437"/>
    <cellStyle name="Input [yellow] 3 2 3 4 3 4" xfId="28684"/>
    <cellStyle name="Input [yellow] 3 2 3 4 3 5" xfId="34435"/>
    <cellStyle name="Input [yellow] 3 2 3 4 4" xfId="13905"/>
    <cellStyle name="Input [yellow] 3 2 3 4 4 2" xfId="13906"/>
    <cellStyle name="Input [yellow] 3 2 3 4 4 2 2" xfId="28688"/>
    <cellStyle name="Input [yellow] 3 2 3 4 4 2 3" xfId="34439"/>
    <cellStyle name="Input [yellow] 3 2 3 4 4 3" xfId="13907"/>
    <cellStyle name="Input [yellow] 3 2 3 4 4 3 2" xfId="28689"/>
    <cellStyle name="Input [yellow] 3 2 3 4 4 3 3" xfId="34440"/>
    <cellStyle name="Input [yellow] 3 2 3 4 4 4" xfId="28687"/>
    <cellStyle name="Input [yellow] 3 2 3 4 4 5" xfId="34438"/>
    <cellStyle name="Input [yellow] 3 2 3 4 5" xfId="13908"/>
    <cellStyle name="Input [yellow] 3 2 3 4 5 2" xfId="28690"/>
    <cellStyle name="Input [yellow] 3 2 3 4 5 3" xfId="34441"/>
    <cellStyle name="Input [yellow] 3 2 3 4 6" xfId="13909"/>
    <cellStyle name="Input [yellow] 3 2 3 4 6 2" xfId="28691"/>
    <cellStyle name="Input [yellow] 3 2 3 4 6 3" xfId="34442"/>
    <cellStyle name="Input [yellow] 3 2 3 4 7" xfId="21281"/>
    <cellStyle name="Input [yellow] 3 2 3 4 8" xfId="26379"/>
    <cellStyle name="Input [yellow] 3 2 3 5" xfId="13910"/>
    <cellStyle name="Input [yellow] 3 2 3 5 2" xfId="13911"/>
    <cellStyle name="Input [yellow] 3 2 3 5 2 2" xfId="28693"/>
    <cellStyle name="Input [yellow] 3 2 3 5 2 3" xfId="34444"/>
    <cellStyle name="Input [yellow] 3 2 3 5 3" xfId="13912"/>
    <cellStyle name="Input [yellow] 3 2 3 5 3 2" xfId="28694"/>
    <cellStyle name="Input [yellow] 3 2 3 5 3 3" xfId="34445"/>
    <cellStyle name="Input [yellow] 3 2 3 5 4" xfId="28692"/>
    <cellStyle name="Input [yellow] 3 2 3 5 5" xfId="34443"/>
    <cellStyle name="Input [yellow] 3 2 3 6" xfId="13913"/>
    <cellStyle name="Input [yellow] 3 2 3 6 2" xfId="13914"/>
    <cellStyle name="Input [yellow] 3 2 3 6 2 2" xfId="28696"/>
    <cellStyle name="Input [yellow] 3 2 3 6 2 3" xfId="34447"/>
    <cellStyle name="Input [yellow] 3 2 3 6 3" xfId="13915"/>
    <cellStyle name="Input [yellow] 3 2 3 6 3 2" xfId="28697"/>
    <cellStyle name="Input [yellow] 3 2 3 6 3 3" xfId="34448"/>
    <cellStyle name="Input [yellow] 3 2 3 6 4" xfId="28695"/>
    <cellStyle name="Input [yellow] 3 2 3 6 5" xfId="34446"/>
    <cellStyle name="Input [yellow] 3 2 3 7" xfId="13916"/>
    <cellStyle name="Input [yellow] 3 2 3 7 2" xfId="28698"/>
    <cellStyle name="Input [yellow] 3 2 3 7 3" xfId="34449"/>
    <cellStyle name="Input [yellow] 3 2 3 8" xfId="13917"/>
    <cellStyle name="Input [yellow] 3 2 3 8 2" xfId="28699"/>
    <cellStyle name="Input [yellow] 3 2 3 8 3" xfId="34450"/>
    <cellStyle name="Input [yellow] 3 2 3 9" xfId="21278"/>
    <cellStyle name="Input [yellow] 3 2 4" xfId="13918"/>
    <cellStyle name="Input [yellow] 3 2 4 2" xfId="13919"/>
    <cellStyle name="Input [yellow] 3 2 4 2 2" xfId="28701"/>
    <cellStyle name="Input [yellow] 3 2 4 2 3" xfId="34452"/>
    <cellStyle name="Input [yellow] 3 2 4 3" xfId="13920"/>
    <cellStyle name="Input [yellow] 3 2 4 3 2" xfId="28702"/>
    <cellStyle name="Input [yellow] 3 2 4 3 3" xfId="34453"/>
    <cellStyle name="Input [yellow] 3 2 4 4" xfId="28700"/>
    <cellStyle name="Input [yellow] 3 2 4 5" xfId="34451"/>
    <cellStyle name="Input [yellow] 3 2 5" xfId="13921"/>
    <cellStyle name="Input [yellow] 3 2 5 2" xfId="13922"/>
    <cellStyle name="Input [yellow] 3 2 5 2 2" xfId="28704"/>
    <cellStyle name="Input [yellow] 3 2 5 2 3" xfId="34455"/>
    <cellStyle name="Input [yellow] 3 2 5 3" xfId="13923"/>
    <cellStyle name="Input [yellow] 3 2 5 3 2" xfId="28705"/>
    <cellStyle name="Input [yellow] 3 2 5 3 3" xfId="34456"/>
    <cellStyle name="Input [yellow] 3 2 5 4" xfId="28703"/>
    <cellStyle name="Input [yellow] 3 2 5 5" xfId="34454"/>
    <cellStyle name="Input [yellow] 3 2 6" xfId="13924"/>
    <cellStyle name="Input [yellow] 3 2 6 2" xfId="28706"/>
    <cellStyle name="Input [yellow] 3 2 6 3" xfId="34457"/>
    <cellStyle name="Input [yellow] 3 2 7" xfId="13925"/>
    <cellStyle name="Input [yellow] 3 2 7 2" xfId="28707"/>
    <cellStyle name="Input [yellow] 3 2 7 3" xfId="34458"/>
    <cellStyle name="Input [yellow] 3 2 8" xfId="19913"/>
    <cellStyle name="Input [yellow] 3 2 9" xfId="18152"/>
    <cellStyle name="Input [yellow] 3 3" xfId="2613"/>
    <cellStyle name="Input [yellow] 3 3 2" xfId="5410"/>
    <cellStyle name="Input [yellow] 3 3 2 10" xfId="26378"/>
    <cellStyle name="Input [yellow] 3 3 2 2" xfId="5411"/>
    <cellStyle name="Input [yellow] 3 3 2 2 2" xfId="13926"/>
    <cellStyle name="Input [yellow] 3 3 2 2 2 2" xfId="13927"/>
    <cellStyle name="Input [yellow] 3 3 2 2 2 2 2" xfId="28709"/>
    <cellStyle name="Input [yellow] 3 3 2 2 2 2 3" xfId="34460"/>
    <cellStyle name="Input [yellow] 3 3 2 2 2 3" xfId="13928"/>
    <cellStyle name="Input [yellow] 3 3 2 2 2 3 2" xfId="28710"/>
    <cellStyle name="Input [yellow] 3 3 2 2 2 3 3" xfId="34461"/>
    <cellStyle name="Input [yellow] 3 3 2 2 2 4" xfId="28708"/>
    <cellStyle name="Input [yellow] 3 3 2 2 2 5" xfId="34459"/>
    <cellStyle name="Input [yellow] 3 3 2 2 3" xfId="13929"/>
    <cellStyle name="Input [yellow] 3 3 2 2 3 2" xfId="13930"/>
    <cellStyle name="Input [yellow] 3 3 2 2 3 2 2" xfId="28712"/>
    <cellStyle name="Input [yellow] 3 3 2 2 3 2 3" xfId="34463"/>
    <cellStyle name="Input [yellow] 3 3 2 2 3 3" xfId="13931"/>
    <cellStyle name="Input [yellow] 3 3 2 2 3 3 2" xfId="28713"/>
    <cellStyle name="Input [yellow] 3 3 2 2 3 3 3" xfId="34464"/>
    <cellStyle name="Input [yellow] 3 3 2 2 3 4" xfId="28711"/>
    <cellStyle name="Input [yellow] 3 3 2 2 3 5" xfId="34462"/>
    <cellStyle name="Input [yellow] 3 3 2 2 4" xfId="13932"/>
    <cellStyle name="Input [yellow] 3 3 2 2 4 2" xfId="13933"/>
    <cellStyle name="Input [yellow] 3 3 2 2 4 2 2" xfId="28715"/>
    <cellStyle name="Input [yellow] 3 3 2 2 4 2 3" xfId="34466"/>
    <cellStyle name="Input [yellow] 3 3 2 2 4 3" xfId="13934"/>
    <cellStyle name="Input [yellow] 3 3 2 2 4 3 2" xfId="28716"/>
    <cellStyle name="Input [yellow] 3 3 2 2 4 3 3" xfId="34467"/>
    <cellStyle name="Input [yellow] 3 3 2 2 4 4" xfId="28714"/>
    <cellStyle name="Input [yellow] 3 3 2 2 4 5" xfId="34465"/>
    <cellStyle name="Input [yellow] 3 3 2 2 5" xfId="13935"/>
    <cellStyle name="Input [yellow] 3 3 2 2 5 2" xfId="28717"/>
    <cellStyle name="Input [yellow] 3 3 2 2 5 3" xfId="34468"/>
    <cellStyle name="Input [yellow] 3 3 2 2 6" xfId="13936"/>
    <cellStyle name="Input [yellow] 3 3 2 2 6 2" xfId="28718"/>
    <cellStyle name="Input [yellow] 3 3 2 2 6 3" xfId="34469"/>
    <cellStyle name="Input [yellow] 3 3 2 2 7" xfId="21283"/>
    <cellStyle name="Input [yellow] 3 3 2 2 8" xfId="26377"/>
    <cellStyle name="Input [yellow] 3 3 2 3" xfId="5412"/>
    <cellStyle name="Input [yellow] 3 3 2 3 2" xfId="13937"/>
    <cellStyle name="Input [yellow] 3 3 2 3 2 2" xfId="13938"/>
    <cellStyle name="Input [yellow] 3 3 2 3 2 2 2" xfId="28720"/>
    <cellStyle name="Input [yellow] 3 3 2 3 2 2 3" xfId="34471"/>
    <cellStyle name="Input [yellow] 3 3 2 3 2 3" xfId="13939"/>
    <cellStyle name="Input [yellow] 3 3 2 3 2 3 2" xfId="28721"/>
    <cellStyle name="Input [yellow] 3 3 2 3 2 3 3" xfId="34472"/>
    <cellStyle name="Input [yellow] 3 3 2 3 2 4" xfId="28719"/>
    <cellStyle name="Input [yellow] 3 3 2 3 2 5" xfId="34470"/>
    <cellStyle name="Input [yellow] 3 3 2 3 3" xfId="13940"/>
    <cellStyle name="Input [yellow] 3 3 2 3 3 2" xfId="13941"/>
    <cellStyle name="Input [yellow] 3 3 2 3 3 2 2" xfId="28723"/>
    <cellStyle name="Input [yellow] 3 3 2 3 3 2 3" xfId="34474"/>
    <cellStyle name="Input [yellow] 3 3 2 3 3 3" xfId="13942"/>
    <cellStyle name="Input [yellow] 3 3 2 3 3 3 2" xfId="28724"/>
    <cellStyle name="Input [yellow] 3 3 2 3 3 3 3" xfId="34475"/>
    <cellStyle name="Input [yellow] 3 3 2 3 3 4" xfId="28722"/>
    <cellStyle name="Input [yellow] 3 3 2 3 3 5" xfId="34473"/>
    <cellStyle name="Input [yellow] 3 3 2 3 4" xfId="13943"/>
    <cellStyle name="Input [yellow] 3 3 2 3 4 2" xfId="13944"/>
    <cellStyle name="Input [yellow] 3 3 2 3 4 2 2" xfId="28726"/>
    <cellStyle name="Input [yellow] 3 3 2 3 4 2 3" xfId="34477"/>
    <cellStyle name="Input [yellow] 3 3 2 3 4 3" xfId="13945"/>
    <cellStyle name="Input [yellow] 3 3 2 3 4 3 2" xfId="28727"/>
    <cellStyle name="Input [yellow] 3 3 2 3 4 3 3" xfId="34478"/>
    <cellStyle name="Input [yellow] 3 3 2 3 4 4" xfId="28725"/>
    <cellStyle name="Input [yellow] 3 3 2 3 4 5" xfId="34476"/>
    <cellStyle name="Input [yellow] 3 3 2 3 5" xfId="13946"/>
    <cellStyle name="Input [yellow] 3 3 2 3 5 2" xfId="28728"/>
    <cellStyle name="Input [yellow] 3 3 2 3 5 3" xfId="34479"/>
    <cellStyle name="Input [yellow] 3 3 2 3 6" xfId="13947"/>
    <cellStyle name="Input [yellow] 3 3 2 3 6 2" xfId="28729"/>
    <cellStyle name="Input [yellow] 3 3 2 3 6 3" xfId="34480"/>
    <cellStyle name="Input [yellow] 3 3 2 3 7" xfId="21284"/>
    <cellStyle name="Input [yellow] 3 3 2 3 8" xfId="26376"/>
    <cellStyle name="Input [yellow] 3 3 2 4" xfId="5413"/>
    <cellStyle name="Input [yellow] 3 3 2 4 2" xfId="13948"/>
    <cellStyle name="Input [yellow] 3 3 2 4 2 2" xfId="13949"/>
    <cellStyle name="Input [yellow] 3 3 2 4 2 2 2" xfId="28731"/>
    <cellStyle name="Input [yellow] 3 3 2 4 2 2 3" xfId="34482"/>
    <cellStyle name="Input [yellow] 3 3 2 4 2 3" xfId="13950"/>
    <cellStyle name="Input [yellow] 3 3 2 4 2 3 2" xfId="28732"/>
    <cellStyle name="Input [yellow] 3 3 2 4 2 3 3" xfId="34483"/>
    <cellStyle name="Input [yellow] 3 3 2 4 2 4" xfId="28730"/>
    <cellStyle name="Input [yellow] 3 3 2 4 2 5" xfId="34481"/>
    <cellStyle name="Input [yellow] 3 3 2 4 3" xfId="13951"/>
    <cellStyle name="Input [yellow] 3 3 2 4 3 2" xfId="13952"/>
    <cellStyle name="Input [yellow] 3 3 2 4 3 2 2" xfId="28734"/>
    <cellStyle name="Input [yellow] 3 3 2 4 3 2 3" xfId="34485"/>
    <cellStyle name="Input [yellow] 3 3 2 4 3 3" xfId="13953"/>
    <cellStyle name="Input [yellow] 3 3 2 4 3 3 2" xfId="28735"/>
    <cellStyle name="Input [yellow] 3 3 2 4 3 3 3" xfId="34486"/>
    <cellStyle name="Input [yellow] 3 3 2 4 3 4" xfId="28733"/>
    <cellStyle name="Input [yellow] 3 3 2 4 3 5" xfId="34484"/>
    <cellStyle name="Input [yellow] 3 3 2 4 4" xfId="13954"/>
    <cellStyle name="Input [yellow] 3 3 2 4 4 2" xfId="13955"/>
    <cellStyle name="Input [yellow] 3 3 2 4 4 2 2" xfId="28737"/>
    <cellStyle name="Input [yellow] 3 3 2 4 4 2 3" xfId="34488"/>
    <cellStyle name="Input [yellow] 3 3 2 4 4 3" xfId="13956"/>
    <cellStyle name="Input [yellow] 3 3 2 4 4 3 2" xfId="28738"/>
    <cellStyle name="Input [yellow] 3 3 2 4 4 3 3" xfId="34489"/>
    <cellStyle name="Input [yellow] 3 3 2 4 4 4" xfId="28736"/>
    <cellStyle name="Input [yellow] 3 3 2 4 4 5" xfId="34487"/>
    <cellStyle name="Input [yellow] 3 3 2 4 5" xfId="13957"/>
    <cellStyle name="Input [yellow] 3 3 2 4 5 2" xfId="28739"/>
    <cellStyle name="Input [yellow] 3 3 2 4 5 3" xfId="34490"/>
    <cellStyle name="Input [yellow] 3 3 2 4 6" xfId="13958"/>
    <cellStyle name="Input [yellow] 3 3 2 4 6 2" xfId="28740"/>
    <cellStyle name="Input [yellow] 3 3 2 4 6 3" xfId="34491"/>
    <cellStyle name="Input [yellow] 3 3 2 4 7" xfId="21285"/>
    <cellStyle name="Input [yellow] 3 3 2 4 8" xfId="26375"/>
    <cellStyle name="Input [yellow] 3 3 2 5" xfId="13959"/>
    <cellStyle name="Input [yellow] 3 3 2 5 2" xfId="13960"/>
    <cellStyle name="Input [yellow] 3 3 2 5 2 2" xfId="28742"/>
    <cellStyle name="Input [yellow] 3 3 2 5 2 3" xfId="34493"/>
    <cellStyle name="Input [yellow] 3 3 2 5 3" xfId="13961"/>
    <cellStyle name="Input [yellow] 3 3 2 5 3 2" xfId="28743"/>
    <cellStyle name="Input [yellow] 3 3 2 5 3 3" xfId="34494"/>
    <cellStyle name="Input [yellow] 3 3 2 5 4" xfId="28741"/>
    <cellStyle name="Input [yellow] 3 3 2 5 5" xfId="34492"/>
    <cellStyle name="Input [yellow] 3 3 2 6" xfId="13962"/>
    <cellStyle name="Input [yellow] 3 3 2 6 2" xfId="13963"/>
    <cellStyle name="Input [yellow] 3 3 2 6 2 2" xfId="28745"/>
    <cellStyle name="Input [yellow] 3 3 2 6 2 3" xfId="34496"/>
    <cellStyle name="Input [yellow] 3 3 2 6 3" xfId="13964"/>
    <cellStyle name="Input [yellow] 3 3 2 6 3 2" xfId="28746"/>
    <cellStyle name="Input [yellow] 3 3 2 6 3 3" xfId="34497"/>
    <cellStyle name="Input [yellow] 3 3 2 6 4" xfId="28744"/>
    <cellStyle name="Input [yellow] 3 3 2 6 5" xfId="34495"/>
    <cellStyle name="Input [yellow] 3 3 2 7" xfId="13965"/>
    <cellStyle name="Input [yellow] 3 3 2 7 2" xfId="28747"/>
    <cellStyle name="Input [yellow] 3 3 2 7 3" xfId="34498"/>
    <cellStyle name="Input [yellow] 3 3 2 8" xfId="13966"/>
    <cellStyle name="Input [yellow] 3 3 2 8 2" xfId="28748"/>
    <cellStyle name="Input [yellow] 3 3 2 8 3" xfId="34499"/>
    <cellStyle name="Input [yellow] 3 3 2 9" xfId="21282"/>
    <cellStyle name="Input [yellow] 3 3 3" xfId="13967"/>
    <cellStyle name="Input [yellow] 3 3 3 2" xfId="13968"/>
    <cellStyle name="Input [yellow] 3 3 3 2 2" xfId="28750"/>
    <cellStyle name="Input [yellow] 3 3 3 2 3" xfId="34501"/>
    <cellStyle name="Input [yellow] 3 3 3 3" xfId="13969"/>
    <cellStyle name="Input [yellow] 3 3 3 3 2" xfId="28751"/>
    <cellStyle name="Input [yellow] 3 3 3 3 3" xfId="34502"/>
    <cellStyle name="Input [yellow] 3 3 3 4" xfId="28749"/>
    <cellStyle name="Input [yellow] 3 3 3 5" xfId="34500"/>
    <cellStyle name="Input [yellow] 3 3 4" xfId="13970"/>
    <cellStyle name="Input [yellow] 3 3 4 2" xfId="13971"/>
    <cellStyle name="Input [yellow] 3 3 4 2 2" xfId="28753"/>
    <cellStyle name="Input [yellow] 3 3 4 2 3" xfId="34504"/>
    <cellStyle name="Input [yellow] 3 3 4 3" xfId="13972"/>
    <cellStyle name="Input [yellow] 3 3 4 3 2" xfId="28754"/>
    <cellStyle name="Input [yellow] 3 3 4 3 3" xfId="34505"/>
    <cellStyle name="Input [yellow] 3 3 4 4" xfId="28752"/>
    <cellStyle name="Input [yellow] 3 3 4 5" xfId="34503"/>
    <cellStyle name="Input [yellow] 3 3 5" xfId="13973"/>
    <cellStyle name="Input [yellow] 3 3 5 2" xfId="28755"/>
    <cellStyle name="Input [yellow] 3 3 5 3" xfId="34506"/>
    <cellStyle name="Input [yellow] 3 3 6" xfId="13974"/>
    <cellStyle name="Input [yellow] 3 3 6 2" xfId="28756"/>
    <cellStyle name="Input [yellow] 3 3 6 3" xfId="34507"/>
    <cellStyle name="Input [yellow] 3 3 7" xfId="19915"/>
    <cellStyle name="Input [yellow] 3 3 8" xfId="20016"/>
    <cellStyle name="Input [yellow] 3 4" xfId="5414"/>
    <cellStyle name="Input [yellow] 3 4 10" xfId="26374"/>
    <cellStyle name="Input [yellow] 3 4 2" xfId="5415"/>
    <cellStyle name="Input [yellow] 3 4 2 2" xfId="13975"/>
    <cellStyle name="Input [yellow] 3 4 2 2 2" xfId="13976"/>
    <cellStyle name="Input [yellow] 3 4 2 2 2 2" xfId="28758"/>
    <cellStyle name="Input [yellow] 3 4 2 2 2 3" xfId="34509"/>
    <cellStyle name="Input [yellow] 3 4 2 2 3" xfId="13977"/>
    <cellStyle name="Input [yellow] 3 4 2 2 3 2" xfId="28759"/>
    <cellStyle name="Input [yellow] 3 4 2 2 3 3" xfId="34510"/>
    <cellStyle name="Input [yellow] 3 4 2 2 4" xfId="28757"/>
    <cellStyle name="Input [yellow] 3 4 2 2 5" xfId="34508"/>
    <cellStyle name="Input [yellow] 3 4 2 3" xfId="13978"/>
    <cellStyle name="Input [yellow] 3 4 2 3 2" xfId="13979"/>
    <cellStyle name="Input [yellow] 3 4 2 3 2 2" xfId="28761"/>
    <cellStyle name="Input [yellow] 3 4 2 3 2 3" xfId="34512"/>
    <cellStyle name="Input [yellow] 3 4 2 3 3" xfId="13980"/>
    <cellStyle name="Input [yellow] 3 4 2 3 3 2" xfId="28762"/>
    <cellStyle name="Input [yellow] 3 4 2 3 3 3" xfId="34513"/>
    <cellStyle name="Input [yellow] 3 4 2 3 4" xfId="28760"/>
    <cellStyle name="Input [yellow] 3 4 2 3 5" xfId="34511"/>
    <cellStyle name="Input [yellow] 3 4 2 4" xfId="13981"/>
    <cellStyle name="Input [yellow] 3 4 2 4 2" xfId="13982"/>
    <cellStyle name="Input [yellow] 3 4 2 4 2 2" xfId="28764"/>
    <cellStyle name="Input [yellow] 3 4 2 4 2 3" xfId="34515"/>
    <cellStyle name="Input [yellow] 3 4 2 4 3" xfId="13983"/>
    <cellStyle name="Input [yellow] 3 4 2 4 3 2" xfId="28765"/>
    <cellStyle name="Input [yellow] 3 4 2 4 3 3" xfId="34516"/>
    <cellStyle name="Input [yellow] 3 4 2 4 4" xfId="28763"/>
    <cellStyle name="Input [yellow] 3 4 2 4 5" xfId="34514"/>
    <cellStyle name="Input [yellow] 3 4 2 5" xfId="13984"/>
    <cellStyle name="Input [yellow] 3 4 2 5 2" xfId="28766"/>
    <cellStyle name="Input [yellow] 3 4 2 5 3" xfId="34517"/>
    <cellStyle name="Input [yellow] 3 4 2 6" xfId="13985"/>
    <cellStyle name="Input [yellow] 3 4 2 6 2" xfId="28767"/>
    <cellStyle name="Input [yellow] 3 4 2 6 3" xfId="34518"/>
    <cellStyle name="Input [yellow] 3 4 2 7" xfId="21287"/>
    <cellStyle name="Input [yellow] 3 4 2 8" xfId="26373"/>
    <cellStyle name="Input [yellow] 3 4 3" xfId="5416"/>
    <cellStyle name="Input [yellow] 3 4 3 2" xfId="13986"/>
    <cellStyle name="Input [yellow] 3 4 3 2 2" xfId="13987"/>
    <cellStyle name="Input [yellow] 3 4 3 2 2 2" xfId="28769"/>
    <cellStyle name="Input [yellow] 3 4 3 2 2 3" xfId="34520"/>
    <cellStyle name="Input [yellow] 3 4 3 2 3" xfId="13988"/>
    <cellStyle name="Input [yellow] 3 4 3 2 3 2" xfId="28770"/>
    <cellStyle name="Input [yellow] 3 4 3 2 3 3" xfId="34521"/>
    <cellStyle name="Input [yellow] 3 4 3 2 4" xfId="28768"/>
    <cellStyle name="Input [yellow] 3 4 3 2 5" xfId="34519"/>
    <cellStyle name="Input [yellow] 3 4 3 3" xfId="13989"/>
    <cellStyle name="Input [yellow] 3 4 3 3 2" xfId="13990"/>
    <cellStyle name="Input [yellow] 3 4 3 3 2 2" xfId="28772"/>
    <cellStyle name="Input [yellow] 3 4 3 3 2 3" xfId="34523"/>
    <cellStyle name="Input [yellow] 3 4 3 3 3" xfId="13991"/>
    <cellStyle name="Input [yellow] 3 4 3 3 3 2" xfId="28773"/>
    <cellStyle name="Input [yellow] 3 4 3 3 3 3" xfId="34524"/>
    <cellStyle name="Input [yellow] 3 4 3 3 4" xfId="28771"/>
    <cellStyle name="Input [yellow] 3 4 3 3 5" xfId="34522"/>
    <cellStyle name="Input [yellow] 3 4 3 4" xfId="13992"/>
    <cellStyle name="Input [yellow] 3 4 3 4 2" xfId="13993"/>
    <cellStyle name="Input [yellow] 3 4 3 4 2 2" xfId="28775"/>
    <cellStyle name="Input [yellow] 3 4 3 4 2 3" xfId="34526"/>
    <cellStyle name="Input [yellow] 3 4 3 4 3" xfId="13994"/>
    <cellStyle name="Input [yellow] 3 4 3 4 3 2" xfId="28776"/>
    <cellStyle name="Input [yellow] 3 4 3 4 3 3" xfId="34527"/>
    <cellStyle name="Input [yellow] 3 4 3 4 4" xfId="28774"/>
    <cellStyle name="Input [yellow] 3 4 3 4 5" xfId="34525"/>
    <cellStyle name="Input [yellow] 3 4 3 5" xfId="13995"/>
    <cellStyle name="Input [yellow] 3 4 3 5 2" xfId="28777"/>
    <cellStyle name="Input [yellow] 3 4 3 5 3" xfId="34528"/>
    <cellStyle name="Input [yellow] 3 4 3 6" xfId="13996"/>
    <cellStyle name="Input [yellow] 3 4 3 6 2" xfId="28778"/>
    <cellStyle name="Input [yellow] 3 4 3 6 3" xfId="34529"/>
    <cellStyle name="Input [yellow] 3 4 3 7" xfId="21288"/>
    <cellStyle name="Input [yellow] 3 4 3 8" xfId="26372"/>
    <cellStyle name="Input [yellow] 3 4 4" xfId="5417"/>
    <cellStyle name="Input [yellow] 3 4 4 2" xfId="13997"/>
    <cellStyle name="Input [yellow] 3 4 4 2 2" xfId="13998"/>
    <cellStyle name="Input [yellow] 3 4 4 2 2 2" xfId="28780"/>
    <cellStyle name="Input [yellow] 3 4 4 2 2 3" xfId="34531"/>
    <cellStyle name="Input [yellow] 3 4 4 2 3" xfId="13999"/>
    <cellStyle name="Input [yellow] 3 4 4 2 3 2" xfId="28781"/>
    <cellStyle name="Input [yellow] 3 4 4 2 3 3" xfId="34532"/>
    <cellStyle name="Input [yellow] 3 4 4 2 4" xfId="28779"/>
    <cellStyle name="Input [yellow] 3 4 4 2 5" xfId="34530"/>
    <cellStyle name="Input [yellow] 3 4 4 3" xfId="14000"/>
    <cellStyle name="Input [yellow] 3 4 4 3 2" xfId="14001"/>
    <cellStyle name="Input [yellow] 3 4 4 3 2 2" xfId="28783"/>
    <cellStyle name="Input [yellow] 3 4 4 3 2 3" xfId="34534"/>
    <cellStyle name="Input [yellow] 3 4 4 3 3" xfId="14002"/>
    <cellStyle name="Input [yellow] 3 4 4 3 3 2" xfId="28784"/>
    <cellStyle name="Input [yellow] 3 4 4 3 3 3" xfId="34535"/>
    <cellStyle name="Input [yellow] 3 4 4 3 4" xfId="28782"/>
    <cellStyle name="Input [yellow] 3 4 4 3 5" xfId="34533"/>
    <cellStyle name="Input [yellow] 3 4 4 4" xfId="14003"/>
    <cellStyle name="Input [yellow] 3 4 4 4 2" xfId="14004"/>
    <cellStyle name="Input [yellow] 3 4 4 4 2 2" xfId="28786"/>
    <cellStyle name="Input [yellow] 3 4 4 4 2 3" xfId="34537"/>
    <cellStyle name="Input [yellow] 3 4 4 4 3" xfId="14005"/>
    <cellStyle name="Input [yellow] 3 4 4 4 3 2" xfId="28787"/>
    <cellStyle name="Input [yellow] 3 4 4 4 3 3" xfId="34538"/>
    <cellStyle name="Input [yellow] 3 4 4 4 4" xfId="28785"/>
    <cellStyle name="Input [yellow] 3 4 4 4 5" xfId="34536"/>
    <cellStyle name="Input [yellow] 3 4 4 5" xfId="14006"/>
    <cellStyle name="Input [yellow] 3 4 4 5 2" xfId="28788"/>
    <cellStyle name="Input [yellow] 3 4 4 5 3" xfId="34539"/>
    <cellStyle name="Input [yellow] 3 4 4 6" xfId="14007"/>
    <cellStyle name="Input [yellow] 3 4 4 6 2" xfId="28789"/>
    <cellStyle name="Input [yellow] 3 4 4 6 3" xfId="34540"/>
    <cellStyle name="Input [yellow] 3 4 4 7" xfId="21289"/>
    <cellStyle name="Input [yellow] 3 4 4 8" xfId="26371"/>
    <cellStyle name="Input [yellow] 3 4 5" xfId="14008"/>
    <cellStyle name="Input [yellow] 3 4 5 2" xfId="14009"/>
    <cellStyle name="Input [yellow] 3 4 5 2 2" xfId="28791"/>
    <cellStyle name="Input [yellow] 3 4 5 2 3" xfId="34542"/>
    <cellStyle name="Input [yellow] 3 4 5 3" xfId="14010"/>
    <cellStyle name="Input [yellow] 3 4 5 3 2" xfId="28792"/>
    <cellStyle name="Input [yellow] 3 4 5 3 3" xfId="34543"/>
    <cellStyle name="Input [yellow] 3 4 5 4" xfId="28790"/>
    <cellStyle name="Input [yellow] 3 4 5 5" xfId="34541"/>
    <cellStyle name="Input [yellow] 3 4 6" xfId="14011"/>
    <cellStyle name="Input [yellow] 3 4 6 2" xfId="14012"/>
    <cellStyle name="Input [yellow] 3 4 6 2 2" xfId="28794"/>
    <cellStyle name="Input [yellow] 3 4 6 2 3" xfId="34545"/>
    <cellStyle name="Input [yellow] 3 4 6 3" xfId="14013"/>
    <cellStyle name="Input [yellow] 3 4 6 3 2" xfId="28795"/>
    <cellStyle name="Input [yellow] 3 4 6 3 3" xfId="34546"/>
    <cellStyle name="Input [yellow] 3 4 6 4" xfId="28793"/>
    <cellStyle name="Input [yellow] 3 4 6 5" xfId="34544"/>
    <cellStyle name="Input [yellow] 3 4 7" xfId="14014"/>
    <cellStyle name="Input [yellow] 3 4 7 2" xfId="28796"/>
    <cellStyle name="Input [yellow] 3 4 7 3" xfId="34547"/>
    <cellStyle name="Input [yellow] 3 4 8" xfId="14015"/>
    <cellStyle name="Input [yellow] 3 4 8 2" xfId="28797"/>
    <cellStyle name="Input [yellow] 3 4 8 3" xfId="34548"/>
    <cellStyle name="Input [yellow] 3 4 9" xfId="21286"/>
    <cellStyle name="Input [yellow] 3 5" xfId="14016"/>
    <cellStyle name="Input [yellow] 3 5 2" xfId="14017"/>
    <cellStyle name="Input [yellow] 3 5 2 2" xfId="28799"/>
    <cellStyle name="Input [yellow] 3 5 2 3" xfId="34550"/>
    <cellStyle name="Input [yellow] 3 5 3" xfId="14018"/>
    <cellStyle name="Input [yellow] 3 5 3 2" xfId="28800"/>
    <cellStyle name="Input [yellow] 3 5 3 3" xfId="34551"/>
    <cellStyle name="Input [yellow] 3 5 4" xfId="28798"/>
    <cellStyle name="Input [yellow] 3 5 5" xfId="34549"/>
    <cellStyle name="Input [yellow] 3 6" xfId="14019"/>
    <cellStyle name="Input [yellow] 3 6 2" xfId="14020"/>
    <cellStyle name="Input [yellow] 3 6 2 2" xfId="28802"/>
    <cellStyle name="Input [yellow] 3 6 2 3" xfId="34553"/>
    <cellStyle name="Input [yellow] 3 6 3" xfId="14021"/>
    <cellStyle name="Input [yellow] 3 6 3 2" xfId="28803"/>
    <cellStyle name="Input [yellow] 3 6 3 3" xfId="34554"/>
    <cellStyle name="Input [yellow] 3 6 4" xfId="28801"/>
    <cellStyle name="Input [yellow] 3 6 5" xfId="34552"/>
    <cellStyle name="Input [yellow] 3 7" xfId="14022"/>
    <cellStyle name="Input [yellow] 3 7 2" xfId="28804"/>
    <cellStyle name="Input [yellow] 3 7 3" xfId="34555"/>
    <cellStyle name="Input [yellow] 3 8" xfId="14023"/>
    <cellStyle name="Input [yellow] 3 8 2" xfId="28805"/>
    <cellStyle name="Input [yellow] 3 8 3" xfId="34556"/>
    <cellStyle name="Input [yellow] 3 9" xfId="19912"/>
    <cellStyle name="Input [yellow] 4" xfId="2614"/>
    <cellStyle name="Input [yellow] 4 2" xfId="2615"/>
    <cellStyle name="Input [yellow] 4 2 2" xfId="5418"/>
    <cellStyle name="Input [yellow] 4 2 2 10" xfId="26370"/>
    <cellStyle name="Input [yellow] 4 2 2 2" xfId="5419"/>
    <cellStyle name="Input [yellow] 4 2 2 2 2" xfId="14024"/>
    <cellStyle name="Input [yellow] 4 2 2 2 2 2" xfId="14025"/>
    <cellStyle name="Input [yellow] 4 2 2 2 2 2 2" xfId="28807"/>
    <cellStyle name="Input [yellow] 4 2 2 2 2 2 3" xfId="34558"/>
    <cellStyle name="Input [yellow] 4 2 2 2 2 3" xfId="14026"/>
    <cellStyle name="Input [yellow] 4 2 2 2 2 3 2" xfId="28808"/>
    <cellStyle name="Input [yellow] 4 2 2 2 2 3 3" xfId="34559"/>
    <cellStyle name="Input [yellow] 4 2 2 2 2 4" xfId="28806"/>
    <cellStyle name="Input [yellow] 4 2 2 2 2 5" xfId="34557"/>
    <cellStyle name="Input [yellow] 4 2 2 2 3" xfId="14027"/>
    <cellStyle name="Input [yellow] 4 2 2 2 3 2" xfId="14028"/>
    <cellStyle name="Input [yellow] 4 2 2 2 3 2 2" xfId="28810"/>
    <cellStyle name="Input [yellow] 4 2 2 2 3 2 3" xfId="34561"/>
    <cellStyle name="Input [yellow] 4 2 2 2 3 3" xfId="14029"/>
    <cellStyle name="Input [yellow] 4 2 2 2 3 3 2" xfId="28811"/>
    <cellStyle name="Input [yellow] 4 2 2 2 3 3 3" xfId="34562"/>
    <cellStyle name="Input [yellow] 4 2 2 2 3 4" xfId="28809"/>
    <cellStyle name="Input [yellow] 4 2 2 2 3 5" xfId="34560"/>
    <cellStyle name="Input [yellow] 4 2 2 2 4" xfId="14030"/>
    <cellStyle name="Input [yellow] 4 2 2 2 4 2" xfId="14031"/>
    <cellStyle name="Input [yellow] 4 2 2 2 4 2 2" xfId="28813"/>
    <cellStyle name="Input [yellow] 4 2 2 2 4 2 3" xfId="34564"/>
    <cellStyle name="Input [yellow] 4 2 2 2 4 3" xfId="14032"/>
    <cellStyle name="Input [yellow] 4 2 2 2 4 3 2" xfId="28814"/>
    <cellStyle name="Input [yellow] 4 2 2 2 4 3 3" xfId="34565"/>
    <cellStyle name="Input [yellow] 4 2 2 2 4 4" xfId="28812"/>
    <cellStyle name="Input [yellow] 4 2 2 2 4 5" xfId="34563"/>
    <cellStyle name="Input [yellow] 4 2 2 2 5" xfId="14033"/>
    <cellStyle name="Input [yellow] 4 2 2 2 5 2" xfId="28815"/>
    <cellStyle name="Input [yellow] 4 2 2 2 5 3" xfId="34566"/>
    <cellStyle name="Input [yellow] 4 2 2 2 6" xfId="14034"/>
    <cellStyle name="Input [yellow] 4 2 2 2 6 2" xfId="28816"/>
    <cellStyle name="Input [yellow] 4 2 2 2 6 3" xfId="34567"/>
    <cellStyle name="Input [yellow] 4 2 2 2 7" xfId="21291"/>
    <cellStyle name="Input [yellow] 4 2 2 2 8" xfId="26369"/>
    <cellStyle name="Input [yellow] 4 2 2 3" xfId="5420"/>
    <cellStyle name="Input [yellow] 4 2 2 3 2" xfId="14035"/>
    <cellStyle name="Input [yellow] 4 2 2 3 2 2" xfId="14036"/>
    <cellStyle name="Input [yellow] 4 2 2 3 2 2 2" xfId="28818"/>
    <cellStyle name="Input [yellow] 4 2 2 3 2 2 3" xfId="34569"/>
    <cellStyle name="Input [yellow] 4 2 2 3 2 3" xfId="14037"/>
    <cellStyle name="Input [yellow] 4 2 2 3 2 3 2" xfId="28819"/>
    <cellStyle name="Input [yellow] 4 2 2 3 2 3 3" xfId="34570"/>
    <cellStyle name="Input [yellow] 4 2 2 3 2 4" xfId="28817"/>
    <cellStyle name="Input [yellow] 4 2 2 3 2 5" xfId="34568"/>
    <cellStyle name="Input [yellow] 4 2 2 3 3" xfId="14038"/>
    <cellStyle name="Input [yellow] 4 2 2 3 3 2" xfId="14039"/>
    <cellStyle name="Input [yellow] 4 2 2 3 3 2 2" xfId="28821"/>
    <cellStyle name="Input [yellow] 4 2 2 3 3 2 3" xfId="34572"/>
    <cellStyle name="Input [yellow] 4 2 2 3 3 3" xfId="14040"/>
    <cellStyle name="Input [yellow] 4 2 2 3 3 3 2" xfId="28822"/>
    <cellStyle name="Input [yellow] 4 2 2 3 3 3 3" xfId="34573"/>
    <cellStyle name="Input [yellow] 4 2 2 3 3 4" xfId="28820"/>
    <cellStyle name="Input [yellow] 4 2 2 3 3 5" xfId="34571"/>
    <cellStyle name="Input [yellow] 4 2 2 3 4" xfId="14041"/>
    <cellStyle name="Input [yellow] 4 2 2 3 4 2" xfId="14042"/>
    <cellStyle name="Input [yellow] 4 2 2 3 4 2 2" xfId="28824"/>
    <cellStyle name="Input [yellow] 4 2 2 3 4 2 3" xfId="34575"/>
    <cellStyle name="Input [yellow] 4 2 2 3 4 3" xfId="14043"/>
    <cellStyle name="Input [yellow] 4 2 2 3 4 3 2" xfId="28825"/>
    <cellStyle name="Input [yellow] 4 2 2 3 4 3 3" xfId="34576"/>
    <cellStyle name="Input [yellow] 4 2 2 3 4 4" xfId="28823"/>
    <cellStyle name="Input [yellow] 4 2 2 3 4 5" xfId="34574"/>
    <cellStyle name="Input [yellow] 4 2 2 3 5" xfId="14044"/>
    <cellStyle name="Input [yellow] 4 2 2 3 5 2" xfId="28826"/>
    <cellStyle name="Input [yellow] 4 2 2 3 5 3" xfId="34577"/>
    <cellStyle name="Input [yellow] 4 2 2 3 6" xfId="14045"/>
    <cellStyle name="Input [yellow] 4 2 2 3 6 2" xfId="28827"/>
    <cellStyle name="Input [yellow] 4 2 2 3 6 3" xfId="34578"/>
    <cellStyle name="Input [yellow] 4 2 2 3 7" xfId="21292"/>
    <cellStyle name="Input [yellow] 4 2 2 3 8" xfId="26368"/>
    <cellStyle name="Input [yellow] 4 2 2 4" xfId="5421"/>
    <cellStyle name="Input [yellow] 4 2 2 4 2" xfId="14046"/>
    <cellStyle name="Input [yellow] 4 2 2 4 2 2" xfId="14047"/>
    <cellStyle name="Input [yellow] 4 2 2 4 2 2 2" xfId="28829"/>
    <cellStyle name="Input [yellow] 4 2 2 4 2 2 3" xfId="34580"/>
    <cellStyle name="Input [yellow] 4 2 2 4 2 3" xfId="14048"/>
    <cellStyle name="Input [yellow] 4 2 2 4 2 3 2" xfId="28830"/>
    <cellStyle name="Input [yellow] 4 2 2 4 2 3 3" xfId="34581"/>
    <cellStyle name="Input [yellow] 4 2 2 4 2 4" xfId="28828"/>
    <cellStyle name="Input [yellow] 4 2 2 4 2 5" xfId="34579"/>
    <cellStyle name="Input [yellow] 4 2 2 4 3" xfId="14049"/>
    <cellStyle name="Input [yellow] 4 2 2 4 3 2" xfId="14050"/>
    <cellStyle name="Input [yellow] 4 2 2 4 3 2 2" xfId="28832"/>
    <cellStyle name="Input [yellow] 4 2 2 4 3 2 3" xfId="34583"/>
    <cellStyle name="Input [yellow] 4 2 2 4 3 3" xfId="14051"/>
    <cellStyle name="Input [yellow] 4 2 2 4 3 3 2" xfId="28833"/>
    <cellStyle name="Input [yellow] 4 2 2 4 3 3 3" xfId="34584"/>
    <cellStyle name="Input [yellow] 4 2 2 4 3 4" xfId="28831"/>
    <cellStyle name="Input [yellow] 4 2 2 4 3 5" xfId="34582"/>
    <cellStyle name="Input [yellow] 4 2 2 4 4" xfId="14052"/>
    <cellStyle name="Input [yellow] 4 2 2 4 4 2" xfId="14053"/>
    <cellStyle name="Input [yellow] 4 2 2 4 4 2 2" xfId="28835"/>
    <cellStyle name="Input [yellow] 4 2 2 4 4 2 3" xfId="34586"/>
    <cellStyle name="Input [yellow] 4 2 2 4 4 3" xfId="14054"/>
    <cellStyle name="Input [yellow] 4 2 2 4 4 3 2" xfId="28836"/>
    <cellStyle name="Input [yellow] 4 2 2 4 4 3 3" xfId="34587"/>
    <cellStyle name="Input [yellow] 4 2 2 4 4 4" xfId="28834"/>
    <cellStyle name="Input [yellow] 4 2 2 4 4 5" xfId="34585"/>
    <cellStyle name="Input [yellow] 4 2 2 4 5" xfId="14055"/>
    <cellStyle name="Input [yellow] 4 2 2 4 5 2" xfId="28837"/>
    <cellStyle name="Input [yellow] 4 2 2 4 5 3" xfId="34588"/>
    <cellStyle name="Input [yellow] 4 2 2 4 6" xfId="14056"/>
    <cellStyle name="Input [yellow] 4 2 2 4 6 2" xfId="28838"/>
    <cellStyle name="Input [yellow] 4 2 2 4 6 3" xfId="34589"/>
    <cellStyle name="Input [yellow] 4 2 2 4 7" xfId="21293"/>
    <cellStyle name="Input [yellow] 4 2 2 4 8" xfId="26367"/>
    <cellStyle name="Input [yellow] 4 2 2 5" xfId="14057"/>
    <cellStyle name="Input [yellow] 4 2 2 5 2" xfId="14058"/>
    <cellStyle name="Input [yellow] 4 2 2 5 2 2" xfId="28840"/>
    <cellStyle name="Input [yellow] 4 2 2 5 2 3" xfId="34591"/>
    <cellStyle name="Input [yellow] 4 2 2 5 3" xfId="14059"/>
    <cellStyle name="Input [yellow] 4 2 2 5 3 2" xfId="28841"/>
    <cellStyle name="Input [yellow] 4 2 2 5 3 3" xfId="34592"/>
    <cellStyle name="Input [yellow] 4 2 2 5 4" xfId="28839"/>
    <cellStyle name="Input [yellow] 4 2 2 5 5" xfId="34590"/>
    <cellStyle name="Input [yellow] 4 2 2 6" xfId="14060"/>
    <cellStyle name="Input [yellow] 4 2 2 6 2" xfId="14061"/>
    <cellStyle name="Input [yellow] 4 2 2 6 2 2" xfId="28843"/>
    <cellStyle name="Input [yellow] 4 2 2 6 2 3" xfId="34594"/>
    <cellStyle name="Input [yellow] 4 2 2 6 3" xfId="14062"/>
    <cellStyle name="Input [yellow] 4 2 2 6 3 2" xfId="28844"/>
    <cellStyle name="Input [yellow] 4 2 2 6 3 3" xfId="34595"/>
    <cellStyle name="Input [yellow] 4 2 2 6 4" xfId="28842"/>
    <cellStyle name="Input [yellow] 4 2 2 6 5" xfId="34593"/>
    <cellStyle name="Input [yellow] 4 2 2 7" xfId="14063"/>
    <cellStyle name="Input [yellow] 4 2 2 7 2" xfId="28845"/>
    <cellStyle name="Input [yellow] 4 2 2 7 3" xfId="34596"/>
    <cellStyle name="Input [yellow] 4 2 2 8" xfId="14064"/>
    <cellStyle name="Input [yellow] 4 2 2 8 2" xfId="28846"/>
    <cellStyle name="Input [yellow] 4 2 2 8 3" xfId="34597"/>
    <cellStyle name="Input [yellow] 4 2 2 9" xfId="21290"/>
    <cellStyle name="Input [yellow] 4 2 3" xfId="14065"/>
    <cellStyle name="Input [yellow] 4 2 3 2" xfId="14066"/>
    <cellStyle name="Input [yellow] 4 2 3 2 2" xfId="28848"/>
    <cellStyle name="Input [yellow] 4 2 3 2 3" xfId="34599"/>
    <cellStyle name="Input [yellow] 4 2 3 3" xfId="14067"/>
    <cellStyle name="Input [yellow] 4 2 3 3 2" xfId="28849"/>
    <cellStyle name="Input [yellow] 4 2 3 3 3" xfId="34600"/>
    <cellStyle name="Input [yellow] 4 2 3 4" xfId="28847"/>
    <cellStyle name="Input [yellow] 4 2 3 5" xfId="34598"/>
    <cellStyle name="Input [yellow] 4 2 4" xfId="14068"/>
    <cellStyle name="Input [yellow] 4 2 4 2" xfId="14069"/>
    <cellStyle name="Input [yellow] 4 2 4 2 2" xfId="28851"/>
    <cellStyle name="Input [yellow] 4 2 4 2 3" xfId="34602"/>
    <cellStyle name="Input [yellow] 4 2 4 3" xfId="14070"/>
    <cellStyle name="Input [yellow] 4 2 4 3 2" xfId="28852"/>
    <cellStyle name="Input [yellow] 4 2 4 3 3" xfId="34603"/>
    <cellStyle name="Input [yellow] 4 2 4 4" xfId="28850"/>
    <cellStyle name="Input [yellow] 4 2 4 5" xfId="34601"/>
    <cellStyle name="Input [yellow] 4 2 5" xfId="14071"/>
    <cellStyle name="Input [yellow] 4 2 5 2" xfId="28853"/>
    <cellStyle name="Input [yellow] 4 2 5 3" xfId="34604"/>
    <cellStyle name="Input [yellow] 4 2 6" xfId="14072"/>
    <cellStyle name="Input [yellow] 4 2 6 2" xfId="28854"/>
    <cellStyle name="Input [yellow] 4 2 6 3" xfId="34605"/>
    <cellStyle name="Input [yellow] 4 2 7" xfId="19917"/>
    <cellStyle name="Input [yellow] 4 2 8" xfId="18084"/>
    <cellStyle name="Input [yellow] 4 3" xfId="5422"/>
    <cellStyle name="Input [yellow] 4 3 10" xfId="26366"/>
    <cellStyle name="Input [yellow] 4 3 2" xfId="5423"/>
    <cellStyle name="Input [yellow] 4 3 2 2" xfId="14073"/>
    <cellStyle name="Input [yellow] 4 3 2 2 2" xfId="14074"/>
    <cellStyle name="Input [yellow] 4 3 2 2 2 2" xfId="28856"/>
    <cellStyle name="Input [yellow] 4 3 2 2 2 3" xfId="34607"/>
    <cellStyle name="Input [yellow] 4 3 2 2 3" xfId="14075"/>
    <cellStyle name="Input [yellow] 4 3 2 2 3 2" xfId="28857"/>
    <cellStyle name="Input [yellow] 4 3 2 2 3 3" xfId="34608"/>
    <cellStyle name="Input [yellow] 4 3 2 2 4" xfId="28855"/>
    <cellStyle name="Input [yellow] 4 3 2 2 5" xfId="34606"/>
    <cellStyle name="Input [yellow] 4 3 2 3" xfId="14076"/>
    <cellStyle name="Input [yellow] 4 3 2 3 2" xfId="14077"/>
    <cellStyle name="Input [yellow] 4 3 2 3 2 2" xfId="28859"/>
    <cellStyle name="Input [yellow] 4 3 2 3 2 3" xfId="34610"/>
    <cellStyle name="Input [yellow] 4 3 2 3 3" xfId="14078"/>
    <cellStyle name="Input [yellow] 4 3 2 3 3 2" xfId="28860"/>
    <cellStyle name="Input [yellow] 4 3 2 3 3 3" xfId="34611"/>
    <cellStyle name="Input [yellow] 4 3 2 3 4" xfId="28858"/>
    <cellStyle name="Input [yellow] 4 3 2 3 5" xfId="34609"/>
    <cellStyle name="Input [yellow] 4 3 2 4" xfId="14079"/>
    <cellStyle name="Input [yellow] 4 3 2 4 2" xfId="14080"/>
    <cellStyle name="Input [yellow] 4 3 2 4 2 2" xfId="28862"/>
    <cellStyle name="Input [yellow] 4 3 2 4 2 3" xfId="34613"/>
    <cellStyle name="Input [yellow] 4 3 2 4 3" xfId="14081"/>
    <cellStyle name="Input [yellow] 4 3 2 4 3 2" xfId="28863"/>
    <cellStyle name="Input [yellow] 4 3 2 4 3 3" xfId="34614"/>
    <cellStyle name="Input [yellow] 4 3 2 4 4" xfId="28861"/>
    <cellStyle name="Input [yellow] 4 3 2 4 5" xfId="34612"/>
    <cellStyle name="Input [yellow] 4 3 2 5" xfId="14082"/>
    <cellStyle name="Input [yellow] 4 3 2 5 2" xfId="28864"/>
    <cellStyle name="Input [yellow] 4 3 2 5 3" xfId="34615"/>
    <cellStyle name="Input [yellow] 4 3 2 6" xfId="14083"/>
    <cellStyle name="Input [yellow] 4 3 2 6 2" xfId="28865"/>
    <cellStyle name="Input [yellow] 4 3 2 6 3" xfId="34616"/>
    <cellStyle name="Input [yellow] 4 3 2 7" xfId="21295"/>
    <cellStyle name="Input [yellow] 4 3 2 8" xfId="20566"/>
    <cellStyle name="Input [yellow] 4 3 3" xfId="5424"/>
    <cellStyle name="Input [yellow] 4 3 3 2" xfId="14084"/>
    <cellStyle name="Input [yellow] 4 3 3 2 2" xfId="14085"/>
    <cellStyle name="Input [yellow] 4 3 3 2 2 2" xfId="28867"/>
    <cellStyle name="Input [yellow] 4 3 3 2 2 3" xfId="34618"/>
    <cellStyle name="Input [yellow] 4 3 3 2 3" xfId="14086"/>
    <cellStyle name="Input [yellow] 4 3 3 2 3 2" xfId="28868"/>
    <cellStyle name="Input [yellow] 4 3 3 2 3 3" xfId="34619"/>
    <cellStyle name="Input [yellow] 4 3 3 2 4" xfId="28866"/>
    <cellStyle name="Input [yellow] 4 3 3 2 5" xfId="34617"/>
    <cellStyle name="Input [yellow] 4 3 3 3" xfId="14087"/>
    <cellStyle name="Input [yellow] 4 3 3 3 2" xfId="14088"/>
    <cellStyle name="Input [yellow] 4 3 3 3 2 2" xfId="28870"/>
    <cellStyle name="Input [yellow] 4 3 3 3 2 3" xfId="34621"/>
    <cellStyle name="Input [yellow] 4 3 3 3 3" xfId="14089"/>
    <cellStyle name="Input [yellow] 4 3 3 3 3 2" xfId="28871"/>
    <cellStyle name="Input [yellow] 4 3 3 3 3 3" xfId="34622"/>
    <cellStyle name="Input [yellow] 4 3 3 3 4" xfId="28869"/>
    <cellStyle name="Input [yellow] 4 3 3 3 5" xfId="34620"/>
    <cellStyle name="Input [yellow] 4 3 3 4" xfId="14090"/>
    <cellStyle name="Input [yellow] 4 3 3 4 2" xfId="14091"/>
    <cellStyle name="Input [yellow] 4 3 3 4 2 2" xfId="28873"/>
    <cellStyle name="Input [yellow] 4 3 3 4 2 3" xfId="34624"/>
    <cellStyle name="Input [yellow] 4 3 3 4 3" xfId="14092"/>
    <cellStyle name="Input [yellow] 4 3 3 4 3 2" xfId="28874"/>
    <cellStyle name="Input [yellow] 4 3 3 4 3 3" xfId="34625"/>
    <cellStyle name="Input [yellow] 4 3 3 4 4" xfId="28872"/>
    <cellStyle name="Input [yellow] 4 3 3 4 5" xfId="34623"/>
    <cellStyle name="Input [yellow] 4 3 3 5" xfId="14093"/>
    <cellStyle name="Input [yellow] 4 3 3 5 2" xfId="28875"/>
    <cellStyle name="Input [yellow] 4 3 3 5 3" xfId="34626"/>
    <cellStyle name="Input [yellow] 4 3 3 6" xfId="14094"/>
    <cellStyle name="Input [yellow] 4 3 3 6 2" xfId="28876"/>
    <cellStyle name="Input [yellow] 4 3 3 6 3" xfId="34627"/>
    <cellStyle name="Input [yellow] 4 3 3 7" xfId="21296"/>
    <cellStyle name="Input [yellow] 4 3 3 8" xfId="26365"/>
    <cellStyle name="Input [yellow] 4 3 4" xfId="5425"/>
    <cellStyle name="Input [yellow] 4 3 4 2" xfId="14095"/>
    <cellStyle name="Input [yellow] 4 3 4 2 2" xfId="14096"/>
    <cellStyle name="Input [yellow] 4 3 4 2 2 2" xfId="28878"/>
    <cellStyle name="Input [yellow] 4 3 4 2 2 3" xfId="34629"/>
    <cellStyle name="Input [yellow] 4 3 4 2 3" xfId="14097"/>
    <cellStyle name="Input [yellow] 4 3 4 2 3 2" xfId="28879"/>
    <cellStyle name="Input [yellow] 4 3 4 2 3 3" xfId="34630"/>
    <cellStyle name="Input [yellow] 4 3 4 2 4" xfId="28877"/>
    <cellStyle name="Input [yellow] 4 3 4 2 5" xfId="34628"/>
    <cellStyle name="Input [yellow] 4 3 4 3" xfId="14098"/>
    <cellStyle name="Input [yellow] 4 3 4 3 2" xfId="14099"/>
    <cellStyle name="Input [yellow] 4 3 4 3 2 2" xfId="28881"/>
    <cellStyle name="Input [yellow] 4 3 4 3 2 3" xfId="34632"/>
    <cellStyle name="Input [yellow] 4 3 4 3 3" xfId="14100"/>
    <cellStyle name="Input [yellow] 4 3 4 3 3 2" xfId="28882"/>
    <cellStyle name="Input [yellow] 4 3 4 3 3 3" xfId="34633"/>
    <cellStyle name="Input [yellow] 4 3 4 3 4" xfId="28880"/>
    <cellStyle name="Input [yellow] 4 3 4 3 5" xfId="34631"/>
    <cellStyle name="Input [yellow] 4 3 4 4" xfId="14101"/>
    <cellStyle name="Input [yellow] 4 3 4 4 2" xfId="14102"/>
    <cellStyle name="Input [yellow] 4 3 4 4 2 2" xfId="28884"/>
    <cellStyle name="Input [yellow] 4 3 4 4 2 3" xfId="34635"/>
    <cellStyle name="Input [yellow] 4 3 4 4 3" xfId="14103"/>
    <cellStyle name="Input [yellow] 4 3 4 4 3 2" xfId="28885"/>
    <cellStyle name="Input [yellow] 4 3 4 4 3 3" xfId="34636"/>
    <cellStyle name="Input [yellow] 4 3 4 4 4" xfId="28883"/>
    <cellStyle name="Input [yellow] 4 3 4 4 5" xfId="34634"/>
    <cellStyle name="Input [yellow] 4 3 4 5" xfId="14104"/>
    <cellStyle name="Input [yellow] 4 3 4 5 2" xfId="28886"/>
    <cellStyle name="Input [yellow] 4 3 4 5 3" xfId="34637"/>
    <cellStyle name="Input [yellow] 4 3 4 6" xfId="14105"/>
    <cellStyle name="Input [yellow] 4 3 4 6 2" xfId="28887"/>
    <cellStyle name="Input [yellow] 4 3 4 6 3" xfId="34638"/>
    <cellStyle name="Input [yellow] 4 3 4 7" xfId="21297"/>
    <cellStyle name="Input [yellow] 4 3 4 8" xfId="26364"/>
    <cellStyle name="Input [yellow] 4 3 5" xfId="14106"/>
    <cellStyle name="Input [yellow] 4 3 5 2" xfId="14107"/>
    <cellStyle name="Input [yellow] 4 3 5 2 2" xfId="28889"/>
    <cellStyle name="Input [yellow] 4 3 5 2 3" xfId="34640"/>
    <cellStyle name="Input [yellow] 4 3 5 3" xfId="14108"/>
    <cellStyle name="Input [yellow] 4 3 5 3 2" xfId="28890"/>
    <cellStyle name="Input [yellow] 4 3 5 3 3" xfId="34641"/>
    <cellStyle name="Input [yellow] 4 3 5 4" xfId="28888"/>
    <cellStyle name="Input [yellow] 4 3 5 5" xfId="34639"/>
    <cellStyle name="Input [yellow] 4 3 6" xfId="14109"/>
    <cellStyle name="Input [yellow] 4 3 6 2" xfId="14110"/>
    <cellStyle name="Input [yellow] 4 3 6 2 2" xfId="28892"/>
    <cellStyle name="Input [yellow] 4 3 6 2 3" xfId="34643"/>
    <cellStyle name="Input [yellow] 4 3 6 3" xfId="14111"/>
    <cellStyle name="Input [yellow] 4 3 6 3 2" xfId="28893"/>
    <cellStyle name="Input [yellow] 4 3 6 3 3" xfId="34644"/>
    <cellStyle name="Input [yellow] 4 3 6 4" xfId="28891"/>
    <cellStyle name="Input [yellow] 4 3 6 5" xfId="34642"/>
    <cellStyle name="Input [yellow] 4 3 7" xfId="14112"/>
    <cellStyle name="Input [yellow] 4 3 7 2" xfId="28894"/>
    <cellStyle name="Input [yellow] 4 3 7 3" xfId="34645"/>
    <cellStyle name="Input [yellow] 4 3 8" xfId="14113"/>
    <cellStyle name="Input [yellow] 4 3 8 2" xfId="28895"/>
    <cellStyle name="Input [yellow] 4 3 8 3" xfId="34646"/>
    <cellStyle name="Input [yellow] 4 3 9" xfId="21294"/>
    <cellStyle name="Input [yellow] 4 4" xfId="14114"/>
    <cellStyle name="Input [yellow] 4 4 2" xfId="14115"/>
    <cellStyle name="Input [yellow] 4 4 2 2" xfId="28897"/>
    <cellStyle name="Input [yellow] 4 4 2 3" xfId="34648"/>
    <cellStyle name="Input [yellow] 4 4 3" xfId="14116"/>
    <cellStyle name="Input [yellow] 4 4 3 2" xfId="28898"/>
    <cellStyle name="Input [yellow] 4 4 3 3" xfId="34649"/>
    <cellStyle name="Input [yellow] 4 4 4" xfId="28896"/>
    <cellStyle name="Input [yellow] 4 4 5" xfId="34647"/>
    <cellStyle name="Input [yellow] 4 5" xfId="14117"/>
    <cellStyle name="Input [yellow] 4 5 2" xfId="14118"/>
    <cellStyle name="Input [yellow] 4 5 2 2" xfId="28900"/>
    <cellStyle name="Input [yellow] 4 5 2 3" xfId="34651"/>
    <cellStyle name="Input [yellow] 4 5 3" xfId="14119"/>
    <cellStyle name="Input [yellow] 4 5 3 2" xfId="28901"/>
    <cellStyle name="Input [yellow] 4 5 3 3" xfId="34652"/>
    <cellStyle name="Input [yellow] 4 5 4" xfId="28899"/>
    <cellStyle name="Input [yellow] 4 5 5" xfId="34650"/>
    <cellStyle name="Input [yellow] 4 6" xfId="14120"/>
    <cellStyle name="Input [yellow] 4 6 2" xfId="28902"/>
    <cellStyle name="Input [yellow] 4 6 3" xfId="34653"/>
    <cellStyle name="Input [yellow] 4 7" xfId="14121"/>
    <cellStyle name="Input [yellow] 4 7 2" xfId="28903"/>
    <cellStyle name="Input [yellow] 4 7 3" xfId="34654"/>
    <cellStyle name="Input [yellow] 4 8" xfId="19916"/>
    <cellStyle name="Input [yellow] 4 9" xfId="20015"/>
    <cellStyle name="Input [yellow] 5" xfId="2616"/>
    <cellStyle name="Input [yellow] 5 2" xfId="5426"/>
    <cellStyle name="Input [yellow] 5 2 10" xfId="26363"/>
    <cellStyle name="Input [yellow] 5 2 2" xfId="5427"/>
    <cellStyle name="Input [yellow] 5 2 2 2" xfId="14122"/>
    <cellStyle name="Input [yellow] 5 2 2 2 2" xfId="14123"/>
    <cellStyle name="Input [yellow] 5 2 2 2 2 2" xfId="28905"/>
    <cellStyle name="Input [yellow] 5 2 2 2 2 3" xfId="34656"/>
    <cellStyle name="Input [yellow] 5 2 2 2 3" xfId="14124"/>
    <cellStyle name="Input [yellow] 5 2 2 2 3 2" xfId="28906"/>
    <cellStyle name="Input [yellow] 5 2 2 2 3 3" xfId="34657"/>
    <cellStyle name="Input [yellow] 5 2 2 2 4" xfId="28904"/>
    <cellStyle name="Input [yellow] 5 2 2 2 5" xfId="34655"/>
    <cellStyle name="Input [yellow] 5 2 2 3" xfId="14125"/>
    <cellStyle name="Input [yellow] 5 2 2 3 2" xfId="14126"/>
    <cellStyle name="Input [yellow] 5 2 2 3 2 2" xfId="28908"/>
    <cellStyle name="Input [yellow] 5 2 2 3 2 3" xfId="34659"/>
    <cellStyle name="Input [yellow] 5 2 2 3 3" xfId="14127"/>
    <cellStyle name="Input [yellow] 5 2 2 3 3 2" xfId="28909"/>
    <cellStyle name="Input [yellow] 5 2 2 3 3 3" xfId="34660"/>
    <cellStyle name="Input [yellow] 5 2 2 3 4" xfId="28907"/>
    <cellStyle name="Input [yellow] 5 2 2 3 5" xfId="34658"/>
    <cellStyle name="Input [yellow] 5 2 2 4" xfId="14128"/>
    <cellStyle name="Input [yellow] 5 2 2 4 2" xfId="14129"/>
    <cellStyle name="Input [yellow] 5 2 2 4 2 2" xfId="28911"/>
    <cellStyle name="Input [yellow] 5 2 2 4 2 3" xfId="34662"/>
    <cellStyle name="Input [yellow] 5 2 2 4 3" xfId="14130"/>
    <cellStyle name="Input [yellow] 5 2 2 4 3 2" xfId="28912"/>
    <cellStyle name="Input [yellow] 5 2 2 4 3 3" xfId="34663"/>
    <cellStyle name="Input [yellow] 5 2 2 4 4" xfId="28910"/>
    <cellStyle name="Input [yellow] 5 2 2 4 5" xfId="34661"/>
    <cellStyle name="Input [yellow] 5 2 2 5" xfId="14131"/>
    <cellStyle name="Input [yellow] 5 2 2 5 2" xfId="28913"/>
    <cellStyle name="Input [yellow] 5 2 2 5 3" xfId="34664"/>
    <cellStyle name="Input [yellow] 5 2 2 6" xfId="14132"/>
    <cellStyle name="Input [yellow] 5 2 2 6 2" xfId="28914"/>
    <cellStyle name="Input [yellow] 5 2 2 6 3" xfId="34665"/>
    <cellStyle name="Input [yellow] 5 2 2 7" xfId="21299"/>
    <cellStyle name="Input [yellow] 5 2 2 8" xfId="26362"/>
    <cellStyle name="Input [yellow] 5 2 3" xfId="5428"/>
    <cellStyle name="Input [yellow] 5 2 3 2" xfId="14133"/>
    <cellStyle name="Input [yellow] 5 2 3 2 2" xfId="14134"/>
    <cellStyle name="Input [yellow] 5 2 3 2 2 2" xfId="28916"/>
    <cellStyle name="Input [yellow] 5 2 3 2 2 3" xfId="34667"/>
    <cellStyle name="Input [yellow] 5 2 3 2 3" xfId="14135"/>
    <cellStyle name="Input [yellow] 5 2 3 2 3 2" xfId="28917"/>
    <cellStyle name="Input [yellow] 5 2 3 2 3 3" xfId="34668"/>
    <cellStyle name="Input [yellow] 5 2 3 2 4" xfId="28915"/>
    <cellStyle name="Input [yellow] 5 2 3 2 5" xfId="34666"/>
    <cellStyle name="Input [yellow] 5 2 3 3" xfId="14136"/>
    <cellStyle name="Input [yellow] 5 2 3 3 2" xfId="14137"/>
    <cellStyle name="Input [yellow] 5 2 3 3 2 2" xfId="28919"/>
    <cellStyle name="Input [yellow] 5 2 3 3 2 3" xfId="34670"/>
    <cellStyle name="Input [yellow] 5 2 3 3 3" xfId="14138"/>
    <cellStyle name="Input [yellow] 5 2 3 3 3 2" xfId="28920"/>
    <cellStyle name="Input [yellow] 5 2 3 3 3 3" xfId="34671"/>
    <cellStyle name="Input [yellow] 5 2 3 3 4" xfId="28918"/>
    <cellStyle name="Input [yellow] 5 2 3 3 5" xfId="34669"/>
    <cellStyle name="Input [yellow] 5 2 3 4" xfId="14139"/>
    <cellStyle name="Input [yellow] 5 2 3 4 2" xfId="14140"/>
    <cellStyle name="Input [yellow] 5 2 3 4 2 2" xfId="28922"/>
    <cellStyle name="Input [yellow] 5 2 3 4 2 3" xfId="34673"/>
    <cellStyle name="Input [yellow] 5 2 3 4 3" xfId="14141"/>
    <cellStyle name="Input [yellow] 5 2 3 4 3 2" xfId="28923"/>
    <cellStyle name="Input [yellow] 5 2 3 4 3 3" xfId="34674"/>
    <cellStyle name="Input [yellow] 5 2 3 4 4" xfId="28921"/>
    <cellStyle name="Input [yellow] 5 2 3 4 5" xfId="34672"/>
    <cellStyle name="Input [yellow] 5 2 3 5" xfId="14142"/>
    <cellStyle name="Input [yellow] 5 2 3 5 2" xfId="28924"/>
    <cellStyle name="Input [yellow] 5 2 3 5 3" xfId="34675"/>
    <cellStyle name="Input [yellow] 5 2 3 6" xfId="14143"/>
    <cellStyle name="Input [yellow] 5 2 3 6 2" xfId="28925"/>
    <cellStyle name="Input [yellow] 5 2 3 6 3" xfId="34676"/>
    <cellStyle name="Input [yellow] 5 2 3 7" xfId="21300"/>
    <cellStyle name="Input [yellow] 5 2 3 8" xfId="26361"/>
    <cellStyle name="Input [yellow] 5 2 4" xfId="5429"/>
    <cellStyle name="Input [yellow] 5 2 4 2" xfId="14144"/>
    <cellStyle name="Input [yellow] 5 2 4 2 2" xfId="14145"/>
    <cellStyle name="Input [yellow] 5 2 4 2 2 2" xfId="28927"/>
    <cellStyle name="Input [yellow] 5 2 4 2 2 3" xfId="34678"/>
    <cellStyle name="Input [yellow] 5 2 4 2 3" xfId="14146"/>
    <cellStyle name="Input [yellow] 5 2 4 2 3 2" xfId="28928"/>
    <cellStyle name="Input [yellow] 5 2 4 2 3 3" xfId="34679"/>
    <cellStyle name="Input [yellow] 5 2 4 2 4" xfId="28926"/>
    <cellStyle name="Input [yellow] 5 2 4 2 5" xfId="34677"/>
    <cellStyle name="Input [yellow] 5 2 4 3" xfId="14147"/>
    <cellStyle name="Input [yellow] 5 2 4 3 2" xfId="14148"/>
    <cellStyle name="Input [yellow] 5 2 4 3 2 2" xfId="28930"/>
    <cellStyle name="Input [yellow] 5 2 4 3 2 3" xfId="34681"/>
    <cellStyle name="Input [yellow] 5 2 4 3 3" xfId="14149"/>
    <cellStyle name="Input [yellow] 5 2 4 3 3 2" xfId="28931"/>
    <cellStyle name="Input [yellow] 5 2 4 3 3 3" xfId="34682"/>
    <cellStyle name="Input [yellow] 5 2 4 3 4" xfId="28929"/>
    <cellStyle name="Input [yellow] 5 2 4 3 5" xfId="34680"/>
    <cellStyle name="Input [yellow] 5 2 4 4" xfId="14150"/>
    <cellStyle name="Input [yellow] 5 2 4 4 2" xfId="14151"/>
    <cellStyle name="Input [yellow] 5 2 4 4 2 2" xfId="28933"/>
    <cellStyle name="Input [yellow] 5 2 4 4 2 3" xfId="34684"/>
    <cellStyle name="Input [yellow] 5 2 4 4 3" xfId="14152"/>
    <cellStyle name="Input [yellow] 5 2 4 4 3 2" xfId="28934"/>
    <cellStyle name="Input [yellow] 5 2 4 4 3 3" xfId="34685"/>
    <cellStyle name="Input [yellow] 5 2 4 4 4" xfId="28932"/>
    <cellStyle name="Input [yellow] 5 2 4 4 5" xfId="34683"/>
    <cellStyle name="Input [yellow] 5 2 4 5" xfId="14153"/>
    <cellStyle name="Input [yellow] 5 2 4 5 2" xfId="28935"/>
    <cellStyle name="Input [yellow] 5 2 4 5 3" xfId="34686"/>
    <cellStyle name="Input [yellow] 5 2 4 6" xfId="14154"/>
    <cellStyle name="Input [yellow] 5 2 4 6 2" xfId="28936"/>
    <cellStyle name="Input [yellow] 5 2 4 6 3" xfId="34687"/>
    <cellStyle name="Input [yellow] 5 2 4 7" xfId="21301"/>
    <cellStyle name="Input [yellow] 5 2 4 8" xfId="26360"/>
    <cellStyle name="Input [yellow] 5 2 5" xfId="14155"/>
    <cellStyle name="Input [yellow] 5 2 5 2" xfId="14156"/>
    <cellStyle name="Input [yellow] 5 2 5 2 2" xfId="28938"/>
    <cellStyle name="Input [yellow] 5 2 5 2 3" xfId="34689"/>
    <cellStyle name="Input [yellow] 5 2 5 3" xfId="14157"/>
    <cellStyle name="Input [yellow] 5 2 5 3 2" xfId="28939"/>
    <cellStyle name="Input [yellow] 5 2 5 3 3" xfId="34690"/>
    <cellStyle name="Input [yellow] 5 2 5 4" xfId="28937"/>
    <cellStyle name="Input [yellow] 5 2 5 5" xfId="34688"/>
    <cellStyle name="Input [yellow] 5 2 6" xfId="14158"/>
    <cellStyle name="Input [yellow] 5 2 6 2" xfId="14159"/>
    <cellStyle name="Input [yellow] 5 2 6 2 2" xfId="28941"/>
    <cellStyle name="Input [yellow] 5 2 6 2 3" xfId="34692"/>
    <cellStyle name="Input [yellow] 5 2 6 3" xfId="14160"/>
    <cellStyle name="Input [yellow] 5 2 6 3 2" xfId="28942"/>
    <cellStyle name="Input [yellow] 5 2 6 3 3" xfId="34693"/>
    <cellStyle name="Input [yellow] 5 2 6 4" xfId="28940"/>
    <cellStyle name="Input [yellow] 5 2 6 5" xfId="34691"/>
    <cellStyle name="Input [yellow] 5 2 7" xfId="14161"/>
    <cellStyle name="Input [yellow] 5 2 7 2" xfId="28943"/>
    <cellStyle name="Input [yellow] 5 2 7 3" xfId="34694"/>
    <cellStyle name="Input [yellow] 5 2 8" xfId="14162"/>
    <cellStyle name="Input [yellow] 5 2 8 2" xfId="28944"/>
    <cellStyle name="Input [yellow] 5 2 8 3" xfId="34695"/>
    <cellStyle name="Input [yellow] 5 2 9" xfId="21298"/>
    <cellStyle name="Input [yellow] 5 3" xfId="14163"/>
    <cellStyle name="Input [yellow] 5 3 2" xfId="14164"/>
    <cellStyle name="Input [yellow] 5 3 2 2" xfId="28946"/>
    <cellStyle name="Input [yellow] 5 3 2 3" xfId="34697"/>
    <cellStyle name="Input [yellow] 5 3 3" xfId="14165"/>
    <cellStyle name="Input [yellow] 5 3 3 2" xfId="28947"/>
    <cellStyle name="Input [yellow] 5 3 3 3" xfId="34698"/>
    <cellStyle name="Input [yellow] 5 3 4" xfId="28945"/>
    <cellStyle name="Input [yellow] 5 3 5" xfId="34696"/>
    <cellStyle name="Input [yellow] 5 4" xfId="14166"/>
    <cellStyle name="Input [yellow] 5 4 2" xfId="14167"/>
    <cellStyle name="Input [yellow] 5 4 2 2" xfId="28949"/>
    <cellStyle name="Input [yellow] 5 4 2 3" xfId="34700"/>
    <cellStyle name="Input [yellow] 5 4 3" xfId="14168"/>
    <cellStyle name="Input [yellow] 5 4 3 2" xfId="28950"/>
    <cellStyle name="Input [yellow] 5 4 3 3" xfId="34701"/>
    <cellStyle name="Input [yellow] 5 4 4" xfId="28948"/>
    <cellStyle name="Input [yellow] 5 4 5" xfId="34699"/>
    <cellStyle name="Input [yellow] 5 5" xfId="14169"/>
    <cellStyle name="Input [yellow] 5 5 2" xfId="28951"/>
    <cellStyle name="Input [yellow] 5 5 3" xfId="34702"/>
    <cellStyle name="Input [yellow] 5 6" xfId="14170"/>
    <cellStyle name="Input [yellow] 5 6 2" xfId="28952"/>
    <cellStyle name="Input [yellow] 5 6 3" xfId="34703"/>
    <cellStyle name="Input [yellow] 5 7" xfId="19918"/>
    <cellStyle name="Input [yellow] 5 8" xfId="17985"/>
    <cellStyle name="Input [yellow] 6" xfId="5430"/>
    <cellStyle name="Input [yellow] 6 10" xfId="26359"/>
    <cellStyle name="Input [yellow] 6 2" xfId="5431"/>
    <cellStyle name="Input [yellow] 6 2 2" xfId="14171"/>
    <cellStyle name="Input [yellow] 6 2 2 2" xfId="14172"/>
    <cellStyle name="Input [yellow] 6 2 2 2 2" xfId="28954"/>
    <cellStyle name="Input [yellow] 6 2 2 2 3" xfId="34705"/>
    <cellStyle name="Input [yellow] 6 2 2 3" xfId="14173"/>
    <cellStyle name="Input [yellow] 6 2 2 3 2" xfId="28955"/>
    <cellStyle name="Input [yellow] 6 2 2 3 3" xfId="34706"/>
    <cellStyle name="Input [yellow] 6 2 2 4" xfId="28953"/>
    <cellStyle name="Input [yellow] 6 2 2 5" xfId="34704"/>
    <cellStyle name="Input [yellow] 6 2 3" xfId="14174"/>
    <cellStyle name="Input [yellow] 6 2 3 2" xfId="14175"/>
    <cellStyle name="Input [yellow] 6 2 3 2 2" xfId="28957"/>
    <cellStyle name="Input [yellow] 6 2 3 2 3" xfId="34708"/>
    <cellStyle name="Input [yellow] 6 2 3 3" xfId="14176"/>
    <cellStyle name="Input [yellow] 6 2 3 3 2" xfId="28958"/>
    <cellStyle name="Input [yellow] 6 2 3 3 3" xfId="34709"/>
    <cellStyle name="Input [yellow] 6 2 3 4" xfId="28956"/>
    <cellStyle name="Input [yellow] 6 2 3 5" xfId="34707"/>
    <cellStyle name="Input [yellow] 6 2 4" xfId="14177"/>
    <cellStyle name="Input [yellow] 6 2 4 2" xfId="14178"/>
    <cellStyle name="Input [yellow] 6 2 4 2 2" xfId="28960"/>
    <cellStyle name="Input [yellow] 6 2 4 2 3" xfId="34711"/>
    <cellStyle name="Input [yellow] 6 2 4 3" xfId="14179"/>
    <cellStyle name="Input [yellow] 6 2 4 3 2" xfId="28961"/>
    <cellStyle name="Input [yellow] 6 2 4 3 3" xfId="34712"/>
    <cellStyle name="Input [yellow] 6 2 4 4" xfId="28959"/>
    <cellStyle name="Input [yellow] 6 2 4 5" xfId="34710"/>
    <cellStyle name="Input [yellow] 6 2 5" xfId="14180"/>
    <cellStyle name="Input [yellow] 6 2 5 2" xfId="28962"/>
    <cellStyle name="Input [yellow] 6 2 5 3" xfId="34713"/>
    <cellStyle name="Input [yellow] 6 2 6" xfId="14181"/>
    <cellStyle name="Input [yellow] 6 2 6 2" xfId="28963"/>
    <cellStyle name="Input [yellow] 6 2 6 3" xfId="34714"/>
    <cellStyle name="Input [yellow] 6 2 7" xfId="21303"/>
    <cellStyle name="Input [yellow] 6 2 8" xfId="26358"/>
    <cellStyle name="Input [yellow] 6 3" xfId="5432"/>
    <cellStyle name="Input [yellow] 6 3 2" xfId="14182"/>
    <cellStyle name="Input [yellow] 6 3 2 2" xfId="14183"/>
    <cellStyle name="Input [yellow] 6 3 2 2 2" xfId="28965"/>
    <cellStyle name="Input [yellow] 6 3 2 2 3" xfId="34716"/>
    <cellStyle name="Input [yellow] 6 3 2 3" xfId="14184"/>
    <cellStyle name="Input [yellow] 6 3 2 3 2" xfId="28966"/>
    <cellStyle name="Input [yellow] 6 3 2 3 3" xfId="34717"/>
    <cellStyle name="Input [yellow] 6 3 2 4" xfId="28964"/>
    <cellStyle name="Input [yellow] 6 3 2 5" xfId="34715"/>
    <cellStyle name="Input [yellow] 6 3 3" xfId="14185"/>
    <cellStyle name="Input [yellow] 6 3 3 2" xfId="14186"/>
    <cellStyle name="Input [yellow] 6 3 3 2 2" xfId="28968"/>
    <cellStyle name="Input [yellow] 6 3 3 2 3" xfId="34719"/>
    <cellStyle name="Input [yellow] 6 3 3 3" xfId="14187"/>
    <cellStyle name="Input [yellow] 6 3 3 3 2" xfId="28969"/>
    <cellStyle name="Input [yellow] 6 3 3 3 3" xfId="34720"/>
    <cellStyle name="Input [yellow] 6 3 3 4" xfId="28967"/>
    <cellStyle name="Input [yellow] 6 3 3 5" xfId="34718"/>
    <cellStyle name="Input [yellow] 6 3 4" xfId="14188"/>
    <cellStyle name="Input [yellow] 6 3 4 2" xfId="14189"/>
    <cellStyle name="Input [yellow] 6 3 4 2 2" xfId="28971"/>
    <cellStyle name="Input [yellow] 6 3 4 2 3" xfId="34722"/>
    <cellStyle name="Input [yellow] 6 3 4 3" xfId="14190"/>
    <cellStyle name="Input [yellow] 6 3 4 3 2" xfId="28972"/>
    <cellStyle name="Input [yellow] 6 3 4 3 3" xfId="34723"/>
    <cellStyle name="Input [yellow] 6 3 4 4" xfId="28970"/>
    <cellStyle name="Input [yellow] 6 3 4 5" xfId="34721"/>
    <cellStyle name="Input [yellow] 6 3 5" xfId="14191"/>
    <cellStyle name="Input [yellow] 6 3 5 2" xfId="28973"/>
    <cellStyle name="Input [yellow] 6 3 5 3" xfId="34724"/>
    <cellStyle name="Input [yellow] 6 3 6" xfId="14192"/>
    <cellStyle name="Input [yellow] 6 3 6 2" xfId="28974"/>
    <cellStyle name="Input [yellow] 6 3 6 3" xfId="34725"/>
    <cellStyle name="Input [yellow] 6 3 7" xfId="21304"/>
    <cellStyle name="Input [yellow] 6 3 8" xfId="26357"/>
    <cellStyle name="Input [yellow] 6 4" xfId="5433"/>
    <cellStyle name="Input [yellow] 6 4 2" xfId="14193"/>
    <cellStyle name="Input [yellow] 6 4 2 2" xfId="14194"/>
    <cellStyle name="Input [yellow] 6 4 2 2 2" xfId="28976"/>
    <cellStyle name="Input [yellow] 6 4 2 2 3" xfId="34727"/>
    <cellStyle name="Input [yellow] 6 4 2 3" xfId="14195"/>
    <cellStyle name="Input [yellow] 6 4 2 3 2" xfId="28977"/>
    <cellStyle name="Input [yellow] 6 4 2 3 3" xfId="34728"/>
    <cellStyle name="Input [yellow] 6 4 2 4" xfId="28975"/>
    <cellStyle name="Input [yellow] 6 4 2 5" xfId="34726"/>
    <cellStyle name="Input [yellow] 6 4 3" xfId="14196"/>
    <cellStyle name="Input [yellow] 6 4 3 2" xfId="14197"/>
    <cellStyle name="Input [yellow] 6 4 3 2 2" xfId="28979"/>
    <cellStyle name="Input [yellow] 6 4 3 2 3" xfId="34730"/>
    <cellStyle name="Input [yellow] 6 4 3 3" xfId="14198"/>
    <cellStyle name="Input [yellow] 6 4 3 3 2" xfId="28980"/>
    <cellStyle name="Input [yellow] 6 4 3 3 3" xfId="34731"/>
    <cellStyle name="Input [yellow] 6 4 3 4" xfId="28978"/>
    <cellStyle name="Input [yellow] 6 4 3 5" xfId="34729"/>
    <cellStyle name="Input [yellow] 6 4 4" xfId="14199"/>
    <cellStyle name="Input [yellow] 6 4 4 2" xfId="14200"/>
    <cellStyle name="Input [yellow] 6 4 4 2 2" xfId="28982"/>
    <cellStyle name="Input [yellow] 6 4 4 2 3" xfId="34733"/>
    <cellStyle name="Input [yellow] 6 4 4 3" xfId="14201"/>
    <cellStyle name="Input [yellow] 6 4 4 3 2" xfId="28983"/>
    <cellStyle name="Input [yellow] 6 4 4 3 3" xfId="34734"/>
    <cellStyle name="Input [yellow] 6 4 4 4" xfId="28981"/>
    <cellStyle name="Input [yellow] 6 4 4 5" xfId="34732"/>
    <cellStyle name="Input [yellow] 6 4 5" xfId="14202"/>
    <cellStyle name="Input [yellow] 6 4 5 2" xfId="28984"/>
    <cellStyle name="Input [yellow] 6 4 5 3" xfId="34735"/>
    <cellStyle name="Input [yellow] 6 4 6" xfId="14203"/>
    <cellStyle name="Input [yellow] 6 4 6 2" xfId="28985"/>
    <cellStyle name="Input [yellow] 6 4 6 3" xfId="34736"/>
    <cellStyle name="Input [yellow] 6 4 7" xfId="21305"/>
    <cellStyle name="Input [yellow] 6 4 8" xfId="26356"/>
    <cellStyle name="Input [yellow] 6 5" xfId="14204"/>
    <cellStyle name="Input [yellow] 6 5 2" xfId="14205"/>
    <cellStyle name="Input [yellow] 6 5 2 2" xfId="28987"/>
    <cellStyle name="Input [yellow] 6 5 2 3" xfId="34738"/>
    <cellStyle name="Input [yellow] 6 5 3" xfId="14206"/>
    <cellStyle name="Input [yellow] 6 5 3 2" xfId="28988"/>
    <cellStyle name="Input [yellow] 6 5 3 3" xfId="34739"/>
    <cellStyle name="Input [yellow] 6 5 4" xfId="28986"/>
    <cellStyle name="Input [yellow] 6 5 5" xfId="34737"/>
    <cellStyle name="Input [yellow] 6 6" xfId="14207"/>
    <cellStyle name="Input [yellow] 6 6 2" xfId="14208"/>
    <cellStyle name="Input [yellow] 6 6 2 2" xfId="28990"/>
    <cellStyle name="Input [yellow] 6 6 2 3" xfId="34741"/>
    <cellStyle name="Input [yellow] 6 6 3" xfId="14209"/>
    <cellStyle name="Input [yellow] 6 6 3 2" xfId="28991"/>
    <cellStyle name="Input [yellow] 6 6 3 3" xfId="34742"/>
    <cellStyle name="Input [yellow] 6 6 4" xfId="28989"/>
    <cellStyle name="Input [yellow] 6 6 5" xfId="34740"/>
    <cellStyle name="Input [yellow] 6 7" xfId="14210"/>
    <cellStyle name="Input [yellow] 6 7 2" xfId="28992"/>
    <cellStyle name="Input [yellow] 6 7 3" xfId="34743"/>
    <cellStyle name="Input [yellow] 6 8" xfId="14211"/>
    <cellStyle name="Input [yellow] 6 8 2" xfId="28993"/>
    <cellStyle name="Input [yellow] 6 8 3" xfId="34744"/>
    <cellStyle name="Input [yellow] 6 9" xfId="21302"/>
    <cellStyle name="Input [yellow] 7" xfId="14212"/>
    <cellStyle name="Input [yellow] 7 2" xfId="14213"/>
    <cellStyle name="Input [yellow] 7 2 2" xfId="28995"/>
    <cellStyle name="Input [yellow] 7 2 3" xfId="34746"/>
    <cellStyle name="Input [yellow] 7 3" xfId="14214"/>
    <cellStyle name="Input [yellow] 7 3 2" xfId="28996"/>
    <cellStyle name="Input [yellow] 7 3 3" xfId="34747"/>
    <cellStyle name="Input [yellow] 7 4" xfId="28994"/>
    <cellStyle name="Input [yellow] 7 5" xfId="34745"/>
    <cellStyle name="Input [yellow] 8" xfId="14215"/>
    <cellStyle name="Input [yellow] 8 2" xfId="14216"/>
    <cellStyle name="Input [yellow] 8 2 2" xfId="28998"/>
    <cellStyle name="Input [yellow] 8 2 3" xfId="34749"/>
    <cellStyle name="Input [yellow] 8 3" xfId="14217"/>
    <cellStyle name="Input [yellow] 8 3 2" xfId="28999"/>
    <cellStyle name="Input [yellow] 8 3 3" xfId="34750"/>
    <cellStyle name="Input [yellow] 8 4" xfId="28997"/>
    <cellStyle name="Input [yellow] 8 5" xfId="34748"/>
    <cellStyle name="Input [yellow] 9" xfId="14218"/>
    <cellStyle name="Input [yellow] 9 2" xfId="29000"/>
    <cellStyle name="Input [yellow] 9 3" xfId="34751"/>
    <cellStyle name="Input 1" xfId="2617"/>
    <cellStyle name="Input 2" xfId="2618"/>
    <cellStyle name="Input 2 2" xfId="2619"/>
    <cellStyle name="Input 3" xfId="2620"/>
    <cellStyle name="Input 4" xfId="2621"/>
    <cellStyle name="Input 5" xfId="2622"/>
    <cellStyle name="Input Cells" xfId="2623"/>
    <cellStyle name="Input Cells 10" xfId="20014"/>
    <cellStyle name="Input Cells 2" xfId="2624"/>
    <cellStyle name="Input Cells 2 2" xfId="2625"/>
    <cellStyle name="Input Cells 2 2 2" xfId="5434"/>
    <cellStyle name="Input Cells 2 2 2 10" xfId="26355"/>
    <cellStyle name="Input Cells 2 2 2 2" xfId="5435"/>
    <cellStyle name="Input Cells 2 2 2 2 2" xfId="14219"/>
    <cellStyle name="Input Cells 2 2 2 2 2 2" xfId="14220"/>
    <cellStyle name="Input Cells 2 2 2 2 2 2 2" xfId="29002"/>
    <cellStyle name="Input Cells 2 2 2 2 2 2 3" xfId="34753"/>
    <cellStyle name="Input Cells 2 2 2 2 2 3" xfId="14221"/>
    <cellStyle name="Input Cells 2 2 2 2 2 3 2" xfId="29003"/>
    <cellStyle name="Input Cells 2 2 2 2 2 3 3" xfId="34754"/>
    <cellStyle name="Input Cells 2 2 2 2 2 4" xfId="29001"/>
    <cellStyle name="Input Cells 2 2 2 2 2 5" xfId="34752"/>
    <cellStyle name="Input Cells 2 2 2 2 3" xfId="14222"/>
    <cellStyle name="Input Cells 2 2 2 2 3 2" xfId="14223"/>
    <cellStyle name="Input Cells 2 2 2 2 3 2 2" xfId="29005"/>
    <cellStyle name="Input Cells 2 2 2 2 3 2 3" xfId="34756"/>
    <cellStyle name="Input Cells 2 2 2 2 3 3" xfId="14224"/>
    <cellStyle name="Input Cells 2 2 2 2 3 3 2" xfId="29006"/>
    <cellStyle name="Input Cells 2 2 2 2 3 3 3" xfId="34757"/>
    <cellStyle name="Input Cells 2 2 2 2 3 4" xfId="29004"/>
    <cellStyle name="Input Cells 2 2 2 2 3 5" xfId="34755"/>
    <cellStyle name="Input Cells 2 2 2 2 4" xfId="14225"/>
    <cellStyle name="Input Cells 2 2 2 2 4 2" xfId="14226"/>
    <cellStyle name="Input Cells 2 2 2 2 4 2 2" xfId="29008"/>
    <cellStyle name="Input Cells 2 2 2 2 4 2 3" xfId="34759"/>
    <cellStyle name="Input Cells 2 2 2 2 4 3" xfId="14227"/>
    <cellStyle name="Input Cells 2 2 2 2 4 3 2" xfId="29009"/>
    <cellStyle name="Input Cells 2 2 2 2 4 3 3" xfId="34760"/>
    <cellStyle name="Input Cells 2 2 2 2 4 4" xfId="29007"/>
    <cellStyle name="Input Cells 2 2 2 2 4 5" xfId="34758"/>
    <cellStyle name="Input Cells 2 2 2 2 5" xfId="14228"/>
    <cellStyle name="Input Cells 2 2 2 2 5 2" xfId="29010"/>
    <cellStyle name="Input Cells 2 2 2 2 5 3" xfId="34761"/>
    <cellStyle name="Input Cells 2 2 2 2 6" xfId="14229"/>
    <cellStyle name="Input Cells 2 2 2 2 6 2" xfId="29011"/>
    <cellStyle name="Input Cells 2 2 2 2 6 3" xfId="34762"/>
    <cellStyle name="Input Cells 2 2 2 2 7" xfId="21307"/>
    <cellStyle name="Input Cells 2 2 2 2 8" xfId="26354"/>
    <cellStyle name="Input Cells 2 2 2 3" xfId="5436"/>
    <cellStyle name="Input Cells 2 2 2 3 2" xfId="14230"/>
    <cellStyle name="Input Cells 2 2 2 3 2 2" xfId="14231"/>
    <cellStyle name="Input Cells 2 2 2 3 2 2 2" xfId="29013"/>
    <cellStyle name="Input Cells 2 2 2 3 2 2 3" xfId="34764"/>
    <cellStyle name="Input Cells 2 2 2 3 2 3" xfId="14232"/>
    <cellStyle name="Input Cells 2 2 2 3 2 3 2" xfId="29014"/>
    <cellStyle name="Input Cells 2 2 2 3 2 3 3" xfId="34765"/>
    <cellStyle name="Input Cells 2 2 2 3 2 4" xfId="29012"/>
    <cellStyle name="Input Cells 2 2 2 3 2 5" xfId="34763"/>
    <cellStyle name="Input Cells 2 2 2 3 3" xfId="14233"/>
    <cellStyle name="Input Cells 2 2 2 3 3 2" xfId="14234"/>
    <cellStyle name="Input Cells 2 2 2 3 3 2 2" xfId="29016"/>
    <cellStyle name="Input Cells 2 2 2 3 3 2 3" xfId="34767"/>
    <cellStyle name="Input Cells 2 2 2 3 3 3" xfId="14235"/>
    <cellStyle name="Input Cells 2 2 2 3 3 3 2" xfId="29017"/>
    <cellStyle name="Input Cells 2 2 2 3 3 3 3" xfId="34768"/>
    <cellStyle name="Input Cells 2 2 2 3 3 4" xfId="29015"/>
    <cellStyle name="Input Cells 2 2 2 3 3 5" xfId="34766"/>
    <cellStyle name="Input Cells 2 2 2 3 4" xfId="14236"/>
    <cellStyle name="Input Cells 2 2 2 3 4 2" xfId="14237"/>
    <cellStyle name="Input Cells 2 2 2 3 4 2 2" xfId="29019"/>
    <cellStyle name="Input Cells 2 2 2 3 4 2 3" xfId="34770"/>
    <cellStyle name="Input Cells 2 2 2 3 4 3" xfId="14238"/>
    <cellStyle name="Input Cells 2 2 2 3 4 3 2" xfId="29020"/>
    <cellStyle name="Input Cells 2 2 2 3 4 3 3" xfId="34771"/>
    <cellStyle name="Input Cells 2 2 2 3 4 4" xfId="29018"/>
    <cellStyle name="Input Cells 2 2 2 3 4 5" xfId="34769"/>
    <cellStyle name="Input Cells 2 2 2 3 5" xfId="14239"/>
    <cellStyle name="Input Cells 2 2 2 3 5 2" xfId="29021"/>
    <cellStyle name="Input Cells 2 2 2 3 5 3" xfId="34772"/>
    <cellStyle name="Input Cells 2 2 2 3 6" xfId="14240"/>
    <cellStyle name="Input Cells 2 2 2 3 6 2" xfId="29022"/>
    <cellStyle name="Input Cells 2 2 2 3 6 3" xfId="34773"/>
    <cellStyle name="Input Cells 2 2 2 3 7" xfId="21308"/>
    <cellStyle name="Input Cells 2 2 2 3 8" xfId="26353"/>
    <cellStyle name="Input Cells 2 2 2 4" xfId="5437"/>
    <cellStyle name="Input Cells 2 2 2 4 2" xfId="14241"/>
    <cellStyle name="Input Cells 2 2 2 4 2 2" xfId="14242"/>
    <cellStyle name="Input Cells 2 2 2 4 2 2 2" xfId="29024"/>
    <cellStyle name="Input Cells 2 2 2 4 2 2 3" xfId="34775"/>
    <cellStyle name="Input Cells 2 2 2 4 2 3" xfId="14243"/>
    <cellStyle name="Input Cells 2 2 2 4 2 3 2" xfId="29025"/>
    <cellStyle name="Input Cells 2 2 2 4 2 3 3" xfId="34776"/>
    <cellStyle name="Input Cells 2 2 2 4 2 4" xfId="29023"/>
    <cellStyle name="Input Cells 2 2 2 4 2 5" xfId="34774"/>
    <cellStyle name="Input Cells 2 2 2 4 3" xfId="14244"/>
    <cellStyle name="Input Cells 2 2 2 4 3 2" xfId="14245"/>
    <cellStyle name="Input Cells 2 2 2 4 3 2 2" xfId="29027"/>
    <cellStyle name="Input Cells 2 2 2 4 3 2 3" xfId="34778"/>
    <cellStyle name="Input Cells 2 2 2 4 3 3" xfId="14246"/>
    <cellStyle name="Input Cells 2 2 2 4 3 3 2" xfId="29028"/>
    <cellStyle name="Input Cells 2 2 2 4 3 3 3" xfId="34779"/>
    <cellStyle name="Input Cells 2 2 2 4 3 4" xfId="29026"/>
    <cellStyle name="Input Cells 2 2 2 4 3 5" xfId="34777"/>
    <cellStyle name="Input Cells 2 2 2 4 4" xfId="14247"/>
    <cellStyle name="Input Cells 2 2 2 4 4 2" xfId="14248"/>
    <cellStyle name="Input Cells 2 2 2 4 4 2 2" xfId="29030"/>
    <cellStyle name="Input Cells 2 2 2 4 4 2 3" xfId="34781"/>
    <cellStyle name="Input Cells 2 2 2 4 4 3" xfId="14249"/>
    <cellStyle name="Input Cells 2 2 2 4 4 3 2" xfId="29031"/>
    <cellStyle name="Input Cells 2 2 2 4 4 3 3" xfId="34782"/>
    <cellStyle name="Input Cells 2 2 2 4 4 4" xfId="29029"/>
    <cellStyle name="Input Cells 2 2 2 4 4 5" xfId="34780"/>
    <cellStyle name="Input Cells 2 2 2 4 5" xfId="14250"/>
    <cellStyle name="Input Cells 2 2 2 4 5 2" xfId="29032"/>
    <cellStyle name="Input Cells 2 2 2 4 5 3" xfId="34783"/>
    <cellStyle name="Input Cells 2 2 2 4 6" xfId="14251"/>
    <cellStyle name="Input Cells 2 2 2 4 6 2" xfId="29033"/>
    <cellStyle name="Input Cells 2 2 2 4 6 3" xfId="34784"/>
    <cellStyle name="Input Cells 2 2 2 4 7" xfId="21309"/>
    <cellStyle name="Input Cells 2 2 2 4 8" xfId="26352"/>
    <cellStyle name="Input Cells 2 2 2 5" xfId="14252"/>
    <cellStyle name="Input Cells 2 2 2 5 2" xfId="14253"/>
    <cellStyle name="Input Cells 2 2 2 5 2 2" xfId="29035"/>
    <cellStyle name="Input Cells 2 2 2 5 2 3" xfId="34786"/>
    <cellStyle name="Input Cells 2 2 2 5 3" xfId="14254"/>
    <cellStyle name="Input Cells 2 2 2 5 3 2" xfId="29036"/>
    <cellStyle name="Input Cells 2 2 2 5 3 3" xfId="34787"/>
    <cellStyle name="Input Cells 2 2 2 5 4" xfId="29034"/>
    <cellStyle name="Input Cells 2 2 2 5 5" xfId="34785"/>
    <cellStyle name="Input Cells 2 2 2 6" xfId="14255"/>
    <cellStyle name="Input Cells 2 2 2 6 2" xfId="14256"/>
    <cellStyle name="Input Cells 2 2 2 6 2 2" xfId="29038"/>
    <cellStyle name="Input Cells 2 2 2 6 2 3" xfId="34789"/>
    <cellStyle name="Input Cells 2 2 2 6 3" xfId="14257"/>
    <cellStyle name="Input Cells 2 2 2 6 3 2" xfId="29039"/>
    <cellStyle name="Input Cells 2 2 2 6 3 3" xfId="34790"/>
    <cellStyle name="Input Cells 2 2 2 6 4" xfId="29037"/>
    <cellStyle name="Input Cells 2 2 2 6 5" xfId="34788"/>
    <cellStyle name="Input Cells 2 2 2 7" xfId="14258"/>
    <cellStyle name="Input Cells 2 2 2 7 2" xfId="29040"/>
    <cellStyle name="Input Cells 2 2 2 7 3" xfId="34791"/>
    <cellStyle name="Input Cells 2 2 2 8" xfId="14259"/>
    <cellStyle name="Input Cells 2 2 2 8 2" xfId="29041"/>
    <cellStyle name="Input Cells 2 2 2 8 3" xfId="34792"/>
    <cellStyle name="Input Cells 2 2 2 9" xfId="21306"/>
    <cellStyle name="Input Cells 2 2 3" xfId="14260"/>
    <cellStyle name="Input Cells 2 2 3 2" xfId="14261"/>
    <cellStyle name="Input Cells 2 2 3 2 2" xfId="29043"/>
    <cellStyle name="Input Cells 2 2 3 2 3" xfId="34794"/>
    <cellStyle name="Input Cells 2 2 3 3" xfId="14262"/>
    <cellStyle name="Input Cells 2 2 3 3 2" xfId="29044"/>
    <cellStyle name="Input Cells 2 2 3 3 3" xfId="34795"/>
    <cellStyle name="Input Cells 2 2 3 4" xfId="29042"/>
    <cellStyle name="Input Cells 2 2 3 5" xfId="34793"/>
    <cellStyle name="Input Cells 2 2 4" xfId="14263"/>
    <cellStyle name="Input Cells 2 2 4 2" xfId="14264"/>
    <cellStyle name="Input Cells 2 2 4 2 2" xfId="29046"/>
    <cellStyle name="Input Cells 2 2 4 2 3" xfId="34797"/>
    <cellStyle name="Input Cells 2 2 4 3" xfId="14265"/>
    <cellStyle name="Input Cells 2 2 4 3 2" xfId="29047"/>
    <cellStyle name="Input Cells 2 2 4 3 3" xfId="34798"/>
    <cellStyle name="Input Cells 2 2 4 4" xfId="29045"/>
    <cellStyle name="Input Cells 2 2 4 5" xfId="34796"/>
    <cellStyle name="Input Cells 2 2 5" xfId="14266"/>
    <cellStyle name="Input Cells 2 2 5 2" xfId="29048"/>
    <cellStyle name="Input Cells 2 2 5 3" xfId="34799"/>
    <cellStyle name="Input Cells 2 2 6" xfId="14267"/>
    <cellStyle name="Input Cells 2 2 6 2" xfId="29049"/>
    <cellStyle name="Input Cells 2 2 6 3" xfId="34800"/>
    <cellStyle name="Input Cells 2 2 7" xfId="19921"/>
    <cellStyle name="Input Cells 2 2 8" xfId="18146"/>
    <cellStyle name="Input Cells 2 3" xfId="5438"/>
    <cellStyle name="Input Cells 2 3 10" xfId="20542"/>
    <cellStyle name="Input Cells 2 3 2" xfId="5439"/>
    <cellStyle name="Input Cells 2 3 2 2" xfId="14268"/>
    <cellStyle name="Input Cells 2 3 2 2 2" xfId="14269"/>
    <cellStyle name="Input Cells 2 3 2 2 2 2" xfId="29051"/>
    <cellStyle name="Input Cells 2 3 2 2 2 3" xfId="34802"/>
    <cellStyle name="Input Cells 2 3 2 2 3" xfId="14270"/>
    <cellStyle name="Input Cells 2 3 2 2 3 2" xfId="29052"/>
    <cellStyle name="Input Cells 2 3 2 2 3 3" xfId="34803"/>
    <cellStyle name="Input Cells 2 3 2 2 4" xfId="29050"/>
    <cellStyle name="Input Cells 2 3 2 2 5" xfId="34801"/>
    <cellStyle name="Input Cells 2 3 2 3" xfId="14271"/>
    <cellStyle name="Input Cells 2 3 2 3 2" xfId="14272"/>
    <cellStyle name="Input Cells 2 3 2 3 2 2" xfId="29054"/>
    <cellStyle name="Input Cells 2 3 2 3 2 3" xfId="34805"/>
    <cellStyle name="Input Cells 2 3 2 3 3" xfId="14273"/>
    <cellStyle name="Input Cells 2 3 2 3 3 2" xfId="29055"/>
    <cellStyle name="Input Cells 2 3 2 3 3 3" xfId="34806"/>
    <cellStyle name="Input Cells 2 3 2 3 4" xfId="29053"/>
    <cellStyle name="Input Cells 2 3 2 3 5" xfId="34804"/>
    <cellStyle name="Input Cells 2 3 2 4" xfId="14274"/>
    <cellStyle name="Input Cells 2 3 2 4 2" xfId="14275"/>
    <cellStyle name="Input Cells 2 3 2 4 2 2" xfId="29057"/>
    <cellStyle name="Input Cells 2 3 2 4 2 3" xfId="34808"/>
    <cellStyle name="Input Cells 2 3 2 4 3" xfId="14276"/>
    <cellStyle name="Input Cells 2 3 2 4 3 2" xfId="29058"/>
    <cellStyle name="Input Cells 2 3 2 4 3 3" xfId="34809"/>
    <cellStyle name="Input Cells 2 3 2 4 4" xfId="29056"/>
    <cellStyle name="Input Cells 2 3 2 4 5" xfId="34807"/>
    <cellStyle name="Input Cells 2 3 2 5" xfId="14277"/>
    <cellStyle name="Input Cells 2 3 2 5 2" xfId="29059"/>
    <cellStyle name="Input Cells 2 3 2 5 3" xfId="34810"/>
    <cellStyle name="Input Cells 2 3 2 6" xfId="14278"/>
    <cellStyle name="Input Cells 2 3 2 6 2" xfId="29060"/>
    <cellStyle name="Input Cells 2 3 2 6 3" xfId="34811"/>
    <cellStyle name="Input Cells 2 3 2 7" xfId="21311"/>
    <cellStyle name="Input Cells 2 3 2 8" xfId="20101"/>
    <cellStyle name="Input Cells 2 3 3" xfId="5440"/>
    <cellStyle name="Input Cells 2 3 3 2" xfId="14279"/>
    <cellStyle name="Input Cells 2 3 3 2 2" xfId="14280"/>
    <cellStyle name="Input Cells 2 3 3 2 2 2" xfId="29062"/>
    <cellStyle name="Input Cells 2 3 3 2 2 3" xfId="34813"/>
    <cellStyle name="Input Cells 2 3 3 2 3" xfId="14281"/>
    <cellStyle name="Input Cells 2 3 3 2 3 2" xfId="29063"/>
    <cellStyle name="Input Cells 2 3 3 2 3 3" xfId="34814"/>
    <cellStyle name="Input Cells 2 3 3 2 4" xfId="29061"/>
    <cellStyle name="Input Cells 2 3 3 2 5" xfId="34812"/>
    <cellStyle name="Input Cells 2 3 3 3" xfId="14282"/>
    <cellStyle name="Input Cells 2 3 3 3 2" xfId="14283"/>
    <cellStyle name="Input Cells 2 3 3 3 2 2" xfId="29065"/>
    <cellStyle name="Input Cells 2 3 3 3 2 3" xfId="34816"/>
    <cellStyle name="Input Cells 2 3 3 3 3" xfId="14284"/>
    <cellStyle name="Input Cells 2 3 3 3 3 2" xfId="29066"/>
    <cellStyle name="Input Cells 2 3 3 3 3 3" xfId="34817"/>
    <cellStyle name="Input Cells 2 3 3 3 4" xfId="29064"/>
    <cellStyle name="Input Cells 2 3 3 3 5" xfId="34815"/>
    <cellStyle name="Input Cells 2 3 3 4" xfId="14285"/>
    <cellStyle name="Input Cells 2 3 3 4 2" xfId="14286"/>
    <cellStyle name="Input Cells 2 3 3 4 2 2" xfId="29068"/>
    <cellStyle name="Input Cells 2 3 3 4 2 3" xfId="34819"/>
    <cellStyle name="Input Cells 2 3 3 4 3" xfId="14287"/>
    <cellStyle name="Input Cells 2 3 3 4 3 2" xfId="29069"/>
    <cellStyle name="Input Cells 2 3 3 4 3 3" xfId="34820"/>
    <cellStyle name="Input Cells 2 3 3 4 4" xfId="29067"/>
    <cellStyle name="Input Cells 2 3 3 4 5" xfId="34818"/>
    <cellStyle name="Input Cells 2 3 3 5" xfId="14288"/>
    <cellStyle name="Input Cells 2 3 3 5 2" xfId="29070"/>
    <cellStyle name="Input Cells 2 3 3 5 3" xfId="34821"/>
    <cellStyle name="Input Cells 2 3 3 6" xfId="14289"/>
    <cellStyle name="Input Cells 2 3 3 6 2" xfId="29071"/>
    <cellStyle name="Input Cells 2 3 3 6 3" xfId="34822"/>
    <cellStyle name="Input Cells 2 3 3 7" xfId="21312"/>
    <cellStyle name="Input Cells 2 3 3 8" xfId="26351"/>
    <cellStyle name="Input Cells 2 3 4" xfId="5441"/>
    <cellStyle name="Input Cells 2 3 4 2" xfId="14290"/>
    <cellStyle name="Input Cells 2 3 4 2 2" xfId="14291"/>
    <cellStyle name="Input Cells 2 3 4 2 2 2" xfId="29073"/>
    <cellStyle name="Input Cells 2 3 4 2 2 3" xfId="34824"/>
    <cellStyle name="Input Cells 2 3 4 2 3" xfId="14292"/>
    <cellStyle name="Input Cells 2 3 4 2 3 2" xfId="29074"/>
    <cellStyle name="Input Cells 2 3 4 2 3 3" xfId="34825"/>
    <cellStyle name="Input Cells 2 3 4 2 4" xfId="29072"/>
    <cellStyle name="Input Cells 2 3 4 2 5" xfId="34823"/>
    <cellStyle name="Input Cells 2 3 4 3" xfId="14293"/>
    <cellStyle name="Input Cells 2 3 4 3 2" xfId="14294"/>
    <cellStyle name="Input Cells 2 3 4 3 2 2" xfId="29076"/>
    <cellStyle name="Input Cells 2 3 4 3 2 3" xfId="34827"/>
    <cellStyle name="Input Cells 2 3 4 3 3" xfId="14295"/>
    <cellStyle name="Input Cells 2 3 4 3 3 2" xfId="29077"/>
    <cellStyle name="Input Cells 2 3 4 3 3 3" xfId="34828"/>
    <cellStyle name="Input Cells 2 3 4 3 4" xfId="29075"/>
    <cellStyle name="Input Cells 2 3 4 3 5" xfId="34826"/>
    <cellStyle name="Input Cells 2 3 4 4" xfId="14296"/>
    <cellStyle name="Input Cells 2 3 4 4 2" xfId="14297"/>
    <cellStyle name="Input Cells 2 3 4 4 2 2" xfId="29079"/>
    <cellStyle name="Input Cells 2 3 4 4 2 3" xfId="34830"/>
    <cellStyle name="Input Cells 2 3 4 4 3" xfId="14298"/>
    <cellStyle name="Input Cells 2 3 4 4 3 2" xfId="29080"/>
    <cellStyle name="Input Cells 2 3 4 4 3 3" xfId="34831"/>
    <cellStyle name="Input Cells 2 3 4 4 4" xfId="29078"/>
    <cellStyle name="Input Cells 2 3 4 4 5" xfId="34829"/>
    <cellStyle name="Input Cells 2 3 4 5" xfId="14299"/>
    <cellStyle name="Input Cells 2 3 4 5 2" xfId="29081"/>
    <cellStyle name="Input Cells 2 3 4 5 3" xfId="34832"/>
    <cellStyle name="Input Cells 2 3 4 6" xfId="14300"/>
    <cellStyle name="Input Cells 2 3 4 6 2" xfId="29082"/>
    <cellStyle name="Input Cells 2 3 4 6 3" xfId="34833"/>
    <cellStyle name="Input Cells 2 3 4 7" xfId="21313"/>
    <cellStyle name="Input Cells 2 3 4 8" xfId="26350"/>
    <cellStyle name="Input Cells 2 3 5" xfId="14301"/>
    <cellStyle name="Input Cells 2 3 5 2" xfId="14302"/>
    <cellStyle name="Input Cells 2 3 5 2 2" xfId="29084"/>
    <cellStyle name="Input Cells 2 3 5 2 3" xfId="34835"/>
    <cellStyle name="Input Cells 2 3 5 3" xfId="14303"/>
    <cellStyle name="Input Cells 2 3 5 3 2" xfId="29085"/>
    <cellStyle name="Input Cells 2 3 5 3 3" xfId="34836"/>
    <cellStyle name="Input Cells 2 3 5 4" xfId="29083"/>
    <cellStyle name="Input Cells 2 3 5 5" xfId="34834"/>
    <cellStyle name="Input Cells 2 3 6" xfId="14304"/>
    <cellStyle name="Input Cells 2 3 6 2" xfId="14305"/>
    <cellStyle name="Input Cells 2 3 6 2 2" xfId="29087"/>
    <cellStyle name="Input Cells 2 3 6 2 3" xfId="34838"/>
    <cellStyle name="Input Cells 2 3 6 3" xfId="14306"/>
    <cellStyle name="Input Cells 2 3 6 3 2" xfId="29088"/>
    <cellStyle name="Input Cells 2 3 6 3 3" xfId="34839"/>
    <cellStyle name="Input Cells 2 3 6 4" xfId="29086"/>
    <cellStyle name="Input Cells 2 3 6 5" xfId="34837"/>
    <cellStyle name="Input Cells 2 3 7" xfId="14307"/>
    <cellStyle name="Input Cells 2 3 7 2" xfId="29089"/>
    <cellStyle name="Input Cells 2 3 7 3" xfId="34840"/>
    <cellStyle name="Input Cells 2 3 8" xfId="14308"/>
    <cellStyle name="Input Cells 2 3 8 2" xfId="29090"/>
    <cellStyle name="Input Cells 2 3 8 3" xfId="34841"/>
    <cellStyle name="Input Cells 2 3 9" xfId="21310"/>
    <cellStyle name="Input Cells 2 4" xfId="14309"/>
    <cellStyle name="Input Cells 2 4 2" xfId="14310"/>
    <cellStyle name="Input Cells 2 4 2 2" xfId="29092"/>
    <cellStyle name="Input Cells 2 4 2 3" xfId="34843"/>
    <cellStyle name="Input Cells 2 4 3" xfId="14311"/>
    <cellStyle name="Input Cells 2 4 3 2" xfId="29093"/>
    <cellStyle name="Input Cells 2 4 3 3" xfId="34844"/>
    <cellStyle name="Input Cells 2 4 4" xfId="29091"/>
    <cellStyle name="Input Cells 2 4 5" xfId="34842"/>
    <cellStyle name="Input Cells 2 5" xfId="14312"/>
    <cellStyle name="Input Cells 2 5 2" xfId="14313"/>
    <cellStyle name="Input Cells 2 5 2 2" xfId="29095"/>
    <cellStyle name="Input Cells 2 5 2 3" xfId="34846"/>
    <cellStyle name="Input Cells 2 5 3" xfId="14314"/>
    <cellStyle name="Input Cells 2 5 3 2" xfId="29096"/>
    <cellStyle name="Input Cells 2 5 3 3" xfId="34847"/>
    <cellStyle name="Input Cells 2 5 4" xfId="29094"/>
    <cellStyle name="Input Cells 2 5 5" xfId="34845"/>
    <cellStyle name="Input Cells 2 6" xfId="14315"/>
    <cellStyle name="Input Cells 2 6 2" xfId="29097"/>
    <cellStyle name="Input Cells 2 6 3" xfId="34848"/>
    <cellStyle name="Input Cells 2 7" xfId="14316"/>
    <cellStyle name="Input Cells 2 7 2" xfId="29098"/>
    <cellStyle name="Input Cells 2 7 3" xfId="34849"/>
    <cellStyle name="Input Cells 2 8" xfId="19920"/>
    <cellStyle name="Input Cells 2 9" xfId="20013"/>
    <cellStyle name="Input Cells 3" xfId="2626"/>
    <cellStyle name="Input Cells 3 2" xfId="5442"/>
    <cellStyle name="Input Cells 3 2 10" xfId="26349"/>
    <cellStyle name="Input Cells 3 2 2" xfId="5443"/>
    <cellStyle name="Input Cells 3 2 2 2" xfId="14317"/>
    <cellStyle name="Input Cells 3 2 2 2 2" xfId="14318"/>
    <cellStyle name="Input Cells 3 2 2 2 2 2" xfId="29100"/>
    <cellStyle name="Input Cells 3 2 2 2 2 3" xfId="34851"/>
    <cellStyle name="Input Cells 3 2 2 2 3" xfId="14319"/>
    <cellStyle name="Input Cells 3 2 2 2 3 2" xfId="29101"/>
    <cellStyle name="Input Cells 3 2 2 2 3 3" xfId="34852"/>
    <cellStyle name="Input Cells 3 2 2 2 4" xfId="29099"/>
    <cellStyle name="Input Cells 3 2 2 2 5" xfId="34850"/>
    <cellStyle name="Input Cells 3 2 2 3" xfId="14320"/>
    <cellStyle name="Input Cells 3 2 2 3 2" xfId="14321"/>
    <cellStyle name="Input Cells 3 2 2 3 2 2" xfId="29103"/>
    <cellStyle name="Input Cells 3 2 2 3 2 3" xfId="34854"/>
    <cellStyle name="Input Cells 3 2 2 3 3" xfId="14322"/>
    <cellStyle name="Input Cells 3 2 2 3 3 2" xfId="29104"/>
    <cellStyle name="Input Cells 3 2 2 3 3 3" xfId="34855"/>
    <cellStyle name="Input Cells 3 2 2 3 4" xfId="29102"/>
    <cellStyle name="Input Cells 3 2 2 3 5" xfId="34853"/>
    <cellStyle name="Input Cells 3 2 2 4" xfId="14323"/>
    <cellStyle name="Input Cells 3 2 2 4 2" xfId="14324"/>
    <cellStyle name="Input Cells 3 2 2 4 2 2" xfId="29106"/>
    <cellStyle name="Input Cells 3 2 2 4 2 3" xfId="34857"/>
    <cellStyle name="Input Cells 3 2 2 4 3" xfId="14325"/>
    <cellStyle name="Input Cells 3 2 2 4 3 2" xfId="29107"/>
    <cellStyle name="Input Cells 3 2 2 4 3 3" xfId="34858"/>
    <cellStyle name="Input Cells 3 2 2 4 4" xfId="29105"/>
    <cellStyle name="Input Cells 3 2 2 4 5" xfId="34856"/>
    <cellStyle name="Input Cells 3 2 2 5" xfId="14326"/>
    <cellStyle name="Input Cells 3 2 2 5 2" xfId="29108"/>
    <cellStyle name="Input Cells 3 2 2 5 3" xfId="34859"/>
    <cellStyle name="Input Cells 3 2 2 6" xfId="14327"/>
    <cellStyle name="Input Cells 3 2 2 6 2" xfId="29109"/>
    <cellStyle name="Input Cells 3 2 2 6 3" xfId="34860"/>
    <cellStyle name="Input Cells 3 2 2 7" xfId="21315"/>
    <cellStyle name="Input Cells 3 2 2 8" xfId="26348"/>
    <cellStyle name="Input Cells 3 2 3" xfId="5444"/>
    <cellStyle name="Input Cells 3 2 3 2" xfId="14328"/>
    <cellStyle name="Input Cells 3 2 3 2 2" xfId="14329"/>
    <cellStyle name="Input Cells 3 2 3 2 2 2" xfId="29111"/>
    <cellStyle name="Input Cells 3 2 3 2 2 3" xfId="34862"/>
    <cellStyle name="Input Cells 3 2 3 2 3" xfId="14330"/>
    <cellStyle name="Input Cells 3 2 3 2 3 2" xfId="29112"/>
    <cellStyle name="Input Cells 3 2 3 2 3 3" xfId="34863"/>
    <cellStyle name="Input Cells 3 2 3 2 4" xfId="29110"/>
    <cellStyle name="Input Cells 3 2 3 2 5" xfId="34861"/>
    <cellStyle name="Input Cells 3 2 3 3" xfId="14331"/>
    <cellStyle name="Input Cells 3 2 3 3 2" xfId="14332"/>
    <cellStyle name="Input Cells 3 2 3 3 2 2" xfId="29114"/>
    <cellStyle name="Input Cells 3 2 3 3 2 3" xfId="34865"/>
    <cellStyle name="Input Cells 3 2 3 3 3" xfId="14333"/>
    <cellStyle name="Input Cells 3 2 3 3 3 2" xfId="29115"/>
    <cellStyle name="Input Cells 3 2 3 3 3 3" xfId="34866"/>
    <cellStyle name="Input Cells 3 2 3 3 4" xfId="29113"/>
    <cellStyle name="Input Cells 3 2 3 3 5" xfId="34864"/>
    <cellStyle name="Input Cells 3 2 3 4" xfId="14334"/>
    <cellStyle name="Input Cells 3 2 3 4 2" xfId="14335"/>
    <cellStyle name="Input Cells 3 2 3 4 2 2" xfId="29117"/>
    <cellStyle name="Input Cells 3 2 3 4 2 3" xfId="34868"/>
    <cellStyle name="Input Cells 3 2 3 4 3" xfId="14336"/>
    <cellStyle name="Input Cells 3 2 3 4 3 2" xfId="29118"/>
    <cellStyle name="Input Cells 3 2 3 4 3 3" xfId="34869"/>
    <cellStyle name="Input Cells 3 2 3 4 4" xfId="29116"/>
    <cellStyle name="Input Cells 3 2 3 4 5" xfId="34867"/>
    <cellStyle name="Input Cells 3 2 3 5" xfId="14337"/>
    <cellStyle name="Input Cells 3 2 3 5 2" xfId="29119"/>
    <cellStyle name="Input Cells 3 2 3 5 3" xfId="34870"/>
    <cellStyle name="Input Cells 3 2 3 6" xfId="14338"/>
    <cellStyle name="Input Cells 3 2 3 6 2" xfId="29120"/>
    <cellStyle name="Input Cells 3 2 3 6 3" xfId="34871"/>
    <cellStyle name="Input Cells 3 2 3 7" xfId="21316"/>
    <cellStyle name="Input Cells 3 2 3 8" xfId="26347"/>
    <cellStyle name="Input Cells 3 2 4" xfId="5445"/>
    <cellStyle name="Input Cells 3 2 4 2" xfId="14339"/>
    <cellStyle name="Input Cells 3 2 4 2 2" xfId="14340"/>
    <cellStyle name="Input Cells 3 2 4 2 2 2" xfId="29122"/>
    <cellStyle name="Input Cells 3 2 4 2 2 3" xfId="34873"/>
    <cellStyle name="Input Cells 3 2 4 2 3" xfId="14341"/>
    <cellStyle name="Input Cells 3 2 4 2 3 2" xfId="29123"/>
    <cellStyle name="Input Cells 3 2 4 2 3 3" xfId="34874"/>
    <cellStyle name="Input Cells 3 2 4 2 4" xfId="29121"/>
    <cellStyle name="Input Cells 3 2 4 2 5" xfId="34872"/>
    <cellStyle name="Input Cells 3 2 4 3" xfId="14342"/>
    <cellStyle name="Input Cells 3 2 4 3 2" xfId="14343"/>
    <cellStyle name="Input Cells 3 2 4 3 2 2" xfId="29125"/>
    <cellStyle name="Input Cells 3 2 4 3 2 3" xfId="34876"/>
    <cellStyle name="Input Cells 3 2 4 3 3" xfId="14344"/>
    <cellStyle name="Input Cells 3 2 4 3 3 2" xfId="29126"/>
    <cellStyle name="Input Cells 3 2 4 3 3 3" xfId="34877"/>
    <cellStyle name="Input Cells 3 2 4 3 4" xfId="29124"/>
    <cellStyle name="Input Cells 3 2 4 3 5" xfId="34875"/>
    <cellStyle name="Input Cells 3 2 4 4" xfId="14345"/>
    <cellStyle name="Input Cells 3 2 4 4 2" xfId="14346"/>
    <cellStyle name="Input Cells 3 2 4 4 2 2" xfId="29128"/>
    <cellStyle name="Input Cells 3 2 4 4 2 3" xfId="34879"/>
    <cellStyle name="Input Cells 3 2 4 4 3" xfId="14347"/>
    <cellStyle name="Input Cells 3 2 4 4 3 2" xfId="29129"/>
    <cellStyle name="Input Cells 3 2 4 4 3 3" xfId="34880"/>
    <cellStyle name="Input Cells 3 2 4 4 4" xfId="29127"/>
    <cellStyle name="Input Cells 3 2 4 4 5" xfId="34878"/>
    <cellStyle name="Input Cells 3 2 4 5" xfId="14348"/>
    <cellStyle name="Input Cells 3 2 4 5 2" xfId="29130"/>
    <cellStyle name="Input Cells 3 2 4 5 3" xfId="34881"/>
    <cellStyle name="Input Cells 3 2 4 6" xfId="14349"/>
    <cellStyle name="Input Cells 3 2 4 6 2" xfId="29131"/>
    <cellStyle name="Input Cells 3 2 4 6 3" xfId="34882"/>
    <cellStyle name="Input Cells 3 2 4 7" xfId="21317"/>
    <cellStyle name="Input Cells 3 2 4 8" xfId="26346"/>
    <cellStyle name="Input Cells 3 2 5" xfId="14350"/>
    <cellStyle name="Input Cells 3 2 5 2" xfId="14351"/>
    <cellStyle name="Input Cells 3 2 5 2 2" xfId="29133"/>
    <cellStyle name="Input Cells 3 2 5 2 3" xfId="34884"/>
    <cellStyle name="Input Cells 3 2 5 3" xfId="14352"/>
    <cellStyle name="Input Cells 3 2 5 3 2" xfId="29134"/>
    <cellStyle name="Input Cells 3 2 5 3 3" xfId="34885"/>
    <cellStyle name="Input Cells 3 2 5 4" xfId="29132"/>
    <cellStyle name="Input Cells 3 2 5 5" xfId="34883"/>
    <cellStyle name="Input Cells 3 2 6" xfId="14353"/>
    <cellStyle name="Input Cells 3 2 6 2" xfId="14354"/>
    <cellStyle name="Input Cells 3 2 6 2 2" xfId="29136"/>
    <cellStyle name="Input Cells 3 2 6 2 3" xfId="34887"/>
    <cellStyle name="Input Cells 3 2 6 3" xfId="14355"/>
    <cellStyle name="Input Cells 3 2 6 3 2" xfId="29137"/>
    <cellStyle name="Input Cells 3 2 6 3 3" xfId="34888"/>
    <cellStyle name="Input Cells 3 2 6 4" xfId="29135"/>
    <cellStyle name="Input Cells 3 2 6 5" xfId="34886"/>
    <cellStyle name="Input Cells 3 2 7" xfId="14356"/>
    <cellStyle name="Input Cells 3 2 7 2" xfId="29138"/>
    <cellStyle name="Input Cells 3 2 7 3" xfId="34889"/>
    <cellStyle name="Input Cells 3 2 8" xfId="14357"/>
    <cellStyle name="Input Cells 3 2 8 2" xfId="29139"/>
    <cellStyle name="Input Cells 3 2 8 3" xfId="34890"/>
    <cellStyle name="Input Cells 3 2 9" xfId="21314"/>
    <cellStyle name="Input Cells 3 3" xfId="14358"/>
    <cellStyle name="Input Cells 3 3 2" xfId="14359"/>
    <cellStyle name="Input Cells 3 3 2 2" xfId="29141"/>
    <cellStyle name="Input Cells 3 3 2 3" xfId="34892"/>
    <cellStyle name="Input Cells 3 3 3" xfId="14360"/>
    <cellStyle name="Input Cells 3 3 3 2" xfId="29142"/>
    <cellStyle name="Input Cells 3 3 3 3" xfId="34893"/>
    <cellStyle name="Input Cells 3 3 4" xfId="29140"/>
    <cellStyle name="Input Cells 3 3 5" xfId="34891"/>
    <cellStyle name="Input Cells 3 4" xfId="14361"/>
    <cellStyle name="Input Cells 3 4 2" xfId="14362"/>
    <cellStyle name="Input Cells 3 4 2 2" xfId="29144"/>
    <cellStyle name="Input Cells 3 4 2 3" xfId="34895"/>
    <cellStyle name="Input Cells 3 4 3" xfId="14363"/>
    <cellStyle name="Input Cells 3 4 3 2" xfId="29145"/>
    <cellStyle name="Input Cells 3 4 3 3" xfId="34896"/>
    <cellStyle name="Input Cells 3 4 4" xfId="29143"/>
    <cellStyle name="Input Cells 3 4 5" xfId="34894"/>
    <cellStyle name="Input Cells 3 5" xfId="14364"/>
    <cellStyle name="Input Cells 3 5 2" xfId="29146"/>
    <cellStyle name="Input Cells 3 5 3" xfId="34897"/>
    <cellStyle name="Input Cells 3 6" xfId="14365"/>
    <cellStyle name="Input Cells 3 6 2" xfId="29147"/>
    <cellStyle name="Input Cells 3 6 3" xfId="34898"/>
    <cellStyle name="Input Cells 3 7" xfId="19922"/>
    <cellStyle name="Input Cells 3 8" xfId="18145"/>
    <cellStyle name="Input Cells 4" xfId="5446"/>
    <cellStyle name="Input Cells 4 10" xfId="26345"/>
    <cellStyle name="Input Cells 4 2" xfId="5447"/>
    <cellStyle name="Input Cells 4 2 2" xfId="14366"/>
    <cellStyle name="Input Cells 4 2 2 2" xfId="14367"/>
    <cellStyle name="Input Cells 4 2 2 2 2" xfId="29149"/>
    <cellStyle name="Input Cells 4 2 2 2 3" xfId="34900"/>
    <cellStyle name="Input Cells 4 2 2 3" xfId="14368"/>
    <cellStyle name="Input Cells 4 2 2 3 2" xfId="29150"/>
    <cellStyle name="Input Cells 4 2 2 3 3" xfId="34901"/>
    <cellStyle name="Input Cells 4 2 2 4" xfId="29148"/>
    <cellStyle name="Input Cells 4 2 2 5" xfId="34899"/>
    <cellStyle name="Input Cells 4 2 3" xfId="14369"/>
    <cellStyle name="Input Cells 4 2 3 2" xfId="14370"/>
    <cellStyle name="Input Cells 4 2 3 2 2" xfId="29152"/>
    <cellStyle name="Input Cells 4 2 3 2 3" xfId="34903"/>
    <cellStyle name="Input Cells 4 2 3 3" xfId="14371"/>
    <cellStyle name="Input Cells 4 2 3 3 2" xfId="29153"/>
    <cellStyle name="Input Cells 4 2 3 3 3" xfId="34904"/>
    <cellStyle name="Input Cells 4 2 3 4" xfId="29151"/>
    <cellStyle name="Input Cells 4 2 3 5" xfId="34902"/>
    <cellStyle name="Input Cells 4 2 4" xfId="14372"/>
    <cellStyle name="Input Cells 4 2 4 2" xfId="14373"/>
    <cellStyle name="Input Cells 4 2 4 2 2" xfId="29155"/>
    <cellStyle name="Input Cells 4 2 4 2 3" xfId="34906"/>
    <cellStyle name="Input Cells 4 2 4 3" xfId="14374"/>
    <cellStyle name="Input Cells 4 2 4 3 2" xfId="29156"/>
    <cellStyle name="Input Cells 4 2 4 3 3" xfId="34907"/>
    <cellStyle name="Input Cells 4 2 4 4" xfId="29154"/>
    <cellStyle name="Input Cells 4 2 4 5" xfId="34905"/>
    <cellStyle name="Input Cells 4 2 5" xfId="14375"/>
    <cellStyle name="Input Cells 4 2 5 2" xfId="29157"/>
    <cellStyle name="Input Cells 4 2 5 3" xfId="34908"/>
    <cellStyle name="Input Cells 4 2 6" xfId="14376"/>
    <cellStyle name="Input Cells 4 2 6 2" xfId="29158"/>
    <cellStyle name="Input Cells 4 2 6 3" xfId="34909"/>
    <cellStyle name="Input Cells 4 2 7" xfId="21319"/>
    <cellStyle name="Input Cells 4 2 8" xfId="26344"/>
    <cellStyle name="Input Cells 4 3" xfId="5448"/>
    <cellStyle name="Input Cells 4 3 2" xfId="14377"/>
    <cellStyle name="Input Cells 4 3 2 2" xfId="14378"/>
    <cellStyle name="Input Cells 4 3 2 2 2" xfId="29160"/>
    <cellStyle name="Input Cells 4 3 2 2 3" xfId="34911"/>
    <cellStyle name="Input Cells 4 3 2 3" xfId="14379"/>
    <cellStyle name="Input Cells 4 3 2 3 2" xfId="29161"/>
    <cellStyle name="Input Cells 4 3 2 3 3" xfId="34912"/>
    <cellStyle name="Input Cells 4 3 2 4" xfId="29159"/>
    <cellStyle name="Input Cells 4 3 2 5" xfId="34910"/>
    <cellStyle name="Input Cells 4 3 3" xfId="14380"/>
    <cellStyle name="Input Cells 4 3 3 2" xfId="14381"/>
    <cellStyle name="Input Cells 4 3 3 2 2" xfId="29163"/>
    <cellStyle name="Input Cells 4 3 3 2 3" xfId="34914"/>
    <cellStyle name="Input Cells 4 3 3 3" xfId="14382"/>
    <cellStyle name="Input Cells 4 3 3 3 2" xfId="29164"/>
    <cellStyle name="Input Cells 4 3 3 3 3" xfId="34915"/>
    <cellStyle name="Input Cells 4 3 3 4" xfId="29162"/>
    <cellStyle name="Input Cells 4 3 3 5" xfId="34913"/>
    <cellStyle name="Input Cells 4 3 4" xfId="14383"/>
    <cellStyle name="Input Cells 4 3 4 2" xfId="14384"/>
    <cellStyle name="Input Cells 4 3 4 2 2" xfId="29166"/>
    <cellStyle name="Input Cells 4 3 4 2 3" xfId="34917"/>
    <cellStyle name="Input Cells 4 3 4 3" xfId="14385"/>
    <cellStyle name="Input Cells 4 3 4 3 2" xfId="29167"/>
    <cellStyle name="Input Cells 4 3 4 3 3" xfId="34918"/>
    <cellStyle name="Input Cells 4 3 4 4" xfId="29165"/>
    <cellStyle name="Input Cells 4 3 4 5" xfId="34916"/>
    <cellStyle name="Input Cells 4 3 5" xfId="14386"/>
    <cellStyle name="Input Cells 4 3 5 2" xfId="29168"/>
    <cellStyle name="Input Cells 4 3 5 3" xfId="34919"/>
    <cellStyle name="Input Cells 4 3 6" xfId="14387"/>
    <cellStyle name="Input Cells 4 3 6 2" xfId="29169"/>
    <cellStyle name="Input Cells 4 3 6 3" xfId="34920"/>
    <cellStyle name="Input Cells 4 3 7" xfId="21320"/>
    <cellStyle name="Input Cells 4 3 8" xfId="26343"/>
    <cellStyle name="Input Cells 4 4" xfId="5449"/>
    <cellStyle name="Input Cells 4 4 2" xfId="14388"/>
    <cellStyle name="Input Cells 4 4 2 2" xfId="14389"/>
    <cellStyle name="Input Cells 4 4 2 2 2" xfId="29171"/>
    <cellStyle name="Input Cells 4 4 2 2 3" xfId="34922"/>
    <cellStyle name="Input Cells 4 4 2 3" xfId="14390"/>
    <cellStyle name="Input Cells 4 4 2 3 2" xfId="29172"/>
    <cellStyle name="Input Cells 4 4 2 3 3" xfId="34923"/>
    <cellStyle name="Input Cells 4 4 2 4" xfId="29170"/>
    <cellStyle name="Input Cells 4 4 2 5" xfId="34921"/>
    <cellStyle name="Input Cells 4 4 3" xfId="14391"/>
    <cellStyle name="Input Cells 4 4 3 2" xfId="14392"/>
    <cellStyle name="Input Cells 4 4 3 2 2" xfId="29174"/>
    <cellStyle name="Input Cells 4 4 3 2 3" xfId="34925"/>
    <cellStyle name="Input Cells 4 4 3 3" xfId="14393"/>
    <cellStyle name="Input Cells 4 4 3 3 2" xfId="29175"/>
    <cellStyle name="Input Cells 4 4 3 3 3" xfId="34926"/>
    <cellStyle name="Input Cells 4 4 3 4" xfId="29173"/>
    <cellStyle name="Input Cells 4 4 3 5" xfId="34924"/>
    <cellStyle name="Input Cells 4 4 4" xfId="14394"/>
    <cellStyle name="Input Cells 4 4 4 2" xfId="14395"/>
    <cellStyle name="Input Cells 4 4 4 2 2" xfId="29177"/>
    <cellStyle name="Input Cells 4 4 4 2 3" xfId="34928"/>
    <cellStyle name="Input Cells 4 4 4 3" xfId="14396"/>
    <cellStyle name="Input Cells 4 4 4 3 2" xfId="29178"/>
    <cellStyle name="Input Cells 4 4 4 3 3" xfId="34929"/>
    <cellStyle name="Input Cells 4 4 4 4" xfId="29176"/>
    <cellStyle name="Input Cells 4 4 4 5" xfId="34927"/>
    <cellStyle name="Input Cells 4 4 5" xfId="14397"/>
    <cellStyle name="Input Cells 4 4 5 2" xfId="29179"/>
    <cellStyle name="Input Cells 4 4 5 3" xfId="34930"/>
    <cellStyle name="Input Cells 4 4 6" xfId="14398"/>
    <cellStyle name="Input Cells 4 4 6 2" xfId="29180"/>
    <cellStyle name="Input Cells 4 4 6 3" xfId="34931"/>
    <cellStyle name="Input Cells 4 4 7" xfId="21321"/>
    <cellStyle name="Input Cells 4 4 8" xfId="26342"/>
    <cellStyle name="Input Cells 4 5" xfId="14399"/>
    <cellStyle name="Input Cells 4 5 2" xfId="14400"/>
    <cellStyle name="Input Cells 4 5 2 2" xfId="29182"/>
    <cellStyle name="Input Cells 4 5 2 3" xfId="34933"/>
    <cellStyle name="Input Cells 4 5 3" xfId="14401"/>
    <cellStyle name="Input Cells 4 5 3 2" xfId="29183"/>
    <cellStyle name="Input Cells 4 5 3 3" xfId="34934"/>
    <cellStyle name="Input Cells 4 5 4" xfId="29181"/>
    <cellStyle name="Input Cells 4 5 5" xfId="34932"/>
    <cellStyle name="Input Cells 4 6" xfId="14402"/>
    <cellStyle name="Input Cells 4 6 2" xfId="14403"/>
    <cellStyle name="Input Cells 4 6 2 2" xfId="29185"/>
    <cellStyle name="Input Cells 4 6 2 3" xfId="34936"/>
    <cellStyle name="Input Cells 4 6 3" xfId="14404"/>
    <cellStyle name="Input Cells 4 6 3 2" xfId="29186"/>
    <cellStyle name="Input Cells 4 6 3 3" xfId="34937"/>
    <cellStyle name="Input Cells 4 6 4" xfId="29184"/>
    <cellStyle name="Input Cells 4 6 5" xfId="34935"/>
    <cellStyle name="Input Cells 4 7" xfId="14405"/>
    <cellStyle name="Input Cells 4 7 2" xfId="29187"/>
    <cellStyle name="Input Cells 4 7 3" xfId="34938"/>
    <cellStyle name="Input Cells 4 8" xfId="14406"/>
    <cellStyle name="Input Cells 4 8 2" xfId="29188"/>
    <cellStyle name="Input Cells 4 8 3" xfId="34939"/>
    <cellStyle name="Input Cells 4 9" xfId="21318"/>
    <cellStyle name="Input Cells 5" xfId="14407"/>
    <cellStyle name="Input Cells 5 2" xfId="14408"/>
    <cellStyle name="Input Cells 5 2 2" xfId="29190"/>
    <cellStyle name="Input Cells 5 2 3" xfId="34941"/>
    <cellStyle name="Input Cells 5 3" xfId="14409"/>
    <cellStyle name="Input Cells 5 3 2" xfId="29191"/>
    <cellStyle name="Input Cells 5 3 3" xfId="34942"/>
    <cellStyle name="Input Cells 5 4" xfId="29189"/>
    <cellStyle name="Input Cells 5 5" xfId="34940"/>
    <cellStyle name="Input Cells 6" xfId="14410"/>
    <cellStyle name="Input Cells 6 2" xfId="14411"/>
    <cellStyle name="Input Cells 6 2 2" xfId="29193"/>
    <cellStyle name="Input Cells 6 2 3" xfId="34944"/>
    <cellStyle name="Input Cells 6 3" xfId="14412"/>
    <cellStyle name="Input Cells 6 3 2" xfId="29194"/>
    <cellStyle name="Input Cells 6 3 3" xfId="34945"/>
    <cellStyle name="Input Cells 6 4" xfId="29192"/>
    <cellStyle name="Input Cells 6 5" xfId="34943"/>
    <cellStyle name="Input Cells 7" xfId="14413"/>
    <cellStyle name="Input Cells 7 2" xfId="29195"/>
    <cellStyle name="Input Cells 7 3" xfId="34946"/>
    <cellStyle name="Input Cells 8" xfId="14414"/>
    <cellStyle name="Input Cells 8 2" xfId="29196"/>
    <cellStyle name="Input Cells 8 3" xfId="34947"/>
    <cellStyle name="Input Cells 9" xfId="19919"/>
    <cellStyle name="Input Currency" xfId="2627"/>
    <cellStyle name="Input Currency 2" xfId="2628"/>
    <cellStyle name="input currency rates" xfId="2629"/>
    <cellStyle name="input currency rates 2" xfId="5450"/>
    <cellStyle name="input currency rates 2 2" xfId="5451"/>
    <cellStyle name="input currency rates 2 2 2" xfId="14415"/>
    <cellStyle name="input currency rates 2 2 2 2" xfId="14416"/>
    <cellStyle name="input currency rates 2 2 2 2 2" xfId="29198"/>
    <cellStyle name="input currency rates 2 2 2 2 3" xfId="34949"/>
    <cellStyle name="input currency rates 2 2 2 3" xfId="14417"/>
    <cellStyle name="input currency rates 2 2 2 3 2" xfId="29199"/>
    <cellStyle name="input currency rates 2 2 2 3 3" xfId="34950"/>
    <cellStyle name="input currency rates 2 2 2 4" xfId="29197"/>
    <cellStyle name="input currency rates 2 2 2 5" xfId="34948"/>
    <cellStyle name="input currency rates 2 2 3" xfId="14418"/>
    <cellStyle name="input currency rates 2 2 3 2" xfId="14419"/>
    <cellStyle name="input currency rates 2 2 3 2 2" xfId="29201"/>
    <cellStyle name="input currency rates 2 2 3 2 3" xfId="34952"/>
    <cellStyle name="input currency rates 2 2 3 3" xfId="29200"/>
    <cellStyle name="input currency rates 2 2 3 4" xfId="34951"/>
    <cellStyle name="input currency rates 2 2 4" xfId="14420"/>
    <cellStyle name="input currency rates 2 2 4 2" xfId="29202"/>
    <cellStyle name="input currency rates 2 2 4 3" xfId="34953"/>
    <cellStyle name="input currency rates 2 2 5" xfId="21323"/>
    <cellStyle name="input currency rates 2 2 6" xfId="26340"/>
    <cellStyle name="input currency rates 2 3" xfId="14421"/>
    <cellStyle name="input currency rates 2 3 2" xfId="14422"/>
    <cellStyle name="input currency rates 2 3 2 2" xfId="29204"/>
    <cellStyle name="input currency rates 2 3 2 3" xfId="34955"/>
    <cellStyle name="input currency rates 2 3 3" xfId="14423"/>
    <cellStyle name="input currency rates 2 3 3 2" xfId="29205"/>
    <cellStyle name="input currency rates 2 3 3 3" xfId="34956"/>
    <cellStyle name="input currency rates 2 3 4" xfId="29203"/>
    <cellStyle name="input currency rates 2 3 5" xfId="34954"/>
    <cellStyle name="input currency rates 2 4" xfId="14424"/>
    <cellStyle name="input currency rates 2 4 2" xfId="14425"/>
    <cellStyle name="input currency rates 2 4 2 2" xfId="29207"/>
    <cellStyle name="input currency rates 2 4 2 3" xfId="34958"/>
    <cellStyle name="input currency rates 2 4 3" xfId="29206"/>
    <cellStyle name="input currency rates 2 4 4" xfId="34957"/>
    <cellStyle name="input currency rates 2 5" xfId="14426"/>
    <cellStyle name="input currency rates 2 5 2" xfId="29208"/>
    <cellStyle name="input currency rates 2 5 3" xfId="34959"/>
    <cellStyle name="input currency rates 2 6" xfId="21322"/>
    <cellStyle name="input currency rates 2 7" xfId="26341"/>
    <cellStyle name="input currency rates 3" xfId="5452"/>
    <cellStyle name="input currency rates 3 2" xfId="14427"/>
    <cellStyle name="input currency rates 3 2 2" xfId="14428"/>
    <cellStyle name="input currency rates 3 2 2 2" xfId="29210"/>
    <cellStyle name="input currency rates 3 2 2 3" xfId="34961"/>
    <cellStyle name="input currency rates 3 2 3" xfId="14429"/>
    <cellStyle name="input currency rates 3 2 3 2" xfId="29211"/>
    <cellStyle name="input currency rates 3 2 3 3" xfId="34962"/>
    <cellStyle name="input currency rates 3 2 4" xfId="29209"/>
    <cellStyle name="input currency rates 3 2 5" xfId="34960"/>
    <cellStyle name="input currency rates 3 3" xfId="14430"/>
    <cellStyle name="input currency rates 3 3 2" xfId="29212"/>
    <cellStyle name="input currency rates 3 3 3" xfId="34963"/>
    <cellStyle name="input currency rates 3 4" xfId="21324"/>
    <cellStyle name="input currency rates 3 5" xfId="26339"/>
    <cellStyle name="input currency rates 4" xfId="14431"/>
    <cellStyle name="input currency rates 4 2" xfId="14432"/>
    <cellStyle name="input currency rates 4 2 2" xfId="29214"/>
    <cellStyle name="input currency rates 4 2 3" xfId="34965"/>
    <cellStyle name="input currency rates 4 3" xfId="14433"/>
    <cellStyle name="input currency rates 4 3 2" xfId="29215"/>
    <cellStyle name="input currency rates 4 3 3" xfId="34966"/>
    <cellStyle name="input currency rates 4 4" xfId="29213"/>
    <cellStyle name="input currency rates 4 5" xfId="34964"/>
    <cellStyle name="input currency rates 5" xfId="14434"/>
    <cellStyle name="input currency rates 5 2" xfId="14435"/>
    <cellStyle name="input currency rates 5 2 2" xfId="29217"/>
    <cellStyle name="input currency rates 5 2 3" xfId="34968"/>
    <cellStyle name="input currency rates 5 3" xfId="29216"/>
    <cellStyle name="input currency rates 5 4" xfId="34967"/>
    <cellStyle name="input currency rates 6" xfId="14436"/>
    <cellStyle name="input currency rates 6 2" xfId="29218"/>
    <cellStyle name="input currency rates 6 3" xfId="34969"/>
    <cellStyle name="Input Currency_158105!" xfId="2630"/>
    <cellStyle name="Input Date" xfId="2631"/>
    <cellStyle name="Input Multiple" xfId="2632"/>
    <cellStyle name="Input Number" xfId="2633"/>
    <cellStyle name="Input Percent" xfId="2634"/>
    <cellStyle name="Input1" xfId="2635"/>
    <cellStyle name="Input2" xfId="2636"/>
    <cellStyle name="Input2 2" xfId="2637"/>
    <cellStyle name="Input2 2 2" xfId="2638"/>
    <cellStyle name="Input2 2 2 2" xfId="4017"/>
    <cellStyle name="Input2 2 2 2 2" xfId="5453"/>
    <cellStyle name="Input2 2 2 2 2 2" xfId="14437"/>
    <cellStyle name="Input2 2 2 2 2 2 2" xfId="29219"/>
    <cellStyle name="Input2 2 2 2 2 3" xfId="14438"/>
    <cellStyle name="Input2 2 2 2 2 3 2" xfId="14439"/>
    <cellStyle name="Input2 2 2 2 2 3 2 2" xfId="29221"/>
    <cellStyle name="Input2 2 2 2 2 3 3" xfId="14440"/>
    <cellStyle name="Input2 2 2 2 2 3 3 2" xfId="29222"/>
    <cellStyle name="Input2 2 2 2 2 3 4" xfId="29220"/>
    <cellStyle name="Input2 2 2 2 2 4" xfId="14441"/>
    <cellStyle name="Input2 2 2 2 2 4 2" xfId="29223"/>
    <cellStyle name="Input2 2 2 2 2 5" xfId="21325"/>
    <cellStyle name="Input2 2 2 2 3" xfId="5454"/>
    <cellStyle name="Input2 2 2 2 3 2" xfId="14442"/>
    <cellStyle name="Input2 2 2 2 3 2 2" xfId="29224"/>
    <cellStyle name="Input2 2 2 2 3 3" xfId="14443"/>
    <cellStyle name="Input2 2 2 2 3 3 2" xfId="14444"/>
    <cellStyle name="Input2 2 2 2 3 3 2 2" xfId="29226"/>
    <cellStyle name="Input2 2 2 2 3 3 3" xfId="14445"/>
    <cellStyle name="Input2 2 2 2 3 3 3 2" xfId="29227"/>
    <cellStyle name="Input2 2 2 2 3 3 4" xfId="29225"/>
    <cellStyle name="Input2 2 2 2 3 4" xfId="14446"/>
    <cellStyle name="Input2 2 2 2 3 4 2" xfId="29228"/>
    <cellStyle name="Input2 2 2 2 3 5" xfId="21326"/>
    <cellStyle name="Input2 2 2 2 4" xfId="14447"/>
    <cellStyle name="Input2 2 2 2 4 2" xfId="29229"/>
    <cellStyle name="Input2 2 2 2 5" xfId="14448"/>
    <cellStyle name="Input2 2 2 2 5 2" xfId="14449"/>
    <cellStyle name="Input2 2 2 2 5 2 2" xfId="29231"/>
    <cellStyle name="Input2 2 2 2 5 3" xfId="14450"/>
    <cellStyle name="Input2 2 2 2 5 3 2" xfId="29232"/>
    <cellStyle name="Input2 2 2 2 5 4" xfId="29230"/>
    <cellStyle name="Input2 2 2 2 6" xfId="14451"/>
    <cellStyle name="Input2 2 2 2 6 2" xfId="29233"/>
    <cellStyle name="Input2 2 2 2 7" xfId="14452"/>
    <cellStyle name="Input2 2 2 2 7 2" xfId="14453"/>
    <cellStyle name="Input2 2 2 2 7 2 2" xfId="29235"/>
    <cellStyle name="Input2 2 2 2 7 3" xfId="29234"/>
    <cellStyle name="Input2 2 2 2 8" xfId="20168"/>
    <cellStyle name="Input2 2 2 3" xfId="14454"/>
    <cellStyle name="Input2 2 2 3 2" xfId="29236"/>
    <cellStyle name="Input2 2 2 4" xfId="19925"/>
    <cellStyle name="Input2 2 3" xfId="2639"/>
    <cellStyle name="Input2 2 3 2" xfId="4018"/>
    <cellStyle name="Input2 2 3 2 2" xfId="5455"/>
    <cellStyle name="Input2 2 3 2 2 2" xfId="14455"/>
    <cellStyle name="Input2 2 3 2 2 2 2" xfId="29237"/>
    <cellStyle name="Input2 2 3 2 2 3" xfId="14456"/>
    <cellStyle name="Input2 2 3 2 2 3 2" xfId="14457"/>
    <cellStyle name="Input2 2 3 2 2 3 2 2" xfId="29239"/>
    <cellStyle name="Input2 2 3 2 2 3 3" xfId="14458"/>
    <cellStyle name="Input2 2 3 2 2 3 3 2" xfId="29240"/>
    <cellStyle name="Input2 2 3 2 2 3 4" xfId="29238"/>
    <cellStyle name="Input2 2 3 2 2 4" xfId="14459"/>
    <cellStyle name="Input2 2 3 2 2 4 2" xfId="29241"/>
    <cellStyle name="Input2 2 3 2 2 5" xfId="21327"/>
    <cellStyle name="Input2 2 3 2 3" xfId="5456"/>
    <cellStyle name="Input2 2 3 2 3 2" xfId="14460"/>
    <cellStyle name="Input2 2 3 2 3 2 2" xfId="29242"/>
    <cellStyle name="Input2 2 3 2 3 3" xfId="14461"/>
    <cellStyle name="Input2 2 3 2 3 3 2" xfId="14462"/>
    <cellStyle name="Input2 2 3 2 3 3 2 2" xfId="29244"/>
    <cellStyle name="Input2 2 3 2 3 3 3" xfId="14463"/>
    <cellStyle name="Input2 2 3 2 3 3 3 2" xfId="29245"/>
    <cellStyle name="Input2 2 3 2 3 3 4" xfId="29243"/>
    <cellStyle name="Input2 2 3 2 3 4" xfId="14464"/>
    <cellStyle name="Input2 2 3 2 3 4 2" xfId="29246"/>
    <cellStyle name="Input2 2 3 2 3 5" xfId="21328"/>
    <cellStyle name="Input2 2 3 2 4" xfId="14465"/>
    <cellStyle name="Input2 2 3 2 4 2" xfId="29247"/>
    <cellStyle name="Input2 2 3 2 5" xfId="14466"/>
    <cellStyle name="Input2 2 3 2 5 2" xfId="14467"/>
    <cellStyle name="Input2 2 3 2 5 2 2" xfId="29249"/>
    <cellStyle name="Input2 2 3 2 5 3" xfId="14468"/>
    <cellStyle name="Input2 2 3 2 5 3 2" xfId="29250"/>
    <cellStyle name="Input2 2 3 2 5 4" xfId="29248"/>
    <cellStyle name="Input2 2 3 2 6" xfId="14469"/>
    <cellStyle name="Input2 2 3 2 6 2" xfId="29251"/>
    <cellStyle name="Input2 2 3 2 7" xfId="14470"/>
    <cellStyle name="Input2 2 3 2 7 2" xfId="14471"/>
    <cellStyle name="Input2 2 3 2 7 2 2" xfId="29253"/>
    <cellStyle name="Input2 2 3 2 7 3" xfId="29252"/>
    <cellStyle name="Input2 2 3 2 8" xfId="20169"/>
    <cellStyle name="Input2 2 3 3" xfId="14472"/>
    <cellStyle name="Input2 2 3 3 2" xfId="29254"/>
    <cellStyle name="Input2 2 3 4" xfId="19926"/>
    <cellStyle name="Input2 2 4" xfId="4016"/>
    <cellStyle name="Input2 2 4 2" xfId="5457"/>
    <cellStyle name="Input2 2 4 2 2" xfId="14473"/>
    <cellStyle name="Input2 2 4 2 2 2" xfId="29255"/>
    <cellStyle name="Input2 2 4 2 3" xfId="14474"/>
    <cellStyle name="Input2 2 4 2 3 2" xfId="14475"/>
    <cellStyle name="Input2 2 4 2 3 2 2" xfId="29257"/>
    <cellStyle name="Input2 2 4 2 3 3" xfId="14476"/>
    <cellStyle name="Input2 2 4 2 3 3 2" xfId="29258"/>
    <cellStyle name="Input2 2 4 2 3 4" xfId="29256"/>
    <cellStyle name="Input2 2 4 2 4" xfId="14477"/>
    <cellStyle name="Input2 2 4 2 4 2" xfId="29259"/>
    <cellStyle name="Input2 2 4 2 5" xfId="21329"/>
    <cellStyle name="Input2 2 4 3" xfId="5458"/>
    <cellStyle name="Input2 2 4 3 2" xfId="14478"/>
    <cellStyle name="Input2 2 4 3 2 2" xfId="29260"/>
    <cellStyle name="Input2 2 4 3 3" xfId="14479"/>
    <cellStyle name="Input2 2 4 3 3 2" xfId="14480"/>
    <cellStyle name="Input2 2 4 3 3 2 2" xfId="29262"/>
    <cellStyle name="Input2 2 4 3 3 3" xfId="14481"/>
    <cellStyle name="Input2 2 4 3 3 3 2" xfId="29263"/>
    <cellStyle name="Input2 2 4 3 3 4" xfId="29261"/>
    <cellStyle name="Input2 2 4 3 4" xfId="14482"/>
    <cellStyle name="Input2 2 4 3 4 2" xfId="29264"/>
    <cellStyle name="Input2 2 4 3 5" xfId="21330"/>
    <cellStyle name="Input2 2 4 4" xfId="14483"/>
    <cellStyle name="Input2 2 4 4 2" xfId="29265"/>
    <cellStyle name="Input2 2 4 5" xfId="14484"/>
    <cellStyle name="Input2 2 4 5 2" xfId="14485"/>
    <cellStyle name="Input2 2 4 5 2 2" xfId="29267"/>
    <cellStyle name="Input2 2 4 5 3" xfId="14486"/>
    <cellStyle name="Input2 2 4 5 3 2" xfId="29268"/>
    <cellStyle name="Input2 2 4 5 4" xfId="29266"/>
    <cellStyle name="Input2 2 4 6" xfId="14487"/>
    <cellStyle name="Input2 2 4 6 2" xfId="29269"/>
    <cellStyle name="Input2 2 4 7" xfId="14488"/>
    <cellStyle name="Input2 2 4 7 2" xfId="14489"/>
    <cellStyle name="Input2 2 4 7 2 2" xfId="29271"/>
    <cellStyle name="Input2 2 4 7 3" xfId="29270"/>
    <cellStyle name="Input2 2 4 8" xfId="20167"/>
    <cellStyle name="Input2 2 5" xfId="14490"/>
    <cellStyle name="Input2 2 5 2" xfId="29272"/>
    <cellStyle name="Input2 2 6" xfId="19924"/>
    <cellStyle name="Input2 3" xfId="2640"/>
    <cellStyle name="Input2 3 2" xfId="2641"/>
    <cellStyle name="Input2 3 2 2" xfId="4020"/>
    <cellStyle name="Input2 3 2 2 2" xfId="5459"/>
    <cellStyle name="Input2 3 2 2 2 2" xfId="14491"/>
    <cellStyle name="Input2 3 2 2 2 2 2" xfId="29273"/>
    <cellStyle name="Input2 3 2 2 2 3" xfId="14492"/>
    <cellStyle name="Input2 3 2 2 2 3 2" xfId="14493"/>
    <cellStyle name="Input2 3 2 2 2 3 2 2" xfId="29275"/>
    <cellStyle name="Input2 3 2 2 2 3 3" xfId="14494"/>
    <cellStyle name="Input2 3 2 2 2 3 3 2" xfId="29276"/>
    <cellStyle name="Input2 3 2 2 2 3 4" xfId="29274"/>
    <cellStyle name="Input2 3 2 2 2 4" xfId="14495"/>
    <cellStyle name="Input2 3 2 2 2 4 2" xfId="29277"/>
    <cellStyle name="Input2 3 2 2 2 5" xfId="21331"/>
    <cellStyle name="Input2 3 2 2 3" xfId="5460"/>
    <cellStyle name="Input2 3 2 2 3 2" xfId="14496"/>
    <cellStyle name="Input2 3 2 2 3 2 2" xfId="29278"/>
    <cellStyle name="Input2 3 2 2 3 3" xfId="14497"/>
    <cellStyle name="Input2 3 2 2 3 3 2" xfId="14498"/>
    <cellStyle name="Input2 3 2 2 3 3 2 2" xfId="29280"/>
    <cellStyle name="Input2 3 2 2 3 3 3" xfId="14499"/>
    <cellStyle name="Input2 3 2 2 3 3 3 2" xfId="29281"/>
    <cellStyle name="Input2 3 2 2 3 3 4" xfId="29279"/>
    <cellStyle name="Input2 3 2 2 3 4" xfId="14500"/>
    <cellStyle name="Input2 3 2 2 3 4 2" xfId="29282"/>
    <cellStyle name="Input2 3 2 2 3 5" xfId="21332"/>
    <cellStyle name="Input2 3 2 2 4" xfId="14501"/>
    <cellStyle name="Input2 3 2 2 4 2" xfId="29283"/>
    <cellStyle name="Input2 3 2 2 5" xfId="14502"/>
    <cellStyle name="Input2 3 2 2 5 2" xfId="14503"/>
    <cellStyle name="Input2 3 2 2 5 2 2" xfId="29285"/>
    <cellStyle name="Input2 3 2 2 5 3" xfId="14504"/>
    <cellStyle name="Input2 3 2 2 5 3 2" xfId="29286"/>
    <cellStyle name="Input2 3 2 2 5 4" xfId="29284"/>
    <cellStyle name="Input2 3 2 2 6" xfId="14505"/>
    <cellStyle name="Input2 3 2 2 6 2" xfId="29287"/>
    <cellStyle name="Input2 3 2 2 7" xfId="14506"/>
    <cellStyle name="Input2 3 2 2 7 2" xfId="14507"/>
    <cellStyle name="Input2 3 2 2 7 2 2" xfId="29289"/>
    <cellStyle name="Input2 3 2 2 7 3" xfId="29288"/>
    <cellStyle name="Input2 3 2 2 8" xfId="20171"/>
    <cellStyle name="Input2 3 2 3" xfId="14508"/>
    <cellStyle name="Input2 3 2 3 2" xfId="29290"/>
    <cellStyle name="Input2 3 2 4" xfId="19928"/>
    <cellStyle name="Input2 3 3" xfId="2642"/>
    <cellStyle name="Input2 3 3 2" xfId="4021"/>
    <cellStyle name="Input2 3 3 2 2" xfId="5461"/>
    <cellStyle name="Input2 3 3 2 2 2" xfId="14509"/>
    <cellStyle name="Input2 3 3 2 2 2 2" xfId="29291"/>
    <cellStyle name="Input2 3 3 2 2 3" xfId="14510"/>
    <cellStyle name="Input2 3 3 2 2 3 2" xfId="14511"/>
    <cellStyle name="Input2 3 3 2 2 3 2 2" xfId="29293"/>
    <cellStyle name="Input2 3 3 2 2 3 3" xfId="14512"/>
    <cellStyle name="Input2 3 3 2 2 3 3 2" xfId="29294"/>
    <cellStyle name="Input2 3 3 2 2 3 4" xfId="29292"/>
    <cellStyle name="Input2 3 3 2 2 4" xfId="14513"/>
    <cellStyle name="Input2 3 3 2 2 4 2" xfId="29295"/>
    <cellStyle name="Input2 3 3 2 2 5" xfId="21333"/>
    <cellStyle name="Input2 3 3 2 3" xfId="5462"/>
    <cellStyle name="Input2 3 3 2 3 2" xfId="14514"/>
    <cellStyle name="Input2 3 3 2 3 2 2" xfId="29296"/>
    <cellStyle name="Input2 3 3 2 3 3" xfId="14515"/>
    <cellStyle name="Input2 3 3 2 3 3 2" xfId="14516"/>
    <cellStyle name="Input2 3 3 2 3 3 2 2" xfId="29298"/>
    <cellStyle name="Input2 3 3 2 3 3 3" xfId="14517"/>
    <cellStyle name="Input2 3 3 2 3 3 3 2" xfId="29299"/>
    <cellStyle name="Input2 3 3 2 3 3 4" xfId="29297"/>
    <cellStyle name="Input2 3 3 2 3 4" xfId="14518"/>
    <cellStyle name="Input2 3 3 2 3 4 2" xfId="29300"/>
    <cellStyle name="Input2 3 3 2 3 5" xfId="21334"/>
    <cellStyle name="Input2 3 3 2 4" xfId="14519"/>
    <cellStyle name="Input2 3 3 2 4 2" xfId="29301"/>
    <cellStyle name="Input2 3 3 2 5" xfId="14520"/>
    <cellStyle name="Input2 3 3 2 5 2" xfId="14521"/>
    <cellStyle name="Input2 3 3 2 5 2 2" xfId="29303"/>
    <cellStyle name="Input2 3 3 2 5 3" xfId="14522"/>
    <cellStyle name="Input2 3 3 2 5 3 2" xfId="29304"/>
    <cellStyle name="Input2 3 3 2 5 4" xfId="29302"/>
    <cellStyle name="Input2 3 3 2 6" xfId="14523"/>
    <cellStyle name="Input2 3 3 2 6 2" xfId="29305"/>
    <cellStyle name="Input2 3 3 2 7" xfId="14524"/>
    <cellStyle name="Input2 3 3 2 7 2" xfId="14525"/>
    <cellStyle name="Input2 3 3 2 7 2 2" xfId="29307"/>
    <cellStyle name="Input2 3 3 2 7 3" xfId="29306"/>
    <cellStyle name="Input2 3 3 2 8" xfId="20172"/>
    <cellStyle name="Input2 3 3 3" xfId="14526"/>
    <cellStyle name="Input2 3 3 3 2" xfId="29308"/>
    <cellStyle name="Input2 3 3 4" xfId="19929"/>
    <cellStyle name="Input2 3 4" xfId="4019"/>
    <cellStyle name="Input2 3 4 2" xfId="5463"/>
    <cellStyle name="Input2 3 4 2 2" xfId="14527"/>
    <cellStyle name="Input2 3 4 2 2 2" xfId="29309"/>
    <cellStyle name="Input2 3 4 2 3" xfId="14528"/>
    <cellStyle name="Input2 3 4 2 3 2" xfId="14529"/>
    <cellStyle name="Input2 3 4 2 3 2 2" xfId="29311"/>
    <cellStyle name="Input2 3 4 2 3 3" xfId="14530"/>
    <cellStyle name="Input2 3 4 2 3 3 2" xfId="29312"/>
    <cellStyle name="Input2 3 4 2 3 4" xfId="29310"/>
    <cellStyle name="Input2 3 4 2 4" xfId="14531"/>
    <cellStyle name="Input2 3 4 2 4 2" xfId="29313"/>
    <cellStyle name="Input2 3 4 2 5" xfId="21335"/>
    <cellStyle name="Input2 3 4 3" xfId="5464"/>
    <cellStyle name="Input2 3 4 3 2" xfId="14532"/>
    <cellStyle name="Input2 3 4 3 2 2" xfId="29314"/>
    <cellStyle name="Input2 3 4 3 3" xfId="14533"/>
    <cellStyle name="Input2 3 4 3 3 2" xfId="14534"/>
    <cellStyle name="Input2 3 4 3 3 2 2" xfId="29316"/>
    <cellStyle name="Input2 3 4 3 3 3" xfId="14535"/>
    <cellStyle name="Input2 3 4 3 3 3 2" xfId="29317"/>
    <cellStyle name="Input2 3 4 3 3 4" xfId="29315"/>
    <cellStyle name="Input2 3 4 3 4" xfId="14536"/>
    <cellStyle name="Input2 3 4 3 4 2" xfId="29318"/>
    <cellStyle name="Input2 3 4 3 5" xfId="21336"/>
    <cellStyle name="Input2 3 4 4" xfId="14537"/>
    <cellStyle name="Input2 3 4 4 2" xfId="29319"/>
    <cellStyle name="Input2 3 4 5" xfId="14538"/>
    <cellStyle name="Input2 3 4 5 2" xfId="14539"/>
    <cellStyle name="Input2 3 4 5 2 2" xfId="29321"/>
    <cellStyle name="Input2 3 4 5 3" xfId="14540"/>
    <cellStyle name="Input2 3 4 5 3 2" xfId="29322"/>
    <cellStyle name="Input2 3 4 5 4" xfId="29320"/>
    <cellStyle name="Input2 3 4 6" xfId="14541"/>
    <cellStyle name="Input2 3 4 6 2" xfId="29323"/>
    <cellStyle name="Input2 3 4 7" xfId="14542"/>
    <cellStyle name="Input2 3 4 7 2" xfId="14543"/>
    <cellStyle name="Input2 3 4 7 2 2" xfId="29325"/>
    <cellStyle name="Input2 3 4 7 3" xfId="29324"/>
    <cellStyle name="Input2 3 4 8" xfId="20170"/>
    <cellStyle name="Input2 3 5" xfId="14544"/>
    <cellStyle name="Input2 3 5 2" xfId="29326"/>
    <cellStyle name="Input2 3 6" xfId="19927"/>
    <cellStyle name="Input2 4" xfId="2643"/>
    <cellStyle name="Input2 4 2" xfId="4022"/>
    <cellStyle name="Input2 4 2 2" xfId="5465"/>
    <cellStyle name="Input2 4 2 2 2" xfId="14545"/>
    <cellStyle name="Input2 4 2 2 2 2" xfId="29327"/>
    <cellStyle name="Input2 4 2 2 3" xfId="14546"/>
    <cellStyle name="Input2 4 2 2 3 2" xfId="14547"/>
    <cellStyle name="Input2 4 2 2 3 2 2" xfId="29329"/>
    <cellStyle name="Input2 4 2 2 3 3" xfId="14548"/>
    <cellStyle name="Input2 4 2 2 3 3 2" xfId="29330"/>
    <cellStyle name="Input2 4 2 2 3 4" xfId="29328"/>
    <cellStyle name="Input2 4 2 2 4" xfId="14549"/>
    <cellStyle name="Input2 4 2 2 4 2" xfId="29331"/>
    <cellStyle name="Input2 4 2 2 5" xfId="21337"/>
    <cellStyle name="Input2 4 2 3" xfId="5466"/>
    <cellStyle name="Input2 4 2 3 2" xfId="14550"/>
    <cellStyle name="Input2 4 2 3 2 2" xfId="29332"/>
    <cellStyle name="Input2 4 2 3 3" xfId="14551"/>
    <cellStyle name="Input2 4 2 3 3 2" xfId="14552"/>
    <cellStyle name="Input2 4 2 3 3 2 2" xfId="29334"/>
    <cellStyle name="Input2 4 2 3 3 3" xfId="14553"/>
    <cellStyle name="Input2 4 2 3 3 3 2" xfId="29335"/>
    <cellStyle name="Input2 4 2 3 3 4" xfId="29333"/>
    <cellStyle name="Input2 4 2 3 4" xfId="14554"/>
    <cellStyle name="Input2 4 2 3 4 2" xfId="29336"/>
    <cellStyle name="Input2 4 2 3 5" xfId="21338"/>
    <cellStyle name="Input2 4 2 4" xfId="14555"/>
    <cellStyle name="Input2 4 2 4 2" xfId="29337"/>
    <cellStyle name="Input2 4 2 5" xfId="14556"/>
    <cellStyle name="Input2 4 2 5 2" xfId="14557"/>
    <cellStyle name="Input2 4 2 5 2 2" xfId="29339"/>
    <cellStyle name="Input2 4 2 5 3" xfId="14558"/>
    <cellStyle name="Input2 4 2 5 3 2" xfId="29340"/>
    <cellStyle name="Input2 4 2 5 4" xfId="29338"/>
    <cellStyle name="Input2 4 2 6" xfId="14559"/>
    <cellStyle name="Input2 4 2 6 2" xfId="29341"/>
    <cellStyle name="Input2 4 2 7" xfId="14560"/>
    <cellStyle name="Input2 4 2 7 2" xfId="14561"/>
    <cellStyle name="Input2 4 2 7 2 2" xfId="29343"/>
    <cellStyle name="Input2 4 2 7 3" xfId="29342"/>
    <cellStyle name="Input2 4 2 8" xfId="20173"/>
    <cellStyle name="Input2 4 3" xfId="14562"/>
    <cellStyle name="Input2 4 3 2" xfId="29344"/>
    <cellStyle name="Input2 4 4" xfId="19930"/>
    <cellStyle name="Input2 5" xfId="2644"/>
    <cellStyle name="Input2 5 2" xfId="4023"/>
    <cellStyle name="Input2 5 2 2" xfId="5467"/>
    <cellStyle name="Input2 5 2 2 2" xfId="14563"/>
    <cellStyle name="Input2 5 2 2 2 2" xfId="29345"/>
    <cellStyle name="Input2 5 2 2 3" xfId="14564"/>
    <cellStyle name="Input2 5 2 2 3 2" xfId="14565"/>
    <cellStyle name="Input2 5 2 2 3 2 2" xfId="29347"/>
    <cellStyle name="Input2 5 2 2 3 3" xfId="14566"/>
    <cellStyle name="Input2 5 2 2 3 3 2" xfId="29348"/>
    <cellStyle name="Input2 5 2 2 3 4" xfId="29346"/>
    <cellStyle name="Input2 5 2 2 4" xfId="14567"/>
    <cellStyle name="Input2 5 2 2 4 2" xfId="29349"/>
    <cellStyle name="Input2 5 2 2 5" xfId="21339"/>
    <cellStyle name="Input2 5 2 3" xfId="5468"/>
    <cellStyle name="Input2 5 2 3 2" xfId="14568"/>
    <cellStyle name="Input2 5 2 3 2 2" xfId="29350"/>
    <cellStyle name="Input2 5 2 3 3" xfId="14569"/>
    <cellStyle name="Input2 5 2 3 3 2" xfId="14570"/>
    <cellStyle name="Input2 5 2 3 3 2 2" xfId="29352"/>
    <cellStyle name="Input2 5 2 3 3 3" xfId="14571"/>
    <cellStyle name="Input2 5 2 3 3 3 2" xfId="29353"/>
    <cellStyle name="Input2 5 2 3 3 4" xfId="29351"/>
    <cellStyle name="Input2 5 2 3 4" xfId="14572"/>
    <cellStyle name="Input2 5 2 3 4 2" xfId="29354"/>
    <cellStyle name="Input2 5 2 3 5" xfId="21340"/>
    <cellStyle name="Input2 5 2 4" xfId="14573"/>
    <cellStyle name="Input2 5 2 4 2" xfId="29355"/>
    <cellStyle name="Input2 5 2 5" xfId="14574"/>
    <cellStyle name="Input2 5 2 5 2" xfId="14575"/>
    <cellStyle name="Input2 5 2 5 2 2" xfId="29357"/>
    <cellStyle name="Input2 5 2 5 3" xfId="14576"/>
    <cellStyle name="Input2 5 2 5 3 2" xfId="29358"/>
    <cellStyle name="Input2 5 2 5 4" xfId="29356"/>
    <cellStyle name="Input2 5 2 6" xfId="14577"/>
    <cellStyle name="Input2 5 2 6 2" xfId="29359"/>
    <cellStyle name="Input2 5 2 7" xfId="14578"/>
    <cellStyle name="Input2 5 2 7 2" xfId="14579"/>
    <cellStyle name="Input2 5 2 7 2 2" xfId="29361"/>
    <cellStyle name="Input2 5 2 7 3" xfId="29360"/>
    <cellStyle name="Input2 5 2 8" xfId="20174"/>
    <cellStyle name="Input2 5 3" xfId="14580"/>
    <cellStyle name="Input2 5 3 2" xfId="29362"/>
    <cellStyle name="Input2 5 4" xfId="19931"/>
    <cellStyle name="Input2 6" xfId="4015"/>
    <cellStyle name="Input2 6 2" xfId="5469"/>
    <cellStyle name="Input2 6 2 2" xfId="14581"/>
    <cellStyle name="Input2 6 2 2 2" xfId="29363"/>
    <cellStyle name="Input2 6 2 3" xfId="14582"/>
    <cellStyle name="Input2 6 2 3 2" xfId="14583"/>
    <cellStyle name="Input2 6 2 3 2 2" xfId="29365"/>
    <cellStyle name="Input2 6 2 3 3" xfId="14584"/>
    <cellStyle name="Input2 6 2 3 3 2" xfId="29366"/>
    <cellStyle name="Input2 6 2 3 4" xfId="29364"/>
    <cellStyle name="Input2 6 2 4" xfId="14585"/>
    <cellStyle name="Input2 6 2 4 2" xfId="29367"/>
    <cellStyle name="Input2 6 2 5" xfId="21341"/>
    <cellStyle name="Input2 6 3" xfId="5470"/>
    <cellStyle name="Input2 6 3 2" xfId="14586"/>
    <cellStyle name="Input2 6 3 2 2" xfId="29368"/>
    <cellStyle name="Input2 6 3 3" xfId="14587"/>
    <cellStyle name="Input2 6 3 3 2" xfId="14588"/>
    <cellStyle name="Input2 6 3 3 2 2" xfId="29370"/>
    <cellStyle name="Input2 6 3 3 3" xfId="14589"/>
    <cellStyle name="Input2 6 3 3 3 2" xfId="29371"/>
    <cellStyle name="Input2 6 3 3 4" xfId="29369"/>
    <cellStyle name="Input2 6 3 4" xfId="14590"/>
    <cellStyle name="Input2 6 3 4 2" xfId="29372"/>
    <cellStyle name="Input2 6 3 5" xfId="21342"/>
    <cellStyle name="Input2 6 4" xfId="14591"/>
    <cellStyle name="Input2 6 4 2" xfId="29373"/>
    <cellStyle name="Input2 6 5" xfId="14592"/>
    <cellStyle name="Input2 6 5 2" xfId="14593"/>
    <cellStyle name="Input2 6 5 2 2" xfId="29375"/>
    <cellStyle name="Input2 6 5 3" xfId="14594"/>
    <cellStyle name="Input2 6 5 3 2" xfId="29376"/>
    <cellStyle name="Input2 6 5 4" xfId="29374"/>
    <cellStyle name="Input2 6 6" xfId="14595"/>
    <cellStyle name="Input2 6 6 2" xfId="29377"/>
    <cellStyle name="Input2 6 7" xfId="14596"/>
    <cellStyle name="Input2 6 7 2" xfId="14597"/>
    <cellStyle name="Input2 6 7 2 2" xfId="29379"/>
    <cellStyle name="Input2 6 7 3" xfId="29378"/>
    <cellStyle name="Input2 6 8" xfId="20166"/>
    <cellStyle name="Input2 7" xfId="14598"/>
    <cellStyle name="Input2 7 2" xfId="29380"/>
    <cellStyle name="Input2 8" xfId="19923"/>
    <cellStyle name="InputBlueFont" xfId="2645"/>
    <cellStyle name="Inputs" xfId="2646"/>
    <cellStyle name="Intern_OP Leitlinie zu OP 99 " xfId="2647"/>
    <cellStyle name="Italic" xfId="2648"/>
    <cellStyle name="Item_Current" xfId="2649"/>
    <cellStyle name="item1" xfId="2650"/>
    <cellStyle name="John Column Heading" xfId="2651"/>
    <cellStyle name="John Currency" xfId="2652"/>
    <cellStyle name="John Month-Yr Date" xfId="2653"/>
    <cellStyle name="John Normal" xfId="2654"/>
    <cellStyle name="John Times" xfId="2655"/>
    <cellStyle name="John Times no-x" xfId="2656"/>
    <cellStyle name="John Times-no x" xfId="2657"/>
    <cellStyle name="Komma [0]_BINV" xfId="2658"/>
    <cellStyle name="Komma_BINV" xfId="2659"/>
    <cellStyle name="Konto" xfId="2660"/>
    <cellStyle name="Konto 2" xfId="5471"/>
    <cellStyle name="KPMG Heading 1" xfId="2661"/>
    <cellStyle name="KPMG Heading 2" xfId="2662"/>
    <cellStyle name="KPMG Heading 3" xfId="2663"/>
    <cellStyle name="KPMG Heading 4" xfId="2664"/>
    <cellStyle name="KPMG Normal" xfId="2665"/>
    <cellStyle name="KPMG Normal Text" xfId="2666"/>
    <cellStyle name="l]_x000d__x000a_Path=M:\RIOCEN01_x000d__x000a_Name=Carlos Emilio Brousse_x000d__x000a_DDEApps=nsf,nsg,nsh,ntf,ns2,ors,org_x000d__x000a_SmartIcons=Todos_x000d__x000a_" xfId="2667"/>
    <cellStyle name="Labels" xfId="2668"/>
    <cellStyle name="Lable8Left" xfId="2669"/>
    <cellStyle name="Large" xfId="2670"/>
    <cellStyle name="Layout" xfId="2671"/>
    <cellStyle name="LayoutFormel" xfId="2672"/>
    <cellStyle name="Lien hypertexte" xfId="2673"/>
    <cellStyle name="Lien hypertexte visité" xfId="2674"/>
    <cellStyle name="Lien hypertexte_MODELE COMPARABLES BOURSIERS Chablis1607" xfId="2675"/>
    <cellStyle name="Ligne" xfId="2676"/>
    <cellStyle name="Ligne 10" xfId="20012"/>
    <cellStyle name="Ligne 2" xfId="2677"/>
    <cellStyle name="Ligne 2 2" xfId="2678"/>
    <cellStyle name="Ligne 2 2 2" xfId="5472"/>
    <cellStyle name="Ligne 2 2 2 10" xfId="20565"/>
    <cellStyle name="Ligne 2 2 2 2" xfId="5473"/>
    <cellStyle name="Ligne 2 2 2 2 2" xfId="14599"/>
    <cellStyle name="Ligne 2 2 2 2 2 2" xfId="14600"/>
    <cellStyle name="Ligne 2 2 2 2 2 2 2" xfId="29382"/>
    <cellStyle name="Ligne 2 2 2 2 2 2 3" xfId="34971"/>
    <cellStyle name="Ligne 2 2 2 2 2 3" xfId="14601"/>
    <cellStyle name="Ligne 2 2 2 2 2 3 2" xfId="29383"/>
    <cellStyle name="Ligne 2 2 2 2 2 3 3" xfId="34972"/>
    <cellStyle name="Ligne 2 2 2 2 2 4" xfId="29381"/>
    <cellStyle name="Ligne 2 2 2 2 2 5" xfId="34970"/>
    <cellStyle name="Ligne 2 2 2 2 3" xfId="14602"/>
    <cellStyle name="Ligne 2 2 2 2 3 2" xfId="14603"/>
    <cellStyle name="Ligne 2 2 2 2 3 2 2" xfId="29385"/>
    <cellStyle name="Ligne 2 2 2 2 3 2 3" xfId="34974"/>
    <cellStyle name="Ligne 2 2 2 2 3 3" xfId="14604"/>
    <cellStyle name="Ligne 2 2 2 2 3 3 2" xfId="29386"/>
    <cellStyle name="Ligne 2 2 2 2 3 3 3" xfId="34975"/>
    <cellStyle name="Ligne 2 2 2 2 3 4" xfId="29384"/>
    <cellStyle name="Ligne 2 2 2 2 3 5" xfId="34973"/>
    <cellStyle name="Ligne 2 2 2 2 4" xfId="14605"/>
    <cellStyle name="Ligne 2 2 2 2 4 2" xfId="14606"/>
    <cellStyle name="Ligne 2 2 2 2 4 2 2" xfId="29388"/>
    <cellStyle name="Ligne 2 2 2 2 4 2 3" xfId="34977"/>
    <cellStyle name="Ligne 2 2 2 2 4 3" xfId="14607"/>
    <cellStyle name="Ligne 2 2 2 2 4 3 2" xfId="29389"/>
    <cellStyle name="Ligne 2 2 2 2 4 3 3" xfId="34978"/>
    <cellStyle name="Ligne 2 2 2 2 4 4" xfId="29387"/>
    <cellStyle name="Ligne 2 2 2 2 4 5" xfId="34976"/>
    <cellStyle name="Ligne 2 2 2 2 5" xfId="14608"/>
    <cellStyle name="Ligne 2 2 2 2 5 2" xfId="29390"/>
    <cellStyle name="Ligne 2 2 2 2 5 3" xfId="34979"/>
    <cellStyle name="Ligne 2 2 2 2 6" xfId="14609"/>
    <cellStyle name="Ligne 2 2 2 2 6 2" xfId="29391"/>
    <cellStyle name="Ligne 2 2 2 2 6 3" xfId="34980"/>
    <cellStyle name="Ligne 2 2 2 2 7" xfId="21344"/>
    <cellStyle name="Ligne 2 2 2 2 8" xfId="26338"/>
    <cellStyle name="Ligne 2 2 2 3" xfId="5474"/>
    <cellStyle name="Ligne 2 2 2 3 2" xfId="14610"/>
    <cellStyle name="Ligne 2 2 2 3 2 2" xfId="14611"/>
    <cellStyle name="Ligne 2 2 2 3 2 2 2" xfId="29393"/>
    <cellStyle name="Ligne 2 2 2 3 2 2 3" xfId="34982"/>
    <cellStyle name="Ligne 2 2 2 3 2 3" xfId="14612"/>
    <cellStyle name="Ligne 2 2 2 3 2 3 2" xfId="29394"/>
    <cellStyle name="Ligne 2 2 2 3 2 3 3" xfId="34983"/>
    <cellStyle name="Ligne 2 2 2 3 2 4" xfId="29392"/>
    <cellStyle name="Ligne 2 2 2 3 2 5" xfId="34981"/>
    <cellStyle name="Ligne 2 2 2 3 3" xfId="14613"/>
    <cellStyle name="Ligne 2 2 2 3 3 2" xfId="14614"/>
    <cellStyle name="Ligne 2 2 2 3 3 2 2" xfId="29396"/>
    <cellStyle name="Ligne 2 2 2 3 3 2 3" xfId="34985"/>
    <cellStyle name="Ligne 2 2 2 3 3 3" xfId="14615"/>
    <cellStyle name="Ligne 2 2 2 3 3 3 2" xfId="29397"/>
    <cellStyle name="Ligne 2 2 2 3 3 3 3" xfId="34986"/>
    <cellStyle name="Ligne 2 2 2 3 3 4" xfId="29395"/>
    <cellStyle name="Ligne 2 2 2 3 3 5" xfId="34984"/>
    <cellStyle name="Ligne 2 2 2 3 4" xfId="14616"/>
    <cellStyle name="Ligne 2 2 2 3 4 2" xfId="14617"/>
    <cellStyle name="Ligne 2 2 2 3 4 2 2" xfId="29399"/>
    <cellStyle name="Ligne 2 2 2 3 4 2 3" xfId="34988"/>
    <cellStyle name="Ligne 2 2 2 3 4 3" xfId="14618"/>
    <cellStyle name="Ligne 2 2 2 3 4 3 2" xfId="29400"/>
    <cellStyle name="Ligne 2 2 2 3 4 3 3" xfId="34989"/>
    <cellStyle name="Ligne 2 2 2 3 4 4" xfId="29398"/>
    <cellStyle name="Ligne 2 2 2 3 4 5" xfId="34987"/>
    <cellStyle name="Ligne 2 2 2 3 5" xfId="14619"/>
    <cellStyle name="Ligne 2 2 2 3 5 2" xfId="29401"/>
    <cellStyle name="Ligne 2 2 2 3 5 3" xfId="34990"/>
    <cellStyle name="Ligne 2 2 2 3 6" xfId="14620"/>
    <cellStyle name="Ligne 2 2 2 3 6 2" xfId="29402"/>
    <cellStyle name="Ligne 2 2 2 3 6 3" xfId="34991"/>
    <cellStyle name="Ligne 2 2 2 3 7" xfId="21345"/>
    <cellStyle name="Ligne 2 2 2 3 8" xfId="26337"/>
    <cellStyle name="Ligne 2 2 2 4" xfId="5475"/>
    <cellStyle name="Ligne 2 2 2 4 2" xfId="14621"/>
    <cellStyle name="Ligne 2 2 2 4 2 2" xfId="14622"/>
    <cellStyle name="Ligne 2 2 2 4 2 2 2" xfId="29404"/>
    <cellStyle name="Ligne 2 2 2 4 2 2 3" xfId="34993"/>
    <cellStyle name="Ligne 2 2 2 4 2 3" xfId="14623"/>
    <cellStyle name="Ligne 2 2 2 4 2 3 2" xfId="29405"/>
    <cellStyle name="Ligne 2 2 2 4 2 3 3" xfId="34994"/>
    <cellStyle name="Ligne 2 2 2 4 2 4" xfId="29403"/>
    <cellStyle name="Ligne 2 2 2 4 2 5" xfId="34992"/>
    <cellStyle name="Ligne 2 2 2 4 3" xfId="14624"/>
    <cellStyle name="Ligne 2 2 2 4 3 2" xfId="14625"/>
    <cellStyle name="Ligne 2 2 2 4 3 2 2" xfId="29407"/>
    <cellStyle name="Ligne 2 2 2 4 3 2 3" xfId="34996"/>
    <cellStyle name="Ligne 2 2 2 4 3 3" xfId="14626"/>
    <cellStyle name="Ligne 2 2 2 4 3 3 2" xfId="29408"/>
    <cellStyle name="Ligne 2 2 2 4 3 3 3" xfId="34997"/>
    <cellStyle name="Ligne 2 2 2 4 3 4" xfId="29406"/>
    <cellStyle name="Ligne 2 2 2 4 3 5" xfId="34995"/>
    <cellStyle name="Ligne 2 2 2 4 4" xfId="14627"/>
    <cellStyle name="Ligne 2 2 2 4 4 2" xfId="14628"/>
    <cellStyle name="Ligne 2 2 2 4 4 2 2" xfId="29410"/>
    <cellStyle name="Ligne 2 2 2 4 4 2 3" xfId="34999"/>
    <cellStyle name="Ligne 2 2 2 4 4 3" xfId="14629"/>
    <cellStyle name="Ligne 2 2 2 4 4 3 2" xfId="29411"/>
    <cellStyle name="Ligne 2 2 2 4 4 3 3" xfId="35000"/>
    <cellStyle name="Ligne 2 2 2 4 4 4" xfId="29409"/>
    <cellStyle name="Ligne 2 2 2 4 4 5" xfId="34998"/>
    <cellStyle name="Ligne 2 2 2 4 5" xfId="14630"/>
    <cellStyle name="Ligne 2 2 2 4 5 2" xfId="29412"/>
    <cellStyle name="Ligne 2 2 2 4 5 3" xfId="35001"/>
    <cellStyle name="Ligne 2 2 2 4 6" xfId="14631"/>
    <cellStyle name="Ligne 2 2 2 4 6 2" xfId="29413"/>
    <cellStyle name="Ligne 2 2 2 4 6 3" xfId="35002"/>
    <cellStyle name="Ligne 2 2 2 4 7" xfId="21346"/>
    <cellStyle name="Ligne 2 2 2 4 8" xfId="26336"/>
    <cellStyle name="Ligne 2 2 2 5" xfId="14632"/>
    <cellStyle name="Ligne 2 2 2 5 2" xfId="14633"/>
    <cellStyle name="Ligne 2 2 2 5 2 2" xfId="29415"/>
    <cellStyle name="Ligne 2 2 2 5 2 3" xfId="35004"/>
    <cellStyle name="Ligne 2 2 2 5 3" xfId="14634"/>
    <cellStyle name="Ligne 2 2 2 5 3 2" xfId="29416"/>
    <cellStyle name="Ligne 2 2 2 5 3 3" xfId="35005"/>
    <cellStyle name="Ligne 2 2 2 5 4" xfId="29414"/>
    <cellStyle name="Ligne 2 2 2 5 5" xfId="35003"/>
    <cellStyle name="Ligne 2 2 2 6" xfId="14635"/>
    <cellStyle name="Ligne 2 2 2 6 2" xfId="14636"/>
    <cellStyle name="Ligne 2 2 2 6 2 2" xfId="29418"/>
    <cellStyle name="Ligne 2 2 2 6 2 3" xfId="35007"/>
    <cellStyle name="Ligne 2 2 2 6 3" xfId="14637"/>
    <cellStyle name="Ligne 2 2 2 6 3 2" xfId="29419"/>
    <cellStyle name="Ligne 2 2 2 6 3 3" xfId="35008"/>
    <cellStyle name="Ligne 2 2 2 6 4" xfId="29417"/>
    <cellStyle name="Ligne 2 2 2 6 5" xfId="35006"/>
    <cellStyle name="Ligne 2 2 2 7" xfId="14638"/>
    <cellStyle name="Ligne 2 2 2 7 2" xfId="29420"/>
    <cellStyle name="Ligne 2 2 2 7 3" xfId="35009"/>
    <cellStyle name="Ligne 2 2 2 8" xfId="14639"/>
    <cellStyle name="Ligne 2 2 2 8 2" xfId="29421"/>
    <cellStyle name="Ligne 2 2 2 8 3" xfId="35010"/>
    <cellStyle name="Ligne 2 2 2 9" xfId="21343"/>
    <cellStyle name="Ligne 2 2 3" xfId="14640"/>
    <cellStyle name="Ligne 2 2 3 2" xfId="14641"/>
    <cellStyle name="Ligne 2 2 3 2 2" xfId="29423"/>
    <cellStyle name="Ligne 2 2 3 2 3" xfId="35012"/>
    <cellStyle name="Ligne 2 2 3 3" xfId="14642"/>
    <cellStyle name="Ligne 2 2 3 3 2" xfId="29424"/>
    <cellStyle name="Ligne 2 2 3 3 3" xfId="35013"/>
    <cellStyle name="Ligne 2 2 3 4" xfId="29422"/>
    <cellStyle name="Ligne 2 2 3 5" xfId="35011"/>
    <cellStyle name="Ligne 2 2 4" xfId="14643"/>
    <cellStyle name="Ligne 2 2 4 2" xfId="14644"/>
    <cellStyle name="Ligne 2 2 4 2 2" xfId="29426"/>
    <cellStyle name="Ligne 2 2 4 2 3" xfId="35015"/>
    <cellStyle name="Ligne 2 2 4 3" xfId="14645"/>
    <cellStyle name="Ligne 2 2 4 3 2" xfId="29427"/>
    <cellStyle name="Ligne 2 2 4 3 3" xfId="35016"/>
    <cellStyle name="Ligne 2 2 4 4" xfId="29425"/>
    <cellStyle name="Ligne 2 2 4 5" xfId="35014"/>
    <cellStyle name="Ligne 2 2 5" xfId="14646"/>
    <cellStyle name="Ligne 2 2 5 2" xfId="29428"/>
    <cellStyle name="Ligne 2 2 5 3" xfId="35017"/>
    <cellStyle name="Ligne 2 2 6" xfId="14647"/>
    <cellStyle name="Ligne 2 2 6 2" xfId="29429"/>
    <cellStyle name="Ligne 2 2 6 3" xfId="35018"/>
    <cellStyle name="Ligne 2 2 7" xfId="19934"/>
    <cellStyle name="Ligne 2 2 8" xfId="20010"/>
    <cellStyle name="Ligne 2 3" xfId="5476"/>
    <cellStyle name="Ligne 2 3 10" xfId="26335"/>
    <cellStyle name="Ligne 2 3 2" xfId="5477"/>
    <cellStyle name="Ligne 2 3 2 2" xfId="14648"/>
    <cellStyle name="Ligne 2 3 2 2 2" xfId="14649"/>
    <cellStyle name="Ligne 2 3 2 2 2 2" xfId="29431"/>
    <cellStyle name="Ligne 2 3 2 2 2 3" xfId="35020"/>
    <cellStyle name="Ligne 2 3 2 2 3" xfId="14650"/>
    <cellStyle name="Ligne 2 3 2 2 3 2" xfId="29432"/>
    <cellStyle name="Ligne 2 3 2 2 3 3" xfId="35021"/>
    <cellStyle name="Ligne 2 3 2 2 4" xfId="29430"/>
    <cellStyle name="Ligne 2 3 2 2 5" xfId="35019"/>
    <cellStyle name="Ligne 2 3 2 3" xfId="14651"/>
    <cellStyle name="Ligne 2 3 2 3 2" xfId="14652"/>
    <cellStyle name="Ligne 2 3 2 3 2 2" xfId="29434"/>
    <cellStyle name="Ligne 2 3 2 3 2 3" xfId="35023"/>
    <cellStyle name="Ligne 2 3 2 3 3" xfId="14653"/>
    <cellStyle name="Ligne 2 3 2 3 3 2" xfId="29435"/>
    <cellStyle name="Ligne 2 3 2 3 3 3" xfId="35024"/>
    <cellStyle name="Ligne 2 3 2 3 4" xfId="29433"/>
    <cellStyle name="Ligne 2 3 2 3 5" xfId="35022"/>
    <cellStyle name="Ligne 2 3 2 4" xfId="14654"/>
    <cellStyle name="Ligne 2 3 2 4 2" xfId="14655"/>
    <cellStyle name="Ligne 2 3 2 4 2 2" xfId="29437"/>
    <cellStyle name="Ligne 2 3 2 4 2 3" xfId="35026"/>
    <cellStyle name="Ligne 2 3 2 4 3" xfId="14656"/>
    <cellStyle name="Ligne 2 3 2 4 3 2" xfId="29438"/>
    <cellStyle name="Ligne 2 3 2 4 3 3" xfId="35027"/>
    <cellStyle name="Ligne 2 3 2 4 4" xfId="29436"/>
    <cellStyle name="Ligne 2 3 2 4 5" xfId="35025"/>
    <cellStyle name="Ligne 2 3 2 5" xfId="14657"/>
    <cellStyle name="Ligne 2 3 2 5 2" xfId="29439"/>
    <cellStyle name="Ligne 2 3 2 5 3" xfId="35028"/>
    <cellStyle name="Ligne 2 3 2 6" xfId="14658"/>
    <cellStyle name="Ligne 2 3 2 6 2" xfId="29440"/>
    <cellStyle name="Ligne 2 3 2 6 3" xfId="35029"/>
    <cellStyle name="Ligne 2 3 2 7" xfId="21348"/>
    <cellStyle name="Ligne 2 3 2 8" xfId="26334"/>
    <cellStyle name="Ligne 2 3 3" xfId="5478"/>
    <cellStyle name="Ligne 2 3 3 2" xfId="14659"/>
    <cellStyle name="Ligne 2 3 3 2 2" xfId="14660"/>
    <cellStyle name="Ligne 2 3 3 2 2 2" xfId="29442"/>
    <cellStyle name="Ligne 2 3 3 2 2 3" xfId="35031"/>
    <cellStyle name="Ligne 2 3 3 2 3" xfId="14661"/>
    <cellStyle name="Ligne 2 3 3 2 3 2" xfId="29443"/>
    <cellStyle name="Ligne 2 3 3 2 3 3" xfId="35032"/>
    <cellStyle name="Ligne 2 3 3 2 4" xfId="29441"/>
    <cellStyle name="Ligne 2 3 3 2 5" xfId="35030"/>
    <cellStyle name="Ligne 2 3 3 3" xfId="14662"/>
    <cellStyle name="Ligne 2 3 3 3 2" xfId="14663"/>
    <cellStyle name="Ligne 2 3 3 3 2 2" xfId="29445"/>
    <cellStyle name="Ligne 2 3 3 3 2 3" xfId="35034"/>
    <cellStyle name="Ligne 2 3 3 3 3" xfId="14664"/>
    <cellStyle name="Ligne 2 3 3 3 3 2" xfId="29446"/>
    <cellStyle name="Ligne 2 3 3 3 3 3" xfId="35035"/>
    <cellStyle name="Ligne 2 3 3 3 4" xfId="29444"/>
    <cellStyle name="Ligne 2 3 3 3 5" xfId="35033"/>
    <cellStyle name="Ligne 2 3 3 4" xfId="14665"/>
    <cellStyle name="Ligne 2 3 3 4 2" xfId="14666"/>
    <cellStyle name="Ligne 2 3 3 4 2 2" xfId="29448"/>
    <cellStyle name="Ligne 2 3 3 4 2 3" xfId="35037"/>
    <cellStyle name="Ligne 2 3 3 4 3" xfId="14667"/>
    <cellStyle name="Ligne 2 3 3 4 3 2" xfId="29449"/>
    <cellStyle name="Ligne 2 3 3 4 3 3" xfId="35038"/>
    <cellStyle name="Ligne 2 3 3 4 4" xfId="29447"/>
    <cellStyle name="Ligne 2 3 3 4 5" xfId="35036"/>
    <cellStyle name="Ligne 2 3 3 5" xfId="14668"/>
    <cellStyle name="Ligne 2 3 3 5 2" xfId="29450"/>
    <cellStyle name="Ligne 2 3 3 5 3" xfId="35039"/>
    <cellStyle name="Ligne 2 3 3 6" xfId="14669"/>
    <cellStyle name="Ligne 2 3 3 6 2" xfId="29451"/>
    <cellStyle name="Ligne 2 3 3 6 3" xfId="35040"/>
    <cellStyle name="Ligne 2 3 3 7" xfId="21349"/>
    <cellStyle name="Ligne 2 3 3 8" xfId="26333"/>
    <cellStyle name="Ligne 2 3 4" xfId="5479"/>
    <cellStyle name="Ligne 2 3 4 2" xfId="14670"/>
    <cellStyle name="Ligne 2 3 4 2 2" xfId="14671"/>
    <cellStyle name="Ligne 2 3 4 2 2 2" xfId="29453"/>
    <cellStyle name="Ligne 2 3 4 2 2 3" xfId="35042"/>
    <cellStyle name="Ligne 2 3 4 2 3" xfId="14672"/>
    <cellStyle name="Ligne 2 3 4 2 3 2" xfId="29454"/>
    <cellStyle name="Ligne 2 3 4 2 3 3" xfId="35043"/>
    <cellStyle name="Ligne 2 3 4 2 4" xfId="29452"/>
    <cellStyle name="Ligne 2 3 4 2 5" xfId="35041"/>
    <cellStyle name="Ligne 2 3 4 3" xfId="14673"/>
    <cellStyle name="Ligne 2 3 4 3 2" xfId="14674"/>
    <cellStyle name="Ligne 2 3 4 3 2 2" xfId="29456"/>
    <cellStyle name="Ligne 2 3 4 3 2 3" xfId="35045"/>
    <cellStyle name="Ligne 2 3 4 3 3" xfId="14675"/>
    <cellStyle name="Ligne 2 3 4 3 3 2" xfId="29457"/>
    <cellStyle name="Ligne 2 3 4 3 3 3" xfId="35046"/>
    <cellStyle name="Ligne 2 3 4 3 4" xfId="29455"/>
    <cellStyle name="Ligne 2 3 4 3 5" xfId="35044"/>
    <cellStyle name="Ligne 2 3 4 4" xfId="14676"/>
    <cellStyle name="Ligne 2 3 4 4 2" xfId="14677"/>
    <cellStyle name="Ligne 2 3 4 4 2 2" xfId="29459"/>
    <cellStyle name="Ligne 2 3 4 4 2 3" xfId="35048"/>
    <cellStyle name="Ligne 2 3 4 4 3" xfId="14678"/>
    <cellStyle name="Ligne 2 3 4 4 3 2" xfId="29460"/>
    <cellStyle name="Ligne 2 3 4 4 3 3" xfId="35049"/>
    <cellStyle name="Ligne 2 3 4 4 4" xfId="29458"/>
    <cellStyle name="Ligne 2 3 4 4 5" xfId="35047"/>
    <cellStyle name="Ligne 2 3 4 5" xfId="14679"/>
    <cellStyle name="Ligne 2 3 4 5 2" xfId="29461"/>
    <cellStyle name="Ligne 2 3 4 5 3" xfId="35050"/>
    <cellStyle name="Ligne 2 3 4 6" xfId="14680"/>
    <cellStyle name="Ligne 2 3 4 6 2" xfId="29462"/>
    <cellStyle name="Ligne 2 3 4 6 3" xfId="35051"/>
    <cellStyle name="Ligne 2 3 4 7" xfId="21350"/>
    <cellStyle name="Ligne 2 3 4 8" xfId="26332"/>
    <cellStyle name="Ligne 2 3 5" xfId="14681"/>
    <cellStyle name="Ligne 2 3 5 2" xfId="14682"/>
    <cellStyle name="Ligne 2 3 5 2 2" xfId="29464"/>
    <cellStyle name="Ligne 2 3 5 2 3" xfId="35053"/>
    <cellStyle name="Ligne 2 3 5 3" xfId="14683"/>
    <cellStyle name="Ligne 2 3 5 3 2" xfId="29465"/>
    <cellStyle name="Ligne 2 3 5 3 3" xfId="35054"/>
    <cellStyle name="Ligne 2 3 5 4" xfId="29463"/>
    <cellStyle name="Ligne 2 3 5 5" xfId="35052"/>
    <cellStyle name="Ligne 2 3 6" xfId="14684"/>
    <cellStyle name="Ligne 2 3 6 2" xfId="14685"/>
    <cellStyle name="Ligne 2 3 6 2 2" xfId="29467"/>
    <cellStyle name="Ligne 2 3 6 2 3" xfId="35056"/>
    <cellStyle name="Ligne 2 3 6 3" xfId="14686"/>
    <cellStyle name="Ligne 2 3 6 3 2" xfId="29468"/>
    <cellStyle name="Ligne 2 3 6 3 3" xfId="35057"/>
    <cellStyle name="Ligne 2 3 6 4" xfId="29466"/>
    <cellStyle name="Ligne 2 3 6 5" xfId="35055"/>
    <cellStyle name="Ligne 2 3 7" xfId="14687"/>
    <cellStyle name="Ligne 2 3 7 2" xfId="29469"/>
    <cellStyle name="Ligne 2 3 7 3" xfId="35058"/>
    <cellStyle name="Ligne 2 3 8" xfId="14688"/>
    <cellStyle name="Ligne 2 3 8 2" xfId="29470"/>
    <cellStyle name="Ligne 2 3 8 3" xfId="35059"/>
    <cellStyle name="Ligne 2 3 9" xfId="21347"/>
    <cellStyle name="Ligne 2 4" xfId="14689"/>
    <cellStyle name="Ligne 2 4 2" xfId="14690"/>
    <cellStyle name="Ligne 2 4 2 2" xfId="29472"/>
    <cellStyle name="Ligne 2 4 2 3" xfId="35061"/>
    <cellStyle name="Ligne 2 4 3" xfId="14691"/>
    <cellStyle name="Ligne 2 4 3 2" xfId="29473"/>
    <cellStyle name="Ligne 2 4 3 3" xfId="35062"/>
    <cellStyle name="Ligne 2 4 4" xfId="29471"/>
    <cellStyle name="Ligne 2 4 5" xfId="35060"/>
    <cellStyle name="Ligne 2 5" xfId="14692"/>
    <cellStyle name="Ligne 2 5 2" xfId="14693"/>
    <cellStyle name="Ligne 2 5 2 2" xfId="29475"/>
    <cellStyle name="Ligne 2 5 2 3" xfId="35064"/>
    <cellStyle name="Ligne 2 5 3" xfId="14694"/>
    <cellStyle name="Ligne 2 5 3 2" xfId="29476"/>
    <cellStyle name="Ligne 2 5 3 3" xfId="35065"/>
    <cellStyle name="Ligne 2 5 4" xfId="29474"/>
    <cellStyle name="Ligne 2 5 5" xfId="35063"/>
    <cellStyle name="Ligne 2 6" xfId="14695"/>
    <cellStyle name="Ligne 2 6 2" xfId="29477"/>
    <cellStyle name="Ligne 2 6 3" xfId="35066"/>
    <cellStyle name="Ligne 2 7" xfId="14696"/>
    <cellStyle name="Ligne 2 7 2" xfId="29478"/>
    <cellStyle name="Ligne 2 7 3" xfId="35067"/>
    <cellStyle name="Ligne 2 8" xfId="19933"/>
    <cellStyle name="Ligne 2 9" xfId="20011"/>
    <cellStyle name="Ligne 3" xfId="2679"/>
    <cellStyle name="Ligne 3 2" xfId="5480"/>
    <cellStyle name="Ligne 3 2 10" xfId="26331"/>
    <cellStyle name="Ligne 3 2 2" xfId="5481"/>
    <cellStyle name="Ligne 3 2 2 2" xfId="14697"/>
    <cellStyle name="Ligne 3 2 2 2 2" xfId="14698"/>
    <cellStyle name="Ligne 3 2 2 2 2 2" xfId="29480"/>
    <cellStyle name="Ligne 3 2 2 2 2 3" xfId="35069"/>
    <cellStyle name="Ligne 3 2 2 2 3" xfId="14699"/>
    <cellStyle name="Ligne 3 2 2 2 3 2" xfId="29481"/>
    <cellStyle name="Ligne 3 2 2 2 3 3" xfId="35070"/>
    <cellStyle name="Ligne 3 2 2 2 4" xfId="29479"/>
    <cellStyle name="Ligne 3 2 2 2 5" xfId="35068"/>
    <cellStyle name="Ligne 3 2 2 3" xfId="14700"/>
    <cellStyle name="Ligne 3 2 2 3 2" xfId="14701"/>
    <cellStyle name="Ligne 3 2 2 3 2 2" xfId="29483"/>
    <cellStyle name="Ligne 3 2 2 3 2 3" xfId="35072"/>
    <cellStyle name="Ligne 3 2 2 3 3" xfId="14702"/>
    <cellStyle name="Ligne 3 2 2 3 3 2" xfId="29484"/>
    <cellStyle name="Ligne 3 2 2 3 3 3" xfId="35073"/>
    <cellStyle name="Ligne 3 2 2 3 4" xfId="29482"/>
    <cellStyle name="Ligne 3 2 2 3 5" xfId="35071"/>
    <cellStyle name="Ligne 3 2 2 4" xfId="14703"/>
    <cellStyle name="Ligne 3 2 2 4 2" xfId="14704"/>
    <cellStyle name="Ligne 3 2 2 4 2 2" xfId="29486"/>
    <cellStyle name="Ligne 3 2 2 4 2 3" xfId="35075"/>
    <cellStyle name="Ligne 3 2 2 4 3" xfId="14705"/>
    <cellStyle name="Ligne 3 2 2 4 3 2" xfId="29487"/>
    <cellStyle name="Ligne 3 2 2 4 3 3" xfId="35076"/>
    <cellStyle name="Ligne 3 2 2 4 4" xfId="29485"/>
    <cellStyle name="Ligne 3 2 2 4 5" xfId="35074"/>
    <cellStyle name="Ligne 3 2 2 5" xfId="14706"/>
    <cellStyle name="Ligne 3 2 2 5 2" xfId="29488"/>
    <cellStyle name="Ligne 3 2 2 5 3" xfId="35077"/>
    <cellStyle name="Ligne 3 2 2 6" xfId="14707"/>
    <cellStyle name="Ligne 3 2 2 6 2" xfId="29489"/>
    <cellStyle name="Ligne 3 2 2 6 3" xfId="35078"/>
    <cellStyle name="Ligne 3 2 2 7" xfId="21352"/>
    <cellStyle name="Ligne 3 2 2 8" xfId="26330"/>
    <cellStyle name="Ligne 3 2 3" xfId="5482"/>
    <cellStyle name="Ligne 3 2 3 2" xfId="14708"/>
    <cellStyle name="Ligne 3 2 3 2 2" xfId="14709"/>
    <cellStyle name="Ligne 3 2 3 2 2 2" xfId="29491"/>
    <cellStyle name="Ligne 3 2 3 2 2 3" xfId="35080"/>
    <cellStyle name="Ligne 3 2 3 2 3" xfId="14710"/>
    <cellStyle name="Ligne 3 2 3 2 3 2" xfId="29492"/>
    <cellStyle name="Ligne 3 2 3 2 3 3" xfId="35081"/>
    <cellStyle name="Ligne 3 2 3 2 4" xfId="29490"/>
    <cellStyle name="Ligne 3 2 3 2 5" xfId="35079"/>
    <cellStyle name="Ligne 3 2 3 3" xfId="14711"/>
    <cellStyle name="Ligne 3 2 3 3 2" xfId="14712"/>
    <cellStyle name="Ligne 3 2 3 3 2 2" xfId="29494"/>
    <cellStyle name="Ligne 3 2 3 3 2 3" xfId="35083"/>
    <cellStyle name="Ligne 3 2 3 3 3" xfId="14713"/>
    <cellStyle name="Ligne 3 2 3 3 3 2" xfId="29495"/>
    <cellStyle name="Ligne 3 2 3 3 3 3" xfId="35084"/>
    <cellStyle name="Ligne 3 2 3 3 4" xfId="29493"/>
    <cellStyle name="Ligne 3 2 3 3 5" xfId="35082"/>
    <cellStyle name="Ligne 3 2 3 4" xfId="14714"/>
    <cellStyle name="Ligne 3 2 3 4 2" xfId="14715"/>
    <cellStyle name="Ligne 3 2 3 4 2 2" xfId="29497"/>
    <cellStyle name="Ligne 3 2 3 4 2 3" xfId="35086"/>
    <cellStyle name="Ligne 3 2 3 4 3" xfId="14716"/>
    <cellStyle name="Ligne 3 2 3 4 3 2" xfId="29498"/>
    <cellStyle name="Ligne 3 2 3 4 3 3" xfId="35087"/>
    <cellStyle name="Ligne 3 2 3 4 4" xfId="29496"/>
    <cellStyle name="Ligne 3 2 3 4 5" xfId="35085"/>
    <cellStyle name="Ligne 3 2 3 5" xfId="14717"/>
    <cellStyle name="Ligne 3 2 3 5 2" xfId="29499"/>
    <cellStyle name="Ligne 3 2 3 5 3" xfId="35088"/>
    <cellStyle name="Ligne 3 2 3 6" xfId="14718"/>
    <cellStyle name="Ligne 3 2 3 6 2" xfId="29500"/>
    <cellStyle name="Ligne 3 2 3 6 3" xfId="35089"/>
    <cellStyle name="Ligne 3 2 3 7" xfId="21353"/>
    <cellStyle name="Ligne 3 2 3 8" xfId="26329"/>
    <cellStyle name="Ligne 3 2 4" xfId="5483"/>
    <cellStyle name="Ligne 3 2 4 2" xfId="14719"/>
    <cellStyle name="Ligne 3 2 4 2 2" xfId="14720"/>
    <cellStyle name="Ligne 3 2 4 2 2 2" xfId="29502"/>
    <cellStyle name="Ligne 3 2 4 2 2 3" xfId="35091"/>
    <cellStyle name="Ligne 3 2 4 2 3" xfId="14721"/>
    <cellStyle name="Ligne 3 2 4 2 3 2" xfId="29503"/>
    <cellStyle name="Ligne 3 2 4 2 3 3" xfId="35092"/>
    <cellStyle name="Ligne 3 2 4 2 4" xfId="29501"/>
    <cellStyle name="Ligne 3 2 4 2 5" xfId="35090"/>
    <cellStyle name="Ligne 3 2 4 3" xfId="14722"/>
    <cellStyle name="Ligne 3 2 4 3 2" xfId="14723"/>
    <cellStyle name="Ligne 3 2 4 3 2 2" xfId="29505"/>
    <cellStyle name="Ligne 3 2 4 3 2 3" xfId="35094"/>
    <cellStyle name="Ligne 3 2 4 3 3" xfId="14724"/>
    <cellStyle name="Ligne 3 2 4 3 3 2" xfId="29506"/>
    <cellStyle name="Ligne 3 2 4 3 3 3" xfId="35095"/>
    <cellStyle name="Ligne 3 2 4 3 4" xfId="29504"/>
    <cellStyle name="Ligne 3 2 4 3 5" xfId="35093"/>
    <cellStyle name="Ligne 3 2 4 4" xfId="14725"/>
    <cellStyle name="Ligne 3 2 4 4 2" xfId="14726"/>
    <cellStyle name="Ligne 3 2 4 4 2 2" xfId="29508"/>
    <cellStyle name="Ligne 3 2 4 4 2 3" xfId="35097"/>
    <cellStyle name="Ligne 3 2 4 4 3" xfId="14727"/>
    <cellStyle name="Ligne 3 2 4 4 3 2" xfId="29509"/>
    <cellStyle name="Ligne 3 2 4 4 3 3" xfId="35098"/>
    <cellStyle name="Ligne 3 2 4 4 4" xfId="29507"/>
    <cellStyle name="Ligne 3 2 4 4 5" xfId="35096"/>
    <cellStyle name="Ligne 3 2 4 5" xfId="14728"/>
    <cellStyle name="Ligne 3 2 4 5 2" xfId="29510"/>
    <cellStyle name="Ligne 3 2 4 5 3" xfId="35099"/>
    <cellStyle name="Ligne 3 2 4 6" xfId="14729"/>
    <cellStyle name="Ligne 3 2 4 6 2" xfId="29511"/>
    <cellStyle name="Ligne 3 2 4 6 3" xfId="35100"/>
    <cellStyle name="Ligne 3 2 4 7" xfId="21354"/>
    <cellStyle name="Ligne 3 2 4 8" xfId="26328"/>
    <cellStyle name="Ligne 3 2 5" xfId="14730"/>
    <cellStyle name="Ligne 3 2 5 2" xfId="14731"/>
    <cellStyle name="Ligne 3 2 5 2 2" xfId="29513"/>
    <cellStyle name="Ligne 3 2 5 2 3" xfId="35102"/>
    <cellStyle name="Ligne 3 2 5 3" xfId="14732"/>
    <cellStyle name="Ligne 3 2 5 3 2" xfId="29514"/>
    <cellStyle name="Ligne 3 2 5 3 3" xfId="35103"/>
    <cellStyle name="Ligne 3 2 5 4" xfId="29512"/>
    <cellStyle name="Ligne 3 2 5 5" xfId="35101"/>
    <cellStyle name="Ligne 3 2 6" xfId="14733"/>
    <cellStyle name="Ligne 3 2 6 2" xfId="14734"/>
    <cellStyle name="Ligne 3 2 6 2 2" xfId="29516"/>
    <cellStyle name="Ligne 3 2 6 2 3" xfId="35105"/>
    <cellStyle name="Ligne 3 2 6 3" xfId="14735"/>
    <cellStyle name="Ligne 3 2 6 3 2" xfId="29517"/>
    <cellStyle name="Ligne 3 2 6 3 3" xfId="35106"/>
    <cellStyle name="Ligne 3 2 6 4" xfId="29515"/>
    <cellStyle name="Ligne 3 2 6 5" xfId="35104"/>
    <cellStyle name="Ligne 3 2 7" xfId="14736"/>
    <cellStyle name="Ligne 3 2 7 2" xfId="29518"/>
    <cellStyle name="Ligne 3 2 7 3" xfId="35107"/>
    <cellStyle name="Ligne 3 2 8" xfId="14737"/>
    <cellStyle name="Ligne 3 2 8 2" xfId="29519"/>
    <cellStyle name="Ligne 3 2 8 3" xfId="35108"/>
    <cellStyle name="Ligne 3 2 9" xfId="21351"/>
    <cellStyle name="Ligne 3 3" xfId="14738"/>
    <cellStyle name="Ligne 3 3 2" xfId="14739"/>
    <cellStyle name="Ligne 3 3 2 2" xfId="29521"/>
    <cellStyle name="Ligne 3 3 2 3" xfId="35110"/>
    <cellStyle name="Ligne 3 3 3" xfId="14740"/>
    <cellStyle name="Ligne 3 3 3 2" xfId="29522"/>
    <cellStyle name="Ligne 3 3 3 3" xfId="35111"/>
    <cellStyle name="Ligne 3 3 4" xfId="29520"/>
    <cellStyle name="Ligne 3 3 5" xfId="35109"/>
    <cellStyle name="Ligne 3 4" xfId="14741"/>
    <cellStyle name="Ligne 3 4 2" xfId="14742"/>
    <cellStyle name="Ligne 3 4 2 2" xfId="29524"/>
    <cellStyle name="Ligne 3 4 2 3" xfId="35113"/>
    <cellStyle name="Ligne 3 4 3" xfId="14743"/>
    <cellStyle name="Ligne 3 4 3 2" xfId="29525"/>
    <cellStyle name="Ligne 3 4 3 3" xfId="35114"/>
    <cellStyle name="Ligne 3 4 4" xfId="29523"/>
    <cellStyle name="Ligne 3 4 5" xfId="35112"/>
    <cellStyle name="Ligne 3 5" xfId="14744"/>
    <cellStyle name="Ligne 3 5 2" xfId="29526"/>
    <cellStyle name="Ligne 3 5 3" xfId="35115"/>
    <cellStyle name="Ligne 3 6" xfId="14745"/>
    <cellStyle name="Ligne 3 6 2" xfId="29527"/>
    <cellStyle name="Ligne 3 6 3" xfId="35116"/>
    <cellStyle name="Ligne 3 7" xfId="19935"/>
    <cellStyle name="Ligne 3 8" xfId="18133"/>
    <cellStyle name="Ligne 4" xfId="5484"/>
    <cellStyle name="Ligne 4 10" xfId="26327"/>
    <cellStyle name="Ligne 4 2" xfId="5485"/>
    <cellStyle name="Ligne 4 2 2" xfId="14746"/>
    <cellStyle name="Ligne 4 2 2 2" xfId="14747"/>
    <cellStyle name="Ligne 4 2 2 2 2" xfId="29529"/>
    <cellStyle name="Ligne 4 2 2 2 3" xfId="35118"/>
    <cellStyle name="Ligne 4 2 2 3" xfId="14748"/>
    <cellStyle name="Ligne 4 2 2 3 2" xfId="29530"/>
    <cellStyle name="Ligne 4 2 2 3 3" xfId="35119"/>
    <cellStyle name="Ligne 4 2 2 4" xfId="29528"/>
    <cellStyle name="Ligne 4 2 2 5" xfId="35117"/>
    <cellStyle name="Ligne 4 2 3" xfId="14749"/>
    <cellStyle name="Ligne 4 2 3 2" xfId="14750"/>
    <cellStyle name="Ligne 4 2 3 2 2" xfId="29532"/>
    <cellStyle name="Ligne 4 2 3 2 3" xfId="35121"/>
    <cellStyle name="Ligne 4 2 3 3" xfId="14751"/>
    <cellStyle name="Ligne 4 2 3 3 2" xfId="29533"/>
    <cellStyle name="Ligne 4 2 3 3 3" xfId="35122"/>
    <cellStyle name="Ligne 4 2 3 4" xfId="29531"/>
    <cellStyle name="Ligne 4 2 3 5" xfId="35120"/>
    <cellStyle name="Ligne 4 2 4" xfId="14752"/>
    <cellStyle name="Ligne 4 2 4 2" xfId="14753"/>
    <cellStyle name="Ligne 4 2 4 2 2" xfId="29535"/>
    <cellStyle name="Ligne 4 2 4 2 3" xfId="35124"/>
    <cellStyle name="Ligne 4 2 4 3" xfId="14754"/>
    <cellStyle name="Ligne 4 2 4 3 2" xfId="29536"/>
    <cellStyle name="Ligne 4 2 4 3 3" xfId="35125"/>
    <cellStyle name="Ligne 4 2 4 4" xfId="29534"/>
    <cellStyle name="Ligne 4 2 4 5" xfId="35123"/>
    <cellStyle name="Ligne 4 2 5" xfId="14755"/>
    <cellStyle name="Ligne 4 2 5 2" xfId="29537"/>
    <cellStyle name="Ligne 4 2 5 3" xfId="35126"/>
    <cellStyle name="Ligne 4 2 6" xfId="14756"/>
    <cellStyle name="Ligne 4 2 6 2" xfId="29538"/>
    <cellStyle name="Ligne 4 2 6 3" xfId="35127"/>
    <cellStyle name="Ligne 4 2 7" xfId="21356"/>
    <cellStyle name="Ligne 4 2 8" xfId="26326"/>
    <cellStyle name="Ligne 4 3" xfId="5486"/>
    <cellStyle name="Ligne 4 3 2" xfId="14757"/>
    <cellStyle name="Ligne 4 3 2 2" xfId="14758"/>
    <cellStyle name="Ligne 4 3 2 2 2" xfId="29540"/>
    <cellStyle name="Ligne 4 3 2 2 3" xfId="35129"/>
    <cellStyle name="Ligne 4 3 2 3" xfId="14759"/>
    <cellStyle name="Ligne 4 3 2 3 2" xfId="29541"/>
    <cellStyle name="Ligne 4 3 2 3 3" xfId="35130"/>
    <cellStyle name="Ligne 4 3 2 4" xfId="29539"/>
    <cellStyle name="Ligne 4 3 2 5" xfId="35128"/>
    <cellStyle name="Ligne 4 3 3" xfId="14760"/>
    <cellStyle name="Ligne 4 3 3 2" xfId="14761"/>
    <cellStyle name="Ligne 4 3 3 2 2" xfId="29543"/>
    <cellStyle name="Ligne 4 3 3 2 3" xfId="35132"/>
    <cellStyle name="Ligne 4 3 3 3" xfId="14762"/>
    <cellStyle name="Ligne 4 3 3 3 2" xfId="29544"/>
    <cellStyle name="Ligne 4 3 3 3 3" xfId="35133"/>
    <cellStyle name="Ligne 4 3 3 4" xfId="29542"/>
    <cellStyle name="Ligne 4 3 3 5" xfId="35131"/>
    <cellStyle name="Ligne 4 3 4" xfId="14763"/>
    <cellStyle name="Ligne 4 3 4 2" xfId="14764"/>
    <cellStyle name="Ligne 4 3 4 2 2" xfId="29546"/>
    <cellStyle name="Ligne 4 3 4 2 3" xfId="35135"/>
    <cellStyle name="Ligne 4 3 4 3" xfId="14765"/>
    <cellStyle name="Ligne 4 3 4 3 2" xfId="29547"/>
    <cellStyle name="Ligne 4 3 4 3 3" xfId="35136"/>
    <cellStyle name="Ligne 4 3 4 4" xfId="29545"/>
    <cellStyle name="Ligne 4 3 4 5" xfId="35134"/>
    <cellStyle name="Ligne 4 3 5" xfId="14766"/>
    <cellStyle name="Ligne 4 3 5 2" xfId="29548"/>
    <cellStyle name="Ligne 4 3 5 3" xfId="35137"/>
    <cellStyle name="Ligne 4 3 6" xfId="14767"/>
    <cellStyle name="Ligne 4 3 6 2" xfId="29549"/>
    <cellStyle name="Ligne 4 3 6 3" xfId="35138"/>
    <cellStyle name="Ligne 4 3 7" xfId="21357"/>
    <cellStyle name="Ligne 4 3 8" xfId="26325"/>
    <cellStyle name="Ligne 4 4" xfId="5487"/>
    <cellStyle name="Ligne 4 4 2" xfId="14768"/>
    <cellStyle name="Ligne 4 4 2 2" xfId="14769"/>
    <cellStyle name="Ligne 4 4 2 2 2" xfId="29551"/>
    <cellStyle name="Ligne 4 4 2 2 3" xfId="35140"/>
    <cellStyle name="Ligne 4 4 2 3" xfId="14770"/>
    <cellStyle name="Ligne 4 4 2 3 2" xfId="29552"/>
    <cellStyle name="Ligne 4 4 2 3 3" xfId="35141"/>
    <cellStyle name="Ligne 4 4 2 4" xfId="29550"/>
    <cellStyle name="Ligne 4 4 2 5" xfId="35139"/>
    <cellStyle name="Ligne 4 4 3" xfId="14771"/>
    <cellStyle name="Ligne 4 4 3 2" xfId="14772"/>
    <cellStyle name="Ligne 4 4 3 2 2" xfId="29554"/>
    <cellStyle name="Ligne 4 4 3 2 3" xfId="35143"/>
    <cellStyle name="Ligne 4 4 3 3" xfId="14773"/>
    <cellStyle name="Ligne 4 4 3 3 2" xfId="29555"/>
    <cellStyle name="Ligne 4 4 3 3 3" xfId="35144"/>
    <cellStyle name="Ligne 4 4 3 4" xfId="29553"/>
    <cellStyle name="Ligne 4 4 3 5" xfId="35142"/>
    <cellStyle name="Ligne 4 4 4" xfId="14774"/>
    <cellStyle name="Ligne 4 4 4 2" xfId="14775"/>
    <cellStyle name="Ligne 4 4 4 2 2" xfId="29557"/>
    <cellStyle name="Ligne 4 4 4 2 3" xfId="35146"/>
    <cellStyle name="Ligne 4 4 4 3" xfId="14776"/>
    <cellStyle name="Ligne 4 4 4 3 2" xfId="29558"/>
    <cellStyle name="Ligne 4 4 4 3 3" xfId="35147"/>
    <cellStyle name="Ligne 4 4 4 4" xfId="29556"/>
    <cellStyle name="Ligne 4 4 4 5" xfId="35145"/>
    <cellStyle name="Ligne 4 4 5" xfId="14777"/>
    <cellStyle name="Ligne 4 4 5 2" xfId="29559"/>
    <cellStyle name="Ligne 4 4 5 3" xfId="35148"/>
    <cellStyle name="Ligne 4 4 6" xfId="14778"/>
    <cellStyle name="Ligne 4 4 6 2" xfId="29560"/>
    <cellStyle name="Ligne 4 4 6 3" xfId="35149"/>
    <cellStyle name="Ligne 4 4 7" xfId="21358"/>
    <cellStyle name="Ligne 4 4 8" xfId="26324"/>
    <cellStyle name="Ligne 4 5" xfId="14779"/>
    <cellStyle name="Ligne 4 5 2" xfId="14780"/>
    <cellStyle name="Ligne 4 5 2 2" xfId="29562"/>
    <cellStyle name="Ligne 4 5 2 3" xfId="35151"/>
    <cellStyle name="Ligne 4 5 3" xfId="14781"/>
    <cellStyle name="Ligne 4 5 3 2" xfId="29563"/>
    <cellStyle name="Ligne 4 5 3 3" xfId="35152"/>
    <cellStyle name="Ligne 4 5 4" xfId="29561"/>
    <cellStyle name="Ligne 4 5 5" xfId="35150"/>
    <cellStyle name="Ligne 4 6" xfId="14782"/>
    <cellStyle name="Ligne 4 6 2" xfId="14783"/>
    <cellStyle name="Ligne 4 6 2 2" xfId="29565"/>
    <cellStyle name="Ligne 4 6 2 3" xfId="35154"/>
    <cellStyle name="Ligne 4 6 3" xfId="14784"/>
    <cellStyle name="Ligne 4 6 3 2" xfId="29566"/>
    <cellStyle name="Ligne 4 6 3 3" xfId="35155"/>
    <cellStyle name="Ligne 4 6 4" xfId="29564"/>
    <cellStyle name="Ligne 4 6 5" xfId="35153"/>
    <cellStyle name="Ligne 4 7" xfId="14785"/>
    <cellStyle name="Ligne 4 7 2" xfId="29567"/>
    <cellStyle name="Ligne 4 7 3" xfId="35156"/>
    <cellStyle name="Ligne 4 8" xfId="14786"/>
    <cellStyle name="Ligne 4 8 2" xfId="29568"/>
    <cellStyle name="Ligne 4 8 3" xfId="35157"/>
    <cellStyle name="Ligne 4 9" xfId="21355"/>
    <cellStyle name="Ligne 5" xfId="14787"/>
    <cellStyle name="Ligne 5 2" xfId="14788"/>
    <cellStyle name="Ligne 5 2 2" xfId="29570"/>
    <cellStyle name="Ligne 5 2 3" xfId="35159"/>
    <cellStyle name="Ligne 5 3" xfId="14789"/>
    <cellStyle name="Ligne 5 3 2" xfId="29571"/>
    <cellStyle name="Ligne 5 3 3" xfId="35160"/>
    <cellStyle name="Ligne 5 4" xfId="29569"/>
    <cellStyle name="Ligne 5 5" xfId="35158"/>
    <cellStyle name="Ligne 6" xfId="14790"/>
    <cellStyle name="Ligne 6 2" xfId="14791"/>
    <cellStyle name="Ligne 6 2 2" xfId="29573"/>
    <cellStyle name="Ligne 6 2 3" xfId="35162"/>
    <cellStyle name="Ligne 6 3" xfId="14792"/>
    <cellStyle name="Ligne 6 3 2" xfId="29574"/>
    <cellStyle name="Ligne 6 3 3" xfId="35163"/>
    <cellStyle name="Ligne 6 4" xfId="29572"/>
    <cellStyle name="Ligne 6 5" xfId="35161"/>
    <cellStyle name="Ligne 7" xfId="14793"/>
    <cellStyle name="Ligne 7 2" xfId="29575"/>
    <cellStyle name="Ligne 7 3" xfId="35164"/>
    <cellStyle name="Ligne 8" xfId="14794"/>
    <cellStyle name="Ligne 8 2" xfId="29576"/>
    <cellStyle name="Ligne 8 3" xfId="35165"/>
    <cellStyle name="Ligne 9" xfId="19932"/>
    <cellStyle name="LineItem" xfId="2680"/>
    <cellStyle name="linie unten" xfId="2681"/>
    <cellStyle name="linie unten 2" xfId="2682"/>
    <cellStyle name="linie unten 2 2" xfId="2683"/>
    <cellStyle name="linie unten 2 2 2" xfId="4026"/>
    <cellStyle name="linie unten 2 2 2 2" xfId="5488"/>
    <cellStyle name="linie unten 2 2 2 2 2" xfId="14795"/>
    <cellStyle name="linie unten 2 2 2 2 2 2" xfId="29577"/>
    <cellStyle name="linie unten 2 2 2 2 3" xfId="14796"/>
    <cellStyle name="linie unten 2 2 2 2 3 2" xfId="14797"/>
    <cellStyle name="linie unten 2 2 2 2 3 2 2" xfId="29579"/>
    <cellStyle name="linie unten 2 2 2 2 3 3" xfId="14798"/>
    <cellStyle name="linie unten 2 2 2 2 3 3 2" xfId="29580"/>
    <cellStyle name="linie unten 2 2 2 2 3 4" xfId="29578"/>
    <cellStyle name="linie unten 2 2 2 2 4" xfId="14799"/>
    <cellStyle name="linie unten 2 2 2 2 4 2" xfId="29581"/>
    <cellStyle name="linie unten 2 2 2 2 5" xfId="21359"/>
    <cellStyle name="linie unten 2 2 2 3" xfId="5489"/>
    <cellStyle name="linie unten 2 2 2 3 2" xfId="14800"/>
    <cellStyle name="linie unten 2 2 2 3 2 2" xfId="29582"/>
    <cellStyle name="linie unten 2 2 2 3 3" xfId="14801"/>
    <cellStyle name="linie unten 2 2 2 3 3 2" xfId="14802"/>
    <cellStyle name="linie unten 2 2 2 3 3 2 2" xfId="29584"/>
    <cellStyle name="linie unten 2 2 2 3 3 3" xfId="14803"/>
    <cellStyle name="linie unten 2 2 2 3 3 3 2" xfId="29585"/>
    <cellStyle name="linie unten 2 2 2 3 3 4" xfId="29583"/>
    <cellStyle name="linie unten 2 2 2 3 4" xfId="14804"/>
    <cellStyle name="linie unten 2 2 2 3 4 2" xfId="29586"/>
    <cellStyle name="linie unten 2 2 2 3 5" xfId="21360"/>
    <cellStyle name="linie unten 2 2 2 4" xfId="14805"/>
    <cellStyle name="linie unten 2 2 2 4 2" xfId="29587"/>
    <cellStyle name="linie unten 2 2 2 5" xfId="14806"/>
    <cellStyle name="linie unten 2 2 2 5 2" xfId="14807"/>
    <cellStyle name="linie unten 2 2 2 5 2 2" xfId="29589"/>
    <cellStyle name="linie unten 2 2 2 5 3" xfId="14808"/>
    <cellStyle name="linie unten 2 2 2 5 3 2" xfId="29590"/>
    <cellStyle name="linie unten 2 2 2 5 4" xfId="29588"/>
    <cellStyle name="linie unten 2 2 2 6" xfId="14809"/>
    <cellStyle name="linie unten 2 2 2 6 2" xfId="29591"/>
    <cellStyle name="linie unten 2 2 2 7" xfId="14810"/>
    <cellStyle name="linie unten 2 2 2 7 2" xfId="14811"/>
    <cellStyle name="linie unten 2 2 2 7 2 2" xfId="29593"/>
    <cellStyle name="linie unten 2 2 2 7 3" xfId="29592"/>
    <cellStyle name="linie unten 2 2 2 8" xfId="20177"/>
    <cellStyle name="linie unten 2 2 3" xfId="14812"/>
    <cellStyle name="linie unten 2 2 3 2" xfId="29594"/>
    <cellStyle name="linie unten 2 2 4" xfId="19938"/>
    <cellStyle name="linie unten 2 3" xfId="2684"/>
    <cellStyle name="linie unten 2 3 2" xfId="4027"/>
    <cellStyle name="linie unten 2 3 2 2" xfId="5490"/>
    <cellStyle name="linie unten 2 3 2 2 2" xfId="14813"/>
    <cellStyle name="linie unten 2 3 2 2 2 2" xfId="29595"/>
    <cellStyle name="linie unten 2 3 2 2 3" xfId="14814"/>
    <cellStyle name="linie unten 2 3 2 2 3 2" xfId="14815"/>
    <cellStyle name="linie unten 2 3 2 2 3 2 2" xfId="29597"/>
    <cellStyle name="linie unten 2 3 2 2 3 3" xfId="14816"/>
    <cellStyle name="linie unten 2 3 2 2 3 3 2" xfId="29598"/>
    <cellStyle name="linie unten 2 3 2 2 3 4" xfId="29596"/>
    <cellStyle name="linie unten 2 3 2 2 4" xfId="14817"/>
    <cellStyle name="linie unten 2 3 2 2 4 2" xfId="29599"/>
    <cellStyle name="linie unten 2 3 2 2 5" xfId="21361"/>
    <cellStyle name="linie unten 2 3 2 3" xfId="5491"/>
    <cellStyle name="linie unten 2 3 2 3 2" xfId="14818"/>
    <cellStyle name="linie unten 2 3 2 3 2 2" xfId="29600"/>
    <cellStyle name="linie unten 2 3 2 3 3" xfId="14819"/>
    <cellStyle name="linie unten 2 3 2 3 3 2" xfId="14820"/>
    <cellStyle name="linie unten 2 3 2 3 3 2 2" xfId="29602"/>
    <cellStyle name="linie unten 2 3 2 3 3 3" xfId="14821"/>
    <cellStyle name="linie unten 2 3 2 3 3 3 2" xfId="29603"/>
    <cellStyle name="linie unten 2 3 2 3 3 4" xfId="29601"/>
    <cellStyle name="linie unten 2 3 2 3 4" xfId="14822"/>
    <cellStyle name="linie unten 2 3 2 3 4 2" xfId="29604"/>
    <cellStyle name="linie unten 2 3 2 3 5" xfId="21362"/>
    <cellStyle name="linie unten 2 3 2 4" xfId="14823"/>
    <cellStyle name="linie unten 2 3 2 4 2" xfId="29605"/>
    <cellStyle name="linie unten 2 3 2 5" xfId="14824"/>
    <cellStyle name="linie unten 2 3 2 5 2" xfId="14825"/>
    <cellStyle name="linie unten 2 3 2 5 2 2" xfId="29607"/>
    <cellStyle name="linie unten 2 3 2 5 3" xfId="14826"/>
    <cellStyle name="linie unten 2 3 2 5 3 2" xfId="29608"/>
    <cellStyle name="linie unten 2 3 2 5 4" xfId="29606"/>
    <cellStyle name="linie unten 2 3 2 6" xfId="14827"/>
    <cellStyle name="linie unten 2 3 2 6 2" xfId="29609"/>
    <cellStyle name="linie unten 2 3 2 7" xfId="14828"/>
    <cellStyle name="linie unten 2 3 2 7 2" xfId="14829"/>
    <cellStyle name="linie unten 2 3 2 7 2 2" xfId="29611"/>
    <cellStyle name="linie unten 2 3 2 7 3" xfId="29610"/>
    <cellStyle name="linie unten 2 3 2 8" xfId="20178"/>
    <cellStyle name="linie unten 2 3 3" xfId="14830"/>
    <cellStyle name="linie unten 2 3 3 2" xfId="29612"/>
    <cellStyle name="linie unten 2 3 4" xfId="19939"/>
    <cellStyle name="linie unten 2 4" xfId="4025"/>
    <cellStyle name="linie unten 2 4 2" xfId="5492"/>
    <cellStyle name="linie unten 2 4 2 2" xfId="14831"/>
    <cellStyle name="linie unten 2 4 2 2 2" xfId="29613"/>
    <cellStyle name="linie unten 2 4 2 3" xfId="14832"/>
    <cellStyle name="linie unten 2 4 2 3 2" xfId="14833"/>
    <cellStyle name="linie unten 2 4 2 3 2 2" xfId="29615"/>
    <cellStyle name="linie unten 2 4 2 3 3" xfId="14834"/>
    <cellStyle name="linie unten 2 4 2 3 3 2" xfId="29616"/>
    <cellStyle name="linie unten 2 4 2 3 4" xfId="29614"/>
    <cellStyle name="linie unten 2 4 2 4" xfId="14835"/>
    <cellStyle name="linie unten 2 4 2 4 2" xfId="29617"/>
    <cellStyle name="linie unten 2 4 2 5" xfId="21363"/>
    <cellStyle name="linie unten 2 4 3" xfId="5493"/>
    <cellStyle name="linie unten 2 4 3 2" xfId="14836"/>
    <cellStyle name="linie unten 2 4 3 2 2" xfId="29618"/>
    <cellStyle name="linie unten 2 4 3 3" xfId="14837"/>
    <cellStyle name="linie unten 2 4 3 3 2" xfId="14838"/>
    <cellStyle name="linie unten 2 4 3 3 2 2" xfId="29620"/>
    <cellStyle name="linie unten 2 4 3 3 3" xfId="14839"/>
    <cellStyle name="linie unten 2 4 3 3 3 2" xfId="29621"/>
    <cellStyle name="linie unten 2 4 3 3 4" xfId="29619"/>
    <cellStyle name="linie unten 2 4 3 4" xfId="14840"/>
    <cellStyle name="linie unten 2 4 3 4 2" xfId="29622"/>
    <cellStyle name="linie unten 2 4 3 5" xfId="21364"/>
    <cellStyle name="linie unten 2 4 4" xfId="14841"/>
    <cellStyle name="linie unten 2 4 4 2" xfId="29623"/>
    <cellStyle name="linie unten 2 4 5" xfId="14842"/>
    <cellStyle name="linie unten 2 4 5 2" xfId="14843"/>
    <cellStyle name="linie unten 2 4 5 2 2" xfId="29625"/>
    <cellStyle name="linie unten 2 4 5 3" xfId="14844"/>
    <cellStyle name="linie unten 2 4 5 3 2" xfId="29626"/>
    <cellStyle name="linie unten 2 4 5 4" xfId="29624"/>
    <cellStyle name="linie unten 2 4 6" xfId="14845"/>
    <cellStyle name="linie unten 2 4 6 2" xfId="29627"/>
    <cellStyle name="linie unten 2 4 7" xfId="14846"/>
    <cellStyle name="linie unten 2 4 7 2" xfId="14847"/>
    <cellStyle name="linie unten 2 4 7 2 2" xfId="29629"/>
    <cellStyle name="linie unten 2 4 7 3" xfId="29628"/>
    <cellStyle name="linie unten 2 4 8" xfId="20176"/>
    <cellStyle name="linie unten 2 5" xfId="14848"/>
    <cellStyle name="linie unten 2 5 2" xfId="29630"/>
    <cellStyle name="linie unten 2 6" xfId="19937"/>
    <cellStyle name="linie unten 3" xfId="2685"/>
    <cellStyle name="linie unten 3 2" xfId="2686"/>
    <cellStyle name="linie unten 3 2 2" xfId="4029"/>
    <cellStyle name="linie unten 3 2 2 2" xfId="5494"/>
    <cellStyle name="linie unten 3 2 2 2 2" xfId="14849"/>
    <cellStyle name="linie unten 3 2 2 2 2 2" xfId="29631"/>
    <cellStyle name="linie unten 3 2 2 2 3" xfId="14850"/>
    <cellStyle name="linie unten 3 2 2 2 3 2" xfId="14851"/>
    <cellStyle name="linie unten 3 2 2 2 3 2 2" xfId="29633"/>
    <cellStyle name="linie unten 3 2 2 2 3 3" xfId="14852"/>
    <cellStyle name="linie unten 3 2 2 2 3 3 2" xfId="29634"/>
    <cellStyle name="linie unten 3 2 2 2 3 4" xfId="29632"/>
    <cellStyle name="linie unten 3 2 2 2 4" xfId="14853"/>
    <cellStyle name="linie unten 3 2 2 2 4 2" xfId="29635"/>
    <cellStyle name="linie unten 3 2 2 2 5" xfId="21365"/>
    <cellStyle name="linie unten 3 2 2 3" xfId="5495"/>
    <cellStyle name="linie unten 3 2 2 3 2" xfId="14854"/>
    <cellStyle name="linie unten 3 2 2 3 2 2" xfId="29636"/>
    <cellStyle name="linie unten 3 2 2 3 3" xfId="14855"/>
    <cellStyle name="linie unten 3 2 2 3 3 2" xfId="14856"/>
    <cellStyle name="linie unten 3 2 2 3 3 2 2" xfId="29638"/>
    <cellStyle name="linie unten 3 2 2 3 3 3" xfId="14857"/>
    <cellStyle name="linie unten 3 2 2 3 3 3 2" xfId="29639"/>
    <cellStyle name="linie unten 3 2 2 3 3 4" xfId="29637"/>
    <cellStyle name="linie unten 3 2 2 3 4" xfId="14858"/>
    <cellStyle name="linie unten 3 2 2 3 4 2" xfId="29640"/>
    <cellStyle name="linie unten 3 2 2 3 5" xfId="21366"/>
    <cellStyle name="linie unten 3 2 2 4" xfId="14859"/>
    <cellStyle name="linie unten 3 2 2 4 2" xfId="29641"/>
    <cellStyle name="linie unten 3 2 2 5" xfId="14860"/>
    <cellStyle name="linie unten 3 2 2 5 2" xfId="14861"/>
    <cellStyle name="linie unten 3 2 2 5 2 2" xfId="29643"/>
    <cellStyle name="linie unten 3 2 2 5 3" xfId="14862"/>
    <cellStyle name="linie unten 3 2 2 5 3 2" xfId="29644"/>
    <cellStyle name="linie unten 3 2 2 5 4" xfId="29642"/>
    <cellStyle name="linie unten 3 2 2 6" xfId="14863"/>
    <cellStyle name="linie unten 3 2 2 6 2" xfId="29645"/>
    <cellStyle name="linie unten 3 2 2 7" xfId="14864"/>
    <cellStyle name="linie unten 3 2 2 7 2" xfId="14865"/>
    <cellStyle name="linie unten 3 2 2 7 2 2" xfId="29647"/>
    <cellStyle name="linie unten 3 2 2 7 3" xfId="29646"/>
    <cellStyle name="linie unten 3 2 2 8" xfId="20180"/>
    <cellStyle name="linie unten 3 2 3" xfId="14866"/>
    <cellStyle name="linie unten 3 2 3 2" xfId="29648"/>
    <cellStyle name="linie unten 3 2 4" xfId="19941"/>
    <cellStyle name="linie unten 3 3" xfId="2687"/>
    <cellStyle name="linie unten 3 3 2" xfId="4030"/>
    <cellStyle name="linie unten 3 3 2 2" xfId="5496"/>
    <cellStyle name="linie unten 3 3 2 2 2" xfId="14867"/>
    <cellStyle name="linie unten 3 3 2 2 2 2" xfId="29649"/>
    <cellStyle name="linie unten 3 3 2 2 3" xfId="14868"/>
    <cellStyle name="linie unten 3 3 2 2 3 2" xfId="14869"/>
    <cellStyle name="linie unten 3 3 2 2 3 2 2" xfId="29651"/>
    <cellStyle name="linie unten 3 3 2 2 3 3" xfId="14870"/>
    <cellStyle name="linie unten 3 3 2 2 3 3 2" xfId="29652"/>
    <cellStyle name="linie unten 3 3 2 2 3 4" xfId="29650"/>
    <cellStyle name="linie unten 3 3 2 2 4" xfId="14871"/>
    <cellStyle name="linie unten 3 3 2 2 4 2" xfId="29653"/>
    <cellStyle name="linie unten 3 3 2 2 5" xfId="21367"/>
    <cellStyle name="linie unten 3 3 2 3" xfId="5497"/>
    <cellStyle name="linie unten 3 3 2 3 2" xfId="14872"/>
    <cellStyle name="linie unten 3 3 2 3 2 2" xfId="29654"/>
    <cellStyle name="linie unten 3 3 2 3 3" xfId="14873"/>
    <cellStyle name="linie unten 3 3 2 3 3 2" xfId="14874"/>
    <cellStyle name="linie unten 3 3 2 3 3 2 2" xfId="29656"/>
    <cellStyle name="linie unten 3 3 2 3 3 3" xfId="14875"/>
    <cellStyle name="linie unten 3 3 2 3 3 3 2" xfId="29657"/>
    <cellStyle name="linie unten 3 3 2 3 3 4" xfId="29655"/>
    <cellStyle name="linie unten 3 3 2 3 4" xfId="14876"/>
    <cellStyle name="linie unten 3 3 2 3 4 2" xfId="29658"/>
    <cellStyle name="linie unten 3 3 2 3 5" xfId="21368"/>
    <cellStyle name="linie unten 3 3 2 4" xfId="14877"/>
    <cellStyle name="linie unten 3 3 2 4 2" xfId="29659"/>
    <cellStyle name="linie unten 3 3 2 5" xfId="14878"/>
    <cellStyle name="linie unten 3 3 2 5 2" xfId="14879"/>
    <cellStyle name="linie unten 3 3 2 5 2 2" xfId="29661"/>
    <cellStyle name="linie unten 3 3 2 5 3" xfId="14880"/>
    <cellStyle name="linie unten 3 3 2 5 3 2" xfId="29662"/>
    <cellStyle name="linie unten 3 3 2 5 4" xfId="29660"/>
    <cellStyle name="linie unten 3 3 2 6" xfId="14881"/>
    <cellStyle name="linie unten 3 3 2 6 2" xfId="29663"/>
    <cellStyle name="linie unten 3 3 2 7" xfId="14882"/>
    <cellStyle name="linie unten 3 3 2 7 2" xfId="14883"/>
    <cellStyle name="linie unten 3 3 2 7 2 2" xfId="29665"/>
    <cellStyle name="linie unten 3 3 2 7 3" xfId="29664"/>
    <cellStyle name="linie unten 3 3 2 8" xfId="20181"/>
    <cellStyle name="linie unten 3 3 3" xfId="14884"/>
    <cellStyle name="linie unten 3 3 3 2" xfId="29666"/>
    <cellStyle name="linie unten 3 3 4" xfId="19942"/>
    <cellStyle name="linie unten 3 4" xfId="4028"/>
    <cellStyle name="linie unten 3 4 2" xfId="5498"/>
    <cellStyle name="linie unten 3 4 2 2" xfId="14885"/>
    <cellStyle name="linie unten 3 4 2 2 2" xfId="29667"/>
    <cellStyle name="linie unten 3 4 2 3" xfId="14886"/>
    <cellStyle name="linie unten 3 4 2 3 2" xfId="14887"/>
    <cellStyle name="linie unten 3 4 2 3 2 2" xfId="29669"/>
    <cellStyle name="linie unten 3 4 2 3 3" xfId="14888"/>
    <cellStyle name="linie unten 3 4 2 3 3 2" xfId="29670"/>
    <cellStyle name="linie unten 3 4 2 3 4" xfId="29668"/>
    <cellStyle name="linie unten 3 4 2 4" xfId="14889"/>
    <cellStyle name="linie unten 3 4 2 4 2" xfId="29671"/>
    <cellStyle name="linie unten 3 4 2 5" xfId="21369"/>
    <cellStyle name="linie unten 3 4 3" xfId="5499"/>
    <cellStyle name="linie unten 3 4 3 2" xfId="14890"/>
    <cellStyle name="linie unten 3 4 3 2 2" xfId="29672"/>
    <cellStyle name="linie unten 3 4 3 3" xfId="14891"/>
    <cellStyle name="linie unten 3 4 3 3 2" xfId="14892"/>
    <cellStyle name="linie unten 3 4 3 3 2 2" xfId="29674"/>
    <cellStyle name="linie unten 3 4 3 3 3" xfId="14893"/>
    <cellStyle name="linie unten 3 4 3 3 3 2" xfId="29675"/>
    <cellStyle name="linie unten 3 4 3 3 4" xfId="29673"/>
    <cellStyle name="linie unten 3 4 3 4" xfId="14894"/>
    <cellStyle name="linie unten 3 4 3 4 2" xfId="29676"/>
    <cellStyle name="linie unten 3 4 3 5" xfId="21370"/>
    <cellStyle name="linie unten 3 4 4" xfId="14895"/>
    <cellStyle name="linie unten 3 4 4 2" xfId="29677"/>
    <cellStyle name="linie unten 3 4 5" xfId="14896"/>
    <cellStyle name="linie unten 3 4 5 2" xfId="14897"/>
    <cellStyle name="linie unten 3 4 5 2 2" xfId="29679"/>
    <cellStyle name="linie unten 3 4 5 3" xfId="14898"/>
    <cellStyle name="linie unten 3 4 5 3 2" xfId="29680"/>
    <cellStyle name="linie unten 3 4 5 4" xfId="29678"/>
    <cellStyle name="linie unten 3 4 6" xfId="14899"/>
    <cellStyle name="linie unten 3 4 6 2" xfId="29681"/>
    <cellStyle name="linie unten 3 4 7" xfId="14900"/>
    <cellStyle name="linie unten 3 4 7 2" xfId="14901"/>
    <cellStyle name="linie unten 3 4 7 2 2" xfId="29683"/>
    <cellStyle name="linie unten 3 4 7 3" xfId="29682"/>
    <cellStyle name="linie unten 3 4 8" xfId="20179"/>
    <cellStyle name="linie unten 3 5" xfId="14902"/>
    <cellStyle name="linie unten 3 5 2" xfId="29684"/>
    <cellStyle name="linie unten 3 6" xfId="19940"/>
    <cellStyle name="linie unten 4" xfId="2688"/>
    <cellStyle name="linie unten 4 2" xfId="4031"/>
    <cellStyle name="linie unten 4 2 2" xfId="5500"/>
    <cellStyle name="linie unten 4 2 2 2" xfId="14903"/>
    <cellStyle name="linie unten 4 2 2 2 2" xfId="29685"/>
    <cellStyle name="linie unten 4 2 2 3" xfId="14904"/>
    <cellStyle name="linie unten 4 2 2 3 2" xfId="14905"/>
    <cellStyle name="linie unten 4 2 2 3 2 2" xfId="29687"/>
    <cellStyle name="linie unten 4 2 2 3 3" xfId="14906"/>
    <cellStyle name="linie unten 4 2 2 3 3 2" xfId="29688"/>
    <cellStyle name="linie unten 4 2 2 3 4" xfId="29686"/>
    <cellStyle name="linie unten 4 2 2 4" xfId="14907"/>
    <cellStyle name="linie unten 4 2 2 4 2" xfId="29689"/>
    <cellStyle name="linie unten 4 2 2 5" xfId="21371"/>
    <cellStyle name="linie unten 4 2 3" xfId="5501"/>
    <cellStyle name="linie unten 4 2 3 2" xfId="14908"/>
    <cellStyle name="linie unten 4 2 3 2 2" xfId="29690"/>
    <cellStyle name="linie unten 4 2 3 3" xfId="14909"/>
    <cellStyle name="linie unten 4 2 3 3 2" xfId="14910"/>
    <cellStyle name="linie unten 4 2 3 3 2 2" xfId="29692"/>
    <cellStyle name="linie unten 4 2 3 3 3" xfId="14911"/>
    <cellStyle name="linie unten 4 2 3 3 3 2" xfId="29693"/>
    <cellStyle name="linie unten 4 2 3 3 4" xfId="29691"/>
    <cellStyle name="linie unten 4 2 3 4" xfId="14912"/>
    <cellStyle name="linie unten 4 2 3 4 2" xfId="29694"/>
    <cellStyle name="linie unten 4 2 3 5" xfId="21372"/>
    <cellStyle name="linie unten 4 2 4" xfId="14913"/>
    <cellStyle name="linie unten 4 2 4 2" xfId="29695"/>
    <cellStyle name="linie unten 4 2 5" xfId="14914"/>
    <cellStyle name="linie unten 4 2 5 2" xfId="14915"/>
    <cellStyle name="linie unten 4 2 5 2 2" xfId="29697"/>
    <cellStyle name="linie unten 4 2 5 3" xfId="14916"/>
    <cellStyle name="linie unten 4 2 5 3 2" xfId="29698"/>
    <cellStyle name="linie unten 4 2 5 4" xfId="29696"/>
    <cellStyle name="linie unten 4 2 6" xfId="14917"/>
    <cellStyle name="linie unten 4 2 6 2" xfId="29699"/>
    <cellStyle name="linie unten 4 2 7" xfId="14918"/>
    <cellStyle name="linie unten 4 2 7 2" xfId="14919"/>
    <cellStyle name="linie unten 4 2 7 2 2" xfId="29701"/>
    <cellStyle name="linie unten 4 2 7 3" xfId="29700"/>
    <cellStyle name="linie unten 4 2 8" xfId="20182"/>
    <cellStyle name="linie unten 4 3" xfId="14920"/>
    <cellStyle name="linie unten 4 3 2" xfId="29702"/>
    <cellStyle name="linie unten 4 4" xfId="19943"/>
    <cellStyle name="linie unten 5" xfId="2689"/>
    <cellStyle name="linie unten 5 2" xfId="4032"/>
    <cellStyle name="linie unten 5 2 2" xfId="5502"/>
    <cellStyle name="linie unten 5 2 2 2" xfId="14921"/>
    <cellStyle name="linie unten 5 2 2 2 2" xfId="29703"/>
    <cellStyle name="linie unten 5 2 2 3" xfId="14922"/>
    <cellStyle name="linie unten 5 2 2 3 2" xfId="14923"/>
    <cellStyle name="linie unten 5 2 2 3 2 2" xfId="29705"/>
    <cellStyle name="linie unten 5 2 2 3 3" xfId="14924"/>
    <cellStyle name="linie unten 5 2 2 3 3 2" xfId="29706"/>
    <cellStyle name="linie unten 5 2 2 3 4" xfId="29704"/>
    <cellStyle name="linie unten 5 2 2 4" xfId="14925"/>
    <cellStyle name="linie unten 5 2 2 4 2" xfId="29707"/>
    <cellStyle name="linie unten 5 2 2 5" xfId="21373"/>
    <cellStyle name="linie unten 5 2 3" xfId="5503"/>
    <cellStyle name="linie unten 5 2 3 2" xfId="14926"/>
    <cellStyle name="linie unten 5 2 3 2 2" xfId="29708"/>
    <cellStyle name="linie unten 5 2 3 3" xfId="14927"/>
    <cellStyle name="linie unten 5 2 3 3 2" xfId="14928"/>
    <cellStyle name="linie unten 5 2 3 3 2 2" xfId="29710"/>
    <cellStyle name="linie unten 5 2 3 3 3" xfId="14929"/>
    <cellStyle name="linie unten 5 2 3 3 3 2" xfId="29711"/>
    <cellStyle name="linie unten 5 2 3 3 4" xfId="29709"/>
    <cellStyle name="linie unten 5 2 3 4" xfId="14930"/>
    <cellStyle name="linie unten 5 2 3 4 2" xfId="29712"/>
    <cellStyle name="linie unten 5 2 3 5" xfId="21374"/>
    <cellStyle name="linie unten 5 2 4" xfId="14931"/>
    <cellStyle name="linie unten 5 2 4 2" xfId="29713"/>
    <cellStyle name="linie unten 5 2 5" xfId="14932"/>
    <cellStyle name="linie unten 5 2 5 2" xfId="14933"/>
    <cellStyle name="linie unten 5 2 5 2 2" xfId="29715"/>
    <cellStyle name="linie unten 5 2 5 3" xfId="14934"/>
    <cellStyle name="linie unten 5 2 5 3 2" xfId="29716"/>
    <cellStyle name="linie unten 5 2 5 4" xfId="29714"/>
    <cellStyle name="linie unten 5 2 6" xfId="14935"/>
    <cellStyle name="linie unten 5 2 6 2" xfId="29717"/>
    <cellStyle name="linie unten 5 2 7" xfId="14936"/>
    <cellStyle name="linie unten 5 2 7 2" xfId="14937"/>
    <cellStyle name="linie unten 5 2 7 2 2" xfId="29719"/>
    <cellStyle name="linie unten 5 2 7 3" xfId="29718"/>
    <cellStyle name="linie unten 5 2 8" xfId="20183"/>
    <cellStyle name="linie unten 5 3" xfId="14938"/>
    <cellStyle name="linie unten 5 3 2" xfId="29720"/>
    <cellStyle name="linie unten 5 4" xfId="19944"/>
    <cellStyle name="linie unten 6" xfId="4024"/>
    <cellStyle name="linie unten 6 2" xfId="5504"/>
    <cellStyle name="linie unten 6 2 2" xfId="14939"/>
    <cellStyle name="linie unten 6 2 2 2" xfId="29721"/>
    <cellStyle name="linie unten 6 2 3" xfId="14940"/>
    <cellStyle name="linie unten 6 2 3 2" xfId="14941"/>
    <cellStyle name="linie unten 6 2 3 2 2" xfId="29723"/>
    <cellStyle name="linie unten 6 2 3 3" xfId="14942"/>
    <cellStyle name="linie unten 6 2 3 3 2" xfId="29724"/>
    <cellStyle name="linie unten 6 2 3 4" xfId="29722"/>
    <cellStyle name="linie unten 6 2 4" xfId="14943"/>
    <cellStyle name="linie unten 6 2 4 2" xfId="29725"/>
    <cellStyle name="linie unten 6 2 5" xfId="21375"/>
    <cellStyle name="linie unten 6 3" xfId="5505"/>
    <cellStyle name="linie unten 6 3 2" xfId="14944"/>
    <cellStyle name="linie unten 6 3 2 2" xfId="29726"/>
    <cellStyle name="linie unten 6 3 3" xfId="14945"/>
    <cellStyle name="linie unten 6 3 3 2" xfId="14946"/>
    <cellStyle name="linie unten 6 3 3 2 2" xfId="29728"/>
    <cellStyle name="linie unten 6 3 3 3" xfId="14947"/>
    <cellStyle name="linie unten 6 3 3 3 2" xfId="29729"/>
    <cellStyle name="linie unten 6 3 3 4" xfId="29727"/>
    <cellStyle name="linie unten 6 3 4" xfId="14948"/>
    <cellStyle name="linie unten 6 3 4 2" xfId="29730"/>
    <cellStyle name="linie unten 6 3 5" xfId="21376"/>
    <cellStyle name="linie unten 6 4" xfId="14949"/>
    <cellStyle name="linie unten 6 4 2" xfId="29731"/>
    <cellStyle name="linie unten 6 5" xfId="14950"/>
    <cellStyle name="linie unten 6 5 2" xfId="14951"/>
    <cellStyle name="linie unten 6 5 2 2" xfId="29733"/>
    <cellStyle name="linie unten 6 5 3" xfId="14952"/>
    <cellStyle name="linie unten 6 5 3 2" xfId="29734"/>
    <cellStyle name="linie unten 6 5 4" xfId="29732"/>
    <cellStyle name="linie unten 6 6" xfId="14953"/>
    <cellStyle name="linie unten 6 6 2" xfId="29735"/>
    <cellStyle name="linie unten 6 7" xfId="14954"/>
    <cellStyle name="linie unten 6 7 2" xfId="14955"/>
    <cellStyle name="linie unten 6 7 2 2" xfId="29737"/>
    <cellStyle name="linie unten 6 7 3" xfId="29736"/>
    <cellStyle name="linie unten 6 8" xfId="20175"/>
    <cellStyle name="linie unten 7" xfId="14956"/>
    <cellStyle name="linie unten 7 2" xfId="29738"/>
    <cellStyle name="linie unten 8" xfId="19936"/>
    <cellStyle name="Link Currency (0)" xfId="2690"/>
    <cellStyle name="Link Currency (2)" xfId="2691"/>
    <cellStyle name="Link Units (0)" xfId="2692"/>
    <cellStyle name="Link Units (1)" xfId="2693"/>
    <cellStyle name="Link Units (2)" xfId="2694"/>
    <cellStyle name="Linked Cell 2" xfId="2695"/>
    <cellStyle name="LISAM" xfId="2696"/>
    <cellStyle name="LISAM 2" xfId="3952"/>
    <cellStyle name="LISAM 2 2" xfId="14957"/>
    <cellStyle name="LISAM 2 2 2" xfId="29739"/>
    <cellStyle name="LISAM 2 3" xfId="20106"/>
    <cellStyle name="LISAM 3" xfId="14958"/>
    <cellStyle name="LISAM 3 2" xfId="29740"/>
    <cellStyle name="LISAM 4" xfId="19945"/>
    <cellStyle name="locked" xfId="2697"/>
    <cellStyle name="locked 2" xfId="2698"/>
    <cellStyle name="locked 3" xfId="2699"/>
    <cellStyle name="LookUpText" xfId="2700"/>
    <cellStyle name="MacroCode" xfId="2701"/>
    <cellStyle name="Magenta" xfId="2702"/>
    <cellStyle name="MARTA" xfId="2703"/>
    <cellStyle name="Medium" xfId="2704"/>
    <cellStyle name="Menu_Bkgrd" xfId="2705"/>
    <cellStyle name="mf[0,0]" xfId="2706"/>
    <cellStyle name="MidHead" xfId="2707"/>
    <cellStyle name="Migliaia (0)_1997" xfId="2708"/>
    <cellStyle name="Migliaia_1997" xfId="2709"/>
    <cellStyle name="Millares" xfId="22" builtinId="3"/>
    <cellStyle name="Millares [0]" xfId="37696" builtinId="6"/>
    <cellStyle name="Millares [0] 2" xfId="457"/>
    <cellStyle name="Millares [0] 2 2" xfId="2710"/>
    <cellStyle name="Millares [0] 2 2 2" xfId="19946"/>
    <cellStyle name="Millares [0] 2 3" xfId="18157"/>
    <cellStyle name="Millares [0] 2 4" xfId="37699"/>
    <cellStyle name="Millares [0] 3" xfId="2711"/>
    <cellStyle name="Millares [0] 3 2" xfId="2712"/>
    <cellStyle name="Millares [0] 3 2 2" xfId="19948"/>
    <cellStyle name="Millares [0] 3 3" xfId="19947"/>
    <cellStyle name="Millares 10" xfId="2713"/>
    <cellStyle name="Millares 10 2" xfId="2714"/>
    <cellStyle name="Millares 10 2 2" xfId="19950"/>
    <cellStyle name="Millares 10 3" xfId="5506"/>
    <cellStyle name="Millares 10 3 2" xfId="21377"/>
    <cellStyle name="Millares 10 4" xfId="19949"/>
    <cellStyle name="Millares 10 5" xfId="37702"/>
    <cellStyle name="Millares 10 6" xfId="37766"/>
    <cellStyle name="Millares 11" xfId="2715"/>
    <cellStyle name="Millares 11 2" xfId="2716"/>
    <cellStyle name="Millares 11 2 2" xfId="19952"/>
    <cellStyle name="Millares 11 3" xfId="5507"/>
    <cellStyle name="Millares 11 3 2" xfId="21378"/>
    <cellStyle name="Millares 11 4" xfId="19951"/>
    <cellStyle name="Millares 11 5" xfId="37735"/>
    <cellStyle name="Millares 11 6" xfId="37767"/>
    <cellStyle name="Millares 12" xfId="2717"/>
    <cellStyle name="Millares 12 2" xfId="2718"/>
    <cellStyle name="Millares 12 2 2" xfId="2719"/>
    <cellStyle name="Millares 12 2 2 2" xfId="19955"/>
    <cellStyle name="Millares 12 2 3" xfId="19954"/>
    <cellStyle name="Millares 12 3" xfId="19953"/>
    <cellStyle name="Millares 12 4" xfId="37746"/>
    <cellStyle name="Millares 12 5" xfId="37773"/>
    <cellStyle name="Millares 13" xfId="2720"/>
    <cellStyle name="Millares 13 2" xfId="2721"/>
    <cellStyle name="Millares 13 2 2" xfId="19957"/>
    <cellStyle name="Millares 13 3" xfId="19956"/>
    <cellStyle name="Millares 13 4" xfId="37748"/>
    <cellStyle name="Millares 13 5" xfId="37775"/>
    <cellStyle name="Millares 14" xfId="2722"/>
    <cellStyle name="Millares 14 2" xfId="14959"/>
    <cellStyle name="Millares 14 2 2" xfId="29741"/>
    <cellStyle name="Millares 14 3" xfId="19958"/>
    <cellStyle name="Millares 14 4" xfId="37747"/>
    <cellStyle name="Millares 14 5" xfId="37774"/>
    <cellStyle name="Millares 15" xfId="2723"/>
    <cellStyle name="Millares 15 2" xfId="2724"/>
    <cellStyle name="Millares 15 2 2" xfId="19960"/>
    <cellStyle name="Millares 15 3" xfId="19959"/>
    <cellStyle name="Millares 15 4" xfId="37749"/>
    <cellStyle name="Millares 16" xfId="2725"/>
    <cellStyle name="Millares 16 2" xfId="19961"/>
    <cellStyle name="Millares 16 3" xfId="37755"/>
    <cellStyle name="Millares 17" xfId="2726"/>
    <cellStyle name="Millares 17 2" xfId="19962"/>
    <cellStyle name="Millares 17 3" xfId="37757"/>
    <cellStyle name="Millares 18" xfId="2727"/>
    <cellStyle name="Millares 18 2" xfId="19963"/>
    <cellStyle name="Millares 18 2 2" xfId="37722"/>
    <cellStyle name="Millares 18 3" xfId="37733"/>
    <cellStyle name="Millares 18 4" xfId="37712"/>
    <cellStyle name="Millares 19" xfId="2728"/>
    <cellStyle name="Millares 19 2" xfId="19964"/>
    <cellStyle name="Millares 19 3" xfId="37760"/>
    <cellStyle name="Millares 2" xfId="2"/>
    <cellStyle name="Millares 2 2" xfId="3"/>
    <cellStyle name="Millares 2 2 2" xfId="456"/>
    <cellStyle name="Millares 2 2 2 2" xfId="2729"/>
    <cellStyle name="Millares 2 2 2 2 2" xfId="19965"/>
    <cellStyle name="Millares 2 2 2 3" xfId="18156"/>
    <cellStyle name="Millares 2 2 3" xfId="2730"/>
    <cellStyle name="Millares 2 2 3 2" xfId="19966"/>
    <cellStyle name="Millares 2 2 4" xfId="17920"/>
    <cellStyle name="Millares 2 2 4 2" xfId="37745"/>
    <cellStyle name="Millares 2 2 4 3" xfId="37772"/>
    <cellStyle name="Millares 2 3" xfId="2731"/>
    <cellStyle name="Millares 2 3 2" xfId="19967"/>
    <cellStyle name="Millares 2 3 3" xfId="37737"/>
    <cellStyle name="Millares 2 4" xfId="2732"/>
    <cellStyle name="Millares 2 4 2" xfId="2733"/>
    <cellStyle name="Millares 2 4 2 2" xfId="19969"/>
    <cellStyle name="Millares 2 4 3" xfId="19968"/>
    <cellStyle name="Millares 2 4 4" xfId="37707"/>
    <cellStyle name="Millares 2 5" xfId="2734"/>
    <cellStyle name="Millares 2 5 2" xfId="19970"/>
    <cellStyle name="Millares 2 6" xfId="2735"/>
    <cellStyle name="Millares 2 6 2" xfId="19971"/>
    <cellStyle name="Millares 2 7" xfId="5508"/>
    <cellStyle name="Millares 2 7 2" xfId="21379"/>
    <cellStyle name="Millares 2 8" xfId="5509"/>
    <cellStyle name="Millares 2 8 2" xfId="21380"/>
    <cellStyle name="Millares 20" xfId="2736"/>
    <cellStyle name="Millares 20 2" xfId="19972"/>
    <cellStyle name="Millares 20 3" xfId="37762"/>
    <cellStyle name="Millares 21" xfId="2737"/>
    <cellStyle name="Millares 21 2" xfId="19973"/>
    <cellStyle name="Millares 21 3" xfId="37763"/>
    <cellStyle name="Millares 22" xfId="2738"/>
    <cellStyle name="Millares 22 2" xfId="19974"/>
    <cellStyle name="Millares 22 3" xfId="37764"/>
    <cellStyle name="Millares 23" xfId="2739"/>
    <cellStyle name="Millares 23 2" xfId="19975"/>
    <cellStyle name="Millares 23 3" xfId="37765"/>
    <cellStyle name="Millares 24" xfId="3919"/>
    <cellStyle name="Millares 24 2" xfId="20083"/>
    <cellStyle name="Millares 25" xfId="477"/>
    <cellStyle name="Millares 25 2" xfId="18166"/>
    <cellStyle name="Millares 26" xfId="3925"/>
    <cellStyle name="Millares 27" xfId="3928"/>
    <cellStyle name="Millares 27 2" xfId="20084"/>
    <cellStyle name="Millares 28" xfId="5510"/>
    <cellStyle name="Millares 29" xfId="5511"/>
    <cellStyle name="Millares 3" xfId="4"/>
    <cellStyle name="Millares 3 2" xfId="458"/>
    <cellStyle name="Millares 3 2 2" xfId="2740"/>
    <cellStyle name="Millares 3 2 2 2" xfId="19976"/>
    <cellStyle name="Millares 3 2 2 3" xfId="37752"/>
    <cellStyle name="Millares 3 2 3" xfId="18158"/>
    <cellStyle name="Millares 3 2 4" xfId="37713"/>
    <cellStyle name="Millares 3 3" xfId="2741"/>
    <cellStyle name="Millares 3 3 2" xfId="2742"/>
    <cellStyle name="Millares 3 3 2 2" xfId="19978"/>
    <cellStyle name="Millares 3 3 3" xfId="5512"/>
    <cellStyle name="Millares 3 3 3 2" xfId="21381"/>
    <cellStyle name="Millares 3 3 4" xfId="19977"/>
    <cellStyle name="Millares 3 4" xfId="2743"/>
    <cellStyle name="Millares 3 4 2" xfId="5513"/>
    <cellStyle name="Millares 3 4 2 2" xfId="21382"/>
    <cellStyle name="Millares 3 4 3" xfId="19979"/>
    <cellStyle name="Millares 3 5" xfId="2744"/>
    <cellStyle name="Millares 3 5 2" xfId="19980"/>
    <cellStyle name="Millares 3 5 3" xfId="37741"/>
    <cellStyle name="Millares 3 5 4" xfId="37768"/>
    <cellStyle name="Millares 3 6" xfId="17921"/>
    <cellStyle name="Millares 3_CONCILIACION RETIRADOS DIC09 (2)" xfId="2745"/>
    <cellStyle name="Millares 30" xfId="5514"/>
    <cellStyle name="Millares 31" xfId="5515"/>
    <cellStyle name="Millares 31 2" xfId="21383"/>
    <cellStyle name="Millares 32" xfId="5516"/>
    <cellStyle name="Millares 33" xfId="5517"/>
    <cellStyle name="Millares 34" xfId="5518"/>
    <cellStyle name="Millares 35" xfId="5519"/>
    <cellStyle name="Millares 36" xfId="5520"/>
    <cellStyle name="Millares 37" xfId="5521"/>
    <cellStyle name="Millares 38" xfId="5522"/>
    <cellStyle name="Millares 38 2" xfId="21384"/>
    <cellStyle name="Millares 39" xfId="5523"/>
    <cellStyle name="Millares 39 2" xfId="21385"/>
    <cellStyle name="Millares 4" xfId="5"/>
    <cellStyle name="Millares 4 2" xfId="6"/>
    <cellStyle name="Millares 4 2 2" xfId="2748"/>
    <cellStyle name="Millares 4 2 2 2" xfId="19982"/>
    <cellStyle name="Millares 4 2 2 3" xfId="37742"/>
    <cellStyle name="Millares 4 2 2 4" xfId="37769"/>
    <cellStyle name="Millares 4 2 3" xfId="2747"/>
    <cellStyle name="Millares 4 2 3 2" xfId="19981"/>
    <cellStyle name="Millares 4 2 4" xfId="5524"/>
    <cellStyle name="Millares 4 2 4 2" xfId="21386"/>
    <cellStyle name="Millares 4 2 5" xfId="14960"/>
    <cellStyle name="Millares 4 2 5 2" xfId="29742"/>
    <cellStyle name="Millares 4 2 6" xfId="17923"/>
    <cellStyle name="Millares 4 3" xfId="455"/>
    <cellStyle name="Millares 4 3 2" xfId="18155"/>
    <cellStyle name="Millares 4 3 3" xfId="37709"/>
    <cellStyle name="Millares 4 4" xfId="2749"/>
    <cellStyle name="Millares 4 4 2" xfId="37743"/>
    <cellStyle name="Millares 4 4 3" xfId="37770"/>
    <cellStyle name="Millares 4 5" xfId="2750"/>
    <cellStyle name="Millares 4 5 2" xfId="19983"/>
    <cellStyle name="Millares 4 6" xfId="2746"/>
    <cellStyle name="Millares 4 7" xfId="17922"/>
    <cellStyle name="Millares 40" xfId="17927"/>
    <cellStyle name="Millares 41" xfId="30718"/>
    <cellStyle name="Millares 42" xfId="37697"/>
    <cellStyle name="Millares 5" xfId="7"/>
    <cellStyle name="Millares 5 2" xfId="2751"/>
    <cellStyle name="Millares 5 2 2" xfId="19984"/>
    <cellStyle name="Millares 5 2 3" xfId="37716"/>
    <cellStyle name="Millares 5 3" xfId="479"/>
    <cellStyle name="Millares 5 3 2" xfId="18168"/>
    <cellStyle name="Millares 5 3 3" xfId="37725"/>
    <cellStyle name="Millares 5 4" xfId="5525"/>
    <cellStyle name="Millares 5 4 2" xfId="21387"/>
    <cellStyle name="Millares 5 4 3" xfId="37706"/>
    <cellStyle name="Millares 5 5" xfId="37698"/>
    <cellStyle name="Millares 6" xfId="473"/>
    <cellStyle name="Millares 6 2" xfId="2752"/>
    <cellStyle name="Millares 6 2 2" xfId="19985"/>
    <cellStyle name="Millares 6 2 3" xfId="37754"/>
    <cellStyle name="Millares 6 3" xfId="5526"/>
    <cellStyle name="Millares 6 3 2" xfId="21388"/>
    <cellStyle name="Millares 6 4" xfId="18163"/>
    <cellStyle name="Millares 7" xfId="472"/>
    <cellStyle name="Millares 7 2" xfId="2753"/>
    <cellStyle name="Millares 7 2 2" xfId="19986"/>
    <cellStyle name="Millares 7 3" xfId="18162"/>
    <cellStyle name="Millares 7 4" xfId="37700"/>
    <cellStyle name="Millares 8" xfId="474"/>
    <cellStyle name="Millares 8 2" xfId="2755"/>
    <cellStyle name="Millares 8 2 2" xfId="19988"/>
    <cellStyle name="Millares 8 3" xfId="2754"/>
    <cellStyle name="Millares 8 3 2" xfId="19987"/>
    <cellStyle name="Millares 8 4" xfId="18164"/>
    <cellStyle name="Millares 9" xfId="475"/>
    <cellStyle name="Millares 9 2" xfId="2757"/>
    <cellStyle name="Millares 9 2 2" xfId="19990"/>
    <cellStyle name="Millares 9 3" xfId="2756"/>
    <cellStyle name="Millares 9 3 2" xfId="19989"/>
    <cellStyle name="Millares 9 4" xfId="18165"/>
    <cellStyle name="Milliers [0]" xfId="2758"/>
    <cellStyle name="Milliers_!!!GO" xfId="2759"/>
    <cellStyle name="Minus (0)" xfId="2760"/>
    <cellStyle name="MIS.SpaltenKopf" xfId="2761"/>
    <cellStyle name="MLPercent0" xfId="37703"/>
    <cellStyle name="MֿMַM¿M·M¯M§M\" xfId="2762"/>
    <cellStyle name="MֿMַM¿M·M¯M§MגC_פרוט רו&quot;ה (2)_3" xfId="2763"/>
    <cellStyle name="Model" xfId="2764"/>
    <cellStyle name="Model 10" xfId="4388"/>
    <cellStyle name="Model 11" xfId="4443"/>
    <cellStyle name="Model 12" xfId="4381"/>
    <cellStyle name="Model 13" xfId="4107"/>
    <cellStyle name="Model 14" xfId="4498"/>
    <cellStyle name="Model 15" xfId="4244"/>
    <cellStyle name="Model 16" xfId="4083"/>
    <cellStyle name="Model 17" xfId="4375"/>
    <cellStyle name="Model 18" xfId="4253"/>
    <cellStyle name="Model 19" xfId="4258"/>
    <cellStyle name="Model 2" xfId="4418"/>
    <cellStyle name="Model 2 2" xfId="5527"/>
    <cellStyle name="Model 2 2 2" xfId="14961"/>
    <cellStyle name="Model 2 2 2 2" xfId="14962"/>
    <cellStyle name="Model 2 2 3" xfId="14963"/>
    <cellStyle name="Model 2 3" xfId="5528"/>
    <cellStyle name="Model 2 3 2" xfId="14964"/>
    <cellStyle name="Model 2 3 2 2" xfId="14965"/>
    <cellStyle name="Model 2 3 3" xfId="14966"/>
    <cellStyle name="Model 2 4" xfId="14967"/>
    <cellStyle name="Model 2 4 2" xfId="14968"/>
    <cellStyle name="Model 2 5" xfId="14969"/>
    <cellStyle name="Model 20" xfId="4144"/>
    <cellStyle name="Model 21" xfId="4262"/>
    <cellStyle name="Model 22" xfId="4444"/>
    <cellStyle name="Model 23" xfId="4543"/>
    <cellStyle name="Model 24" xfId="4596"/>
    <cellStyle name="Model 25" xfId="4395"/>
    <cellStyle name="Model 3" xfId="4074"/>
    <cellStyle name="Model 3 2" xfId="14970"/>
    <cellStyle name="Model 3 2 2" xfId="14971"/>
    <cellStyle name="Model 3 3" xfId="14972"/>
    <cellStyle name="Model 4" xfId="4411"/>
    <cellStyle name="Model 4 2" xfId="14973"/>
    <cellStyle name="Model 4 2 2" xfId="14974"/>
    <cellStyle name="Model 4 3" xfId="14975"/>
    <cellStyle name="Model 5" xfId="4220"/>
    <cellStyle name="Model 5 2" xfId="14976"/>
    <cellStyle name="Model 6" xfId="4223"/>
    <cellStyle name="Model 7" xfId="4401"/>
    <cellStyle name="Model 8" xfId="4227"/>
    <cellStyle name="Model 9" xfId="4117"/>
    <cellStyle name="Moeda [0]" xfId="2765"/>
    <cellStyle name="Moeda_Aval" xfId="2766"/>
    <cellStyle name="Moneda 2" xfId="8"/>
    <cellStyle name="Moneda 2 2" xfId="462"/>
    <cellStyle name="Moneda 2 2 2" xfId="2768"/>
    <cellStyle name="Moneda 2 2 2 2" xfId="14977"/>
    <cellStyle name="Moneda 2 2 2 2 2" xfId="14978"/>
    <cellStyle name="Moneda 2 2 2 2 2 2" xfId="29744"/>
    <cellStyle name="Moneda 2 2 2 2 3" xfId="29743"/>
    <cellStyle name="Moneda 2 2 2 3" xfId="14979"/>
    <cellStyle name="Moneda 2 2 2 3 2" xfId="29745"/>
    <cellStyle name="Moneda 2 2 2 4" xfId="19992"/>
    <cellStyle name="Moneda 2 2 3" xfId="5529"/>
    <cellStyle name="Moneda 2 2 3 2" xfId="21389"/>
    <cellStyle name="Moneda 2 2 4" xfId="14980"/>
    <cellStyle name="Moneda 2 2 4 2" xfId="14981"/>
    <cellStyle name="Moneda 2 2 4 2 2" xfId="29747"/>
    <cellStyle name="Moneda 2 2 4 3" xfId="29746"/>
    <cellStyle name="Moneda 2 2 5" xfId="18159"/>
    <cellStyle name="Moneda 2 2 6" xfId="37728"/>
    <cellStyle name="Moneda 2 3" xfId="453"/>
    <cellStyle name="Moneda 2 3 2" xfId="2769"/>
    <cellStyle name="Moneda 2 3 2 2" xfId="14982"/>
    <cellStyle name="Moneda 2 3 2 2 2" xfId="14983"/>
    <cellStyle name="Moneda 2 3 2 2 2 2" xfId="29749"/>
    <cellStyle name="Moneda 2 3 2 2 3" xfId="29748"/>
    <cellStyle name="Moneda 2 3 2 3" xfId="19993"/>
    <cellStyle name="Moneda 2 3 3" xfId="14984"/>
    <cellStyle name="Moneda 2 3 3 2" xfId="14985"/>
    <cellStyle name="Moneda 2 3 3 2 2" xfId="29751"/>
    <cellStyle name="Moneda 2 3 3 3" xfId="29750"/>
    <cellStyle name="Moneda 2 3 4" xfId="18154"/>
    <cellStyle name="Moneda 2 3 5" xfId="37744"/>
    <cellStyle name="Moneda 2 3 6" xfId="37771"/>
    <cellStyle name="Moneda 2 4" xfId="2770"/>
    <cellStyle name="Moneda 2 4 2" xfId="14986"/>
    <cellStyle name="Moneda 2 4 2 2" xfId="14987"/>
    <cellStyle name="Moneda 2 4 2 2 2" xfId="29753"/>
    <cellStyle name="Moneda 2 4 2 3" xfId="29752"/>
    <cellStyle name="Moneda 2 4 3" xfId="14988"/>
    <cellStyle name="Moneda 2 4 3 2" xfId="29754"/>
    <cellStyle name="Moneda 2 4 4" xfId="19994"/>
    <cellStyle name="Moneda 2 5" xfId="2767"/>
    <cellStyle name="Moneda 2 5 2" xfId="14989"/>
    <cellStyle name="Moneda 2 5 2 2" xfId="14990"/>
    <cellStyle name="Moneda 2 5 2 2 2" xfId="29756"/>
    <cellStyle name="Moneda 2 5 2 3" xfId="29755"/>
    <cellStyle name="Moneda 2 5 3" xfId="14991"/>
    <cellStyle name="Moneda 2 5 3 2" xfId="29757"/>
    <cellStyle name="Moneda 2 5 4" xfId="19991"/>
    <cellStyle name="Moneda 2 6" xfId="5530"/>
    <cellStyle name="Moneda 2 6 2" xfId="21390"/>
    <cellStyle name="Moneda 2 7" xfId="14992"/>
    <cellStyle name="Moneda 2 7 2" xfId="14993"/>
    <cellStyle name="Moneda 2 7 2 2" xfId="29759"/>
    <cellStyle name="Moneda 2 7 3" xfId="29758"/>
    <cellStyle name="Moneda 2 8" xfId="17924"/>
    <cellStyle name="Moneda 2 9" xfId="37710"/>
    <cellStyle name="Moneda 3" xfId="9"/>
    <cellStyle name="Moneda 3 2" xfId="2772"/>
    <cellStyle name="Moneda 3 2 2" xfId="2773"/>
    <cellStyle name="Moneda 3 2 2 2" xfId="14994"/>
    <cellStyle name="Moneda 3 2 2 2 2" xfId="14995"/>
    <cellStyle name="Moneda 3 2 2 2 2 2" xfId="29761"/>
    <cellStyle name="Moneda 3 2 2 2 3" xfId="29760"/>
    <cellStyle name="Moneda 3 2 2 3" xfId="19997"/>
    <cellStyle name="Moneda 3 2 3" xfId="14996"/>
    <cellStyle name="Moneda 3 2 3 2" xfId="14997"/>
    <cellStyle name="Moneda 3 2 3 2 2" xfId="29763"/>
    <cellStyle name="Moneda 3 2 3 3" xfId="29762"/>
    <cellStyle name="Moneda 3 2 4" xfId="19996"/>
    <cellStyle name="Moneda 3 2 5" xfId="37721"/>
    <cellStyle name="Moneda 3 3" xfId="2774"/>
    <cellStyle name="Moneda 3 3 2" xfId="14998"/>
    <cellStyle name="Moneda 3 3 2 2" xfId="14999"/>
    <cellStyle name="Moneda 3 3 2 2 2" xfId="29765"/>
    <cellStyle name="Moneda 3 3 2 3" xfId="29764"/>
    <cellStyle name="Moneda 3 3 3" xfId="19998"/>
    <cellStyle name="Moneda 3 4" xfId="2771"/>
    <cellStyle name="Moneda 3 4 2" xfId="15000"/>
    <cellStyle name="Moneda 3 4 2 2" xfId="15001"/>
    <cellStyle name="Moneda 3 4 2 2 2" xfId="29767"/>
    <cellStyle name="Moneda 3 4 2 3" xfId="29766"/>
    <cellStyle name="Moneda 3 4 3" xfId="19995"/>
    <cellStyle name="Moneda 3 5" xfId="15002"/>
    <cellStyle name="Moneda 3 5 2" xfId="15003"/>
    <cellStyle name="Moneda 3 5 2 2" xfId="29769"/>
    <cellStyle name="Moneda 3 5 3" xfId="29768"/>
    <cellStyle name="Moneda 3 6" xfId="15004"/>
    <cellStyle name="Moneda 3 6 2" xfId="29770"/>
    <cellStyle name="Moneda 3 7" xfId="17925"/>
    <cellStyle name="Moneda 3 8" xfId="37711"/>
    <cellStyle name="Moneda 4" xfId="2775"/>
    <cellStyle name="Moneda 4 2" xfId="15005"/>
    <cellStyle name="Moneda 4 2 2" xfId="15006"/>
    <cellStyle name="Moneda 4 2 2 2" xfId="29772"/>
    <cellStyle name="Moneda 4 2 3" xfId="29771"/>
    <cellStyle name="Moneda 4 3" xfId="15007"/>
    <cellStyle name="Moneda 4 3 2" xfId="29773"/>
    <cellStyle name="Moneda 4 4" xfId="19999"/>
    <cellStyle name="Moneda 4 5" xfId="37736"/>
    <cellStyle name="Moneda 5" xfId="5531"/>
    <cellStyle name="Moneda 5 2" xfId="21391"/>
    <cellStyle name="Moneda 5 3" xfId="37715"/>
    <cellStyle name="Moneda 6" xfId="37750"/>
    <cellStyle name="Monétaire [0]" xfId="2776"/>
    <cellStyle name="Monétaire [0] 2" xfId="20000"/>
    <cellStyle name="Monétaire_!!!GO" xfId="2777"/>
    <cellStyle name="Monetario" xfId="2778"/>
    <cellStyle name="Monetario0" xfId="2779"/>
    <cellStyle name="Monetario0 2" xfId="2780"/>
    <cellStyle name="Monetario0 3" xfId="2781"/>
    <cellStyle name="Month" xfId="2782"/>
    <cellStyle name="Mon騁aire [0]_AR1194" xfId="2783"/>
    <cellStyle name="Mon騁aire_AR1194" xfId="2784"/>
    <cellStyle name="MS_English" xfId="2785"/>
    <cellStyle name="Multiple" xfId="2786"/>
    <cellStyle name="Multiple 2" xfId="2787"/>
    <cellStyle name="Multiple 2 2" xfId="2788"/>
    <cellStyle name="Multiple 2 2 2" xfId="4034"/>
    <cellStyle name="Multiple 2 2 2 2" xfId="5532"/>
    <cellStyle name="Multiple 2 2 2 2 2" xfId="15008"/>
    <cellStyle name="Multiple 2 2 2 2 2 2" xfId="29774"/>
    <cellStyle name="Multiple 2 2 2 2 3" xfId="15009"/>
    <cellStyle name="Multiple 2 2 2 2 3 2" xfId="15010"/>
    <cellStyle name="Multiple 2 2 2 2 3 2 2" xfId="29776"/>
    <cellStyle name="Multiple 2 2 2 2 3 3" xfId="15011"/>
    <cellStyle name="Multiple 2 2 2 2 3 3 2" xfId="29777"/>
    <cellStyle name="Multiple 2 2 2 2 3 4" xfId="29775"/>
    <cellStyle name="Multiple 2 2 2 2 4" xfId="15012"/>
    <cellStyle name="Multiple 2 2 2 2 4 2" xfId="29778"/>
    <cellStyle name="Multiple 2 2 2 2 5" xfId="21392"/>
    <cellStyle name="Multiple 2 2 2 3" xfId="5533"/>
    <cellStyle name="Multiple 2 2 2 3 2" xfId="15013"/>
    <cellStyle name="Multiple 2 2 2 3 2 2" xfId="29779"/>
    <cellStyle name="Multiple 2 2 2 3 3" xfId="15014"/>
    <cellStyle name="Multiple 2 2 2 3 3 2" xfId="15015"/>
    <cellStyle name="Multiple 2 2 2 3 3 2 2" xfId="29781"/>
    <cellStyle name="Multiple 2 2 2 3 3 3" xfId="15016"/>
    <cellStyle name="Multiple 2 2 2 3 3 3 2" xfId="29782"/>
    <cellStyle name="Multiple 2 2 2 3 3 4" xfId="29780"/>
    <cellStyle name="Multiple 2 2 2 3 4" xfId="15017"/>
    <cellStyle name="Multiple 2 2 2 3 4 2" xfId="29783"/>
    <cellStyle name="Multiple 2 2 2 3 5" xfId="21393"/>
    <cellStyle name="Multiple 2 2 2 4" xfId="15018"/>
    <cellStyle name="Multiple 2 2 2 4 2" xfId="29784"/>
    <cellStyle name="Multiple 2 2 2 5" xfId="15019"/>
    <cellStyle name="Multiple 2 2 2 5 2" xfId="15020"/>
    <cellStyle name="Multiple 2 2 2 5 2 2" xfId="29786"/>
    <cellStyle name="Multiple 2 2 2 5 3" xfId="15021"/>
    <cellStyle name="Multiple 2 2 2 5 3 2" xfId="29787"/>
    <cellStyle name="Multiple 2 2 2 5 4" xfId="29785"/>
    <cellStyle name="Multiple 2 2 2 6" xfId="15022"/>
    <cellStyle name="Multiple 2 2 2 6 2" xfId="29788"/>
    <cellStyle name="Multiple 2 2 2 7" xfId="15023"/>
    <cellStyle name="Multiple 2 2 2 7 2" xfId="15024"/>
    <cellStyle name="Multiple 2 2 2 7 2 2" xfId="29790"/>
    <cellStyle name="Multiple 2 2 2 7 3" xfId="29789"/>
    <cellStyle name="Multiple 2 2 2 8" xfId="20185"/>
    <cellStyle name="Multiple 2 2 3" xfId="15025"/>
    <cellStyle name="Multiple 2 2 3 2" xfId="29791"/>
    <cellStyle name="Multiple 2 2 4" xfId="20002"/>
    <cellStyle name="Multiple 2 3" xfId="2789"/>
    <cellStyle name="Multiple 2 3 2" xfId="4035"/>
    <cellStyle name="Multiple 2 3 2 2" xfId="5534"/>
    <cellStyle name="Multiple 2 3 2 2 2" xfId="15026"/>
    <cellStyle name="Multiple 2 3 2 2 2 2" xfId="29792"/>
    <cellStyle name="Multiple 2 3 2 2 3" xfId="15027"/>
    <cellStyle name="Multiple 2 3 2 2 3 2" xfId="15028"/>
    <cellStyle name="Multiple 2 3 2 2 3 2 2" xfId="29794"/>
    <cellStyle name="Multiple 2 3 2 2 3 3" xfId="15029"/>
    <cellStyle name="Multiple 2 3 2 2 3 3 2" xfId="29795"/>
    <cellStyle name="Multiple 2 3 2 2 3 4" xfId="29793"/>
    <cellStyle name="Multiple 2 3 2 2 4" xfId="15030"/>
    <cellStyle name="Multiple 2 3 2 2 4 2" xfId="29796"/>
    <cellStyle name="Multiple 2 3 2 2 5" xfId="21394"/>
    <cellStyle name="Multiple 2 3 2 3" xfId="5535"/>
    <cellStyle name="Multiple 2 3 2 3 2" xfId="15031"/>
    <cellStyle name="Multiple 2 3 2 3 2 2" xfId="29797"/>
    <cellStyle name="Multiple 2 3 2 3 3" xfId="15032"/>
    <cellStyle name="Multiple 2 3 2 3 3 2" xfId="15033"/>
    <cellStyle name="Multiple 2 3 2 3 3 2 2" xfId="29799"/>
    <cellStyle name="Multiple 2 3 2 3 3 3" xfId="15034"/>
    <cellStyle name="Multiple 2 3 2 3 3 3 2" xfId="29800"/>
    <cellStyle name="Multiple 2 3 2 3 3 4" xfId="29798"/>
    <cellStyle name="Multiple 2 3 2 3 4" xfId="15035"/>
    <cellStyle name="Multiple 2 3 2 3 4 2" xfId="29801"/>
    <cellStyle name="Multiple 2 3 2 3 5" xfId="21395"/>
    <cellStyle name="Multiple 2 3 2 4" xfId="15036"/>
    <cellStyle name="Multiple 2 3 2 4 2" xfId="29802"/>
    <cellStyle name="Multiple 2 3 2 5" xfId="15037"/>
    <cellStyle name="Multiple 2 3 2 5 2" xfId="15038"/>
    <cellStyle name="Multiple 2 3 2 5 2 2" xfId="29804"/>
    <cellStyle name="Multiple 2 3 2 5 3" xfId="15039"/>
    <cellStyle name="Multiple 2 3 2 5 3 2" xfId="29805"/>
    <cellStyle name="Multiple 2 3 2 5 4" xfId="29803"/>
    <cellStyle name="Multiple 2 3 2 6" xfId="15040"/>
    <cellStyle name="Multiple 2 3 2 6 2" xfId="29806"/>
    <cellStyle name="Multiple 2 3 2 7" xfId="15041"/>
    <cellStyle name="Multiple 2 3 2 7 2" xfId="15042"/>
    <cellStyle name="Multiple 2 3 2 7 2 2" xfId="29808"/>
    <cellStyle name="Multiple 2 3 2 7 3" xfId="29807"/>
    <cellStyle name="Multiple 2 3 2 8" xfId="20186"/>
    <cellStyle name="Multiple 2 3 3" xfId="15043"/>
    <cellStyle name="Multiple 2 3 3 2" xfId="29809"/>
    <cellStyle name="Multiple 2 3 4" xfId="20003"/>
    <cellStyle name="Multiple 2 4" xfId="4033"/>
    <cellStyle name="Multiple 2 4 2" xfId="5536"/>
    <cellStyle name="Multiple 2 4 2 2" xfId="15044"/>
    <cellStyle name="Multiple 2 4 2 2 2" xfId="29810"/>
    <cellStyle name="Multiple 2 4 2 3" xfId="15045"/>
    <cellStyle name="Multiple 2 4 2 3 2" xfId="15046"/>
    <cellStyle name="Multiple 2 4 2 3 2 2" xfId="29812"/>
    <cellStyle name="Multiple 2 4 2 3 3" xfId="15047"/>
    <cellStyle name="Multiple 2 4 2 3 3 2" xfId="29813"/>
    <cellStyle name="Multiple 2 4 2 3 4" xfId="29811"/>
    <cellStyle name="Multiple 2 4 2 4" xfId="15048"/>
    <cellStyle name="Multiple 2 4 2 4 2" xfId="29814"/>
    <cellStyle name="Multiple 2 4 2 5" xfId="21396"/>
    <cellStyle name="Multiple 2 4 3" xfId="5537"/>
    <cellStyle name="Multiple 2 4 3 2" xfId="15049"/>
    <cellStyle name="Multiple 2 4 3 2 2" xfId="29815"/>
    <cellStyle name="Multiple 2 4 3 3" xfId="15050"/>
    <cellStyle name="Multiple 2 4 3 3 2" xfId="15051"/>
    <cellStyle name="Multiple 2 4 3 3 2 2" xfId="29817"/>
    <cellStyle name="Multiple 2 4 3 3 3" xfId="15052"/>
    <cellStyle name="Multiple 2 4 3 3 3 2" xfId="29818"/>
    <cellStyle name="Multiple 2 4 3 3 4" xfId="29816"/>
    <cellStyle name="Multiple 2 4 3 4" xfId="15053"/>
    <cellStyle name="Multiple 2 4 3 4 2" xfId="29819"/>
    <cellStyle name="Multiple 2 4 3 5" xfId="21397"/>
    <cellStyle name="Multiple 2 4 4" xfId="15054"/>
    <cellStyle name="Multiple 2 4 4 2" xfId="29820"/>
    <cellStyle name="Multiple 2 4 5" xfId="15055"/>
    <cellStyle name="Multiple 2 4 5 2" xfId="15056"/>
    <cellStyle name="Multiple 2 4 5 2 2" xfId="29822"/>
    <cellStyle name="Multiple 2 4 5 3" xfId="15057"/>
    <cellStyle name="Multiple 2 4 5 3 2" xfId="29823"/>
    <cellStyle name="Multiple 2 4 5 4" xfId="29821"/>
    <cellStyle name="Multiple 2 4 6" xfId="15058"/>
    <cellStyle name="Multiple 2 4 6 2" xfId="29824"/>
    <cellStyle name="Multiple 2 4 7" xfId="15059"/>
    <cellStyle name="Multiple 2 4 7 2" xfId="15060"/>
    <cellStyle name="Multiple 2 4 7 2 2" xfId="29826"/>
    <cellStyle name="Multiple 2 4 7 3" xfId="29825"/>
    <cellStyle name="Multiple 2 4 8" xfId="20184"/>
    <cellStyle name="Multiple 2 5" xfId="15061"/>
    <cellStyle name="Multiple 2 5 2" xfId="29827"/>
    <cellStyle name="Multiple 2 6" xfId="20001"/>
    <cellStyle name="Multiple 3" xfId="2790"/>
    <cellStyle name="Multiple 3 2" xfId="2791"/>
    <cellStyle name="Multiple 3 2 2" xfId="4037"/>
    <cellStyle name="Multiple 3 2 2 2" xfId="5538"/>
    <cellStyle name="Multiple 3 2 2 2 2" xfId="15062"/>
    <cellStyle name="Multiple 3 2 2 2 2 2" xfId="29828"/>
    <cellStyle name="Multiple 3 2 2 2 3" xfId="15063"/>
    <cellStyle name="Multiple 3 2 2 2 3 2" xfId="15064"/>
    <cellStyle name="Multiple 3 2 2 2 3 2 2" xfId="29830"/>
    <cellStyle name="Multiple 3 2 2 2 3 3" xfId="15065"/>
    <cellStyle name="Multiple 3 2 2 2 3 3 2" xfId="29831"/>
    <cellStyle name="Multiple 3 2 2 2 3 4" xfId="29829"/>
    <cellStyle name="Multiple 3 2 2 2 4" xfId="15066"/>
    <cellStyle name="Multiple 3 2 2 2 4 2" xfId="29832"/>
    <cellStyle name="Multiple 3 2 2 2 5" xfId="21398"/>
    <cellStyle name="Multiple 3 2 2 3" xfId="5539"/>
    <cellStyle name="Multiple 3 2 2 3 2" xfId="15067"/>
    <cellStyle name="Multiple 3 2 2 3 2 2" xfId="29833"/>
    <cellStyle name="Multiple 3 2 2 3 3" xfId="15068"/>
    <cellStyle name="Multiple 3 2 2 3 3 2" xfId="15069"/>
    <cellStyle name="Multiple 3 2 2 3 3 2 2" xfId="29835"/>
    <cellStyle name="Multiple 3 2 2 3 3 3" xfId="15070"/>
    <cellStyle name="Multiple 3 2 2 3 3 3 2" xfId="29836"/>
    <cellStyle name="Multiple 3 2 2 3 3 4" xfId="29834"/>
    <cellStyle name="Multiple 3 2 2 3 4" xfId="15071"/>
    <cellStyle name="Multiple 3 2 2 3 4 2" xfId="29837"/>
    <cellStyle name="Multiple 3 2 2 3 5" xfId="21399"/>
    <cellStyle name="Multiple 3 2 2 4" xfId="15072"/>
    <cellStyle name="Multiple 3 2 2 4 2" xfId="29838"/>
    <cellStyle name="Multiple 3 2 2 5" xfId="15073"/>
    <cellStyle name="Multiple 3 2 2 5 2" xfId="15074"/>
    <cellStyle name="Multiple 3 2 2 5 2 2" xfId="29840"/>
    <cellStyle name="Multiple 3 2 2 5 3" xfId="15075"/>
    <cellStyle name="Multiple 3 2 2 5 3 2" xfId="29841"/>
    <cellStyle name="Multiple 3 2 2 5 4" xfId="29839"/>
    <cellStyle name="Multiple 3 2 2 6" xfId="15076"/>
    <cellStyle name="Multiple 3 2 2 6 2" xfId="29842"/>
    <cellStyle name="Multiple 3 2 2 7" xfId="15077"/>
    <cellStyle name="Multiple 3 2 2 7 2" xfId="15078"/>
    <cellStyle name="Multiple 3 2 2 7 2 2" xfId="29844"/>
    <cellStyle name="Multiple 3 2 2 7 3" xfId="29843"/>
    <cellStyle name="Multiple 3 2 2 8" xfId="20188"/>
    <cellStyle name="Multiple 3 2 3" xfId="15079"/>
    <cellStyle name="Multiple 3 2 3 2" xfId="29845"/>
    <cellStyle name="Multiple 3 2 4" xfId="20005"/>
    <cellStyle name="Multiple 3 3" xfId="2792"/>
    <cellStyle name="Multiple 3 3 2" xfId="4038"/>
    <cellStyle name="Multiple 3 3 2 2" xfId="5540"/>
    <cellStyle name="Multiple 3 3 2 2 2" xfId="15080"/>
    <cellStyle name="Multiple 3 3 2 2 2 2" xfId="29846"/>
    <cellStyle name="Multiple 3 3 2 2 3" xfId="15081"/>
    <cellStyle name="Multiple 3 3 2 2 3 2" xfId="15082"/>
    <cellStyle name="Multiple 3 3 2 2 3 2 2" xfId="29848"/>
    <cellStyle name="Multiple 3 3 2 2 3 3" xfId="15083"/>
    <cellStyle name="Multiple 3 3 2 2 3 3 2" xfId="29849"/>
    <cellStyle name="Multiple 3 3 2 2 3 4" xfId="29847"/>
    <cellStyle name="Multiple 3 3 2 2 4" xfId="15084"/>
    <cellStyle name="Multiple 3 3 2 2 4 2" xfId="29850"/>
    <cellStyle name="Multiple 3 3 2 2 5" xfId="21400"/>
    <cellStyle name="Multiple 3 3 2 3" xfId="5541"/>
    <cellStyle name="Multiple 3 3 2 3 2" xfId="15085"/>
    <cellStyle name="Multiple 3 3 2 3 2 2" xfId="29851"/>
    <cellStyle name="Multiple 3 3 2 3 3" xfId="15086"/>
    <cellStyle name="Multiple 3 3 2 3 3 2" xfId="15087"/>
    <cellStyle name="Multiple 3 3 2 3 3 2 2" xfId="29853"/>
    <cellStyle name="Multiple 3 3 2 3 3 3" xfId="15088"/>
    <cellStyle name="Multiple 3 3 2 3 3 3 2" xfId="29854"/>
    <cellStyle name="Multiple 3 3 2 3 3 4" xfId="29852"/>
    <cellStyle name="Multiple 3 3 2 3 4" xfId="15089"/>
    <cellStyle name="Multiple 3 3 2 3 4 2" xfId="29855"/>
    <cellStyle name="Multiple 3 3 2 3 5" xfId="21401"/>
    <cellStyle name="Multiple 3 3 2 4" xfId="15090"/>
    <cellStyle name="Multiple 3 3 2 4 2" xfId="29856"/>
    <cellStyle name="Multiple 3 3 2 5" xfId="15091"/>
    <cellStyle name="Multiple 3 3 2 5 2" xfId="15092"/>
    <cellStyle name="Multiple 3 3 2 5 2 2" xfId="29858"/>
    <cellStyle name="Multiple 3 3 2 5 3" xfId="15093"/>
    <cellStyle name="Multiple 3 3 2 5 3 2" xfId="29859"/>
    <cellStyle name="Multiple 3 3 2 5 4" xfId="29857"/>
    <cellStyle name="Multiple 3 3 2 6" xfId="15094"/>
    <cellStyle name="Multiple 3 3 2 6 2" xfId="29860"/>
    <cellStyle name="Multiple 3 3 2 7" xfId="15095"/>
    <cellStyle name="Multiple 3 3 2 7 2" xfId="15096"/>
    <cellStyle name="Multiple 3 3 2 7 2 2" xfId="29862"/>
    <cellStyle name="Multiple 3 3 2 7 3" xfId="29861"/>
    <cellStyle name="Multiple 3 3 2 8" xfId="20189"/>
    <cellStyle name="Multiple 3 3 3" xfId="15097"/>
    <cellStyle name="Multiple 3 3 3 2" xfId="29863"/>
    <cellStyle name="Multiple 3 3 4" xfId="20006"/>
    <cellStyle name="Multiple 3 4" xfId="4036"/>
    <cellStyle name="Multiple 3 4 2" xfId="5542"/>
    <cellStyle name="Multiple 3 4 2 2" xfId="15098"/>
    <cellStyle name="Multiple 3 4 2 2 2" xfId="29864"/>
    <cellStyle name="Multiple 3 4 2 3" xfId="15099"/>
    <cellStyle name="Multiple 3 4 2 3 2" xfId="15100"/>
    <cellStyle name="Multiple 3 4 2 3 2 2" xfId="29866"/>
    <cellStyle name="Multiple 3 4 2 3 3" xfId="15101"/>
    <cellStyle name="Multiple 3 4 2 3 3 2" xfId="29867"/>
    <cellStyle name="Multiple 3 4 2 3 4" xfId="29865"/>
    <cellStyle name="Multiple 3 4 2 4" xfId="15102"/>
    <cellStyle name="Multiple 3 4 2 4 2" xfId="29868"/>
    <cellStyle name="Multiple 3 4 2 5" xfId="21402"/>
    <cellStyle name="Multiple 3 4 3" xfId="5543"/>
    <cellStyle name="Multiple 3 4 3 2" xfId="15103"/>
    <cellStyle name="Multiple 3 4 3 2 2" xfId="29869"/>
    <cellStyle name="Multiple 3 4 3 3" xfId="15104"/>
    <cellStyle name="Multiple 3 4 3 3 2" xfId="15105"/>
    <cellStyle name="Multiple 3 4 3 3 2 2" xfId="29871"/>
    <cellStyle name="Multiple 3 4 3 3 3" xfId="15106"/>
    <cellStyle name="Multiple 3 4 3 3 3 2" xfId="29872"/>
    <cellStyle name="Multiple 3 4 3 3 4" xfId="29870"/>
    <cellStyle name="Multiple 3 4 3 4" xfId="15107"/>
    <cellStyle name="Multiple 3 4 3 4 2" xfId="29873"/>
    <cellStyle name="Multiple 3 4 3 5" xfId="21403"/>
    <cellStyle name="Multiple 3 4 4" xfId="15108"/>
    <cellStyle name="Multiple 3 4 4 2" xfId="29874"/>
    <cellStyle name="Multiple 3 4 5" xfId="15109"/>
    <cellStyle name="Multiple 3 4 5 2" xfId="15110"/>
    <cellStyle name="Multiple 3 4 5 2 2" xfId="29876"/>
    <cellStyle name="Multiple 3 4 5 3" xfId="15111"/>
    <cellStyle name="Multiple 3 4 5 3 2" xfId="29877"/>
    <cellStyle name="Multiple 3 4 5 4" xfId="29875"/>
    <cellStyle name="Multiple 3 4 6" xfId="15112"/>
    <cellStyle name="Multiple 3 4 6 2" xfId="29878"/>
    <cellStyle name="Multiple 3 4 7" xfId="15113"/>
    <cellStyle name="Multiple 3 4 7 2" xfId="15114"/>
    <cellStyle name="Multiple 3 4 7 2 2" xfId="29880"/>
    <cellStyle name="Multiple 3 4 7 3" xfId="29879"/>
    <cellStyle name="Multiple 3 4 8" xfId="20187"/>
    <cellStyle name="Multiple 3 5" xfId="15115"/>
    <cellStyle name="Multiple 3 5 2" xfId="29881"/>
    <cellStyle name="Multiple 3 6" xfId="20004"/>
    <cellStyle name="Multiple1" xfId="2793"/>
    <cellStyle name="MultipleBelow" xfId="2794"/>
    <cellStyle name="Multiples" xfId="2795"/>
    <cellStyle name="n" xfId="2796"/>
    <cellStyle name="n-" xfId="2797"/>
    <cellStyle name="n*" xfId="2798"/>
    <cellStyle name="n* 2" xfId="2799"/>
    <cellStyle name="n* 2 2" xfId="5544"/>
    <cellStyle name="n* 2 2 2" xfId="5545"/>
    <cellStyle name="n* 2 2 2 2" xfId="15116"/>
    <cellStyle name="n* 2 2 2 2 2" xfId="15117"/>
    <cellStyle name="n* 2 2 2 2 2 2" xfId="29883"/>
    <cellStyle name="n* 2 2 2 2 2 3" xfId="35167"/>
    <cellStyle name="n* 2 2 2 2 3" xfId="29882"/>
    <cellStyle name="n* 2 2 2 2 4" xfId="35166"/>
    <cellStyle name="n* 2 2 2 3" xfId="15118"/>
    <cellStyle name="n* 2 2 2 3 2" xfId="29884"/>
    <cellStyle name="n* 2 2 2 3 3" xfId="35168"/>
    <cellStyle name="n* 2 2 2 4" xfId="21405"/>
    <cellStyle name="n* 2 2 2 5" xfId="26322"/>
    <cellStyle name="n* 2 2 3" xfId="5546"/>
    <cellStyle name="n* 2 2 3 2" xfId="15119"/>
    <cellStyle name="n* 2 2 3 2 2" xfId="15120"/>
    <cellStyle name="n* 2 2 3 2 2 2" xfId="29886"/>
    <cellStyle name="n* 2 2 3 2 2 3" xfId="35170"/>
    <cellStyle name="n* 2 2 3 2 3" xfId="29885"/>
    <cellStyle name="n* 2 2 3 2 4" xfId="35169"/>
    <cellStyle name="n* 2 2 3 3" xfId="15121"/>
    <cellStyle name="n* 2 2 3 3 2" xfId="29887"/>
    <cellStyle name="n* 2 2 3 3 3" xfId="35171"/>
    <cellStyle name="n* 2 2 3 4" xfId="21406"/>
    <cellStyle name="n* 2 2 3 5" xfId="26321"/>
    <cellStyle name="n* 2 2 4" xfId="5547"/>
    <cellStyle name="n* 2 2 4 2" xfId="15122"/>
    <cellStyle name="n* 2 2 4 2 2" xfId="15123"/>
    <cellStyle name="n* 2 2 4 2 2 2" xfId="29889"/>
    <cellStyle name="n* 2 2 4 2 2 3" xfId="35173"/>
    <cellStyle name="n* 2 2 4 2 3" xfId="15124"/>
    <cellStyle name="n* 2 2 4 2 3 2" xfId="29890"/>
    <cellStyle name="n* 2 2 4 2 3 3" xfId="35174"/>
    <cellStyle name="n* 2 2 4 2 4" xfId="29888"/>
    <cellStyle name="n* 2 2 4 2 5" xfId="35172"/>
    <cellStyle name="n* 2 2 4 3" xfId="15125"/>
    <cellStyle name="n* 2 2 4 3 2" xfId="15126"/>
    <cellStyle name="n* 2 2 4 3 2 2" xfId="29892"/>
    <cellStyle name="n* 2 2 4 3 2 3" xfId="35176"/>
    <cellStyle name="n* 2 2 4 3 3" xfId="29891"/>
    <cellStyle name="n* 2 2 4 3 4" xfId="35175"/>
    <cellStyle name="n* 2 2 4 4" xfId="15127"/>
    <cellStyle name="n* 2 2 4 4 2" xfId="29893"/>
    <cellStyle name="n* 2 2 4 4 3" xfId="35177"/>
    <cellStyle name="n* 2 2 4 5" xfId="21407"/>
    <cellStyle name="n* 2 2 4 6" xfId="26320"/>
    <cellStyle name="n* 2 2 5" xfId="15128"/>
    <cellStyle name="n* 2 2 5 2" xfId="29894"/>
    <cellStyle name="n* 2 2 5 3" xfId="35178"/>
    <cellStyle name="n* 2 2 6" xfId="21404"/>
    <cellStyle name="n* 2 2 7" xfId="26323"/>
    <cellStyle name="n* 2 3" xfId="5548"/>
    <cellStyle name="n* 2 3 2" xfId="15129"/>
    <cellStyle name="n* 2 3 2 2" xfId="15130"/>
    <cellStyle name="n* 2 3 2 2 2" xfId="29896"/>
    <cellStyle name="n* 2 3 2 2 3" xfId="35180"/>
    <cellStyle name="n* 2 3 2 3" xfId="29895"/>
    <cellStyle name="n* 2 3 2 4" xfId="35179"/>
    <cellStyle name="n* 2 3 3" xfId="15131"/>
    <cellStyle name="n* 2 3 3 2" xfId="29897"/>
    <cellStyle name="n* 2 3 3 3" xfId="35181"/>
    <cellStyle name="n* 2 3 4" xfId="21408"/>
    <cellStyle name="n* 2 3 5" xfId="21088"/>
    <cellStyle name="n* 2 4" xfId="15132"/>
    <cellStyle name="n* 2 4 2" xfId="29898"/>
    <cellStyle name="n* 2 4 3" xfId="35182"/>
    <cellStyle name="n* 3" xfId="2800"/>
    <cellStyle name="n* 3 2" xfId="5549"/>
    <cellStyle name="n* 3 2 2" xfId="5550"/>
    <cellStyle name="n* 3 2 2 2" xfId="15133"/>
    <cellStyle name="n* 3 2 2 2 2" xfId="15134"/>
    <cellStyle name="n* 3 2 2 2 2 2" xfId="29900"/>
    <cellStyle name="n* 3 2 2 2 2 3" xfId="35184"/>
    <cellStyle name="n* 3 2 2 2 3" xfId="29899"/>
    <cellStyle name="n* 3 2 2 2 4" xfId="35183"/>
    <cellStyle name="n* 3 2 2 3" xfId="15135"/>
    <cellStyle name="n* 3 2 2 3 2" xfId="29901"/>
    <cellStyle name="n* 3 2 2 3 3" xfId="35185"/>
    <cellStyle name="n* 3 2 2 4" xfId="21410"/>
    <cellStyle name="n* 3 2 2 5" xfId="26318"/>
    <cellStyle name="n* 3 2 3" xfId="5551"/>
    <cellStyle name="n* 3 2 3 2" xfId="15136"/>
    <cellStyle name="n* 3 2 3 2 2" xfId="15137"/>
    <cellStyle name="n* 3 2 3 2 2 2" xfId="29903"/>
    <cellStyle name="n* 3 2 3 2 2 3" xfId="35187"/>
    <cellStyle name="n* 3 2 3 2 3" xfId="29902"/>
    <cellStyle name="n* 3 2 3 2 4" xfId="35186"/>
    <cellStyle name="n* 3 2 3 3" xfId="15138"/>
    <cellStyle name="n* 3 2 3 3 2" xfId="29904"/>
    <cellStyle name="n* 3 2 3 3 3" xfId="35188"/>
    <cellStyle name="n* 3 2 3 4" xfId="21411"/>
    <cellStyle name="n* 3 2 3 5" xfId="26317"/>
    <cellStyle name="n* 3 2 4" xfId="5552"/>
    <cellStyle name="n* 3 2 4 2" xfId="15139"/>
    <cellStyle name="n* 3 2 4 2 2" xfId="15140"/>
    <cellStyle name="n* 3 2 4 2 2 2" xfId="29906"/>
    <cellStyle name="n* 3 2 4 2 2 3" xfId="35190"/>
    <cellStyle name="n* 3 2 4 2 3" xfId="15141"/>
    <cellStyle name="n* 3 2 4 2 3 2" xfId="29907"/>
    <cellStyle name="n* 3 2 4 2 3 3" xfId="35191"/>
    <cellStyle name="n* 3 2 4 2 4" xfId="29905"/>
    <cellStyle name="n* 3 2 4 2 5" xfId="35189"/>
    <cellStyle name="n* 3 2 4 3" xfId="15142"/>
    <cellStyle name="n* 3 2 4 3 2" xfId="15143"/>
    <cellStyle name="n* 3 2 4 3 2 2" xfId="29909"/>
    <cellStyle name="n* 3 2 4 3 2 3" xfId="35193"/>
    <cellStyle name="n* 3 2 4 3 3" xfId="29908"/>
    <cellStyle name="n* 3 2 4 3 4" xfId="35192"/>
    <cellStyle name="n* 3 2 4 4" xfId="15144"/>
    <cellStyle name="n* 3 2 4 4 2" xfId="29910"/>
    <cellStyle name="n* 3 2 4 4 3" xfId="35194"/>
    <cellStyle name="n* 3 2 4 5" xfId="21412"/>
    <cellStyle name="n* 3 2 4 6" xfId="26316"/>
    <cellStyle name="n* 3 2 5" xfId="15145"/>
    <cellStyle name="n* 3 2 5 2" xfId="29911"/>
    <cellStyle name="n* 3 2 5 3" xfId="35195"/>
    <cellStyle name="n* 3 2 6" xfId="21409"/>
    <cellStyle name="n* 3 2 7" xfId="26319"/>
    <cellStyle name="n* 3 3" xfId="5553"/>
    <cellStyle name="n* 3 3 2" xfId="15146"/>
    <cellStyle name="n* 3 3 2 2" xfId="15147"/>
    <cellStyle name="n* 3 3 2 2 2" xfId="29913"/>
    <cellStyle name="n* 3 3 2 2 3" xfId="35197"/>
    <cellStyle name="n* 3 3 2 3" xfId="29912"/>
    <cellStyle name="n* 3 3 2 4" xfId="35196"/>
    <cellStyle name="n* 3 3 3" xfId="15148"/>
    <cellStyle name="n* 3 3 3 2" xfId="29914"/>
    <cellStyle name="n* 3 3 3 3" xfId="35198"/>
    <cellStyle name="n* 3 3 4" xfId="21413"/>
    <cellStyle name="n* 3 3 5" xfId="26315"/>
    <cellStyle name="n* 3 4" xfId="15149"/>
    <cellStyle name="n* 3 4 2" xfId="29915"/>
    <cellStyle name="n* 3 4 3" xfId="35199"/>
    <cellStyle name="n* 4" xfId="5554"/>
    <cellStyle name="n* 4 2" xfId="5555"/>
    <cellStyle name="n* 4 2 2" xfId="15150"/>
    <cellStyle name="n* 4 2 2 2" xfId="15151"/>
    <cellStyle name="n* 4 2 2 2 2" xfId="29917"/>
    <cellStyle name="n* 4 2 2 2 3" xfId="35201"/>
    <cellStyle name="n* 4 2 2 3" xfId="29916"/>
    <cellStyle name="n* 4 2 2 4" xfId="35200"/>
    <cellStyle name="n* 4 2 3" xfId="15152"/>
    <cellStyle name="n* 4 2 3 2" xfId="29918"/>
    <cellStyle name="n* 4 2 3 3" xfId="35202"/>
    <cellStyle name="n* 4 2 4" xfId="21415"/>
    <cellStyle name="n* 4 2 5" xfId="26313"/>
    <cellStyle name="n* 4 3" xfId="5556"/>
    <cellStyle name="n* 4 3 2" xfId="15153"/>
    <cellStyle name="n* 4 3 2 2" xfId="15154"/>
    <cellStyle name="n* 4 3 2 2 2" xfId="29920"/>
    <cellStyle name="n* 4 3 2 2 3" xfId="35204"/>
    <cellStyle name="n* 4 3 2 3" xfId="29919"/>
    <cellStyle name="n* 4 3 2 4" xfId="35203"/>
    <cellStyle name="n* 4 3 3" xfId="15155"/>
    <cellStyle name="n* 4 3 3 2" xfId="29921"/>
    <cellStyle name="n* 4 3 3 3" xfId="35205"/>
    <cellStyle name="n* 4 3 4" xfId="21416"/>
    <cellStyle name="n* 4 3 5" xfId="26312"/>
    <cellStyle name="n* 4 4" xfId="5557"/>
    <cellStyle name="n* 4 4 2" xfId="15156"/>
    <cellStyle name="n* 4 4 2 2" xfId="15157"/>
    <cellStyle name="n* 4 4 2 2 2" xfId="29923"/>
    <cellStyle name="n* 4 4 2 2 3" xfId="35207"/>
    <cellStyle name="n* 4 4 2 3" xfId="15158"/>
    <cellStyle name="n* 4 4 2 3 2" xfId="29924"/>
    <cellStyle name="n* 4 4 2 3 3" xfId="35208"/>
    <cellStyle name="n* 4 4 2 4" xfId="29922"/>
    <cellStyle name="n* 4 4 2 5" xfId="35206"/>
    <cellStyle name="n* 4 4 3" xfId="15159"/>
    <cellStyle name="n* 4 4 3 2" xfId="15160"/>
    <cellStyle name="n* 4 4 3 2 2" xfId="29926"/>
    <cellStyle name="n* 4 4 3 2 3" xfId="35210"/>
    <cellStyle name="n* 4 4 3 3" xfId="29925"/>
    <cellStyle name="n* 4 4 3 4" xfId="35209"/>
    <cellStyle name="n* 4 4 4" xfId="15161"/>
    <cellStyle name="n* 4 4 4 2" xfId="29927"/>
    <cellStyle name="n* 4 4 4 3" xfId="35211"/>
    <cellStyle name="n* 4 4 5" xfId="21417"/>
    <cellStyle name="n* 4 4 6" xfId="26311"/>
    <cellStyle name="n* 4 5" xfId="15162"/>
    <cellStyle name="n* 4 5 2" xfId="29928"/>
    <cellStyle name="n* 4 5 3" xfId="35212"/>
    <cellStyle name="n* 4 6" xfId="21414"/>
    <cellStyle name="n* 4 7" xfId="26314"/>
    <cellStyle name="n* 5" xfId="5558"/>
    <cellStyle name="n* 5 2" xfId="15163"/>
    <cellStyle name="n* 5 2 2" xfId="15164"/>
    <cellStyle name="n* 5 2 2 2" xfId="29930"/>
    <cellStyle name="n* 5 2 2 3" xfId="35214"/>
    <cellStyle name="n* 5 2 3" xfId="29929"/>
    <cellStyle name="n* 5 2 4" xfId="35213"/>
    <cellStyle name="n* 5 3" xfId="15165"/>
    <cellStyle name="n* 5 3 2" xfId="29931"/>
    <cellStyle name="n* 5 3 3" xfId="35215"/>
    <cellStyle name="n* 5 4" xfId="21418"/>
    <cellStyle name="n* 5 5" xfId="26310"/>
    <cellStyle name="n* 6" xfId="15166"/>
    <cellStyle name="n* 6 2" xfId="29932"/>
    <cellStyle name="n* 6 3" xfId="35216"/>
    <cellStyle name="n-_Balances de escisión" xfId="2801"/>
    <cellStyle name="n0" xfId="2802"/>
    <cellStyle name="n0'" xfId="2803"/>
    <cellStyle name="n0-" xfId="2804"/>
    <cellStyle name="n0_Balances de escisión" xfId="2805"/>
    <cellStyle name="n0'_Balances de escisión" xfId="2806"/>
    <cellStyle name="n00" xfId="2807"/>
    <cellStyle name="n00 2" xfId="2808"/>
    <cellStyle name="n00 2 2" xfId="5559"/>
    <cellStyle name="n00 3" xfId="5560"/>
    <cellStyle name="n000" xfId="2809"/>
    <cellStyle name="n0x" xfId="2810"/>
    <cellStyle name="n1" xfId="2811"/>
    <cellStyle name="n1`" xfId="2812"/>
    <cellStyle name="n1x" xfId="2813"/>
    <cellStyle name="n2" xfId="2814"/>
    <cellStyle name="n21x" xfId="2815"/>
    <cellStyle name="n2x" xfId="2816"/>
    <cellStyle name="n2z" xfId="2817"/>
    <cellStyle name="n3" xfId="2818"/>
    <cellStyle name="n3x" xfId="2819"/>
    <cellStyle name="n9" xfId="2820"/>
    <cellStyle name="nal (2)_RF (2)" xfId="2821"/>
    <cellStyle name="Neutra" xfId="2822"/>
    <cellStyle name="Neutral" xfId="30" builtinId="28" customBuiltin="1"/>
    <cellStyle name="Neutral 2" xfId="2823"/>
    <cellStyle name="Neutral 3" xfId="2824"/>
    <cellStyle name="new" xfId="2825"/>
    <cellStyle name="nm0" xfId="2826"/>
    <cellStyle name="NMNBV" xfId="2827"/>
    <cellStyle name="nnx" xfId="2828"/>
    <cellStyle name="no" xfId="2829"/>
    <cellStyle name="no dec" xfId="2830"/>
    <cellStyle name="no dec 2" xfId="2831"/>
    <cellStyle name="no dec 3" xfId="2832"/>
    <cellStyle name="no_Balances de escisión" xfId="2833"/>
    <cellStyle name="No-definido" xfId="2834"/>
    <cellStyle name="Nomal0" xfId="2835"/>
    <cellStyle name="Nomal0 2" xfId="2836"/>
    <cellStyle name="Nomal0 2 2" xfId="4040"/>
    <cellStyle name="Nomal0 2 2 2" xfId="5561"/>
    <cellStyle name="Nomal0 2 2 2 2" xfId="15167"/>
    <cellStyle name="Nomal0 2 2 2 2 2" xfId="29933"/>
    <cellStyle name="Nomal0 2 2 2 3" xfId="15168"/>
    <cellStyle name="Nomal0 2 2 2 3 2" xfId="15169"/>
    <cellStyle name="Nomal0 2 2 2 3 2 2" xfId="29935"/>
    <cellStyle name="Nomal0 2 2 2 3 3" xfId="15170"/>
    <cellStyle name="Nomal0 2 2 2 3 3 2" xfId="29936"/>
    <cellStyle name="Nomal0 2 2 2 3 4" xfId="29934"/>
    <cellStyle name="Nomal0 2 2 2 4" xfId="15171"/>
    <cellStyle name="Nomal0 2 2 2 4 2" xfId="29937"/>
    <cellStyle name="Nomal0 2 2 2 5" xfId="21419"/>
    <cellStyle name="Nomal0 2 2 3" xfId="5562"/>
    <cellStyle name="Nomal0 2 2 3 2" xfId="15172"/>
    <cellStyle name="Nomal0 2 2 3 2 2" xfId="29938"/>
    <cellStyle name="Nomal0 2 2 3 3" xfId="15173"/>
    <cellStyle name="Nomal0 2 2 3 3 2" xfId="15174"/>
    <cellStyle name="Nomal0 2 2 3 3 2 2" xfId="29940"/>
    <cellStyle name="Nomal0 2 2 3 3 3" xfId="15175"/>
    <cellStyle name="Nomal0 2 2 3 3 3 2" xfId="29941"/>
    <cellStyle name="Nomal0 2 2 3 3 4" xfId="29939"/>
    <cellStyle name="Nomal0 2 2 3 4" xfId="15176"/>
    <cellStyle name="Nomal0 2 2 3 4 2" xfId="29942"/>
    <cellStyle name="Nomal0 2 2 3 5" xfId="21420"/>
    <cellStyle name="Nomal0 2 2 4" xfId="15177"/>
    <cellStyle name="Nomal0 2 2 4 2" xfId="29943"/>
    <cellStyle name="Nomal0 2 2 5" xfId="15178"/>
    <cellStyle name="Nomal0 2 2 5 2" xfId="15179"/>
    <cellStyle name="Nomal0 2 2 5 2 2" xfId="29945"/>
    <cellStyle name="Nomal0 2 2 5 3" xfId="15180"/>
    <cellStyle name="Nomal0 2 2 5 3 2" xfId="29946"/>
    <cellStyle name="Nomal0 2 2 5 4" xfId="29944"/>
    <cellStyle name="Nomal0 2 2 6" xfId="15181"/>
    <cellStyle name="Nomal0 2 2 6 2" xfId="29947"/>
    <cellStyle name="Nomal0 2 2 7" xfId="15182"/>
    <cellStyle name="Nomal0 2 2 7 2" xfId="15183"/>
    <cellStyle name="Nomal0 2 2 7 2 2" xfId="29949"/>
    <cellStyle name="Nomal0 2 2 7 3" xfId="29948"/>
    <cellStyle name="Nomal0 2 2 8" xfId="20191"/>
    <cellStyle name="Nomal0 2 3" xfId="15184"/>
    <cellStyle name="Nomal0 2 3 2" xfId="29950"/>
    <cellStyle name="Nomal0 2 4" xfId="20008"/>
    <cellStyle name="Nomal0 3" xfId="2837"/>
    <cellStyle name="Nomal0 3 2" xfId="4041"/>
    <cellStyle name="Nomal0 3 2 2" xfId="5563"/>
    <cellStyle name="Nomal0 3 2 2 2" xfId="15185"/>
    <cellStyle name="Nomal0 3 2 2 2 2" xfId="29951"/>
    <cellStyle name="Nomal0 3 2 2 3" xfId="15186"/>
    <cellStyle name="Nomal0 3 2 2 3 2" xfId="15187"/>
    <cellStyle name="Nomal0 3 2 2 3 2 2" xfId="29953"/>
    <cellStyle name="Nomal0 3 2 2 3 3" xfId="15188"/>
    <cellStyle name="Nomal0 3 2 2 3 3 2" xfId="29954"/>
    <cellStyle name="Nomal0 3 2 2 3 4" xfId="29952"/>
    <cellStyle name="Nomal0 3 2 2 4" xfId="15189"/>
    <cellStyle name="Nomal0 3 2 2 4 2" xfId="29955"/>
    <cellStyle name="Nomal0 3 2 2 5" xfId="21421"/>
    <cellStyle name="Nomal0 3 2 3" xfId="5564"/>
    <cellStyle name="Nomal0 3 2 3 2" xfId="15190"/>
    <cellStyle name="Nomal0 3 2 3 2 2" xfId="29956"/>
    <cellStyle name="Nomal0 3 2 3 3" xfId="15191"/>
    <cellStyle name="Nomal0 3 2 3 3 2" xfId="15192"/>
    <cellStyle name="Nomal0 3 2 3 3 2 2" xfId="29958"/>
    <cellStyle name="Nomal0 3 2 3 3 3" xfId="15193"/>
    <cellStyle name="Nomal0 3 2 3 3 3 2" xfId="29959"/>
    <cellStyle name="Nomal0 3 2 3 3 4" xfId="29957"/>
    <cellStyle name="Nomal0 3 2 3 4" xfId="15194"/>
    <cellStyle name="Nomal0 3 2 3 4 2" xfId="29960"/>
    <cellStyle name="Nomal0 3 2 3 5" xfId="21422"/>
    <cellStyle name="Nomal0 3 2 4" xfId="15195"/>
    <cellStyle name="Nomal0 3 2 4 2" xfId="29961"/>
    <cellStyle name="Nomal0 3 2 5" xfId="15196"/>
    <cellStyle name="Nomal0 3 2 5 2" xfId="15197"/>
    <cellStyle name="Nomal0 3 2 5 2 2" xfId="29963"/>
    <cellStyle name="Nomal0 3 2 5 3" xfId="15198"/>
    <cellStyle name="Nomal0 3 2 5 3 2" xfId="29964"/>
    <cellStyle name="Nomal0 3 2 5 4" xfId="29962"/>
    <cellStyle name="Nomal0 3 2 6" xfId="15199"/>
    <cellStyle name="Nomal0 3 2 6 2" xfId="29965"/>
    <cellStyle name="Nomal0 3 2 7" xfId="15200"/>
    <cellStyle name="Nomal0 3 2 7 2" xfId="15201"/>
    <cellStyle name="Nomal0 3 2 7 2 2" xfId="29967"/>
    <cellStyle name="Nomal0 3 2 7 3" xfId="29966"/>
    <cellStyle name="Nomal0 3 2 8" xfId="20192"/>
    <cellStyle name="Nomal0 3 3" xfId="15202"/>
    <cellStyle name="Nomal0 3 3 2" xfId="29968"/>
    <cellStyle name="Nomal0 3 4" xfId="20009"/>
    <cellStyle name="Nomal0 4" xfId="4039"/>
    <cellStyle name="Nomal0 4 2" xfId="5565"/>
    <cellStyle name="Nomal0 4 2 2" xfId="15203"/>
    <cellStyle name="Nomal0 4 2 2 2" xfId="29969"/>
    <cellStyle name="Nomal0 4 2 3" xfId="15204"/>
    <cellStyle name="Nomal0 4 2 3 2" xfId="15205"/>
    <cellStyle name="Nomal0 4 2 3 2 2" xfId="29971"/>
    <cellStyle name="Nomal0 4 2 3 3" xfId="15206"/>
    <cellStyle name="Nomal0 4 2 3 3 2" xfId="29972"/>
    <cellStyle name="Nomal0 4 2 3 4" xfId="29970"/>
    <cellStyle name="Nomal0 4 2 4" xfId="15207"/>
    <cellStyle name="Nomal0 4 2 4 2" xfId="29973"/>
    <cellStyle name="Nomal0 4 2 5" xfId="21423"/>
    <cellStyle name="Nomal0 4 3" xfId="5566"/>
    <cellStyle name="Nomal0 4 3 2" xfId="15208"/>
    <cellStyle name="Nomal0 4 3 2 2" xfId="29974"/>
    <cellStyle name="Nomal0 4 3 3" xfId="15209"/>
    <cellStyle name="Nomal0 4 3 3 2" xfId="15210"/>
    <cellStyle name="Nomal0 4 3 3 2 2" xfId="29976"/>
    <cellStyle name="Nomal0 4 3 3 3" xfId="15211"/>
    <cellStyle name="Nomal0 4 3 3 3 2" xfId="29977"/>
    <cellStyle name="Nomal0 4 3 3 4" xfId="29975"/>
    <cellStyle name="Nomal0 4 3 4" xfId="15212"/>
    <cellStyle name="Nomal0 4 3 4 2" xfId="29978"/>
    <cellStyle name="Nomal0 4 3 5" xfId="21424"/>
    <cellStyle name="Nomal0 4 4" xfId="15213"/>
    <cellStyle name="Nomal0 4 4 2" xfId="29979"/>
    <cellStyle name="Nomal0 4 5" xfId="15214"/>
    <cellStyle name="Nomal0 4 5 2" xfId="15215"/>
    <cellStyle name="Nomal0 4 5 2 2" xfId="29981"/>
    <cellStyle name="Nomal0 4 5 3" xfId="15216"/>
    <cellStyle name="Nomal0 4 5 3 2" xfId="29982"/>
    <cellStyle name="Nomal0 4 5 4" xfId="29980"/>
    <cellStyle name="Nomal0 4 6" xfId="15217"/>
    <cellStyle name="Nomal0 4 6 2" xfId="29983"/>
    <cellStyle name="Nomal0 4 7" xfId="15218"/>
    <cellStyle name="Nomal0 4 7 2" xfId="15219"/>
    <cellStyle name="Nomal0 4 7 2 2" xfId="29985"/>
    <cellStyle name="Nomal0 4 7 3" xfId="29984"/>
    <cellStyle name="Nomal0 4 8" xfId="20190"/>
    <cellStyle name="Nomal0 5" xfId="15220"/>
    <cellStyle name="Nomal0 5 2" xfId="29986"/>
    <cellStyle name="Nomal0 6" xfId="20007"/>
    <cellStyle name="Norm??" xfId="2838"/>
    <cellStyle name="Normal" xfId="0" builtinId="0"/>
    <cellStyle name="Normal - Style1" xfId="2839"/>
    <cellStyle name="Normal - Style1 2" xfId="2840"/>
    <cellStyle name="Normal - Style1 3" xfId="2841"/>
    <cellStyle name="Normal - Style2" xfId="2842"/>
    <cellStyle name="Normal - Style3" xfId="2843"/>
    <cellStyle name="Normal - Style4" xfId="2844"/>
    <cellStyle name="Normal - Style5" xfId="2845"/>
    <cellStyle name="Normal [0]" xfId="2846"/>
    <cellStyle name="Normal 10" xfId="231"/>
    <cellStyle name="Normal 10 2" xfId="424"/>
    <cellStyle name="Normal 10 2 2" xfId="442"/>
    <cellStyle name="Normal 10 2 3" xfId="2847"/>
    <cellStyle name="Normal 10 3" xfId="430"/>
    <cellStyle name="Normal 10 3 2" xfId="2848"/>
    <cellStyle name="Normal 10 4" xfId="471"/>
    <cellStyle name="Normal 10 4 2" xfId="2849"/>
    <cellStyle name="Normal 10 5" xfId="2850"/>
    <cellStyle name="Normal 10 6" xfId="2851"/>
    <cellStyle name="Normal 10 7" xfId="2852"/>
    <cellStyle name="Normal 10 8" xfId="2853"/>
    <cellStyle name="Normal 10 9" xfId="2854"/>
    <cellStyle name="Normal 11" xfId="405"/>
    <cellStyle name="Normal 11 10" xfId="2855"/>
    <cellStyle name="Normal 11 10 2" xfId="2856"/>
    <cellStyle name="Normal 11 10 3" xfId="2857"/>
    <cellStyle name="Normal 11 11" xfId="2858"/>
    <cellStyle name="Normal 11 12" xfId="2859"/>
    <cellStyle name="Normal 11 13" xfId="2860"/>
    <cellStyle name="Normal 11 14" xfId="2861"/>
    <cellStyle name="Normal 11 15" xfId="2862"/>
    <cellStyle name="Normal 11 16" xfId="2863"/>
    <cellStyle name="Normal 11 17" xfId="2864"/>
    <cellStyle name="Normal 11 18" xfId="2865"/>
    <cellStyle name="Normal 11 19" xfId="2866"/>
    <cellStyle name="Normal 11 2" xfId="2867"/>
    <cellStyle name="Normal 11 2 2" xfId="2868"/>
    <cellStyle name="Normal 11 20" xfId="2869"/>
    <cellStyle name="Normal 11 21" xfId="2870"/>
    <cellStyle name="Normal 11 22" xfId="2871"/>
    <cellStyle name="Normal 11 3" xfId="2872"/>
    <cellStyle name="Normal 11 4" xfId="2873"/>
    <cellStyle name="Normal 11 5" xfId="2874"/>
    <cellStyle name="Normal 11 6" xfId="2875"/>
    <cellStyle name="Normal 11 7" xfId="2876"/>
    <cellStyle name="Normal 11 8" xfId="2877"/>
    <cellStyle name="Normal 11 9" xfId="2878"/>
    <cellStyle name="Normal 12" xfId="407"/>
    <cellStyle name="Normal 12 2" xfId="2879"/>
    <cellStyle name="Normal 12 3" xfId="2880"/>
    <cellStyle name="Normal 13" xfId="406"/>
    <cellStyle name="Normal 13 10" xfId="2881"/>
    <cellStyle name="Normal 13 11" xfId="2882"/>
    <cellStyle name="Normal 13 12" xfId="2883"/>
    <cellStyle name="Normal 13 13" xfId="2884"/>
    <cellStyle name="Normal 13 14" xfId="2885"/>
    <cellStyle name="Normal 13 15" xfId="2886"/>
    <cellStyle name="Normal 13 16" xfId="2887"/>
    <cellStyle name="Normal 13 17" xfId="2888"/>
    <cellStyle name="Normal 13 18" xfId="2889"/>
    <cellStyle name="Normal 13 19" xfId="2890"/>
    <cellStyle name="Normal 13 2" xfId="2891"/>
    <cellStyle name="Normal 13 2 2" xfId="2892"/>
    <cellStyle name="Normal 13 20" xfId="2893"/>
    <cellStyle name="Normal 13 3" xfId="2894"/>
    <cellStyle name="Normal 13 4" xfId="2895"/>
    <cellStyle name="Normal 13 5" xfId="2896"/>
    <cellStyle name="Normal 13 6" xfId="2897"/>
    <cellStyle name="Normal 13 7" xfId="2898"/>
    <cellStyle name="Normal 13 8" xfId="2899"/>
    <cellStyle name="Normal 13 9" xfId="2900"/>
    <cellStyle name="Normal 14" xfId="410"/>
    <cellStyle name="Normal 14 2" xfId="2901"/>
    <cellStyle name="Normal 14 2 2" xfId="2902"/>
    <cellStyle name="Normal 14 3" xfId="2903"/>
    <cellStyle name="Normal 15" xfId="419"/>
    <cellStyle name="Normal 15 2" xfId="2904"/>
    <cellStyle name="Normal 15 2 2" xfId="2905"/>
    <cellStyle name="Normal 15 3" xfId="2906"/>
    <cellStyle name="Normal 15 4" xfId="2907"/>
    <cellStyle name="Normal 16" xfId="454"/>
    <cellStyle name="Normal 16 2" xfId="2908"/>
    <cellStyle name="Normal 16 2 2" xfId="5567"/>
    <cellStyle name="Normal 16 3" xfId="2909"/>
    <cellStyle name="Normal 16 4" xfId="2910"/>
    <cellStyle name="Normal 17" xfId="2911"/>
    <cellStyle name="Normal 17 2" xfId="2912"/>
    <cellStyle name="Normal 18" xfId="2913"/>
    <cellStyle name="Normal 18 2" xfId="2914"/>
    <cellStyle name="Normal 19" xfId="2915"/>
    <cellStyle name="Normal 19 2" xfId="2916"/>
    <cellStyle name="Normal 2" xfId="10"/>
    <cellStyle name="Normal 2 10" xfId="2917"/>
    <cellStyle name="Normal 2 10 10" xfId="2918"/>
    <cellStyle name="Normal 2 10 11" xfId="2919"/>
    <cellStyle name="Normal 2 10 12" xfId="2920"/>
    <cellStyle name="Normal 2 10 13" xfId="2921"/>
    <cellStyle name="Normal 2 10 14" xfId="2922"/>
    <cellStyle name="Normal 2 10 15" xfId="2923"/>
    <cellStyle name="Normal 2 10 16" xfId="2924"/>
    <cellStyle name="Normal 2 10 17" xfId="2925"/>
    <cellStyle name="Normal 2 10 18" xfId="2926"/>
    <cellStyle name="Normal 2 10 19" xfId="2927"/>
    <cellStyle name="Normal 2 10 2" xfId="2928"/>
    <cellStyle name="Normal 2 10 20" xfId="2929"/>
    <cellStyle name="Normal 2 10 21" xfId="2930"/>
    <cellStyle name="Normal 2 10 22" xfId="2931"/>
    <cellStyle name="Normal 2 10 3" xfId="2932"/>
    <cellStyle name="Normal 2 10 4" xfId="2933"/>
    <cellStyle name="Normal 2 10 5" xfId="2934"/>
    <cellStyle name="Normal 2 10 6" xfId="2935"/>
    <cellStyle name="Normal 2 10 7" xfId="2936"/>
    <cellStyle name="Normal 2 10 8" xfId="2937"/>
    <cellStyle name="Normal 2 10 9" xfId="2938"/>
    <cellStyle name="Normal 2 11" xfId="2939"/>
    <cellStyle name="Normal 2 12" xfId="2940"/>
    <cellStyle name="Normal 2 13" xfId="2941"/>
    <cellStyle name="Normal 2 14" xfId="2942"/>
    <cellStyle name="Normal 2 15" xfId="2943"/>
    <cellStyle name="Normal 2 16" xfId="2944"/>
    <cellStyle name="Normal 2 17" xfId="2945"/>
    <cellStyle name="Normal 2 18" xfId="2946"/>
    <cellStyle name="Normal 2 19" xfId="2947"/>
    <cellStyle name="Normal 2 2" xfId="11"/>
    <cellStyle name="Normal 2 2 10" xfId="2948"/>
    <cellStyle name="Normal 2 2 11" xfId="2949"/>
    <cellStyle name="Normal 2 2 12" xfId="2950"/>
    <cellStyle name="Normal 2 2 13" xfId="2951"/>
    <cellStyle name="Normal 2 2 14" xfId="2952"/>
    <cellStyle name="Normal 2 2 15" xfId="2953"/>
    <cellStyle name="Normal 2 2 16" xfId="2954"/>
    <cellStyle name="Normal 2 2 17" xfId="2955"/>
    <cellStyle name="Normal 2 2 18" xfId="2956"/>
    <cellStyle name="Normal 2 2 19" xfId="2957"/>
    <cellStyle name="Normal 2 2 2" xfId="416"/>
    <cellStyle name="Normal 2 2 2 2" xfId="2959"/>
    <cellStyle name="Normal 2 2 2 3" xfId="2960"/>
    <cellStyle name="Normal 2 2 2 4" xfId="2961"/>
    <cellStyle name="Normal 2 2 2 5" xfId="2958"/>
    <cellStyle name="Normal 2 2 2 6" xfId="5568"/>
    <cellStyle name="Normal 2 2 20" xfId="2962"/>
    <cellStyle name="Normal 2 2 21" xfId="2963"/>
    <cellStyle name="Normal 2 2 22" xfId="2964"/>
    <cellStyle name="Normal 2 2 23" xfId="2965"/>
    <cellStyle name="Normal 2 2 3" xfId="2966"/>
    <cellStyle name="Normal 2 2 4" xfId="2967"/>
    <cellStyle name="Normal 2 2 4 2" xfId="2968"/>
    <cellStyle name="Normal 2 2 5" xfId="2969"/>
    <cellStyle name="Normal 2 2 6" xfId="2970"/>
    <cellStyle name="Normal 2 2 7" xfId="2971"/>
    <cellStyle name="Normal 2 2 8" xfId="2972"/>
    <cellStyle name="Normal 2 2 9" xfId="2973"/>
    <cellStyle name="Normal 2 2_BackUpDWH 1(trabajar)" xfId="2974"/>
    <cellStyle name="Normal 2 20" xfId="2975"/>
    <cellStyle name="Normal 2 21" xfId="2976"/>
    <cellStyle name="Normal 2 22" xfId="2977"/>
    <cellStyle name="Normal 2 23" xfId="2978"/>
    <cellStyle name="Normal 2 24" xfId="2979"/>
    <cellStyle name="Normal 2 25" xfId="2980"/>
    <cellStyle name="Normal 2 26" xfId="2981"/>
    <cellStyle name="Normal 2 27" xfId="2982"/>
    <cellStyle name="Normal 2 28" xfId="2983"/>
    <cellStyle name="Normal 2 29" xfId="2984"/>
    <cellStyle name="Normal 2 3" xfId="459"/>
    <cellStyle name="Normal 2 3 10" xfId="2986"/>
    <cellStyle name="Normal 2 3 11" xfId="2987"/>
    <cellStyle name="Normal 2 3 12" xfId="2988"/>
    <cellStyle name="Normal 2 3 13" xfId="2989"/>
    <cellStyle name="Normal 2 3 14" xfId="2990"/>
    <cellStyle name="Normal 2 3 15" xfId="2991"/>
    <cellStyle name="Normal 2 3 16" xfId="2992"/>
    <cellStyle name="Normal 2 3 17" xfId="2993"/>
    <cellStyle name="Normal 2 3 18" xfId="2994"/>
    <cellStyle name="Normal 2 3 19" xfId="2995"/>
    <cellStyle name="Normal 2 3 2" xfId="2996"/>
    <cellStyle name="Normal 2 3 2 2" xfId="2997"/>
    <cellStyle name="Normal 2 3 20" xfId="2998"/>
    <cellStyle name="Normal 2 3 21" xfId="2999"/>
    <cellStyle name="Normal 2 3 22" xfId="3000"/>
    <cellStyle name="Normal 2 3 23" xfId="2985"/>
    <cellStyle name="Normal 2 3 3" xfId="3001"/>
    <cellStyle name="Normal 2 3 4" xfId="3002"/>
    <cellStyle name="Normal 2 3 5" xfId="3003"/>
    <cellStyle name="Normal 2 3 6" xfId="3004"/>
    <cellStyle name="Normal 2 3 7" xfId="3005"/>
    <cellStyle name="Normal 2 3 8" xfId="3006"/>
    <cellStyle name="Normal 2 3 9" xfId="3007"/>
    <cellStyle name="Normal 2 30" xfId="3008"/>
    <cellStyle name="Normal 2 31" xfId="3009"/>
    <cellStyle name="Normal 2 32" xfId="3927"/>
    <cellStyle name="Normal 2 32 2" xfId="5569"/>
    <cellStyle name="Normal 2 33" xfId="5570"/>
    <cellStyle name="Normal 2 34" xfId="5571"/>
    <cellStyle name="Normal 2 35" xfId="15221"/>
    <cellStyle name="Normal 2 36" xfId="15222"/>
    <cellStyle name="Normal 2 37" xfId="15223"/>
    <cellStyle name="Normal 2 38" xfId="15224"/>
    <cellStyle name="Normal 2 39" xfId="15225"/>
    <cellStyle name="Normal 2 4" xfId="64"/>
    <cellStyle name="Normal 2 4 10" xfId="3011"/>
    <cellStyle name="Normal 2 4 11" xfId="3012"/>
    <cellStyle name="Normal 2 4 12" xfId="3013"/>
    <cellStyle name="Normal 2 4 13" xfId="3014"/>
    <cellStyle name="Normal 2 4 14" xfId="3015"/>
    <cellStyle name="Normal 2 4 15" xfId="3016"/>
    <cellStyle name="Normal 2 4 16" xfId="3017"/>
    <cellStyle name="Normal 2 4 17" xfId="3018"/>
    <cellStyle name="Normal 2 4 18" xfId="3019"/>
    <cellStyle name="Normal 2 4 19" xfId="3020"/>
    <cellStyle name="Normal 2 4 2" xfId="3021"/>
    <cellStyle name="Normal 2 4 2 14" xfId="3022"/>
    <cellStyle name="Normal 2 4 20" xfId="3023"/>
    <cellStyle name="Normal 2 4 21" xfId="3024"/>
    <cellStyle name="Normal 2 4 22" xfId="3025"/>
    <cellStyle name="Normal 2 4 23" xfId="3026"/>
    <cellStyle name="Normal 2 4 24" xfId="3010"/>
    <cellStyle name="Normal 2 4 25" xfId="37708"/>
    <cellStyle name="Normal 2 4 3" xfId="3027"/>
    <cellStyle name="Normal 2 4 4" xfId="3028"/>
    <cellStyle name="Normal 2 4 5" xfId="3029"/>
    <cellStyle name="Normal 2 4 6" xfId="3030"/>
    <cellStyle name="Normal 2 4 7" xfId="3031"/>
    <cellStyle name="Normal 2 4 8" xfId="3032"/>
    <cellStyle name="Normal 2 4 9" xfId="3033"/>
    <cellStyle name="Normal 2 40" xfId="15226"/>
    <cellStyle name="Normal 2 41" xfId="15227"/>
    <cellStyle name="Normal 2 42" xfId="15228"/>
    <cellStyle name="Normal 2 43" xfId="15229"/>
    <cellStyle name="Normal 2 5" xfId="3034"/>
    <cellStyle name="Normal 2 5 10" xfId="3035"/>
    <cellStyle name="Normal 2 5 11" xfId="3036"/>
    <cellStyle name="Normal 2 5 12" xfId="3037"/>
    <cellStyle name="Normal 2 5 13" xfId="3038"/>
    <cellStyle name="Normal 2 5 14" xfId="3039"/>
    <cellStyle name="Normal 2 5 15" xfId="3040"/>
    <cellStyle name="Normal 2 5 16" xfId="3041"/>
    <cellStyle name="Normal 2 5 17" xfId="3042"/>
    <cellStyle name="Normal 2 5 18" xfId="3043"/>
    <cellStyle name="Normal 2 5 19" xfId="3044"/>
    <cellStyle name="Normal 2 5 2" xfId="3045"/>
    <cellStyle name="Normal 2 5 20" xfId="3046"/>
    <cellStyle name="Normal 2 5 21" xfId="3047"/>
    <cellStyle name="Normal 2 5 22" xfId="3048"/>
    <cellStyle name="Normal 2 5 23" xfId="3049"/>
    <cellStyle name="Normal 2 5 3" xfId="3050"/>
    <cellStyle name="Normal 2 5 4" xfId="3051"/>
    <cellStyle name="Normal 2 5 5" xfId="3052"/>
    <cellStyle name="Normal 2 5 6" xfId="3053"/>
    <cellStyle name="Normal 2 5 7" xfId="3054"/>
    <cellStyle name="Normal 2 5 8" xfId="3055"/>
    <cellStyle name="Normal 2 5 9" xfId="3056"/>
    <cellStyle name="Normal 2 6" xfId="3057"/>
    <cellStyle name="Normal 2 6 10" xfId="3058"/>
    <cellStyle name="Normal 2 6 11" xfId="3059"/>
    <cellStyle name="Normal 2 6 12" xfId="3060"/>
    <cellStyle name="Normal 2 6 13" xfId="3061"/>
    <cellStyle name="Normal 2 6 14" xfId="3062"/>
    <cellStyle name="Normal 2 6 15" xfId="3063"/>
    <cellStyle name="Normal 2 6 16" xfId="3064"/>
    <cellStyle name="Normal 2 6 17" xfId="3065"/>
    <cellStyle name="Normal 2 6 18" xfId="3066"/>
    <cellStyle name="Normal 2 6 19" xfId="3067"/>
    <cellStyle name="Normal 2 6 2" xfId="3068"/>
    <cellStyle name="Normal 2 6 20" xfId="3069"/>
    <cellStyle name="Normal 2 6 21" xfId="3070"/>
    <cellStyle name="Normal 2 6 22" xfId="3071"/>
    <cellStyle name="Normal 2 6 23" xfId="3072"/>
    <cellStyle name="Normal 2 6 3" xfId="3073"/>
    <cellStyle name="Normal 2 6 4" xfId="3074"/>
    <cellStyle name="Normal 2 6 5" xfId="3075"/>
    <cellStyle name="Normal 2 6 6" xfId="3076"/>
    <cellStyle name="Normal 2 6 7" xfId="3077"/>
    <cellStyle name="Normal 2 6 8" xfId="3078"/>
    <cellStyle name="Normal 2 6 9" xfId="3079"/>
    <cellStyle name="Normal 2 7" xfId="3080"/>
    <cellStyle name="Normal 2 7 10" xfId="3081"/>
    <cellStyle name="Normal 2 7 11" xfId="3082"/>
    <cellStyle name="Normal 2 7 12" xfId="3083"/>
    <cellStyle name="Normal 2 7 13" xfId="3084"/>
    <cellStyle name="Normal 2 7 14" xfId="3085"/>
    <cellStyle name="Normal 2 7 15" xfId="3086"/>
    <cellStyle name="Normal 2 7 16" xfId="3087"/>
    <cellStyle name="Normal 2 7 17" xfId="3088"/>
    <cellStyle name="Normal 2 7 18" xfId="3089"/>
    <cellStyle name="Normal 2 7 19" xfId="3090"/>
    <cellStyle name="Normal 2 7 2" xfId="3091"/>
    <cellStyle name="Normal 2 7 20" xfId="3092"/>
    <cellStyle name="Normal 2 7 21" xfId="3093"/>
    <cellStyle name="Normal 2 7 22" xfId="3094"/>
    <cellStyle name="Normal 2 7 23" xfId="3095"/>
    <cellStyle name="Normal 2 7 3" xfId="3096"/>
    <cellStyle name="Normal 2 7 4" xfId="3097"/>
    <cellStyle name="Normal 2 7 5" xfId="3098"/>
    <cellStyle name="Normal 2 7 6" xfId="3099"/>
    <cellStyle name="Normal 2 7 7" xfId="3100"/>
    <cellStyle name="Normal 2 7 8" xfId="3101"/>
    <cellStyle name="Normal 2 7 9" xfId="3102"/>
    <cellStyle name="Normal 2 8" xfId="3103"/>
    <cellStyle name="Normal 2 8 10" xfId="3104"/>
    <cellStyle name="Normal 2 8 11" xfId="3105"/>
    <cellStyle name="Normal 2 8 12" xfId="3106"/>
    <cellStyle name="Normal 2 8 13" xfId="3107"/>
    <cellStyle name="Normal 2 8 14" xfId="3108"/>
    <cellStyle name="Normal 2 8 15" xfId="3109"/>
    <cellStyle name="Normal 2 8 16" xfId="3110"/>
    <cellStyle name="Normal 2 8 17" xfId="3111"/>
    <cellStyle name="Normal 2 8 18" xfId="3112"/>
    <cellStyle name="Normal 2 8 19" xfId="3113"/>
    <cellStyle name="Normal 2 8 2" xfId="3114"/>
    <cellStyle name="Normal 2 8 20" xfId="3115"/>
    <cellStyle name="Normal 2 8 21" xfId="3116"/>
    <cellStyle name="Normal 2 8 22" xfId="3117"/>
    <cellStyle name="Normal 2 8 23" xfId="3118"/>
    <cellStyle name="Normal 2 8 3" xfId="3119"/>
    <cellStyle name="Normal 2 8 4" xfId="3120"/>
    <cellStyle name="Normal 2 8 5" xfId="3121"/>
    <cellStyle name="Normal 2 8 6" xfId="3122"/>
    <cellStyle name="Normal 2 8 7" xfId="3123"/>
    <cellStyle name="Normal 2 8 8" xfId="3124"/>
    <cellStyle name="Normal 2 8 9" xfId="3125"/>
    <cellStyle name="Normal 2 9" xfId="3126"/>
    <cellStyle name="Normal 2 9 10" xfId="3127"/>
    <cellStyle name="Normal 2 9 11" xfId="3128"/>
    <cellStyle name="Normal 2 9 12" xfId="3129"/>
    <cellStyle name="Normal 2 9 13" xfId="3130"/>
    <cellStyle name="Normal 2 9 14" xfId="3131"/>
    <cellStyle name="Normal 2 9 15" xfId="3132"/>
    <cellStyle name="Normal 2 9 16" xfId="3133"/>
    <cellStyle name="Normal 2 9 17" xfId="3134"/>
    <cellStyle name="Normal 2 9 18" xfId="3135"/>
    <cellStyle name="Normal 2 9 19" xfId="3136"/>
    <cellStyle name="Normal 2 9 2" xfId="3137"/>
    <cellStyle name="Normal 2 9 20" xfId="3138"/>
    <cellStyle name="Normal 2 9 21" xfId="3139"/>
    <cellStyle name="Normal 2 9 22" xfId="3140"/>
    <cellStyle name="Normal 2 9 3" xfId="3141"/>
    <cellStyle name="Normal 2 9 4" xfId="3142"/>
    <cellStyle name="Normal 2 9 5" xfId="3143"/>
    <cellStyle name="Normal 2 9 6" xfId="3144"/>
    <cellStyle name="Normal 2 9 7" xfId="3145"/>
    <cellStyle name="Normal 2 9 8" xfId="3146"/>
    <cellStyle name="Normal 2 9 9" xfId="3147"/>
    <cellStyle name="Normal 2_Hoja1" xfId="3148"/>
    <cellStyle name="Normal 20" xfId="3149"/>
    <cellStyle name="Normal 20 2" xfId="3150"/>
    <cellStyle name="Normal 20 3" xfId="3151"/>
    <cellStyle name="Normal 21" xfId="3152"/>
    <cellStyle name="Normal 21 2" xfId="3153"/>
    <cellStyle name="Normal 22" xfId="3154"/>
    <cellStyle name="Normal 23" xfId="3155"/>
    <cellStyle name="Normal 24" xfId="3156"/>
    <cellStyle name="Normal 25" xfId="3157"/>
    <cellStyle name="Normal 25 2 2 14" xfId="3158"/>
    <cellStyle name="Normal 26" xfId="3159"/>
    <cellStyle name="Normal 27" xfId="3160"/>
    <cellStyle name="Normal 28" xfId="3161"/>
    <cellStyle name="Normal 28 2" xfId="3162"/>
    <cellStyle name="Normal 28 2 2 7" xfId="3163"/>
    <cellStyle name="Normal 28 2 2 7 2" xfId="3164"/>
    <cellStyle name="Normal 28 3" xfId="3165"/>
    <cellStyle name="Normal 29" xfId="3166"/>
    <cellStyle name="Normal 29 2" xfId="3167"/>
    <cellStyle name="Normal 29 2 2" xfId="3168"/>
    <cellStyle name="Normal 29 2 3" xfId="3169"/>
    <cellStyle name="Normal 3" xfId="1"/>
    <cellStyle name="Normal 3 10" xfId="207"/>
    <cellStyle name="Normal 3 10 2" xfId="381"/>
    <cellStyle name="Normal 3 10 2 2" xfId="3170"/>
    <cellStyle name="Normal 3 10 2 3" xfId="3171"/>
    <cellStyle name="Normal 3 10 3" xfId="3172"/>
    <cellStyle name="Normal 3 10 4" xfId="3173"/>
    <cellStyle name="Normal 3 11" xfId="225"/>
    <cellStyle name="Normal 3 11 2" xfId="399"/>
    <cellStyle name="Normal 3 11 2 2" xfId="3174"/>
    <cellStyle name="Normal 3 11 2 3" xfId="3175"/>
    <cellStyle name="Normal 3 11 3" xfId="3176"/>
    <cellStyle name="Normal 3 11 4" xfId="3177"/>
    <cellStyle name="Normal 3 12" xfId="246"/>
    <cellStyle name="Normal 3 12 2" xfId="3178"/>
    <cellStyle name="Normal 3 12 3" xfId="3179"/>
    <cellStyle name="Normal 3 13" xfId="65"/>
    <cellStyle name="Normal 3 13 2" xfId="3180"/>
    <cellStyle name="Normal 3 14" xfId="3181"/>
    <cellStyle name="Normal 3 15" xfId="3182"/>
    <cellStyle name="Normal 3 16" xfId="3183"/>
    <cellStyle name="Normal 3 17" xfId="3184"/>
    <cellStyle name="Normal 3 18" xfId="3185"/>
    <cellStyle name="Normal 3 19" xfId="3186"/>
    <cellStyle name="Normal 3 2" xfId="67"/>
    <cellStyle name="Normal 3 2 10" xfId="209"/>
    <cellStyle name="Normal 3 2 10 2" xfId="383"/>
    <cellStyle name="Normal 3 2 10 2 2" xfId="3187"/>
    <cellStyle name="Normal 3 2 10 2 3" xfId="3188"/>
    <cellStyle name="Normal 3 2 10 3" xfId="3189"/>
    <cellStyle name="Normal 3 2 10 4" xfId="3190"/>
    <cellStyle name="Normal 3 2 11" xfId="227"/>
    <cellStyle name="Normal 3 2 11 2" xfId="401"/>
    <cellStyle name="Normal 3 2 11 2 2" xfId="3191"/>
    <cellStyle name="Normal 3 2 11 2 3" xfId="3192"/>
    <cellStyle name="Normal 3 2 11 3" xfId="3193"/>
    <cellStyle name="Normal 3 2 11 4" xfId="3194"/>
    <cellStyle name="Normal 3 2 12" xfId="248"/>
    <cellStyle name="Normal 3 2 12 2" xfId="3195"/>
    <cellStyle name="Normal 3 2 12 3" xfId="3196"/>
    <cellStyle name="Normal 3 2 13" xfId="3197"/>
    <cellStyle name="Normal 3 2 14" xfId="3198"/>
    <cellStyle name="Normal 3 2 15" xfId="3199"/>
    <cellStyle name="Normal 3 2 16" xfId="3200"/>
    <cellStyle name="Normal 3 2 17" xfId="3201"/>
    <cellStyle name="Normal 3 2 18" xfId="3202"/>
    <cellStyle name="Normal 3 2 19" xfId="3203"/>
    <cellStyle name="Normal 3 2 2" xfId="71"/>
    <cellStyle name="Normal 3 2 2 2" xfId="252"/>
    <cellStyle name="Normal 3 2 2 2 2" xfId="3204"/>
    <cellStyle name="Normal 3 2 2 2 3" xfId="3205"/>
    <cellStyle name="Normal 3 2 2 3" xfId="466"/>
    <cellStyle name="Normal 3 2 2 3 2" xfId="5572"/>
    <cellStyle name="Normal 3 2 2 3 3" xfId="5573"/>
    <cellStyle name="Normal 3 2 2 4" xfId="3206"/>
    <cellStyle name="Normal 3 2 20" xfId="3207"/>
    <cellStyle name="Normal 3 2 21" xfId="3208"/>
    <cellStyle name="Normal 3 2 22" xfId="3209"/>
    <cellStyle name="Normal 3 2 23" xfId="3210"/>
    <cellStyle name="Normal 3 2 24" xfId="3211"/>
    <cellStyle name="Normal 3 2 25" xfId="37705"/>
    <cellStyle name="Normal 3 2 3" xfId="87"/>
    <cellStyle name="Normal 3 2 3 2" xfId="267"/>
    <cellStyle name="Normal 3 2 3 2 2" xfId="3212"/>
    <cellStyle name="Normal 3 2 3 2 3" xfId="3213"/>
    <cellStyle name="Normal 3 2 3 3" xfId="3214"/>
    <cellStyle name="Normal 3 2 3 4" xfId="3215"/>
    <cellStyle name="Normal 3 2 4" xfId="105"/>
    <cellStyle name="Normal 3 2 4 2" xfId="285"/>
    <cellStyle name="Normal 3 2 4 2 2" xfId="3216"/>
    <cellStyle name="Normal 3 2 4 2 3" xfId="3217"/>
    <cellStyle name="Normal 3 2 4 3" xfId="3218"/>
    <cellStyle name="Normal 3 2 4 4" xfId="3219"/>
    <cellStyle name="Normal 3 2 5" xfId="128"/>
    <cellStyle name="Normal 3 2 5 2" xfId="303"/>
    <cellStyle name="Normal 3 2 5 2 2" xfId="423"/>
    <cellStyle name="Normal 3 2 5 2 2 2" xfId="435"/>
    <cellStyle name="Normal 3 2 5 2 2 3" xfId="441"/>
    <cellStyle name="Normal 3 2 5 2 3" xfId="429"/>
    <cellStyle name="Normal 3 2 5 2 4" xfId="470"/>
    <cellStyle name="Normal 3 2 5 2 4 2" xfId="5574"/>
    <cellStyle name="Normal 3 2 5 2 5" xfId="5575"/>
    <cellStyle name="Normal 3 2 5 2 5 2" xfId="5576"/>
    <cellStyle name="Normal 3 2 5 3" xfId="422"/>
    <cellStyle name="Normal 3 2 5 3 2" xfId="440"/>
    <cellStyle name="Normal 3 2 5 4" xfId="428"/>
    <cellStyle name="Normal 3 2 5 5" xfId="446"/>
    <cellStyle name="Normal 3 2 5 6" xfId="469"/>
    <cellStyle name="Normal 3 2 5 6 2" xfId="5577"/>
    <cellStyle name="Normal 3 2 6" xfId="137"/>
    <cellStyle name="Normal 3 2 6 2" xfId="311"/>
    <cellStyle name="Normal 3 2 6 2 2" xfId="3220"/>
    <cellStyle name="Normal 3 2 6 2 3" xfId="3221"/>
    <cellStyle name="Normal 3 2 6 3" xfId="467"/>
    <cellStyle name="Normal 3 2 6 3 2" xfId="5578"/>
    <cellStyle name="Normal 3 2 6 4" xfId="3222"/>
    <cellStyle name="Normal 3 2 7" xfId="155"/>
    <cellStyle name="Normal 3 2 7 2" xfId="329"/>
    <cellStyle name="Normal 3 2 7 2 2" xfId="3223"/>
    <cellStyle name="Normal 3 2 7 2 3" xfId="3224"/>
    <cellStyle name="Normal 3 2 7 3" xfId="3225"/>
    <cellStyle name="Normal 3 2 7 4" xfId="3226"/>
    <cellStyle name="Normal 3 2 8" xfId="173"/>
    <cellStyle name="Normal 3 2 8 2" xfId="347"/>
    <cellStyle name="Normal 3 2 8 2 2" xfId="3227"/>
    <cellStyle name="Normal 3 2 8 2 3" xfId="3228"/>
    <cellStyle name="Normal 3 2 8 3" xfId="3229"/>
    <cellStyle name="Normal 3 2 8 4" xfId="3230"/>
    <cellStyle name="Normal 3 2 9" xfId="191"/>
    <cellStyle name="Normal 3 2 9 2" xfId="365"/>
    <cellStyle name="Normal 3 2 9 2 2" xfId="3231"/>
    <cellStyle name="Normal 3 2 9 2 3" xfId="3232"/>
    <cellStyle name="Normal 3 2 9 3" xfId="3233"/>
    <cellStyle name="Normal 3 2 9 4" xfId="3234"/>
    <cellStyle name="Normal 3 2_800200 LFR" xfId="113"/>
    <cellStyle name="Normal 3 20" xfId="3235"/>
    <cellStyle name="Normal 3 21" xfId="3236"/>
    <cellStyle name="Normal 3 22" xfId="3237"/>
    <cellStyle name="Normal 3 23" xfId="3238"/>
    <cellStyle name="Normal 3 24" xfId="3239"/>
    <cellStyle name="Normal 3 25" xfId="3240"/>
    <cellStyle name="Normal 3 26" xfId="3241"/>
    <cellStyle name="Normal 3 27" xfId="3242"/>
    <cellStyle name="Normal 3 28" xfId="3243"/>
    <cellStyle name="Normal 3 29" xfId="3244"/>
    <cellStyle name="Normal 3 3" xfId="86"/>
    <cellStyle name="Normal 3 3 10" xfId="3245"/>
    <cellStyle name="Normal 3 3 11" xfId="3246"/>
    <cellStyle name="Normal 3 3 12" xfId="3247"/>
    <cellStyle name="Normal 3 3 13" xfId="3248"/>
    <cellStyle name="Normal 3 3 14" xfId="3249"/>
    <cellStyle name="Normal 3 3 15" xfId="3250"/>
    <cellStyle name="Normal 3 3 16" xfId="3251"/>
    <cellStyle name="Normal 3 3 17" xfId="3252"/>
    <cellStyle name="Normal 3 3 18" xfId="3253"/>
    <cellStyle name="Normal 3 3 19" xfId="3254"/>
    <cellStyle name="Normal 3 3 2" xfId="266"/>
    <cellStyle name="Normal 3 3 2 2" xfId="3255"/>
    <cellStyle name="Normal 3 3 2 3" xfId="3256"/>
    <cellStyle name="Normal 3 3 20" xfId="3257"/>
    <cellStyle name="Normal 3 3 21" xfId="3258"/>
    <cellStyle name="Normal 3 3 22" xfId="3259"/>
    <cellStyle name="Normal 3 3 23" xfId="3260"/>
    <cellStyle name="Normal 3 3 24" xfId="3261"/>
    <cellStyle name="Normal 3 3 25" xfId="37739"/>
    <cellStyle name="Normal 3 3 3" xfId="3262"/>
    <cellStyle name="Normal 3 3 4" xfId="3263"/>
    <cellStyle name="Normal 3 3 5" xfId="3264"/>
    <cellStyle name="Normal 3 3 6" xfId="3265"/>
    <cellStyle name="Normal 3 3 7" xfId="3266"/>
    <cellStyle name="Normal 3 3 8" xfId="3267"/>
    <cellStyle name="Normal 3 3 9" xfId="3268"/>
    <cellStyle name="Normal 3 30" xfId="3269"/>
    <cellStyle name="Normal 3 31" xfId="3270"/>
    <cellStyle name="Normal 3 4" xfId="104"/>
    <cellStyle name="Normal 3 4 10" xfId="3271"/>
    <cellStyle name="Normal 3 4 11" xfId="3272"/>
    <cellStyle name="Normal 3 4 12" xfId="3273"/>
    <cellStyle name="Normal 3 4 13" xfId="3274"/>
    <cellStyle name="Normal 3 4 14" xfId="3275"/>
    <cellStyle name="Normal 3 4 15" xfId="3276"/>
    <cellStyle name="Normal 3 4 16" xfId="3277"/>
    <cellStyle name="Normal 3 4 17" xfId="3278"/>
    <cellStyle name="Normal 3 4 18" xfId="3279"/>
    <cellStyle name="Normal 3 4 19" xfId="3280"/>
    <cellStyle name="Normal 3 4 2" xfId="284"/>
    <cellStyle name="Normal 3 4 2 2" xfId="3281"/>
    <cellStyle name="Normal 3 4 2 3" xfId="3282"/>
    <cellStyle name="Normal 3 4 20" xfId="3283"/>
    <cellStyle name="Normal 3 4 21" xfId="3284"/>
    <cellStyle name="Normal 3 4 22" xfId="3285"/>
    <cellStyle name="Normal 3 4 23" xfId="3286"/>
    <cellStyle name="Normal 3 4 24" xfId="3287"/>
    <cellStyle name="Normal 3 4 3" xfId="3288"/>
    <cellStyle name="Normal 3 4 4" xfId="3289"/>
    <cellStyle name="Normal 3 4 5" xfId="3290"/>
    <cellStyle name="Normal 3 4 6" xfId="3291"/>
    <cellStyle name="Normal 3 4 7" xfId="3292"/>
    <cellStyle name="Normal 3 4 8" xfId="3293"/>
    <cellStyle name="Normal 3 4 9" xfId="3294"/>
    <cellStyle name="Normal 3 5" xfId="127"/>
    <cellStyle name="Normal 3 5 10" xfId="3295"/>
    <cellStyle name="Normal 3 5 11" xfId="3296"/>
    <cellStyle name="Normal 3 5 12" xfId="3297"/>
    <cellStyle name="Normal 3 5 13" xfId="3298"/>
    <cellStyle name="Normal 3 5 14" xfId="3299"/>
    <cellStyle name="Normal 3 5 15" xfId="3300"/>
    <cellStyle name="Normal 3 5 16" xfId="3301"/>
    <cellStyle name="Normal 3 5 17" xfId="3302"/>
    <cellStyle name="Normal 3 5 18" xfId="3303"/>
    <cellStyle name="Normal 3 5 19" xfId="3304"/>
    <cellStyle name="Normal 3 5 2" xfId="302"/>
    <cellStyle name="Normal 3 5 2 2" xfId="3305"/>
    <cellStyle name="Normal 3 5 2 3" xfId="3306"/>
    <cellStyle name="Normal 3 5 20" xfId="3307"/>
    <cellStyle name="Normal 3 5 21" xfId="3308"/>
    <cellStyle name="Normal 3 5 22" xfId="3309"/>
    <cellStyle name="Normal 3 5 23" xfId="3310"/>
    <cellStyle name="Normal 3 5 24" xfId="3311"/>
    <cellStyle name="Normal 3 5 3" xfId="3312"/>
    <cellStyle name="Normal 3 5 4" xfId="3313"/>
    <cellStyle name="Normal 3 5 5" xfId="3314"/>
    <cellStyle name="Normal 3 5 6" xfId="3315"/>
    <cellStyle name="Normal 3 5 7" xfId="3316"/>
    <cellStyle name="Normal 3 5 8" xfId="3317"/>
    <cellStyle name="Normal 3 5 9" xfId="3318"/>
    <cellStyle name="Normal 3 6" xfId="136"/>
    <cellStyle name="Normal 3 6 10" xfId="3319"/>
    <cellStyle name="Normal 3 6 11" xfId="3320"/>
    <cellStyle name="Normal 3 6 12" xfId="3321"/>
    <cellStyle name="Normal 3 6 13" xfId="3322"/>
    <cellStyle name="Normal 3 6 14" xfId="3323"/>
    <cellStyle name="Normal 3 6 15" xfId="3324"/>
    <cellStyle name="Normal 3 6 16" xfId="3325"/>
    <cellStyle name="Normal 3 6 17" xfId="3326"/>
    <cellStyle name="Normal 3 6 18" xfId="3327"/>
    <cellStyle name="Normal 3 6 19" xfId="3328"/>
    <cellStyle name="Normal 3 6 2" xfId="310"/>
    <cellStyle name="Normal 3 6 2 2" xfId="3329"/>
    <cellStyle name="Normal 3 6 2 3" xfId="3330"/>
    <cellStyle name="Normal 3 6 20" xfId="3331"/>
    <cellStyle name="Normal 3 6 21" xfId="3332"/>
    <cellStyle name="Normal 3 6 22" xfId="3333"/>
    <cellStyle name="Normal 3 6 23" xfId="3334"/>
    <cellStyle name="Normal 3 6 24" xfId="3335"/>
    <cellStyle name="Normal 3 6 3" xfId="3336"/>
    <cellStyle name="Normal 3 6 4" xfId="3337"/>
    <cellStyle name="Normal 3 6 5" xfId="3338"/>
    <cellStyle name="Normal 3 6 6" xfId="3339"/>
    <cellStyle name="Normal 3 6 7" xfId="3340"/>
    <cellStyle name="Normal 3 6 8" xfId="3341"/>
    <cellStyle name="Normal 3 6 9" xfId="3342"/>
    <cellStyle name="Normal 3 7" xfId="153"/>
    <cellStyle name="Normal 3 7 10" xfId="3343"/>
    <cellStyle name="Normal 3 7 11" xfId="3344"/>
    <cellStyle name="Normal 3 7 12" xfId="3345"/>
    <cellStyle name="Normal 3 7 13" xfId="3346"/>
    <cellStyle name="Normal 3 7 14" xfId="3347"/>
    <cellStyle name="Normal 3 7 15" xfId="3348"/>
    <cellStyle name="Normal 3 7 16" xfId="3349"/>
    <cellStyle name="Normal 3 7 17" xfId="3350"/>
    <cellStyle name="Normal 3 7 18" xfId="3351"/>
    <cellStyle name="Normal 3 7 19" xfId="3352"/>
    <cellStyle name="Normal 3 7 2" xfId="327"/>
    <cellStyle name="Normal 3 7 2 2" xfId="3353"/>
    <cellStyle name="Normal 3 7 2 3" xfId="3354"/>
    <cellStyle name="Normal 3 7 20" xfId="3355"/>
    <cellStyle name="Normal 3 7 21" xfId="3356"/>
    <cellStyle name="Normal 3 7 22" xfId="3357"/>
    <cellStyle name="Normal 3 7 23" xfId="3358"/>
    <cellStyle name="Normal 3 7 24" xfId="3359"/>
    <cellStyle name="Normal 3 7 3" xfId="3360"/>
    <cellStyle name="Normal 3 7 4" xfId="3361"/>
    <cellStyle name="Normal 3 7 5" xfId="3362"/>
    <cellStyle name="Normal 3 7 6" xfId="3363"/>
    <cellStyle name="Normal 3 7 7" xfId="3364"/>
    <cellStyle name="Normal 3 7 8" xfId="3365"/>
    <cellStyle name="Normal 3 7 9" xfId="3366"/>
    <cellStyle name="Normal 3 8" xfId="171"/>
    <cellStyle name="Normal 3 8 10" xfId="3367"/>
    <cellStyle name="Normal 3 8 11" xfId="3368"/>
    <cellStyle name="Normal 3 8 12" xfId="3369"/>
    <cellStyle name="Normal 3 8 13" xfId="3370"/>
    <cellStyle name="Normal 3 8 14" xfId="3371"/>
    <cellStyle name="Normal 3 8 15" xfId="3372"/>
    <cellStyle name="Normal 3 8 16" xfId="3373"/>
    <cellStyle name="Normal 3 8 17" xfId="3374"/>
    <cellStyle name="Normal 3 8 18" xfId="3375"/>
    <cellStyle name="Normal 3 8 19" xfId="3376"/>
    <cellStyle name="Normal 3 8 2" xfId="345"/>
    <cellStyle name="Normal 3 8 2 2" xfId="3377"/>
    <cellStyle name="Normal 3 8 2 3" xfId="3378"/>
    <cellStyle name="Normal 3 8 20" xfId="3379"/>
    <cellStyle name="Normal 3 8 21" xfId="3380"/>
    <cellStyle name="Normal 3 8 22" xfId="3381"/>
    <cellStyle name="Normal 3 8 23" xfId="3382"/>
    <cellStyle name="Normal 3 8 24" xfId="3383"/>
    <cellStyle name="Normal 3 8 3" xfId="3384"/>
    <cellStyle name="Normal 3 8 4" xfId="3385"/>
    <cellStyle name="Normal 3 8 5" xfId="3386"/>
    <cellStyle name="Normal 3 8 6" xfId="3387"/>
    <cellStyle name="Normal 3 8 7" xfId="3388"/>
    <cellStyle name="Normal 3 8 8" xfId="3389"/>
    <cellStyle name="Normal 3 8 9" xfId="3390"/>
    <cellStyle name="Normal 3 9" xfId="189"/>
    <cellStyle name="Normal 3 9 2" xfId="363"/>
    <cellStyle name="Normal 3 9 2 2" xfId="3391"/>
    <cellStyle name="Normal 3 9 2 3" xfId="3392"/>
    <cellStyle name="Normal 3 9 3" xfId="3393"/>
    <cellStyle name="Normal 3 9 4" xfId="3394"/>
    <cellStyle name="Normal 3_800200 LFR" xfId="114"/>
    <cellStyle name="Normal 30" xfId="3395"/>
    <cellStyle name="Normal 31" xfId="3396"/>
    <cellStyle name="Normal 31 2" xfId="3397"/>
    <cellStyle name="Normal 32" xfId="3398"/>
    <cellStyle name="Normal 33" xfId="3399"/>
    <cellStyle name="Normal 34" xfId="3400"/>
    <cellStyle name="Normal 35" xfId="3401"/>
    <cellStyle name="Normal 36" xfId="3402"/>
    <cellStyle name="Normal 37" xfId="3403"/>
    <cellStyle name="Normal 38" xfId="3404"/>
    <cellStyle name="Normal 39" xfId="3405"/>
    <cellStyle name="Normal 39 2" xfId="37723"/>
    <cellStyle name="Normal 39 3" xfId="37734"/>
    <cellStyle name="Normal 39 4" xfId="37714"/>
    <cellStyle name="Normal 4" xfId="66"/>
    <cellStyle name="Normal 4 10" xfId="190"/>
    <cellStyle name="Normal 4 10 2" xfId="364"/>
    <cellStyle name="Normal 4 10 2 2" xfId="3406"/>
    <cellStyle name="Normal 4 10 2 3" xfId="3407"/>
    <cellStyle name="Normal 4 10 3" xfId="3408"/>
    <cellStyle name="Normal 4 10 4" xfId="3409"/>
    <cellStyle name="Normal 4 11" xfId="208"/>
    <cellStyle name="Normal 4 11 2" xfId="382"/>
    <cellStyle name="Normal 4 11 2 2" xfId="3410"/>
    <cellStyle name="Normal 4 11 2 3" xfId="3411"/>
    <cellStyle name="Normal 4 11 3" xfId="3412"/>
    <cellStyle name="Normal 4 11 4" xfId="3413"/>
    <cellStyle name="Normal 4 12" xfId="226"/>
    <cellStyle name="Normal 4 12 2" xfId="400"/>
    <cellStyle name="Normal 4 12 2 2" xfId="3414"/>
    <cellStyle name="Normal 4 12 2 3" xfId="3415"/>
    <cellStyle name="Normal 4 12 3" xfId="3416"/>
    <cellStyle name="Normal 4 12 4" xfId="3417"/>
    <cellStyle name="Normal 4 13" xfId="247"/>
    <cellStyle name="Normal 4 13 2" xfId="3418"/>
    <cellStyle name="Normal 4 13 3" xfId="3419"/>
    <cellStyle name="Normal 4 14" xfId="451"/>
    <cellStyle name="Normal 4 14 2" xfId="3420"/>
    <cellStyle name="Normal 4 15" xfId="3421"/>
    <cellStyle name="Normal 4 16" xfId="3422"/>
    <cellStyle name="Normal 4 17" xfId="3423"/>
    <cellStyle name="Normal 4 18" xfId="3424"/>
    <cellStyle name="Normal 4 19" xfId="3425"/>
    <cellStyle name="Normal 4 2" xfId="68"/>
    <cellStyle name="Normal 4 2 10" xfId="210"/>
    <cellStyle name="Normal 4 2 10 2" xfId="384"/>
    <cellStyle name="Normal 4 2 10 2 2" xfId="3426"/>
    <cellStyle name="Normal 4 2 10 2 3" xfId="3427"/>
    <cellStyle name="Normal 4 2 10 3" xfId="3428"/>
    <cellStyle name="Normal 4 2 10 4" xfId="3429"/>
    <cellStyle name="Normal 4 2 11" xfId="228"/>
    <cellStyle name="Normal 4 2 11 2" xfId="402"/>
    <cellStyle name="Normal 4 2 11 2 2" xfId="3430"/>
    <cellStyle name="Normal 4 2 11 2 3" xfId="3431"/>
    <cellStyle name="Normal 4 2 11 3" xfId="3432"/>
    <cellStyle name="Normal 4 2 11 4" xfId="3433"/>
    <cellStyle name="Normal 4 2 12" xfId="249"/>
    <cellStyle name="Normal 4 2 12 2" xfId="3434"/>
    <cellStyle name="Normal 4 2 12 3" xfId="3435"/>
    <cellStyle name="Normal 4 2 13" xfId="3436"/>
    <cellStyle name="Normal 4 2 14" xfId="3437"/>
    <cellStyle name="Normal 4 2 15" xfId="3438"/>
    <cellStyle name="Normal 4 2 16" xfId="3439"/>
    <cellStyle name="Normal 4 2 17" xfId="3440"/>
    <cellStyle name="Normal 4 2 18" xfId="3441"/>
    <cellStyle name="Normal 4 2 19" xfId="3442"/>
    <cellStyle name="Normal 4 2 2" xfId="72"/>
    <cellStyle name="Normal 4 2 2 2" xfId="253"/>
    <cellStyle name="Normal 4 2 2 2 2" xfId="3443"/>
    <cellStyle name="Normal 4 2 2 2 3" xfId="3444"/>
    <cellStyle name="Normal 4 2 2 3" xfId="421"/>
    <cellStyle name="Normal 4 2 2 3 2" xfId="12"/>
    <cellStyle name="Normal 4 2 2 3 2 2" xfId="5579"/>
    <cellStyle name="Normal 4 2 2 3 2 3" xfId="37729"/>
    <cellStyle name="Normal 4 2 2 4" xfId="427"/>
    <cellStyle name="Normal 4 2 20" xfId="3445"/>
    <cellStyle name="Normal 4 2 21" xfId="3446"/>
    <cellStyle name="Normal 4 2 22" xfId="3447"/>
    <cellStyle name="Normal 4 2 23" xfId="3448"/>
    <cellStyle name="Normal 4 2 24" xfId="3449"/>
    <cellStyle name="Normal 4 2 3" xfId="89"/>
    <cellStyle name="Normal 4 2 3 10" xfId="13"/>
    <cellStyle name="Normal 4 2 3 10 2" xfId="37720"/>
    <cellStyle name="Normal 4 2 3 10 3" xfId="37731"/>
    <cellStyle name="Normal 4 2 3 2" xfId="269"/>
    <cellStyle name="Normal 4 2 3 2 2" xfId="3450"/>
    <cellStyle name="Normal 4 2 3 2 3" xfId="3451"/>
    <cellStyle name="Normal 4 2 3 3" xfId="409"/>
    <cellStyle name="Normal 4 2 3 3 2" xfId="3452"/>
    <cellStyle name="Normal 4 2 3 3 3" xfId="3453"/>
    <cellStyle name="Normal 4 2 3 3 4" xfId="3920"/>
    <cellStyle name="Normal 4 2 3 4" xfId="411"/>
    <cellStyle name="Normal 4 2 3 4 2" xfId="3454"/>
    <cellStyle name="Normal 4 2 3 4 3" xfId="3455"/>
    <cellStyle name="Normal 4 2 3 4 4" xfId="3921"/>
    <cellStyle name="Normal 4 2 3 5" xfId="432"/>
    <cellStyle name="Normal 4 2 3 6" xfId="14"/>
    <cellStyle name="Normal 4 2 3 6 2" xfId="37718"/>
    <cellStyle name="Normal 4 2 3 6 3" xfId="37727"/>
    <cellStyle name="Normal 4 2 4" xfId="107"/>
    <cellStyle name="Normal 4 2 4 2" xfId="287"/>
    <cellStyle name="Normal 4 2 4 2 2" xfId="3456"/>
    <cellStyle name="Normal 4 2 4 2 3" xfId="3457"/>
    <cellStyle name="Normal 4 2 4 3" xfId="408"/>
    <cellStyle name="Normal 4 2 4 3 2" xfId="412"/>
    <cellStyle name="Normal 4 2 4 3 2 2" xfId="3458"/>
    <cellStyle name="Normal 4 2 4 3 2 3" xfId="3459"/>
    <cellStyle name="Normal 4 2 4 3 2 4" xfId="476"/>
    <cellStyle name="Normal 4 2 4 3 3" xfId="3460"/>
    <cellStyle name="Normal 4 2 4 3 4" xfId="3461"/>
    <cellStyle name="Normal 4 2 4 4" xfId="431"/>
    <cellStyle name="Normal 4 2 4 5" xfId="439"/>
    <cellStyle name="Normal 4 2 4 9" xfId="450"/>
    <cellStyle name="Normal 4 2 5" xfId="130"/>
    <cellStyle name="Normal 4 2 5 2" xfId="305"/>
    <cellStyle name="Normal 4 2 5 2 2" xfId="3462"/>
    <cellStyle name="Normal 4 2 5 2 3" xfId="3463"/>
    <cellStyle name="Normal 4 2 5 3" xfId="433"/>
    <cellStyle name="Normal 4 2 5 4" xfId="447"/>
    <cellStyle name="Normal 4 2 6" xfId="135"/>
    <cellStyle name="Normal 4 2 6 2" xfId="309"/>
    <cellStyle name="Normal 4 2 6 2 2" xfId="3464"/>
    <cellStyle name="Normal 4 2 6 2 3" xfId="3465"/>
    <cellStyle name="Normal 4 2 6 3" xfId="468"/>
    <cellStyle name="Normal 4 2 6 3 2" xfId="5580"/>
    <cellStyle name="Normal 4 2 6 4" xfId="3466"/>
    <cellStyle name="Normal 4 2 7" xfId="156"/>
    <cellStyle name="Normal 4 2 7 2" xfId="330"/>
    <cellStyle name="Normal 4 2 7 2 2" xfId="3467"/>
    <cellStyle name="Normal 4 2 7 2 3" xfId="3468"/>
    <cellStyle name="Normal 4 2 7 3" xfId="3469"/>
    <cellStyle name="Normal 4 2 7 4" xfId="3470"/>
    <cellStyle name="Normal 4 2 8" xfId="174"/>
    <cellStyle name="Normal 4 2 8 2" xfId="15"/>
    <cellStyle name="Normal 4 2 8 2 2" xfId="404"/>
    <cellStyle name="Normal 4 2 8 2 2 2" xfId="3471"/>
    <cellStyle name="Normal 4 2 8 2 2 3" xfId="3472"/>
    <cellStyle name="Normal 4 2 8 2 3" xfId="3473"/>
    <cellStyle name="Normal 4 2 8 2 4" xfId="3474"/>
    <cellStyle name="Normal 4 2 8 3" xfId="348"/>
    <cellStyle name="Normal 4 2 8 3 2" xfId="3475"/>
    <cellStyle name="Normal 4 2 8 3 3" xfId="3476"/>
    <cellStyle name="Normal 4 2 8 4" xfId="418"/>
    <cellStyle name="Normal 4 2 8 4 2" xfId="444"/>
    <cellStyle name="Normal 4 2 8 4 2 2" xfId="448"/>
    <cellStyle name="Normal 4 2 8 4 2 2 2" xfId="5581"/>
    <cellStyle name="Normal 4 2 8 4 2 3" xfId="5582"/>
    <cellStyle name="Normal 4 2 8 4 3" xfId="465"/>
    <cellStyle name="Normal 4 2 8 4 3 2" xfId="5583"/>
    <cellStyle name="Normal 4 2 8 4 4" xfId="5584"/>
    <cellStyle name="Normal 4 2 8 5" xfId="425"/>
    <cellStyle name="Normal 4 2 8 6" xfId="438"/>
    <cellStyle name="Normal 4 2 8 7" xfId="464"/>
    <cellStyle name="Normal 4 2 8 8" xfId="463"/>
    <cellStyle name="Normal 4 2 9" xfId="192"/>
    <cellStyle name="Normal 4 2 9 2" xfId="366"/>
    <cellStyle name="Normal 4 2 9 2 2" xfId="3477"/>
    <cellStyle name="Normal 4 2 9 2 3" xfId="3478"/>
    <cellStyle name="Normal 4 2 9 3" xfId="3479"/>
    <cellStyle name="Normal 4 2 9 4" xfId="3480"/>
    <cellStyle name="Normal 4 2 9 8" xfId="16"/>
    <cellStyle name="Normal 4 2 9 8 2" xfId="37719"/>
    <cellStyle name="Normal 4 2 9 8 3" xfId="37730"/>
    <cellStyle name="Normal 4 2_800200 LFR" xfId="111"/>
    <cellStyle name="Normal 4 20" xfId="3481"/>
    <cellStyle name="Normal 4 21" xfId="3482"/>
    <cellStyle name="Normal 4 22" xfId="3483"/>
    <cellStyle name="Normal 4 23" xfId="3484"/>
    <cellStyle name="Normal 4 24" xfId="3485"/>
    <cellStyle name="Normal 4 25" xfId="3486"/>
    <cellStyle name="Normal 4 26" xfId="3487"/>
    <cellStyle name="Normal 4 28" xfId="5585"/>
    <cellStyle name="Normal 4 29" xfId="5586"/>
    <cellStyle name="Normal 4 3" xfId="70"/>
    <cellStyle name="Normal 4 3 10" xfId="3488"/>
    <cellStyle name="Normal 4 3 11" xfId="3489"/>
    <cellStyle name="Normal 4 3 12" xfId="3490"/>
    <cellStyle name="Normal 4 3 13" xfId="3491"/>
    <cellStyle name="Normal 4 3 14" xfId="3492"/>
    <cellStyle name="Normal 4 3 15" xfId="3493"/>
    <cellStyle name="Normal 4 3 16" xfId="3494"/>
    <cellStyle name="Normal 4 3 17" xfId="3495"/>
    <cellStyle name="Normal 4 3 18" xfId="3496"/>
    <cellStyle name="Normal 4 3 19" xfId="3497"/>
    <cellStyle name="Normal 4 3 2" xfId="251"/>
    <cellStyle name="Normal 4 3 2 2" xfId="3498"/>
    <cellStyle name="Normal 4 3 2 3" xfId="3499"/>
    <cellStyle name="Normal 4 3 20" xfId="3500"/>
    <cellStyle name="Normal 4 3 21" xfId="3501"/>
    <cellStyle name="Normal 4 3 22" xfId="3502"/>
    <cellStyle name="Normal 4 3 23" xfId="3503"/>
    <cellStyle name="Normal 4 3 24" xfId="3504"/>
    <cellStyle name="Normal 4 3 25" xfId="3505"/>
    <cellStyle name="Normal 4 3 26" xfId="37753"/>
    <cellStyle name="Normal 4 3 3" xfId="420"/>
    <cellStyle name="Normal 4 3 3 2" xfId="17"/>
    <cellStyle name="Normal 4 3 3 2 2" xfId="37717"/>
    <cellStyle name="Normal 4 3 3 2 3" xfId="37726"/>
    <cellStyle name="Normal 4 3 3 3" xfId="3506"/>
    <cellStyle name="Normal 4 3 4" xfId="426"/>
    <cellStyle name="Normal 4 3 4 2" xfId="3507"/>
    <cellStyle name="Normal 4 3 5" xfId="3508"/>
    <cellStyle name="Normal 4 3 6" xfId="3509"/>
    <cellStyle name="Normal 4 3 7" xfId="3510"/>
    <cellStyle name="Normal 4 3 8" xfId="3511"/>
    <cellStyle name="Normal 4 3 9" xfId="3512"/>
    <cellStyle name="Normal 4 4" xfId="88"/>
    <cellStyle name="Normal 4 4 10" xfId="3513"/>
    <cellStyle name="Normal 4 4 11" xfId="3514"/>
    <cellStyle name="Normal 4 4 12" xfId="3515"/>
    <cellStyle name="Normal 4 4 13" xfId="3516"/>
    <cellStyle name="Normal 4 4 14" xfId="3517"/>
    <cellStyle name="Normal 4 4 15" xfId="3518"/>
    <cellStyle name="Normal 4 4 16" xfId="3519"/>
    <cellStyle name="Normal 4 4 17" xfId="3520"/>
    <cellStyle name="Normal 4 4 18" xfId="3521"/>
    <cellStyle name="Normal 4 4 19" xfId="3522"/>
    <cellStyle name="Normal 4 4 2" xfId="268"/>
    <cellStyle name="Normal 4 4 2 2" xfId="3523"/>
    <cellStyle name="Normal 4 4 2 3" xfId="3524"/>
    <cellStyle name="Normal 4 4 20" xfId="3525"/>
    <cellStyle name="Normal 4 4 21" xfId="3526"/>
    <cellStyle name="Normal 4 4 22" xfId="3527"/>
    <cellStyle name="Normal 4 4 23" xfId="3528"/>
    <cellStyle name="Normal 4 4 24" xfId="3529"/>
    <cellStyle name="Normal 4 4 25" xfId="37761"/>
    <cellStyle name="Normal 4 4 3" xfId="3530"/>
    <cellStyle name="Normal 4 4 4" xfId="3531"/>
    <cellStyle name="Normal 4 4 5" xfId="3532"/>
    <cellStyle name="Normal 4 4 6" xfId="3533"/>
    <cellStyle name="Normal 4 4 7" xfId="3534"/>
    <cellStyle name="Normal 4 4 8" xfId="3535"/>
    <cellStyle name="Normal 4 4 9" xfId="3536"/>
    <cellStyle name="Normal 4 5" xfId="106"/>
    <cellStyle name="Normal 4 5 2" xfId="286"/>
    <cellStyle name="Normal 4 5 2 2" xfId="3537"/>
    <cellStyle name="Normal 4 5 2 3" xfId="3538"/>
    <cellStyle name="Normal 4 5 3" xfId="3539"/>
    <cellStyle name="Normal 4 5 4" xfId="3540"/>
    <cellStyle name="Normal 4 5 5" xfId="37758"/>
    <cellStyle name="Normal 4 6" xfId="129"/>
    <cellStyle name="Normal 4 6 2" xfId="304"/>
    <cellStyle name="Normal 4 6 2 2" xfId="3541"/>
    <cellStyle name="Normal 4 6 2 3" xfId="3542"/>
    <cellStyle name="Normal 4 6 3" xfId="3543"/>
    <cellStyle name="Normal 4 6 4" xfId="3544"/>
    <cellStyle name="Normal 4 6 5" xfId="37756"/>
    <cellStyle name="Normal 4 7" xfId="138"/>
    <cellStyle name="Normal 4 7 2" xfId="312"/>
    <cellStyle name="Normal 4 7 2 2" xfId="3545"/>
    <cellStyle name="Normal 4 7 2 3" xfId="3546"/>
    <cellStyle name="Normal 4 7 3" xfId="3547"/>
    <cellStyle name="Normal 4 7 4" xfId="3548"/>
    <cellStyle name="Normal 4 7 5" xfId="37759"/>
    <cellStyle name="Normal 4 8" xfId="154"/>
    <cellStyle name="Normal 4 8 2" xfId="328"/>
    <cellStyle name="Normal 4 8 2 2" xfId="3549"/>
    <cellStyle name="Normal 4 8 2 3" xfId="3550"/>
    <cellStyle name="Normal 4 8 3" xfId="3551"/>
    <cellStyle name="Normal 4 8 4" xfId="3552"/>
    <cellStyle name="Normal 4 9" xfId="172"/>
    <cellStyle name="Normal 4 9 2" xfId="346"/>
    <cellStyle name="Normal 4 9 2 2" xfId="3553"/>
    <cellStyle name="Normal 4 9 2 3" xfId="3554"/>
    <cellStyle name="Normal 4 9 3" xfId="3555"/>
    <cellStyle name="Normal 4 9 4" xfId="3556"/>
    <cellStyle name="Normal 4_800200 LFR" xfId="110"/>
    <cellStyle name="Normal 40" xfId="3557"/>
    <cellStyle name="Normal 41" xfId="3558"/>
    <cellStyle name="Normal 42" xfId="3559"/>
    <cellStyle name="Normal 43" xfId="3560"/>
    <cellStyle name="Normal 43 2" xfId="3561"/>
    <cellStyle name="Normal 44" xfId="3562"/>
    <cellStyle name="Normal 45" xfId="3910"/>
    <cellStyle name="Normal 46" xfId="3912"/>
    <cellStyle name="Normal 47" xfId="3914"/>
    <cellStyle name="Normal 48" xfId="3915"/>
    <cellStyle name="Normal 49" xfId="3916"/>
    <cellStyle name="Normal 5" xfId="69"/>
    <cellStyle name="Normal 5 10" xfId="229"/>
    <cellStyle name="Normal 5 10 2" xfId="403"/>
    <cellStyle name="Normal 5 10 2 2" xfId="3563"/>
    <cellStyle name="Normal 5 10 2 3" xfId="3564"/>
    <cellStyle name="Normal 5 10 3" xfId="3565"/>
    <cellStyle name="Normal 5 10 4" xfId="3566"/>
    <cellStyle name="Normal 5 11" xfId="250"/>
    <cellStyle name="Normal 5 11 2" xfId="3567"/>
    <cellStyle name="Normal 5 11 3" xfId="3568"/>
    <cellStyle name="Normal 5 12" xfId="3569"/>
    <cellStyle name="Normal 5 13" xfId="3570"/>
    <cellStyle name="Normal 5 14" xfId="3571"/>
    <cellStyle name="Normal 5 15" xfId="3572"/>
    <cellStyle name="Normal 5 16" xfId="3573"/>
    <cellStyle name="Normal 5 17" xfId="3574"/>
    <cellStyle name="Normal 5 18" xfId="3575"/>
    <cellStyle name="Normal 5 19" xfId="3576"/>
    <cellStyle name="Normal 5 2" xfId="90"/>
    <cellStyle name="Normal 5 2 10" xfId="3577"/>
    <cellStyle name="Normal 5 2 11" xfId="3578"/>
    <cellStyle name="Normal 5 2 12" xfId="3579"/>
    <cellStyle name="Normal 5 2 13" xfId="3580"/>
    <cellStyle name="Normal 5 2 14" xfId="3581"/>
    <cellStyle name="Normal 5 2 15" xfId="3582"/>
    <cellStyle name="Normal 5 2 16" xfId="3583"/>
    <cellStyle name="Normal 5 2 17" xfId="3584"/>
    <cellStyle name="Normal 5 2 18" xfId="3585"/>
    <cellStyle name="Normal 5 2 19" xfId="3586"/>
    <cellStyle name="Normal 5 2 2" xfId="270"/>
    <cellStyle name="Normal 5 2 2 2" xfId="3587"/>
    <cellStyle name="Normal 5 2 2 3" xfId="3588"/>
    <cellStyle name="Normal 5 2 20" xfId="3589"/>
    <cellStyle name="Normal 5 2 21" xfId="3590"/>
    <cellStyle name="Normal 5 2 22" xfId="3591"/>
    <cellStyle name="Normal 5 2 23" xfId="3592"/>
    <cellStyle name="Normal 5 2 24" xfId="3593"/>
    <cellStyle name="Normal 5 2 3" xfId="3594"/>
    <cellStyle name="Normal 5 2 4" xfId="3595"/>
    <cellStyle name="Normal 5 2 5" xfId="3596"/>
    <cellStyle name="Normal 5 2 6" xfId="3597"/>
    <cellStyle name="Normal 5 2 7" xfId="3598"/>
    <cellStyle name="Normal 5 2 8" xfId="3599"/>
    <cellStyle name="Normal 5 2 9" xfId="3600"/>
    <cellStyle name="Normal 5 20" xfId="3601"/>
    <cellStyle name="Normal 5 21" xfId="3602"/>
    <cellStyle name="Normal 5 22" xfId="3603"/>
    <cellStyle name="Normal 5 23" xfId="3604"/>
    <cellStyle name="Normal 5 24" xfId="3605"/>
    <cellStyle name="Normal 5 3" xfId="108"/>
    <cellStyle name="Normal 5 3 10" xfId="3606"/>
    <cellStyle name="Normal 5 3 11" xfId="3607"/>
    <cellStyle name="Normal 5 3 12" xfId="3608"/>
    <cellStyle name="Normal 5 3 13" xfId="3609"/>
    <cellStyle name="Normal 5 3 14" xfId="3610"/>
    <cellStyle name="Normal 5 3 15" xfId="3611"/>
    <cellStyle name="Normal 5 3 16" xfId="3612"/>
    <cellStyle name="Normal 5 3 17" xfId="3613"/>
    <cellStyle name="Normal 5 3 18" xfId="3614"/>
    <cellStyle name="Normal 5 3 19" xfId="3615"/>
    <cellStyle name="Normal 5 3 2" xfId="288"/>
    <cellStyle name="Normal 5 3 2 2" xfId="3616"/>
    <cellStyle name="Normal 5 3 2 3" xfId="3617"/>
    <cellStyle name="Normal 5 3 20" xfId="3618"/>
    <cellStyle name="Normal 5 3 21" xfId="3619"/>
    <cellStyle name="Normal 5 3 22" xfId="3620"/>
    <cellStyle name="Normal 5 3 23" xfId="3621"/>
    <cellStyle name="Normal 5 3 24" xfId="3622"/>
    <cellStyle name="Normal 5 3 25" xfId="3623"/>
    <cellStyle name="Normal 5 3 3" xfId="417"/>
    <cellStyle name="Normal 5 3 3 2" xfId="434"/>
    <cellStyle name="Normal 5 3 3 3" xfId="436"/>
    <cellStyle name="Normal 5 3 3 4" xfId="3624"/>
    <cellStyle name="Normal 5 3 4" xfId="3625"/>
    <cellStyle name="Normal 5 3 5" xfId="3626"/>
    <cellStyle name="Normal 5 3 6" xfId="3627"/>
    <cellStyle name="Normal 5 3 7" xfId="3628"/>
    <cellStyle name="Normal 5 3 8" xfId="3629"/>
    <cellStyle name="Normal 5 3 9" xfId="3630"/>
    <cellStyle name="Normal 5 4" xfId="131"/>
    <cellStyle name="Normal 5 4 2" xfId="306"/>
    <cellStyle name="Normal 5 4 2 2" xfId="3631"/>
    <cellStyle name="Normal 5 4 2 3" xfId="3632"/>
    <cellStyle name="Normal 5 4 3" xfId="3633"/>
    <cellStyle name="Normal 5 4 4" xfId="3634"/>
    <cellStyle name="Normal 5 5" xfId="139"/>
    <cellStyle name="Normal 5 5 2" xfId="313"/>
    <cellStyle name="Normal 5 5 2 2" xfId="3635"/>
    <cellStyle name="Normal 5 5 2 3" xfId="3636"/>
    <cellStyle name="Normal 5 5 3" xfId="3637"/>
    <cellStyle name="Normal 5 5 4" xfId="3638"/>
    <cellStyle name="Normal 5 6" xfId="157"/>
    <cellStyle name="Normal 5 6 2" xfId="331"/>
    <cellStyle name="Normal 5 6 2 2" xfId="3639"/>
    <cellStyle name="Normal 5 6 2 3" xfId="3640"/>
    <cellStyle name="Normal 5 6 3" xfId="3641"/>
    <cellStyle name="Normal 5 6 4" xfId="3642"/>
    <cellStyle name="Normal 5 7" xfId="175"/>
    <cellStyle name="Normal 5 7 2" xfId="349"/>
    <cellStyle name="Normal 5 7 2 2" xfId="3643"/>
    <cellStyle name="Normal 5 7 2 3" xfId="3644"/>
    <cellStyle name="Normal 5 7 3" xfId="3645"/>
    <cellStyle name="Normal 5 7 4" xfId="3646"/>
    <cellStyle name="Normal 5 8" xfId="193"/>
    <cellStyle name="Normal 5 8 2" xfId="367"/>
    <cellStyle name="Normal 5 8 2 2" xfId="3647"/>
    <cellStyle name="Normal 5 8 2 3" xfId="3648"/>
    <cellStyle name="Normal 5 8 3" xfId="3649"/>
    <cellStyle name="Normal 5 8 4" xfId="3650"/>
    <cellStyle name="Normal 5 9" xfId="211"/>
    <cellStyle name="Normal 5 9 2" xfId="385"/>
    <cellStyle name="Normal 5 9 2 2" xfId="3651"/>
    <cellStyle name="Normal 5 9 2 3" xfId="3652"/>
    <cellStyle name="Normal 5 9 3" xfId="3653"/>
    <cellStyle name="Normal 5 9 4" xfId="3654"/>
    <cellStyle name="Normal 5_800200 LFR" xfId="112"/>
    <cellStyle name="Normal 50" xfId="3917"/>
    <cellStyle name="Normal 51" xfId="3918"/>
    <cellStyle name="Normal 52" xfId="18"/>
    <cellStyle name="Normal 52 2" xfId="437"/>
    <cellStyle name="Normal 52 2 2" xfId="3923"/>
    <cellStyle name="Normal 52 2 3" xfId="3924"/>
    <cellStyle name="Normal 52 3" xfId="443"/>
    <cellStyle name="Normal 52 4" xfId="445"/>
    <cellStyle name="Normal 52 4 2" xfId="449"/>
    <cellStyle name="Normal 52 5 2" xfId="5587"/>
    <cellStyle name="Normal 53" xfId="3922"/>
    <cellStyle name="Normal 54" xfId="3926"/>
    <cellStyle name="Normal 55" xfId="5588"/>
    <cellStyle name="Normal 56" xfId="5589"/>
    <cellStyle name="Normal 57" xfId="15230"/>
    <cellStyle name="Normal 58" xfId="15231"/>
    <cellStyle name="Normal 59" xfId="15232"/>
    <cellStyle name="Normal 6" xfId="73"/>
    <cellStyle name="Normal 6 10" xfId="3655"/>
    <cellStyle name="Normal 6 11" xfId="3656"/>
    <cellStyle name="Normal 6 12" xfId="3657"/>
    <cellStyle name="Normal 6 13" xfId="3658"/>
    <cellStyle name="Normal 6 14" xfId="3659"/>
    <cellStyle name="Normal 6 15" xfId="3660"/>
    <cellStyle name="Normal 6 16" xfId="3661"/>
    <cellStyle name="Normal 6 17" xfId="3662"/>
    <cellStyle name="Normal 6 18" xfId="3663"/>
    <cellStyle name="Normal 6 19" xfId="3664"/>
    <cellStyle name="Normal 6 2" xfId="3665"/>
    <cellStyle name="Normal 6 20" xfId="3666"/>
    <cellStyle name="Normal 6 21" xfId="3667"/>
    <cellStyle name="Normal 6 22" xfId="37724"/>
    <cellStyle name="Normal 6 3" xfId="3668"/>
    <cellStyle name="Normal 6 3 2" xfId="3669"/>
    <cellStyle name="Normal 6 4" xfId="3670"/>
    <cellStyle name="Normal 6 5" xfId="3671"/>
    <cellStyle name="Normal 6 6" xfId="3672"/>
    <cellStyle name="Normal 6 7" xfId="3673"/>
    <cellStyle name="Normal 6 8" xfId="3674"/>
    <cellStyle name="Normal 6 9" xfId="3675"/>
    <cellStyle name="Normal 60" xfId="15233"/>
    <cellStyle name="Normal 61" xfId="15234"/>
    <cellStyle name="Normal 62" xfId="15235"/>
    <cellStyle name="Normal 63" xfId="15236"/>
    <cellStyle name="Normal 64" xfId="15237"/>
    <cellStyle name="Normal 65" xfId="15238"/>
    <cellStyle name="Normal 66" xfId="30817"/>
    <cellStyle name="Normal 69" xfId="3676"/>
    <cellStyle name="Normal 7" xfId="133"/>
    <cellStyle name="Normal 7 10" xfId="3677"/>
    <cellStyle name="Normal 7 11" xfId="3678"/>
    <cellStyle name="Normal 7 12" xfId="3679"/>
    <cellStyle name="Normal 7 13" xfId="3680"/>
    <cellStyle name="Normal 7 14" xfId="3681"/>
    <cellStyle name="Normal 7 15" xfId="3682"/>
    <cellStyle name="Normal 7 16" xfId="3683"/>
    <cellStyle name="Normal 7 17" xfId="3684"/>
    <cellStyle name="Normal 7 18" xfId="3685"/>
    <cellStyle name="Normal 7 19" xfId="3686"/>
    <cellStyle name="Normal 7 2" xfId="308"/>
    <cellStyle name="Normal 7 2 2" xfId="3687"/>
    <cellStyle name="Normal 7 2 3" xfId="3688"/>
    <cellStyle name="Normal 7 2 4" xfId="37740"/>
    <cellStyle name="Normal 7 20" xfId="3689"/>
    <cellStyle name="Normal 7 21" xfId="3690"/>
    <cellStyle name="Normal 7 3" xfId="3691"/>
    <cellStyle name="Normal 7 3 2" xfId="3692"/>
    <cellStyle name="Normal 7 3 3" xfId="5590"/>
    <cellStyle name="Normal 7 4" xfId="3693"/>
    <cellStyle name="Normal 7 5" xfId="3694"/>
    <cellStyle name="Normal 7 6" xfId="3695"/>
    <cellStyle name="Normal 7 7" xfId="3696"/>
    <cellStyle name="Normal 7 8" xfId="3697"/>
    <cellStyle name="Normal 7 9" xfId="3698"/>
    <cellStyle name="Normal 8" xfId="230"/>
    <cellStyle name="Normal 8 10" xfId="3699"/>
    <cellStyle name="Normal 8 11" xfId="3700"/>
    <cellStyle name="Normal 8 12" xfId="3701"/>
    <cellStyle name="Normal 8 13" xfId="3702"/>
    <cellStyle name="Normal 8 14" xfId="3703"/>
    <cellStyle name="Normal 8 15" xfId="3704"/>
    <cellStyle name="Normal 8 16" xfId="3705"/>
    <cellStyle name="Normal 8 2" xfId="3706"/>
    <cellStyle name="Normal 8 3" xfId="3707"/>
    <cellStyle name="Normal 8 3 2" xfId="3708"/>
    <cellStyle name="Normal 8 4" xfId="3709"/>
    <cellStyle name="Normal 8 5" xfId="3710"/>
    <cellStyle name="Normal 8 6" xfId="3711"/>
    <cellStyle name="Normal 8 7" xfId="3712"/>
    <cellStyle name="Normal 8 8" xfId="3713"/>
    <cellStyle name="Normal 8 9" xfId="3714"/>
    <cellStyle name="Normal 9" xfId="245"/>
    <cellStyle name="Normal 9 10" xfId="3715"/>
    <cellStyle name="Normal 9 11" xfId="3716"/>
    <cellStyle name="Normal 9 12" xfId="3717"/>
    <cellStyle name="Normal 9 13" xfId="3718"/>
    <cellStyle name="Normal 9 14" xfId="3719"/>
    <cellStyle name="Normal 9 2" xfId="3720"/>
    <cellStyle name="Normal 9 3" xfId="3721"/>
    <cellStyle name="Normal 9 4" xfId="3722"/>
    <cellStyle name="Normal 9 4 2" xfId="3723"/>
    <cellStyle name="Normal 9 5" xfId="3724"/>
    <cellStyle name="Normal 9 6" xfId="3725"/>
    <cellStyle name="Normal 9 7" xfId="3726"/>
    <cellStyle name="Normal 9 8" xfId="3727"/>
    <cellStyle name="Normal 9 9" xfId="3728"/>
    <cellStyle name="Normal header" xfId="3729"/>
    <cellStyle name="Normal header 2" xfId="3730"/>
    <cellStyle name="Normal header 2 2" xfId="3731"/>
    <cellStyle name="Normal header 2 2 2" xfId="4044"/>
    <cellStyle name="Normal header 2 2 2 2" xfId="5591"/>
    <cellStyle name="Normal header 2 2 2 2 2" xfId="15239"/>
    <cellStyle name="Normal header 2 2 2 2 2 2" xfId="29990"/>
    <cellStyle name="Normal header 2 2 2 2 3" xfId="15240"/>
    <cellStyle name="Normal header 2 2 2 2 3 2" xfId="15241"/>
    <cellStyle name="Normal header 2 2 2 2 3 2 2" xfId="29992"/>
    <cellStyle name="Normal header 2 2 2 2 3 3" xfId="15242"/>
    <cellStyle name="Normal header 2 2 2 2 3 3 2" xfId="29993"/>
    <cellStyle name="Normal header 2 2 2 2 3 4" xfId="29991"/>
    <cellStyle name="Normal header 2 2 2 2 4" xfId="15243"/>
    <cellStyle name="Normal header 2 2 2 2 4 2" xfId="29994"/>
    <cellStyle name="Normal header 2 2 2 2 5" xfId="21430"/>
    <cellStyle name="Normal header 2 2 2 3" xfId="5592"/>
    <cellStyle name="Normal header 2 2 2 3 2" xfId="15244"/>
    <cellStyle name="Normal header 2 2 2 3 2 2" xfId="29995"/>
    <cellStyle name="Normal header 2 2 2 3 3" xfId="15245"/>
    <cellStyle name="Normal header 2 2 2 3 3 2" xfId="15246"/>
    <cellStyle name="Normal header 2 2 2 3 3 2 2" xfId="29997"/>
    <cellStyle name="Normal header 2 2 2 3 3 3" xfId="15247"/>
    <cellStyle name="Normal header 2 2 2 3 3 3 2" xfId="29998"/>
    <cellStyle name="Normal header 2 2 2 3 3 4" xfId="29996"/>
    <cellStyle name="Normal header 2 2 2 3 4" xfId="15248"/>
    <cellStyle name="Normal header 2 2 2 3 4 2" xfId="29999"/>
    <cellStyle name="Normal header 2 2 2 3 5" xfId="21431"/>
    <cellStyle name="Normal header 2 2 2 4" xfId="15249"/>
    <cellStyle name="Normal header 2 2 2 4 2" xfId="30000"/>
    <cellStyle name="Normal header 2 2 2 5" xfId="15250"/>
    <cellStyle name="Normal header 2 2 2 5 2" xfId="15251"/>
    <cellStyle name="Normal header 2 2 2 5 2 2" xfId="30002"/>
    <cellStyle name="Normal header 2 2 2 5 3" xfId="15252"/>
    <cellStyle name="Normal header 2 2 2 5 3 2" xfId="30003"/>
    <cellStyle name="Normal header 2 2 2 5 4" xfId="30001"/>
    <cellStyle name="Normal header 2 2 2 6" xfId="15253"/>
    <cellStyle name="Normal header 2 2 2 6 2" xfId="30004"/>
    <cellStyle name="Normal header 2 2 2 7" xfId="15254"/>
    <cellStyle name="Normal header 2 2 2 7 2" xfId="15255"/>
    <cellStyle name="Normal header 2 2 2 7 2 2" xfId="30006"/>
    <cellStyle name="Normal header 2 2 2 7 3" xfId="30005"/>
    <cellStyle name="Normal header 2 2 2 8" xfId="20195"/>
    <cellStyle name="Normal header 2 2 3" xfId="15256"/>
    <cellStyle name="Normal header 2 2 3 2" xfId="30007"/>
    <cellStyle name="Normal header 2 2 4" xfId="20058"/>
    <cellStyle name="Normal header 2 3" xfId="3732"/>
    <cellStyle name="Normal header 2 3 2" xfId="4045"/>
    <cellStyle name="Normal header 2 3 2 2" xfId="5593"/>
    <cellStyle name="Normal header 2 3 2 2 2" xfId="15257"/>
    <cellStyle name="Normal header 2 3 2 2 2 2" xfId="30008"/>
    <cellStyle name="Normal header 2 3 2 2 3" xfId="15258"/>
    <cellStyle name="Normal header 2 3 2 2 3 2" xfId="15259"/>
    <cellStyle name="Normal header 2 3 2 2 3 2 2" xfId="30010"/>
    <cellStyle name="Normal header 2 3 2 2 3 3" xfId="15260"/>
    <cellStyle name="Normal header 2 3 2 2 3 3 2" xfId="30011"/>
    <cellStyle name="Normal header 2 3 2 2 3 4" xfId="30009"/>
    <cellStyle name="Normal header 2 3 2 2 4" xfId="15261"/>
    <cellStyle name="Normal header 2 3 2 2 4 2" xfId="30012"/>
    <cellStyle name="Normal header 2 3 2 2 5" xfId="21432"/>
    <cellStyle name="Normal header 2 3 2 3" xfId="5594"/>
    <cellStyle name="Normal header 2 3 2 3 2" xfId="15262"/>
    <cellStyle name="Normal header 2 3 2 3 2 2" xfId="30013"/>
    <cellStyle name="Normal header 2 3 2 3 3" xfId="15263"/>
    <cellStyle name="Normal header 2 3 2 3 3 2" xfId="15264"/>
    <cellStyle name="Normal header 2 3 2 3 3 2 2" xfId="30015"/>
    <cellStyle name="Normal header 2 3 2 3 3 3" xfId="15265"/>
    <cellStyle name="Normal header 2 3 2 3 3 3 2" xfId="30016"/>
    <cellStyle name="Normal header 2 3 2 3 3 4" xfId="30014"/>
    <cellStyle name="Normal header 2 3 2 3 4" xfId="15266"/>
    <cellStyle name="Normal header 2 3 2 3 4 2" xfId="30017"/>
    <cellStyle name="Normal header 2 3 2 3 5" xfId="21433"/>
    <cellStyle name="Normal header 2 3 2 4" xfId="15267"/>
    <cellStyle name="Normal header 2 3 2 4 2" xfId="30018"/>
    <cellStyle name="Normal header 2 3 2 5" xfId="15268"/>
    <cellStyle name="Normal header 2 3 2 5 2" xfId="15269"/>
    <cellStyle name="Normal header 2 3 2 5 2 2" xfId="30020"/>
    <cellStyle name="Normal header 2 3 2 5 3" xfId="15270"/>
    <cellStyle name="Normal header 2 3 2 5 3 2" xfId="30021"/>
    <cellStyle name="Normal header 2 3 2 5 4" xfId="30019"/>
    <cellStyle name="Normal header 2 3 2 6" xfId="15271"/>
    <cellStyle name="Normal header 2 3 2 6 2" xfId="30022"/>
    <cellStyle name="Normal header 2 3 2 7" xfId="15272"/>
    <cellStyle name="Normal header 2 3 2 7 2" xfId="15273"/>
    <cellStyle name="Normal header 2 3 2 7 2 2" xfId="30024"/>
    <cellStyle name="Normal header 2 3 2 7 3" xfId="30023"/>
    <cellStyle name="Normal header 2 3 2 8" xfId="20196"/>
    <cellStyle name="Normal header 2 3 3" xfId="15274"/>
    <cellStyle name="Normal header 2 3 3 2" xfId="30025"/>
    <cellStyle name="Normal header 2 3 4" xfId="20059"/>
    <cellStyle name="Normal header 2 4" xfId="4043"/>
    <cellStyle name="Normal header 2 4 2" xfId="5595"/>
    <cellStyle name="Normal header 2 4 2 2" xfId="15275"/>
    <cellStyle name="Normal header 2 4 2 2 2" xfId="30026"/>
    <cellStyle name="Normal header 2 4 2 3" xfId="15276"/>
    <cellStyle name="Normal header 2 4 2 3 2" xfId="15277"/>
    <cellStyle name="Normal header 2 4 2 3 2 2" xfId="30028"/>
    <cellStyle name="Normal header 2 4 2 3 3" xfId="15278"/>
    <cellStyle name="Normal header 2 4 2 3 3 2" xfId="30029"/>
    <cellStyle name="Normal header 2 4 2 3 4" xfId="30027"/>
    <cellStyle name="Normal header 2 4 2 4" xfId="15279"/>
    <cellStyle name="Normal header 2 4 2 4 2" xfId="30030"/>
    <cellStyle name="Normal header 2 4 2 5" xfId="21434"/>
    <cellStyle name="Normal header 2 4 3" xfId="5596"/>
    <cellStyle name="Normal header 2 4 3 2" xfId="15280"/>
    <cellStyle name="Normal header 2 4 3 2 2" xfId="30031"/>
    <cellStyle name="Normal header 2 4 3 3" xfId="15281"/>
    <cellStyle name="Normal header 2 4 3 3 2" xfId="15282"/>
    <cellStyle name="Normal header 2 4 3 3 2 2" xfId="30033"/>
    <cellStyle name="Normal header 2 4 3 3 3" xfId="15283"/>
    <cellStyle name="Normal header 2 4 3 3 3 2" xfId="30034"/>
    <cellStyle name="Normal header 2 4 3 3 4" xfId="30032"/>
    <cellStyle name="Normal header 2 4 3 4" xfId="15284"/>
    <cellStyle name="Normal header 2 4 3 4 2" xfId="30035"/>
    <cellStyle name="Normal header 2 4 3 5" xfId="21435"/>
    <cellStyle name="Normal header 2 4 4" xfId="15285"/>
    <cellStyle name="Normal header 2 4 4 2" xfId="30036"/>
    <cellStyle name="Normal header 2 4 5" xfId="15286"/>
    <cellStyle name="Normal header 2 4 5 2" xfId="15287"/>
    <cellStyle name="Normal header 2 4 5 2 2" xfId="30038"/>
    <cellStyle name="Normal header 2 4 5 3" xfId="15288"/>
    <cellStyle name="Normal header 2 4 5 3 2" xfId="30039"/>
    <cellStyle name="Normal header 2 4 5 4" xfId="30037"/>
    <cellStyle name="Normal header 2 4 6" xfId="15289"/>
    <cellStyle name="Normal header 2 4 6 2" xfId="30040"/>
    <cellStyle name="Normal header 2 4 7" xfId="15290"/>
    <cellStyle name="Normal header 2 4 7 2" xfId="15291"/>
    <cellStyle name="Normal header 2 4 7 2 2" xfId="30042"/>
    <cellStyle name="Normal header 2 4 7 3" xfId="30041"/>
    <cellStyle name="Normal header 2 4 8" xfId="20194"/>
    <cellStyle name="Normal header 2 5" xfId="15292"/>
    <cellStyle name="Normal header 2 5 2" xfId="30043"/>
    <cellStyle name="Normal header 2 6" xfId="20057"/>
    <cellStyle name="Normal header 3" xfId="3733"/>
    <cellStyle name="Normal header 3 2" xfId="3734"/>
    <cellStyle name="Normal header 3 2 2" xfId="4047"/>
    <cellStyle name="Normal header 3 2 2 2" xfId="5597"/>
    <cellStyle name="Normal header 3 2 2 2 2" xfId="15293"/>
    <cellStyle name="Normal header 3 2 2 2 2 2" xfId="30044"/>
    <cellStyle name="Normal header 3 2 2 2 3" xfId="15294"/>
    <cellStyle name="Normal header 3 2 2 2 3 2" xfId="15295"/>
    <cellStyle name="Normal header 3 2 2 2 3 2 2" xfId="30046"/>
    <cellStyle name="Normal header 3 2 2 2 3 3" xfId="15296"/>
    <cellStyle name="Normal header 3 2 2 2 3 3 2" xfId="30047"/>
    <cellStyle name="Normal header 3 2 2 2 3 4" xfId="30045"/>
    <cellStyle name="Normal header 3 2 2 2 4" xfId="15297"/>
    <cellStyle name="Normal header 3 2 2 2 4 2" xfId="30048"/>
    <cellStyle name="Normal header 3 2 2 2 5" xfId="21436"/>
    <cellStyle name="Normal header 3 2 2 3" xfId="5598"/>
    <cellStyle name="Normal header 3 2 2 3 2" xfId="15298"/>
    <cellStyle name="Normal header 3 2 2 3 2 2" xfId="30049"/>
    <cellStyle name="Normal header 3 2 2 3 3" xfId="15299"/>
    <cellStyle name="Normal header 3 2 2 3 3 2" xfId="15300"/>
    <cellStyle name="Normal header 3 2 2 3 3 2 2" xfId="30051"/>
    <cellStyle name="Normal header 3 2 2 3 3 3" xfId="15301"/>
    <cellStyle name="Normal header 3 2 2 3 3 3 2" xfId="30052"/>
    <cellStyle name="Normal header 3 2 2 3 3 4" xfId="30050"/>
    <cellStyle name="Normal header 3 2 2 3 4" xfId="15302"/>
    <cellStyle name="Normal header 3 2 2 3 4 2" xfId="30053"/>
    <cellStyle name="Normal header 3 2 2 3 5" xfId="21437"/>
    <cellStyle name="Normal header 3 2 2 4" xfId="15303"/>
    <cellStyle name="Normal header 3 2 2 4 2" xfId="30054"/>
    <cellStyle name="Normal header 3 2 2 5" xfId="15304"/>
    <cellStyle name="Normal header 3 2 2 5 2" xfId="15305"/>
    <cellStyle name="Normal header 3 2 2 5 2 2" xfId="30056"/>
    <cellStyle name="Normal header 3 2 2 5 3" xfId="15306"/>
    <cellStyle name="Normal header 3 2 2 5 3 2" xfId="30057"/>
    <cellStyle name="Normal header 3 2 2 5 4" xfId="30055"/>
    <cellStyle name="Normal header 3 2 2 6" xfId="15307"/>
    <cellStyle name="Normal header 3 2 2 6 2" xfId="30058"/>
    <cellStyle name="Normal header 3 2 2 7" xfId="15308"/>
    <cellStyle name="Normal header 3 2 2 7 2" xfId="15309"/>
    <cellStyle name="Normal header 3 2 2 7 2 2" xfId="30060"/>
    <cellStyle name="Normal header 3 2 2 7 3" xfId="30059"/>
    <cellStyle name="Normal header 3 2 2 8" xfId="20198"/>
    <cellStyle name="Normal header 3 2 3" xfId="15310"/>
    <cellStyle name="Normal header 3 2 3 2" xfId="30061"/>
    <cellStyle name="Normal header 3 2 4" xfId="20061"/>
    <cellStyle name="Normal header 3 3" xfId="3735"/>
    <cellStyle name="Normal header 3 3 2" xfId="4048"/>
    <cellStyle name="Normal header 3 3 2 2" xfId="5599"/>
    <cellStyle name="Normal header 3 3 2 2 2" xfId="15311"/>
    <cellStyle name="Normal header 3 3 2 2 2 2" xfId="30062"/>
    <cellStyle name="Normal header 3 3 2 2 3" xfId="15312"/>
    <cellStyle name="Normal header 3 3 2 2 3 2" xfId="15313"/>
    <cellStyle name="Normal header 3 3 2 2 3 2 2" xfId="30064"/>
    <cellStyle name="Normal header 3 3 2 2 3 3" xfId="15314"/>
    <cellStyle name="Normal header 3 3 2 2 3 3 2" xfId="30065"/>
    <cellStyle name="Normal header 3 3 2 2 3 4" xfId="30063"/>
    <cellStyle name="Normal header 3 3 2 2 4" xfId="15315"/>
    <cellStyle name="Normal header 3 3 2 2 4 2" xfId="30066"/>
    <cellStyle name="Normal header 3 3 2 2 5" xfId="21438"/>
    <cellStyle name="Normal header 3 3 2 3" xfId="5600"/>
    <cellStyle name="Normal header 3 3 2 3 2" xfId="15316"/>
    <cellStyle name="Normal header 3 3 2 3 2 2" xfId="30067"/>
    <cellStyle name="Normal header 3 3 2 3 3" xfId="15317"/>
    <cellStyle name="Normal header 3 3 2 3 3 2" xfId="15318"/>
    <cellStyle name="Normal header 3 3 2 3 3 2 2" xfId="30069"/>
    <cellStyle name="Normal header 3 3 2 3 3 3" xfId="15319"/>
    <cellStyle name="Normal header 3 3 2 3 3 3 2" xfId="30070"/>
    <cellStyle name="Normal header 3 3 2 3 3 4" xfId="30068"/>
    <cellStyle name="Normal header 3 3 2 3 4" xfId="15320"/>
    <cellStyle name="Normal header 3 3 2 3 4 2" xfId="30071"/>
    <cellStyle name="Normal header 3 3 2 3 5" xfId="21439"/>
    <cellStyle name="Normal header 3 3 2 4" xfId="15321"/>
    <cellStyle name="Normal header 3 3 2 4 2" xfId="30072"/>
    <cellStyle name="Normal header 3 3 2 5" xfId="15322"/>
    <cellStyle name="Normal header 3 3 2 5 2" xfId="15323"/>
    <cellStyle name="Normal header 3 3 2 5 2 2" xfId="30074"/>
    <cellStyle name="Normal header 3 3 2 5 3" xfId="15324"/>
    <cellStyle name="Normal header 3 3 2 5 3 2" xfId="30075"/>
    <cellStyle name="Normal header 3 3 2 5 4" xfId="30073"/>
    <cellStyle name="Normal header 3 3 2 6" xfId="15325"/>
    <cellStyle name="Normal header 3 3 2 6 2" xfId="30076"/>
    <cellStyle name="Normal header 3 3 2 7" xfId="15326"/>
    <cellStyle name="Normal header 3 3 2 7 2" xfId="15327"/>
    <cellStyle name="Normal header 3 3 2 7 2 2" xfId="30078"/>
    <cellStyle name="Normal header 3 3 2 7 3" xfId="30077"/>
    <cellStyle name="Normal header 3 3 2 8" xfId="20199"/>
    <cellStyle name="Normal header 3 3 3" xfId="15328"/>
    <cellStyle name="Normal header 3 3 3 2" xfId="30079"/>
    <cellStyle name="Normal header 3 3 4" xfId="20062"/>
    <cellStyle name="Normal header 3 4" xfId="4046"/>
    <cellStyle name="Normal header 3 4 2" xfId="5601"/>
    <cellStyle name="Normal header 3 4 2 2" xfId="15329"/>
    <cellStyle name="Normal header 3 4 2 2 2" xfId="30080"/>
    <cellStyle name="Normal header 3 4 2 3" xfId="15330"/>
    <cellStyle name="Normal header 3 4 2 3 2" xfId="15331"/>
    <cellStyle name="Normal header 3 4 2 3 2 2" xfId="30082"/>
    <cellStyle name="Normal header 3 4 2 3 3" xfId="15332"/>
    <cellStyle name="Normal header 3 4 2 3 3 2" xfId="30083"/>
    <cellStyle name="Normal header 3 4 2 3 4" xfId="30081"/>
    <cellStyle name="Normal header 3 4 2 4" xfId="15333"/>
    <cellStyle name="Normal header 3 4 2 4 2" xfId="30084"/>
    <cellStyle name="Normal header 3 4 2 5" xfId="21440"/>
    <cellStyle name="Normal header 3 4 3" xfId="5602"/>
    <cellStyle name="Normal header 3 4 3 2" xfId="15334"/>
    <cellStyle name="Normal header 3 4 3 2 2" xfId="30085"/>
    <cellStyle name="Normal header 3 4 3 3" xfId="15335"/>
    <cellStyle name="Normal header 3 4 3 3 2" xfId="15336"/>
    <cellStyle name="Normal header 3 4 3 3 2 2" xfId="30087"/>
    <cellStyle name="Normal header 3 4 3 3 3" xfId="15337"/>
    <cellStyle name="Normal header 3 4 3 3 3 2" xfId="30088"/>
    <cellStyle name="Normal header 3 4 3 3 4" xfId="30086"/>
    <cellStyle name="Normal header 3 4 3 4" xfId="15338"/>
    <cellStyle name="Normal header 3 4 3 4 2" xfId="30089"/>
    <cellStyle name="Normal header 3 4 3 5" xfId="21441"/>
    <cellStyle name="Normal header 3 4 4" xfId="15339"/>
    <cellStyle name="Normal header 3 4 4 2" xfId="30090"/>
    <cellStyle name="Normal header 3 4 5" xfId="15340"/>
    <cellStyle name="Normal header 3 4 5 2" xfId="15341"/>
    <cellStyle name="Normal header 3 4 5 2 2" xfId="30092"/>
    <cellStyle name="Normal header 3 4 5 3" xfId="15342"/>
    <cellStyle name="Normal header 3 4 5 3 2" xfId="30093"/>
    <cellStyle name="Normal header 3 4 5 4" xfId="30091"/>
    <cellStyle name="Normal header 3 4 6" xfId="15343"/>
    <cellStyle name="Normal header 3 4 6 2" xfId="30094"/>
    <cellStyle name="Normal header 3 4 7" xfId="15344"/>
    <cellStyle name="Normal header 3 4 7 2" xfId="15345"/>
    <cellStyle name="Normal header 3 4 7 2 2" xfId="30096"/>
    <cellStyle name="Normal header 3 4 7 3" xfId="30095"/>
    <cellStyle name="Normal header 3 4 8" xfId="20197"/>
    <cellStyle name="Normal header 3 5" xfId="15346"/>
    <cellStyle name="Normal header 3 5 2" xfId="30097"/>
    <cellStyle name="Normal header 3 6" xfId="20060"/>
    <cellStyle name="Normal header 4" xfId="3736"/>
    <cellStyle name="Normal header 4 2" xfId="4049"/>
    <cellStyle name="Normal header 4 2 2" xfId="5603"/>
    <cellStyle name="Normal header 4 2 2 2" xfId="15347"/>
    <cellStyle name="Normal header 4 2 2 2 2" xfId="30098"/>
    <cellStyle name="Normal header 4 2 2 3" xfId="15348"/>
    <cellStyle name="Normal header 4 2 2 3 2" xfId="15349"/>
    <cellStyle name="Normal header 4 2 2 3 2 2" xfId="30100"/>
    <cellStyle name="Normal header 4 2 2 3 3" xfId="15350"/>
    <cellStyle name="Normal header 4 2 2 3 3 2" xfId="30101"/>
    <cellStyle name="Normal header 4 2 2 3 4" xfId="30099"/>
    <cellStyle name="Normal header 4 2 2 4" xfId="15351"/>
    <cellStyle name="Normal header 4 2 2 4 2" xfId="30102"/>
    <cellStyle name="Normal header 4 2 2 5" xfId="21442"/>
    <cellStyle name="Normal header 4 2 3" xfId="5604"/>
    <cellStyle name="Normal header 4 2 3 2" xfId="15352"/>
    <cellStyle name="Normal header 4 2 3 2 2" xfId="30103"/>
    <cellStyle name="Normal header 4 2 3 3" xfId="15353"/>
    <cellStyle name="Normal header 4 2 3 3 2" xfId="15354"/>
    <cellStyle name="Normal header 4 2 3 3 2 2" xfId="30105"/>
    <cellStyle name="Normal header 4 2 3 3 3" xfId="15355"/>
    <cellStyle name="Normal header 4 2 3 3 3 2" xfId="30106"/>
    <cellStyle name="Normal header 4 2 3 3 4" xfId="30104"/>
    <cellStyle name="Normal header 4 2 3 4" xfId="15356"/>
    <cellStyle name="Normal header 4 2 3 4 2" xfId="30107"/>
    <cellStyle name="Normal header 4 2 3 5" xfId="21443"/>
    <cellStyle name="Normal header 4 2 4" xfId="15357"/>
    <cellStyle name="Normal header 4 2 4 2" xfId="30108"/>
    <cellStyle name="Normal header 4 2 5" xfId="15358"/>
    <cellStyle name="Normal header 4 2 5 2" xfId="15359"/>
    <cellStyle name="Normal header 4 2 5 2 2" xfId="30110"/>
    <cellStyle name="Normal header 4 2 5 3" xfId="15360"/>
    <cellStyle name="Normal header 4 2 5 3 2" xfId="30111"/>
    <cellStyle name="Normal header 4 2 5 4" xfId="30109"/>
    <cellStyle name="Normal header 4 2 6" xfId="15361"/>
    <cellStyle name="Normal header 4 2 6 2" xfId="30112"/>
    <cellStyle name="Normal header 4 2 7" xfId="15362"/>
    <cellStyle name="Normal header 4 2 7 2" xfId="15363"/>
    <cellStyle name="Normal header 4 2 7 2 2" xfId="30114"/>
    <cellStyle name="Normal header 4 2 7 3" xfId="30113"/>
    <cellStyle name="Normal header 4 2 8" xfId="20200"/>
    <cellStyle name="Normal header 4 3" xfId="15364"/>
    <cellStyle name="Normal header 4 3 2" xfId="30115"/>
    <cellStyle name="Normal header 4 4" xfId="20063"/>
    <cellStyle name="Normal header 5" xfId="3737"/>
    <cellStyle name="Normal header 5 2" xfId="4050"/>
    <cellStyle name="Normal header 5 2 2" xfId="5605"/>
    <cellStyle name="Normal header 5 2 2 2" xfId="15365"/>
    <cellStyle name="Normal header 5 2 2 2 2" xfId="30116"/>
    <cellStyle name="Normal header 5 2 2 3" xfId="15366"/>
    <cellStyle name="Normal header 5 2 2 3 2" xfId="15367"/>
    <cellStyle name="Normal header 5 2 2 3 2 2" xfId="30118"/>
    <cellStyle name="Normal header 5 2 2 3 3" xfId="15368"/>
    <cellStyle name="Normal header 5 2 2 3 3 2" xfId="30119"/>
    <cellStyle name="Normal header 5 2 2 3 4" xfId="30117"/>
    <cellStyle name="Normal header 5 2 2 4" xfId="15369"/>
    <cellStyle name="Normal header 5 2 2 4 2" xfId="30120"/>
    <cellStyle name="Normal header 5 2 2 5" xfId="21444"/>
    <cellStyle name="Normal header 5 2 3" xfId="5606"/>
    <cellStyle name="Normal header 5 2 3 2" xfId="15370"/>
    <cellStyle name="Normal header 5 2 3 2 2" xfId="30121"/>
    <cellStyle name="Normal header 5 2 3 3" xfId="15371"/>
    <cellStyle name="Normal header 5 2 3 3 2" xfId="15372"/>
    <cellStyle name="Normal header 5 2 3 3 2 2" xfId="30123"/>
    <cellStyle name="Normal header 5 2 3 3 3" xfId="15373"/>
    <cellStyle name="Normal header 5 2 3 3 3 2" xfId="30124"/>
    <cellStyle name="Normal header 5 2 3 3 4" xfId="30122"/>
    <cellStyle name="Normal header 5 2 3 4" xfId="15374"/>
    <cellStyle name="Normal header 5 2 3 4 2" xfId="30125"/>
    <cellStyle name="Normal header 5 2 3 5" xfId="21445"/>
    <cellStyle name="Normal header 5 2 4" xfId="15375"/>
    <cellStyle name="Normal header 5 2 4 2" xfId="30126"/>
    <cellStyle name="Normal header 5 2 5" xfId="15376"/>
    <cellStyle name="Normal header 5 2 5 2" xfId="15377"/>
    <cellStyle name="Normal header 5 2 5 2 2" xfId="30128"/>
    <cellStyle name="Normal header 5 2 5 3" xfId="15378"/>
    <cellStyle name="Normal header 5 2 5 3 2" xfId="30129"/>
    <cellStyle name="Normal header 5 2 5 4" xfId="30127"/>
    <cellStyle name="Normal header 5 2 6" xfId="15379"/>
    <cellStyle name="Normal header 5 2 6 2" xfId="30130"/>
    <cellStyle name="Normal header 5 2 7" xfId="15380"/>
    <cellStyle name="Normal header 5 2 7 2" xfId="15381"/>
    <cellStyle name="Normal header 5 2 7 2 2" xfId="30132"/>
    <cellStyle name="Normal header 5 2 7 3" xfId="30131"/>
    <cellStyle name="Normal header 5 2 8" xfId="20201"/>
    <cellStyle name="Normal header 5 3" xfId="15382"/>
    <cellStyle name="Normal header 5 3 2" xfId="30133"/>
    <cellStyle name="Normal header 5 4" xfId="20064"/>
    <cellStyle name="Normal header 6" xfId="4042"/>
    <cellStyle name="Normal header 6 2" xfId="5607"/>
    <cellStyle name="Normal header 6 2 2" xfId="15383"/>
    <cellStyle name="Normal header 6 2 2 2" xfId="30134"/>
    <cellStyle name="Normal header 6 2 3" xfId="15384"/>
    <cellStyle name="Normal header 6 2 3 2" xfId="15385"/>
    <cellStyle name="Normal header 6 2 3 2 2" xfId="30136"/>
    <cellStyle name="Normal header 6 2 3 3" xfId="15386"/>
    <cellStyle name="Normal header 6 2 3 3 2" xfId="30137"/>
    <cellStyle name="Normal header 6 2 3 4" xfId="30135"/>
    <cellStyle name="Normal header 6 2 4" xfId="15387"/>
    <cellStyle name="Normal header 6 2 4 2" xfId="30138"/>
    <cellStyle name="Normal header 6 2 5" xfId="21446"/>
    <cellStyle name="Normal header 6 3" xfId="5608"/>
    <cellStyle name="Normal header 6 3 2" xfId="15388"/>
    <cellStyle name="Normal header 6 3 2 2" xfId="30139"/>
    <cellStyle name="Normal header 6 3 3" xfId="15389"/>
    <cellStyle name="Normal header 6 3 3 2" xfId="15390"/>
    <cellStyle name="Normal header 6 3 3 2 2" xfId="30141"/>
    <cellStyle name="Normal header 6 3 3 3" xfId="15391"/>
    <cellStyle name="Normal header 6 3 3 3 2" xfId="30142"/>
    <cellStyle name="Normal header 6 3 3 4" xfId="30140"/>
    <cellStyle name="Normal header 6 3 4" xfId="15392"/>
    <cellStyle name="Normal header 6 3 4 2" xfId="30143"/>
    <cellStyle name="Normal header 6 3 5" xfId="21447"/>
    <cellStyle name="Normal header 6 4" xfId="15393"/>
    <cellStyle name="Normal header 6 4 2" xfId="30144"/>
    <cellStyle name="Normal header 6 5" xfId="15394"/>
    <cellStyle name="Normal header 6 5 2" xfId="15395"/>
    <cellStyle name="Normal header 6 5 2 2" xfId="30146"/>
    <cellStyle name="Normal header 6 5 3" xfId="15396"/>
    <cellStyle name="Normal header 6 5 3 2" xfId="30147"/>
    <cellStyle name="Normal header 6 5 4" xfId="30145"/>
    <cellStyle name="Normal header 6 6" xfId="15397"/>
    <cellStyle name="Normal header 6 6 2" xfId="30148"/>
    <cellStyle name="Normal header 6 7" xfId="15398"/>
    <cellStyle name="Normal header 6 7 2" xfId="15399"/>
    <cellStyle name="Normal header 6 7 2 2" xfId="30150"/>
    <cellStyle name="Normal header 6 7 3" xfId="30149"/>
    <cellStyle name="Normal header 6 8" xfId="20193"/>
    <cellStyle name="Normal header 7" xfId="15400"/>
    <cellStyle name="Normal header 7 2" xfId="30151"/>
    <cellStyle name="Normal header 8" xfId="20056"/>
    <cellStyle name="Normal welcome" xfId="3738"/>
    <cellStyle name="Normal1" xfId="3739"/>
    <cellStyle name="Normal1 2" xfId="4130"/>
    <cellStyle name="Normal1 2 10" xfId="27371"/>
    <cellStyle name="Normal1 2 2" xfId="5609"/>
    <cellStyle name="Normal1 2 2 2" xfId="15401"/>
    <cellStyle name="Normal1 2 2 2 2" xfId="15402"/>
    <cellStyle name="Normal1 2 2 2 2 2" xfId="30153"/>
    <cellStyle name="Normal1 2 2 2 2 3" xfId="35218"/>
    <cellStyle name="Normal1 2 2 2 3" xfId="15403"/>
    <cellStyle name="Normal1 2 2 2 3 2" xfId="30154"/>
    <cellStyle name="Normal1 2 2 2 3 3" xfId="35219"/>
    <cellStyle name="Normal1 2 2 2 4" xfId="30152"/>
    <cellStyle name="Normal1 2 2 2 5" xfId="35217"/>
    <cellStyle name="Normal1 2 2 3" xfId="15404"/>
    <cellStyle name="Normal1 2 2 3 2" xfId="15405"/>
    <cellStyle name="Normal1 2 2 3 2 2" xfId="30156"/>
    <cellStyle name="Normal1 2 2 3 2 3" xfId="35221"/>
    <cellStyle name="Normal1 2 2 3 3" xfId="15406"/>
    <cellStyle name="Normal1 2 2 3 3 2" xfId="30157"/>
    <cellStyle name="Normal1 2 2 3 3 3" xfId="35222"/>
    <cellStyle name="Normal1 2 2 3 4" xfId="30155"/>
    <cellStyle name="Normal1 2 2 3 5" xfId="35220"/>
    <cellStyle name="Normal1 2 2 4" xfId="15407"/>
    <cellStyle name="Normal1 2 2 4 2" xfId="15408"/>
    <cellStyle name="Normal1 2 2 4 2 2" xfId="30159"/>
    <cellStyle name="Normal1 2 2 4 2 3" xfId="35224"/>
    <cellStyle name="Normal1 2 2 4 3" xfId="15409"/>
    <cellStyle name="Normal1 2 2 4 3 2" xfId="30160"/>
    <cellStyle name="Normal1 2 2 4 3 3" xfId="35225"/>
    <cellStyle name="Normal1 2 2 4 4" xfId="30158"/>
    <cellStyle name="Normal1 2 2 4 5" xfId="35223"/>
    <cellStyle name="Normal1 2 2 5" xfId="15410"/>
    <cellStyle name="Normal1 2 2 5 2" xfId="30161"/>
    <cellStyle name="Normal1 2 2 5 3" xfId="35226"/>
    <cellStyle name="Normal1 2 2 6" xfId="15411"/>
    <cellStyle name="Normal1 2 2 6 2" xfId="30162"/>
    <cellStyle name="Normal1 2 2 6 3" xfId="35227"/>
    <cellStyle name="Normal1 2 2 7" xfId="21448"/>
    <cellStyle name="Normal1 2 2 8" xfId="26309"/>
    <cellStyle name="Normal1 2 3" xfId="5610"/>
    <cellStyle name="Normal1 2 3 2" xfId="15412"/>
    <cellStyle name="Normal1 2 3 2 2" xfId="15413"/>
    <cellStyle name="Normal1 2 3 2 2 2" xfId="30164"/>
    <cellStyle name="Normal1 2 3 2 2 3" xfId="35229"/>
    <cellStyle name="Normal1 2 3 2 3" xfId="15414"/>
    <cellStyle name="Normal1 2 3 2 3 2" xfId="30165"/>
    <cellStyle name="Normal1 2 3 2 3 3" xfId="35230"/>
    <cellStyle name="Normal1 2 3 2 4" xfId="30163"/>
    <cellStyle name="Normal1 2 3 2 5" xfId="35228"/>
    <cellStyle name="Normal1 2 3 3" xfId="15415"/>
    <cellStyle name="Normal1 2 3 3 2" xfId="15416"/>
    <cellStyle name="Normal1 2 3 3 2 2" xfId="30167"/>
    <cellStyle name="Normal1 2 3 3 2 3" xfId="35232"/>
    <cellStyle name="Normal1 2 3 3 3" xfId="15417"/>
    <cellStyle name="Normal1 2 3 3 3 2" xfId="30168"/>
    <cellStyle name="Normal1 2 3 3 3 3" xfId="35233"/>
    <cellStyle name="Normal1 2 3 3 4" xfId="30166"/>
    <cellStyle name="Normal1 2 3 3 5" xfId="35231"/>
    <cellStyle name="Normal1 2 3 4" xfId="15418"/>
    <cellStyle name="Normal1 2 3 4 2" xfId="15419"/>
    <cellStyle name="Normal1 2 3 4 2 2" xfId="30170"/>
    <cellStyle name="Normal1 2 3 4 2 3" xfId="35235"/>
    <cellStyle name="Normal1 2 3 4 3" xfId="15420"/>
    <cellStyle name="Normal1 2 3 4 3 2" xfId="30171"/>
    <cellStyle name="Normal1 2 3 4 3 3" xfId="35236"/>
    <cellStyle name="Normal1 2 3 4 4" xfId="30169"/>
    <cellStyle name="Normal1 2 3 4 5" xfId="35234"/>
    <cellStyle name="Normal1 2 3 5" xfId="15421"/>
    <cellStyle name="Normal1 2 3 5 2" xfId="30172"/>
    <cellStyle name="Normal1 2 3 5 3" xfId="35237"/>
    <cellStyle name="Normal1 2 3 6" xfId="15422"/>
    <cellStyle name="Normal1 2 3 6 2" xfId="30173"/>
    <cellStyle name="Normal1 2 3 6 3" xfId="35238"/>
    <cellStyle name="Normal1 2 3 7" xfId="21449"/>
    <cellStyle name="Normal1 2 3 8" xfId="26308"/>
    <cellStyle name="Normal1 2 4" xfId="5611"/>
    <cellStyle name="Normal1 2 4 2" xfId="15423"/>
    <cellStyle name="Normal1 2 4 2 2" xfId="15424"/>
    <cellStyle name="Normal1 2 4 2 2 2" xfId="30175"/>
    <cellStyle name="Normal1 2 4 2 2 3" xfId="35240"/>
    <cellStyle name="Normal1 2 4 2 3" xfId="15425"/>
    <cellStyle name="Normal1 2 4 2 3 2" xfId="30176"/>
    <cellStyle name="Normal1 2 4 2 3 3" xfId="35241"/>
    <cellStyle name="Normal1 2 4 2 4" xfId="30174"/>
    <cellStyle name="Normal1 2 4 2 5" xfId="35239"/>
    <cellStyle name="Normal1 2 4 3" xfId="15426"/>
    <cellStyle name="Normal1 2 4 3 2" xfId="15427"/>
    <cellStyle name="Normal1 2 4 3 2 2" xfId="30178"/>
    <cellStyle name="Normal1 2 4 3 2 3" xfId="35243"/>
    <cellStyle name="Normal1 2 4 3 3" xfId="15428"/>
    <cellStyle name="Normal1 2 4 3 3 2" xfId="30179"/>
    <cellStyle name="Normal1 2 4 3 3 3" xfId="35244"/>
    <cellStyle name="Normal1 2 4 3 4" xfId="30177"/>
    <cellStyle name="Normal1 2 4 3 5" xfId="35242"/>
    <cellStyle name="Normal1 2 4 4" xfId="15429"/>
    <cellStyle name="Normal1 2 4 4 2" xfId="15430"/>
    <cellStyle name="Normal1 2 4 4 2 2" xfId="30181"/>
    <cellStyle name="Normal1 2 4 4 2 3" xfId="35246"/>
    <cellStyle name="Normal1 2 4 4 3" xfId="15431"/>
    <cellStyle name="Normal1 2 4 4 3 2" xfId="30182"/>
    <cellStyle name="Normal1 2 4 4 3 3" xfId="35247"/>
    <cellStyle name="Normal1 2 4 4 4" xfId="30180"/>
    <cellStyle name="Normal1 2 4 4 5" xfId="35245"/>
    <cellStyle name="Normal1 2 4 5" xfId="15432"/>
    <cellStyle name="Normal1 2 4 5 2" xfId="30183"/>
    <cellStyle name="Normal1 2 4 5 3" xfId="35248"/>
    <cellStyle name="Normal1 2 4 6" xfId="15433"/>
    <cellStyle name="Normal1 2 4 6 2" xfId="30184"/>
    <cellStyle name="Normal1 2 4 6 3" xfId="35249"/>
    <cellStyle name="Normal1 2 4 7" xfId="21450"/>
    <cellStyle name="Normal1 2 4 8" xfId="26307"/>
    <cellStyle name="Normal1 2 5" xfId="15434"/>
    <cellStyle name="Normal1 2 5 2" xfId="15435"/>
    <cellStyle name="Normal1 2 5 2 2" xfId="30186"/>
    <cellStyle name="Normal1 2 5 2 3" xfId="35251"/>
    <cellStyle name="Normal1 2 5 3" xfId="15436"/>
    <cellStyle name="Normal1 2 5 3 2" xfId="30187"/>
    <cellStyle name="Normal1 2 5 3 3" xfId="35252"/>
    <cellStyle name="Normal1 2 5 4" xfId="30185"/>
    <cellStyle name="Normal1 2 5 5" xfId="35250"/>
    <cellStyle name="Normal1 2 6" xfId="15437"/>
    <cellStyle name="Normal1 2 6 2" xfId="15438"/>
    <cellStyle name="Normal1 2 6 2 2" xfId="30189"/>
    <cellStyle name="Normal1 2 6 2 3" xfId="35254"/>
    <cellStyle name="Normal1 2 6 3" xfId="15439"/>
    <cellStyle name="Normal1 2 6 3 2" xfId="30190"/>
    <cellStyle name="Normal1 2 6 3 3" xfId="35255"/>
    <cellStyle name="Normal1 2 6 4" xfId="30188"/>
    <cellStyle name="Normal1 2 6 5" xfId="35253"/>
    <cellStyle name="Normal1 2 7" xfId="15440"/>
    <cellStyle name="Normal1 2 7 2" xfId="30191"/>
    <cellStyle name="Normal1 2 7 3" xfId="35256"/>
    <cellStyle name="Normal1 2 8" xfId="15441"/>
    <cellStyle name="Normal1 2 8 2" xfId="30192"/>
    <cellStyle name="Normal1 2 8 3" xfId="35257"/>
    <cellStyle name="Normal1 2 9" xfId="20250"/>
    <cellStyle name="Normal1 3" xfId="4126"/>
    <cellStyle name="Normal1 3 2" xfId="15442"/>
    <cellStyle name="Normal1 3 2 2" xfId="30193"/>
    <cellStyle name="Normal1 3 2 3" xfId="35258"/>
    <cellStyle name="Normal1 3 3" xfId="15443"/>
    <cellStyle name="Normal1 3 3 2" xfId="30194"/>
    <cellStyle name="Normal1 3 3 3" xfId="35259"/>
    <cellStyle name="Normal1 3 4" xfId="20248"/>
    <cellStyle name="Normal1 3 5" xfId="27374"/>
    <cellStyle name="Normal1 4" xfId="4051"/>
    <cellStyle name="Normal1 4 2" xfId="15444"/>
    <cellStyle name="Normal1 4 2 2" xfId="30195"/>
    <cellStyle name="Normal1 4 2 3" xfId="35260"/>
    <cellStyle name="Normal1 4 3" xfId="15445"/>
    <cellStyle name="Normal1 4 3 2" xfId="30196"/>
    <cellStyle name="Normal1 4 3 3" xfId="35261"/>
    <cellStyle name="Normal1 4 4" xfId="20202"/>
    <cellStyle name="Normal1 4 5" xfId="19876"/>
    <cellStyle name="Normal1 5" xfId="15446"/>
    <cellStyle name="Normal1 5 2" xfId="30197"/>
    <cellStyle name="Normal1 5 3" xfId="35262"/>
    <cellStyle name="Normal1 6" xfId="15447"/>
    <cellStyle name="Normal1 6 2" xfId="30198"/>
    <cellStyle name="Normal1 6 3" xfId="35263"/>
    <cellStyle name="Normal1 7" xfId="20065"/>
    <cellStyle name="Normal1 8" xfId="19903"/>
    <cellStyle name="Normale_01" xfId="3740"/>
    <cellStyle name="NormalGB" xfId="3741"/>
    <cellStyle name="NormalHelv" xfId="3742"/>
    <cellStyle name="NormalMultiple" xfId="3743"/>
    <cellStyle name="normálne_Workforce" xfId="3744"/>
    <cellStyle name="Normalny_June 1997_1" xfId="3745"/>
    <cellStyle name="Nota" xfId="3746"/>
    <cellStyle name="Nota 2" xfId="3747"/>
    <cellStyle name="Nota 2 2" xfId="4463"/>
    <cellStyle name="Nota 2 2 2" xfId="15448"/>
    <cellStyle name="Nota 2 2 2 2" xfId="15449"/>
    <cellStyle name="Nota 2 2 2 2 2" xfId="35265"/>
    <cellStyle name="Nota 2 2 2 3" xfId="15450"/>
    <cellStyle name="Nota 2 2 2 3 2" xfId="35266"/>
    <cellStyle name="Nota 2 2 2 4" xfId="35264"/>
    <cellStyle name="Nota 2 2 3" xfId="15451"/>
    <cellStyle name="Nota 2 2 3 2" xfId="15452"/>
    <cellStyle name="Nota 2 2 3 2 2" xfId="35268"/>
    <cellStyle name="Nota 2 2 3 3" xfId="15453"/>
    <cellStyle name="Nota 2 2 3 3 2" xfId="35269"/>
    <cellStyle name="Nota 2 2 3 4" xfId="35267"/>
    <cellStyle name="Nota 2 2 4" xfId="15454"/>
    <cellStyle name="Nota 2 2 4 2" xfId="15455"/>
    <cellStyle name="Nota 2 2 4 2 2" xfId="35271"/>
    <cellStyle name="Nota 2 2 4 3" xfId="15456"/>
    <cellStyle name="Nota 2 2 4 3 2" xfId="35272"/>
    <cellStyle name="Nota 2 2 4 4" xfId="35270"/>
    <cellStyle name="Nota 2 2 5" xfId="15457"/>
    <cellStyle name="Nota 2 2 5 2" xfId="15458"/>
    <cellStyle name="Nota 2 2 5 2 2" xfId="35274"/>
    <cellStyle name="Nota 2 2 5 3" xfId="15459"/>
    <cellStyle name="Nota 2 2 5 3 2" xfId="35275"/>
    <cellStyle name="Nota 2 2 5 4" xfId="35273"/>
    <cellStyle name="Nota 2 2 6" xfId="15460"/>
    <cellStyle name="Nota 2 2 6 2" xfId="35276"/>
    <cellStyle name="Nota 2 2 7" xfId="15461"/>
    <cellStyle name="Nota 2 2 7 2" xfId="35277"/>
    <cellStyle name="Nota 2 2 8" xfId="27069"/>
    <cellStyle name="Nota 2 3" xfId="4630"/>
    <cellStyle name="Nota 2 3 2" xfId="15462"/>
    <cellStyle name="Nota 2 3 2 2" xfId="15463"/>
    <cellStyle name="Nota 2 3 2 2 2" xfId="35279"/>
    <cellStyle name="Nota 2 3 2 3" xfId="15464"/>
    <cellStyle name="Nota 2 3 2 3 2" xfId="35280"/>
    <cellStyle name="Nota 2 3 2 4" xfId="35278"/>
    <cellStyle name="Nota 2 3 3" xfId="15465"/>
    <cellStyle name="Nota 2 3 3 2" xfId="15466"/>
    <cellStyle name="Nota 2 3 3 2 2" xfId="35282"/>
    <cellStyle name="Nota 2 3 3 3" xfId="15467"/>
    <cellStyle name="Nota 2 3 3 3 2" xfId="35283"/>
    <cellStyle name="Nota 2 3 3 4" xfId="35281"/>
    <cellStyle name="Nota 2 3 4" xfId="15468"/>
    <cellStyle name="Nota 2 3 4 2" xfId="15469"/>
    <cellStyle name="Nota 2 3 4 2 2" xfId="35285"/>
    <cellStyle name="Nota 2 3 4 3" xfId="15470"/>
    <cellStyle name="Nota 2 3 4 3 2" xfId="35286"/>
    <cellStyle name="Nota 2 3 4 4" xfId="35284"/>
    <cellStyle name="Nota 2 3 5" xfId="15471"/>
    <cellStyle name="Nota 2 3 5 2" xfId="15472"/>
    <cellStyle name="Nota 2 3 5 2 2" xfId="35288"/>
    <cellStyle name="Nota 2 3 5 3" xfId="15473"/>
    <cellStyle name="Nota 2 3 5 3 2" xfId="35289"/>
    <cellStyle name="Nota 2 3 5 4" xfId="35287"/>
    <cellStyle name="Nota 2 3 6" xfId="15474"/>
    <cellStyle name="Nota 2 3 6 2" xfId="35290"/>
    <cellStyle name="Nota 2 3 7" xfId="15475"/>
    <cellStyle name="Nota 2 3 7 2" xfId="35291"/>
    <cellStyle name="Nota 2 3 8" xfId="19822"/>
    <cellStyle name="Nota 2 4" xfId="5612"/>
    <cellStyle name="Nota 2 4 2" xfId="15476"/>
    <cellStyle name="Nota 2 4 2 2" xfId="15477"/>
    <cellStyle name="Nota 2 4 2 2 2" xfId="35293"/>
    <cellStyle name="Nota 2 4 2 3" xfId="15478"/>
    <cellStyle name="Nota 2 4 2 3 2" xfId="35294"/>
    <cellStyle name="Nota 2 4 2 4" xfId="35292"/>
    <cellStyle name="Nota 2 4 3" xfId="15479"/>
    <cellStyle name="Nota 2 4 3 2" xfId="15480"/>
    <cellStyle name="Nota 2 4 3 2 2" xfId="35296"/>
    <cellStyle name="Nota 2 4 3 3" xfId="15481"/>
    <cellStyle name="Nota 2 4 3 3 2" xfId="35297"/>
    <cellStyle name="Nota 2 4 3 4" xfId="35295"/>
    <cellStyle name="Nota 2 4 4" xfId="15482"/>
    <cellStyle name="Nota 2 4 4 2" xfId="15483"/>
    <cellStyle name="Nota 2 4 4 2 2" xfId="35299"/>
    <cellStyle name="Nota 2 4 4 3" xfId="15484"/>
    <cellStyle name="Nota 2 4 4 3 2" xfId="35300"/>
    <cellStyle name="Nota 2 4 4 4" xfId="35298"/>
    <cellStyle name="Nota 2 4 5" xfId="15485"/>
    <cellStyle name="Nota 2 4 5 2" xfId="15486"/>
    <cellStyle name="Nota 2 4 5 2 2" xfId="35302"/>
    <cellStyle name="Nota 2 4 5 3" xfId="15487"/>
    <cellStyle name="Nota 2 4 5 3 2" xfId="35303"/>
    <cellStyle name="Nota 2 4 5 4" xfId="35301"/>
    <cellStyle name="Nota 2 4 6" xfId="15488"/>
    <cellStyle name="Nota 2 4 6 2" xfId="35304"/>
    <cellStyle name="Nota 2 4 7" xfId="15489"/>
    <cellStyle name="Nota 2 4 7 2" xfId="35305"/>
    <cellStyle name="Nota 2 4 8" xfId="26306"/>
    <cellStyle name="Nota 2 5" xfId="15490"/>
    <cellStyle name="Nota 2 5 2" xfId="15491"/>
    <cellStyle name="Nota 2 5 2 2" xfId="35307"/>
    <cellStyle name="Nota 2 5 3" xfId="15492"/>
    <cellStyle name="Nota 2 5 3 2" xfId="35308"/>
    <cellStyle name="Nota 2 5 4" xfId="35306"/>
    <cellStyle name="Nota 2 6" xfId="15493"/>
    <cellStyle name="Nota 2 6 2" xfId="35309"/>
    <cellStyle name="Nota 2 7" xfId="15494"/>
    <cellStyle name="Nota 2 7 2" xfId="35310"/>
    <cellStyle name="Nota 2 8" xfId="19901"/>
    <cellStyle name="Nota 3" xfId="4136"/>
    <cellStyle name="Nota 3 2" xfId="15495"/>
    <cellStyle name="Nota 3 2 2" xfId="15496"/>
    <cellStyle name="Nota 3 2 2 2" xfId="35312"/>
    <cellStyle name="Nota 3 2 3" xfId="15497"/>
    <cellStyle name="Nota 3 2 3 2" xfId="35313"/>
    <cellStyle name="Nota 3 2 4" xfId="35311"/>
    <cellStyle name="Nota 3 3" xfId="15498"/>
    <cellStyle name="Nota 3 3 2" xfId="15499"/>
    <cellStyle name="Nota 3 3 2 2" xfId="35315"/>
    <cellStyle name="Nota 3 3 3" xfId="15500"/>
    <cellStyle name="Nota 3 3 3 2" xfId="35316"/>
    <cellStyle name="Nota 3 3 4" xfId="35314"/>
    <cellStyle name="Nota 3 4" xfId="15501"/>
    <cellStyle name="Nota 3 4 2" xfId="15502"/>
    <cellStyle name="Nota 3 4 2 2" xfId="35318"/>
    <cellStyle name="Nota 3 4 3" xfId="15503"/>
    <cellStyle name="Nota 3 4 3 2" xfId="35319"/>
    <cellStyle name="Nota 3 4 4" xfId="35317"/>
    <cellStyle name="Nota 3 5" xfId="15504"/>
    <cellStyle name="Nota 3 5 2" xfId="15505"/>
    <cellStyle name="Nota 3 5 2 2" xfId="35321"/>
    <cellStyle name="Nota 3 5 3" xfId="15506"/>
    <cellStyle name="Nota 3 5 3 2" xfId="35322"/>
    <cellStyle name="Nota 3 5 4" xfId="35320"/>
    <cellStyle name="Nota 3 6" xfId="15507"/>
    <cellStyle name="Nota 3 6 2" xfId="35323"/>
    <cellStyle name="Nota 3 7" xfId="15508"/>
    <cellStyle name="Nota 3 7 2" xfId="35324"/>
    <cellStyle name="Nota 3 8" xfId="27368"/>
    <cellStyle name="Nota 4" xfId="4084"/>
    <cellStyle name="Nota 4 2" xfId="15509"/>
    <cellStyle name="Nota 4 2 2" xfId="15510"/>
    <cellStyle name="Nota 4 2 2 2" xfId="35326"/>
    <cellStyle name="Nota 4 2 3" xfId="15511"/>
    <cellStyle name="Nota 4 2 3 2" xfId="35327"/>
    <cellStyle name="Nota 4 2 4" xfId="35325"/>
    <cellStyle name="Nota 4 3" xfId="15512"/>
    <cellStyle name="Nota 4 3 2" xfId="15513"/>
    <cellStyle name="Nota 4 3 2 2" xfId="35329"/>
    <cellStyle name="Nota 4 3 3" xfId="15514"/>
    <cellStyle name="Nota 4 3 3 2" xfId="35330"/>
    <cellStyle name="Nota 4 3 4" xfId="35328"/>
    <cellStyle name="Nota 4 4" xfId="15515"/>
    <cellStyle name="Nota 4 4 2" xfId="15516"/>
    <cellStyle name="Nota 4 4 2 2" xfId="35332"/>
    <cellStyle name="Nota 4 4 3" xfId="15517"/>
    <cellStyle name="Nota 4 4 3 2" xfId="35333"/>
    <cellStyle name="Nota 4 4 4" xfId="35331"/>
    <cellStyle name="Nota 4 5" xfId="15518"/>
    <cellStyle name="Nota 4 5 2" xfId="15519"/>
    <cellStyle name="Nota 4 5 2 2" xfId="35335"/>
    <cellStyle name="Nota 4 5 3" xfId="15520"/>
    <cellStyle name="Nota 4 5 3 2" xfId="35336"/>
    <cellStyle name="Nota 4 5 4" xfId="35334"/>
    <cellStyle name="Nota 4 6" xfId="15521"/>
    <cellStyle name="Nota 4 6 2" xfId="35337"/>
    <cellStyle name="Nota 4 7" xfId="15522"/>
    <cellStyle name="Nota 4 7 2" xfId="35338"/>
    <cellStyle name="Nota 4 8" xfId="19861"/>
    <cellStyle name="Nota 5" xfId="5613"/>
    <cellStyle name="Nota 5 2" xfId="15523"/>
    <cellStyle name="Nota 5 2 2" xfId="15524"/>
    <cellStyle name="Nota 5 2 2 2" xfId="35340"/>
    <cellStyle name="Nota 5 2 3" xfId="15525"/>
    <cellStyle name="Nota 5 2 3 2" xfId="35341"/>
    <cellStyle name="Nota 5 2 4" xfId="35339"/>
    <cellStyle name="Nota 5 3" xfId="15526"/>
    <cellStyle name="Nota 5 3 2" xfId="15527"/>
    <cellStyle name="Nota 5 3 2 2" xfId="35343"/>
    <cellStyle name="Nota 5 3 3" xfId="15528"/>
    <cellStyle name="Nota 5 3 3 2" xfId="35344"/>
    <cellStyle name="Nota 5 3 4" xfId="35342"/>
    <cellStyle name="Nota 5 4" xfId="15529"/>
    <cellStyle name="Nota 5 4 2" xfId="15530"/>
    <cellStyle name="Nota 5 4 2 2" xfId="35346"/>
    <cellStyle name="Nota 5 4 3" xfId="15531"/>
    <cellStyle name="Nota 5 4 3 2" xfId="35347"/>
    <cellStyle name="Nota 5 4 4" xfId="35345"/>
    <cellStyle name="Nota 5 5" xfId="15532"/>
    <cellStyle name="Nota 5 5 2" xfId="15533"/>
    <cellStyle name="Nota 5 5 2 2" xfId="35349"/>
    <cellStyle name="Nota 5 5 3" xfId="15534"/>
    <cellStyle name="Nota 5 5 3 2" xfId="35350"/>
    <cellStyle name="Nota 5 5 4" xfId="35348"/>
    <cellStyle name="Nota 5 6" xfId="15535"/>
    <cellStyle name="Nota 5 6 2" xfId="35351"/>
    <cellStyle name="Nota 5 7" xfId="15536"/>
    <cellStyle name="Nota 5 7 2" xfId="35352"/>
    <cellStyle name="Nota 5 8" xfId="26305"/>
    <cellStyle name="Nota 6" xfId="15537"/>
    <cellStyle name="Nota 6 2" xfId="15538"/>
    <cellStyle name="Nota 6 2 2" xfId="35354"/>
    <cellStyle name="Nota 6 3" xfId="15539"/>
    <cellStyle name="Nota 6 3 2" xfId="35355"/>
    <cellStyle name="Nota 6 4" xfId="35353"/>
    <cellStyle name="Nota 7" xfId="15540"/>
    <cellStyle name="Nota 7 2" xfId="35356"/>
    <cellStyle name="Nota 8" xfId="15541"/>
    <cellStyle name="Nota 8 2" xfId="35357"/>
    <cellStyle name="Nota 9" xfId="19902"/>
    <cellStyle name="Notas" xfId="37" builtinId="10" customBuiltin="1"/>
    <cellStyle name="Notas 10" xfId="232"/>
    <cellStyle name="Notas 10 2" xfId="3748"/>
    <cellStyle name="Notas 10 3" xfId="3749"/>
    <cellStyle name="Notas 2" xfId="91"/>
    <cellStyle name="Notas 2 2" xfId="271"/>
    <cellStyle name="Notas 2 2 2" xfId="3750"/>
    <cellStyle name="Notas 2 2 3" xfId="3751"/>
    <cellStyle name="Notas 2 3" xfId="3752"/>
    <cellStyle name="Notas 2 3 2" xfId="3753"/>
    <cellStyle name="Notas 2 4" xfId="3754"/>
    <cellStyle name="Notas 3" xfId="109"/>
    <cellStyle name="Notas 3 2" xfId="289"/>
    <cellStyle name="Notas 3 2 2" xfId="3755"/>
    <cellStyle name="Notas 3 2 3" xfId="3756"/>
    <cellStyle name="Notas 3 3" xfId="3757"/>
    <cellStyle name="Notas 3 4" xfId="3758"/>
    <cellStyle name="Notas 4" xfId="132"/>
    <cellStyle name="Notas 4 2" xfId="307"/>
    <cellStyle name="Notas 4 2 2" xfId="3759"/>
    <cellStyle name="Notas 4 2 3" xfId="3760"/>
    <cellStyle name="Notas 4 3" xfId="3761"/>
    <cellStyle name="Notas 4 4" xfId="3762"/>
    <cellStyle name="Notas 5" xfId="140"/>
    <cellStyle name="Notas 5 2" xfId="314"/>
    <cellStyle name="Notas 5 2 2" xfId="3763"/>
    <cellStyle name="Notas 5 2 3" xfId="3764"/>
    <cellStyle name="Notas 5 3" xfId="3765"/>
    <cellStyle name="Notas 5 4" xfId="3766"/>
    <cellStyle name="Notas 6" xfId="158"/>
    <cellStyle name="Notas 6 2" xfId="332"/>
    <cellStyle name="Notas 6 2 2" xfId="3767"/>
    <cellStyle name="Notas 6 2 3" xfId="3768"/>
    <cellStyle name="Notas 6 3" xfId="3769"/>
    <cellStyle name="Notas 6 4" xfId="3770"/>
    <cellStyle name="Notas 6 5" xfId="3771"/>
    <cellStyle name="Notas 7" xfId="176"/>
    <cellStyle name="Notas 7 2" xfId="350"/>
    <cellStyle name="Notas 7 2 2" xfId="3772"/>
    <cellStyle name="Notas 7 2 3" xfId="3773"/>
    <cellStyle name="Notas 7 3" xfId="3774"/>
    <cellStyle name="Notas 7 4" xfId="3775"/>
    <cellStyle name="Notas 8" xfId="194"/>
    <cellStyle name="Notas 8 2" xfId="368"/>
    <cellStyle name="Notas 8 2 2" xfId="3776"/>
    <cellStyle name="Notas 8 2 3" xfId="3777"/>
    <cellStyle name="Notas 8 3" xfId="3778"/>
    <cellStyle name="Notas 8 4" xfId="3779"/>
    <cellStyle name="Notas 9" xfId="212"/>
    <cellStyle name="Notas 9 2" xfId="386"/>
    <cellStyle name="Notas 9 2 2" xfId="3780"/>
    <cellStyle name="Notas 9 2 3" xfId="3781"/>
    <cellStyle name="Notas 9 3" xfId="3782"/>
    <cellStyle name="Notas 9 4" xfId="3783"/>
    <cellStyle name="Note 2" xfId="3784"/>
    <cellStyle name="Note 2 2" xfId="3785"/>
    <cellStyle name="Nr" xfId="3786"/>
    <cellStyle name="Nr 2" xfId="3787"/>
    <cellStyle name="Nr 2 2" xfId="5614"/>
    <cellStyle name="Nr 3" xfId="5615"/>
    <cellStyle name="number" xfId="3788"/>
    <cellStyle name="Number 1" xfId="3789"/>
    <cellStyle name="Number 1 2" xfId="5616"/>
    <cellStyle name="Number 1 2 2" xfId="5617"/>
    <cellStyle name="Number 1 2 2 2" xfId="15542"/>
    <cellStyle name="Number 1 2 2 2 2" xfId="15543"/>
    <cellStyle name="Number 1 2 2 2 2 2" xfId="30206"/>
    <cellStyle name="Number 1 2 2 2 2 3" xfId="35359"/>
    <cellStyle name="Number 1 2 2 2 3" xfId="15544"/>
    <cellStyle name="Number 1 2 2 2 3 2" xfId="30207"/>
    <cellStyle name="Number 1 2 2 2 3 3" xfId="35360"/>
    <cellStyle name="Number 1 2 2 2 4" xfId="30205"/>
    <cellStyle name="Number 1 2 2 2 5" xfId="35358"/>
    <cellStyle name="Number 1 2 2 3" xfId="15545"/>
    <cellStyle name="Number 1 2 2 3 2" xfId="15546"/>
    <cellStyle name="Number 1 2 2 3 2 2" xfId="30209"/>
    <cellStyle name="Number 1 2 2 3 2 3" xfId="35362"/>
    <cellStyle name="Number 1 2 2 3 3" xfId="30208"/>
    <cellStyle name="Number 1 2 2 3 4" xfId="35361"/>
    <cellStyle name="Number 1 2 2 4" xfId="15547"/>
    <cellStyle name="Number 1 2 2 4 2" xfId="30210"/>
    <cellStyle name="Number 1 2 2 4 3" xfId="35363"/>
    <cellStyle name="Number 1 2 2 5" xfId="21453"/>
    <cellStyle name="Number 1 2 2 6" xfId="26303"/>
    <cellStyle name="Number 1 2 3" xfId="15548"/>
    <cellStyle name="Number 1 2 3 2" xfId="15549"/>
    <cellStyle name="Number 1 2 3 2 2" xfId="30212"/>
    <cellStyle name="Number 1 2 3 2 3" xfId="35365"/>
    <cellStyle name="Number 1 2 3 3" xfId="15550"/>
    <cellStyle name="Number 1 2 3 3 2" xfId="30213"/>
    <cellStyle name="Number 1 2 3 3 3" xfId="35366"/>
    <cellStyle name="Number 1 2 3 4" xfId="30211"/>
    <cellStyle name="Number 1 2 3 5" xfId="35364"/>
    <cellStyle name="Number 1 2 4" xfId="15551"/>
    <cellStyle name="Number 1 2 4 2" xfId="15552"/>
    <cellStyle name="Number 1 2 4 2 2" xfId="30215"/>
    <cellStyle name="Number 1 2 4 2 3" xfId="35368"/>
    <cellStyle name="Number 1 2 4 3" xfId="30214"/>
    <cellStyle name="Number 1 2 4 4" xfId="35367"/>
    <cellStyle name="Number 1 2 5" xfId="15553"/>
    <cellStyle name="Number 1 2 5 2" xfId="30216"/>
    <cellStyle name="Number 1 2 5 3" xfId="35369"/>
    <cellStyle name="Number 1 2 6" xfId="21452"/>
    <cellStyle name="Number 1 2 7" xfId="26304"/>
    <cellStyle name="Number 1 3" xfId="5618"/>
    <cellStyle name="Number 1 3 2" xfId="15554"/>
    <cellStyle name="Number 1 3 2 2" xfId="15555"/>
    <cellStyle name="Number 1 3 2 2 2" xfId="30218"/>
    <cellStyle name="Number 1 3 2 2 3" xfId="35371"/>
    <cellStyle name="Number 1 3 2 3" xfId="15556"/>
    <cellStyle name="Number 1 3 2 3 2" xfId="30219"/>
    <cellStyle name="Number 1 3 2 3 3" xfId="35372"/>
    <cellStyle name="Number 1 3 2 4" xfId="30217"/>
    <cellStyle name="Number 1 3 2 5" xfId="35370"/>
    <cellStyle name="Number 1 3 3" xfId="15557"/>
    <cellStyle name="Number 1 3 3 2" xfId="30220"/>
    <cellStyle name="Number 1 3 3 3" xfId="35373"/>
    <cellStyle name="Number 1 3 4" xfId="21454"/>
    <cellStyle name="Number 1 3 5" xfId="26302"/>
    <cellStyle name="Number 1 4" xfId="15558"/>
    <cellStyle name="Number 1 4 2" xfId="15559"/>
    <cellStyle name="Number 1 4 2 2" xfId="30222"/>
    <cellStyle name="Number 1 4 2 3" xfId="35375"/>
    <cellStyle name="Number 1 4 3" xfId="15560"/>
    <cellStyle name="Number 1 4 3 2" xfId="30223"/>
    <cellStyle name="Number 1 4 3 3" xfId="35376"/>
    <cellStyle name="Number 1 4 4" xfId="30221"/>
    <cellStyle name="Number 1 4 5" xfId="35374"/>
    <cellStyle name="Number 1 5" xfId="15561"/>
    <cellStyle name="Number 1 5 2" xfId="15562"/>
    <cellStyle name="Number 1 5 2 2" xfId="30225"/>
    <cellStyle name="Number 1 5 2 3" xfId="35378"/>
    <cellStyle name="Number 1 5 3" xfId="30224"/>
    <cellStyle name="Number 1 5 4" xfId="35377"/>
    <cellStyle name="Number 1 6" xfId="15563"/>
    <cellStyle name="Number 1 6 2" xfId="30226"/>
    <cellStyle name="Number 1 6 3" xfId="35379"/>
    <cellStyle name="Number II" xfId="3790"/>
    <cellStyle name="Number II 2" xfId="5619"/>
    <cellStyle name="Number II 2 2" xfId="5620"/>
    <cellStyle name="Number II 2 2 2" xfId="15564"/>
    <cellStyle name="Number II 2 2 2 2" xfId="15565"/>
    <cellStyle name="Number II 2 2 2 2 2" xfId="30228"/>
    <cellStyle name="Number II 2 2 2 2 3" xfId="35381"/>
    <cellStyle name="Number II 2 2 2 3" xfId="15566"/>
    <cellStyle name="Number II 2 2 2 3 2" xfId="30229"/>
    <cellStyle name="Number II 2 2 2 3 3" xfId="35382"/>
    <cellStyle name="Number II 2 2 2 4" xfId="30227"/>
    <cellStyle name="Number II 2 2 2 5" xfId="35380"/>
    <cellStyle name="Number II 2 2 3" xfId="15567"/>
    <cellStyle name="Number II 2 2 3 2" xfId="15568"/>
    <cellStyle name="Number II 2 2 3 2 2" xfId="30231"/>
    <cellStyle name="Number II 2 2 3 2 3" xfId="35384"/>
    <cellStyle name="Number II 2 2 3 3" xfId="30230"/>
    <cellStyle name="Number II 2 2 3 4" xfId="35383"/>
    <cellStyle name="Number II 2 2 4" xfId="15569"/>
    <cellStyle name="Number II 2 2 4 2" xfId="30232"/>
    <cellStyle name="Number II 2 2 4 3" xfId="35385"/>
    <cellStyle name="Number II 2 2 5" xfId="21456"/>
    <cellStyle name="Number II 2 2 6" xfId="20102"/>
    <cellStyle name="Number II 2 3" xfId="15570"/>
    <cellStyle name="Number II 2 3 2" xfId="15571"/>
    <cellStyle name="Number II 2 3 2 2" xfId="30234"/>
    <cellStyle name="Number II 2 3 2 3" xfId="35387"/>
    <cellStyle name="Number II 2 3 3" xfId="15572"/>
    <cellStyle name="Number II 2 3 3 2" xfId="30235"/>
    <cellStyle name="Number II 2 3 3 3" xfId="35388"/>
    <cellStyle name="Number II 2 3 4" xfId="30233"/>
    <cellStyle name="Number II 2 3 5" xfId="35386"/>
    <cellStyle name="Number II 2 4" xfId="15573"/>
    <cellStyle name="Number II 2 4 2" xfId="15574"/>
    <cellStyle name="Number II 2 4 2 2" xfId="30237"/>
    <cellStyle name="Number II 2 4 2 3" xfId="35390"/>
    <cellStyle name="Number II 2 4 3" xfId="30236"/>
    <cellStyle name="Number II 2 4 4" xfId="35389"/>
    <cellStyle name="Number II 2 5" xfId="15575"/>
    <cellStyle name="Number II 2 5 2" xfId="30238"/>
    <cellStyle name="Number II 2 5 3" xfId="35391"/>
    <cellStyle name="Number II 2 6" xfId="21455"/>
    <cellStyle name="Number II 2 7" xfId="20543"/>
    <cellStyle name="Number II 3" xfId="5621"/>
    <cellStyle name="Number II 3 2" xfId="15576"/>
    <cellStyle name="Number II 3 2 2" xfId="15577"/>
    <cellStyle name="Number II 3 2 2 2" xfId="30240"/>
    <cellStyle name="Number II 3 2 2 3" xfId="35393"/>
    <cellStyle name="Number II 3 2 3" xfId="15578"/>
    <cellStyle name="Number II 3 2 3 2" xfId="30241"/>
    <cellStyle name="Number II 3 2 3 3" xfId="35394"/>
    <cellStyle name="Number II 3 2 4" xfId="30239"/>
    <cellStyle name="Number II 3 2 5" xfId="35392"/>
    <cellStyle name="Number II 3 3" xfId="15579"/>
    <cellStyle name="Number II 3 3 2" xfId="30242"/>
    <cellStyle name="Number II 3 3 3" xfId="35395"/>
    <cellStyle name="Number II 3 4" xfId="21457"/>
    <cellStyle name="Number II 3 5" xfId="19752"/>
    <cellStyle name="Number II 4" xfId="15580"/>
    <cellStyle name="Number II 4 2" xfId="15581"/>
    <cellStyle name="Number II 4 2 2" xfId="30244"/>
    <cellStyle name="Number II 4 2 3" xfId="35397"/>
    <cellStyle name="Number II 4 3" xfId="15582"/>
    <cellStyle name="Number II 4 3 2" xfId="30245"/>
    <cellStyle name="Number II 4 3 3" xfId="35398"/>
    <cellStyle name="Number II 4 4" xfId="30243"/>
    <cellStyle name="Number II 4 5" xfId="35396"/>
    <cellStyle name="Number II 5" xfId="15583"/>
    <cellStyle name="Number II 5 2" xfId="15584"/>
    <cellStyle name="Number II 5 2 2" xfId="30247"/>
    <cellStyle name="Number II 5 2 3" xfId="35400"/>
    <cellStyle name="Number II 5 3" xfId="30246"/>
    <cellStyle name="Number II 5 4" xfId="35399"/>
    <cellStyle name="Number II 6" xfId="15585"/>
    <cellStyle name="Number II 6 2" xfId="30248"/>
    <cellStyle name="Number II 6 3" xfId="35401"/>
    <cellStyle name="Number_WACC_Odebrecht Comparativa" xfId="3791"/>
    <cellStyle name="Numberi" xfId="3792"/>
    <cellStyle name="Numberi 10" xfId="27870"/>
    <cellStyle name="Numberi 2" xfId="3793"/>
    <cellStyle name="Numberi 2 2" xfId="3794"/>
    <cellStyle name="Numberi 2 2 2" xfId="5622"/>
    <cellStyle name="Numberi 2 2 2 10" xfId="19751"/>
    <cellStyle name="Numberi 2 2 2 2" xfId="5623"/>
    <cellStyle name="Numberi 2 2 2 2 2" xfId="15586"/>
    <cellStyle name="Numberi 2 2 2 2 2 2" xfId="15587"/>
    <cellStyle name="Numberi 2 2 2 2 2 2 2" xfId="30250"/>
    <cellStyle name="Numberi 2 2 2 2 2 2 3" xfId="35403"/>
    <cellStyle name="Numberi 2 2 2 2 2 3" xfId="15588"/>
    <cellStyle name="Numberi 2 2 2 2 2 3 2" xfId="30251"/>
    <cellStyle name="Numberi 2 2 2 2 2 3 3" xfId="35404"/>
    <cellStyle name="Numberi 2 2 2 2 2 4" xfId="30249"/>
    <cellStyle name="Numberi 2 2 2 2 2 5" xfId="35402"/>
    <cellStyle name="Numberi 2 2 2 2 3" xfId="15589"/>
    <cellStyle name="Numberi 2 2 2 2 3 2" xfId="15590"/>
    <cellStyle name="Numberi 2 2 2 2 3 2 2" xfId="30253"/>
    <cellStyle name="Numberi 2 2 2 2 3 2 3" xfId="35406"/>
    <cellStyle name="Numberi 2 2 2 2 3 3" xfId="15591"/>
    <cellStyle name="Numberi 2 2 2 2 3 3 2" xfId="30254"/>
    <cellStyle name="Numberi 2 2 2 2 3 3 3" xfId="35407"/>
    <cellStyle name="Numberi 2 2 2 2 3 4" xfId="30252"/>
    <cellStyle name="Numberi 2 2 2 2 3 5" xfId="35405"/>
    <cellStyle name="Numberi 2 2 2 2 4" xfId="15592"/>
    <cellStyle name="Numberi 2 2 2 2 4 2" xfId="15593"/>
    <cellStyle name="Numberi 2 2 2 2 4 2 2" xfId="30256"/>
    <cellStyle name="Numberi 2 2 2 2 4 2 3" xfId="35409"/>
    <cellStyle name="Numberi 2 2 2 2 4 3" xfId="15594"/>
    <cellStyle name="Numberi 2 2 2 2 4 3 2" xfId="30257"/>
    <cellStyle name="Numberi 2 2 2 2 4 3 3" xfId="35410"/>
    <cellStyle name="Numberi 2 2 2 2 4 4" xfId="30255"/>
    <cellStyle name="Numberi 2 2 2 2 4 5" xfId="35408"/>
    <cellStyle name="Numberi 2 2 2 2 5" xfId="15595"/>
    <cellStyle name="Numberi 2 2 2 2 5 2" xfId="30258"/>
    <cellStyle name="Numberi 2 2 2 2 5 3" xfId="35411"/>
    <cellStyle name="Numberi 2 2 2 2 6" xfId="15596"/>
    <cellStyle name="Numberi 2 2 2 2 6 2" xfId="30259"/>
    <cellStyle name="Numberi 2 2 2 2 6 3" xfId="35412"/>
    <cellStyle name="Numberi 2 2 2 2 7" xfId="21459"/>
    <cellStyle name="Numberi 2 2 2 2 8" xfId="19750"/>
    <cellStyle name="Numberi 2 2 2 3" xfId="5624"/>
    <cellStyle name="Numberi 2 2 2 3 2" xfId="15597"/>
    <cellStyle name="Numberi 2 2 2 3 2 2" xfId="15598"/>
    <cellStyle name="Numberi 2 2 2 3 2 2 2" xfId="30261"/>
    <cellStyle name="Numberi 2 2 2 3 2 2 3" xfId="35414"/>
    <cellStyle name="Numberi 2 2 2 3 2 3" xfId="15599"/>
    <cellStyle name="Numberi 2 2 2 3 2 3 2" xfId="30262"/>
    <cellStyle name="Numberi 2 2 2 3 2 3 3" xfId="35415"/>
    <cellStyle name="Numberi 2 2 2 3 2 4" xfId="30260"/>
    <cellStyle name="Numberi 2 2 2 3 2 5" xfId="35413"/>
    <cellStyle name="Numberi 2 2 2 3 3" xfId="15600"/>
    <cellStyle name="Numberi 2 2 2 3 3 2" xfId="15601"/>
    <cellStyle name="Numberi 2 2 2 3 3 2 2" xfId="30264"/>
    <cellStyle name="Numberi 2 2 2 3 3 2 3" xfId="35417"/>
    <cellStyle name="Numberi 2 2 2 3 3 3" xfId="15602"/>
    <cellStyle name="Numberi 2 2 2 3 3 3 2" xfId="30265"/>
    <cellStyle name="Numberi 2 2 2 3 3 3 3" xfId="35418"/>
    <cellStyle name="Numberi 2 2 2 3 3 4" xfId="30263"/>
    <cellStyle name="Numberi 2 2 2 3 3 5" xfId="35416"/>
    <cellStyle name="Numberi 2 2 2 3 4" xfId="15603"/>
    <cellStyle name="Numberi 2 2 2 3 4 2" xfId="15604"/>
    <cellStyle name="Numberi 2 2 2 3 4 2 2" xfId="30267"/>
    <cellStyle name="Numberi 2 2 2 3 4 2 3" xfId="35420"/>
    <cellStyle name="Numberi 2 2 2 3 4 3" xfId="15605"/>
    <cellStyle name="Numberi 2 2 2 3 4 3 2" xfId="30268"/>
    <cellStyle name="Numberi 2 2 2 3 4 3 3" xfId="35421"/>
    <cellStyle name="Numberi 2 2 2 3 4 4" xfId="30266"/>
    <cellStyle name="Numberi 2 2 2 3 4 5" xfId="35419"/>
    <cellStyle name="Numberi 2 2 2 3 5" xfId="15606"/>
    <cellStyle name="Numberi 2 2 2 3 5 2" xfId="30269"/>
    <cellStyle name="Numberi 2 2 2 3 5 3" xfId="35422"/>
    <cellStyle name="Numberi 2 2 2 3 6" xfId="15607"/>
    <cellStyle name="Numberi 2 2 2 3 6 2" xfId="30270"/>
    <cellStyle name="Numberi 2 2 2 3 6 3" xfId="35423"/>
    <cellStyle name="Numberi 2 2 2 3 7" xfId="21460"/>
    <cellStyle name="Numberi 2 2 2 3 8" xfId="19749"/>
    <cellStyle name="Numberi 2 2 2 4" xfId="5625"/>
    <cellStyle name="Numberi 2 2 2 4 2" xfId="15608"/>
    <cellStyle name="Numberi 2 2 2 4 2 2" xfId="15609"/>
    <cellStyle name="Numberi 2 2 2 4 2 2 2" xfId="30272"/>
    <cellStyle name="Numberi 2 2 2 4 2 2 3" xfId="35425"/>
    <cellStyle name="Numberi 2 2 2 4 2 3" xfId="15610"/>
    <cellStyle name="Numberi 2 2 2 4 2 3 2" xfId="30273"/>
    <cellStyle name="Numberi 2 2 2 4 2 3 3" xfId="35426"/>
    <cellStyle name="Numberi 2 2 2 4 2 4" xfId="30271"/>
    <cellStyle name="Numberi 2 2 2 4 2 5" xfId="35424"/>
    <cellStyle name="Numberi 2 2 2 4 3" xfId="15611"/>
    <cellStyle name="Numberi 2 2 2 4 3 2" xfId="15612"/>
    <cellStyle name="Numberi 2 2 2 4 3 2 2" xfId="30275"/>
    <cellStyle name="Numberi 2 2 2 4 3 2 3" xfId="35428"/>
    <cellStyle name="Numberi 2 2 2 4 3 3" xfId="15613"/>
    <cellStyle name="Numberi 2 2 2 4 3 3 2" xfId="30276"/>
    <cellStyle name="Numberi 2 2 2 4 3 3 3" xfId="35429"/>
    <cellStyle name="Numberi 2 2 2 4 3 4" xfId="30274"/>
    <cellStyle name="Numberi 2 2 2 4 3 5" xfId="35427"/>
    <cellStyle name="Numberi 2 2 2 4 4" xfId="15614"/>
    <cellStyle name="Numberi 2 2 2 4 4 2" xfId="15615"/>
    <cellStyle name="Numberi 2 2 2 4 4 2 2" xfId="30278"/>
    <cellStyle name="Numberi 2 2 2 4 4 2 3" xfId="35431"/>
    <cellStyle name="Numberi 2 2 2 4 4 3" xfId="15616"/>
    <cellStyle name="Numberi 2 2 2 4 4 3 2" xfId="30279"/>
    <cellStyle name="Numberi 2 2 2 4 4 3 3" xfId="35432"/>
    <cellStyle name="Numberi 2 2 2 4 4 4" xfId="30277"/>
    <cellStyle name="Numberi 2 2 2 4 4 5" xfId="35430"/>
    <cellStyle name="Numberi 2 2 2 4 5" xfId="15617"/>
    <cellStyle name="Numberi 2 2 2 4 5 2" xfId="30280"/>
    <cellStyle name="Numberi 2 2 2 4 5 3" xfId="35433"/>
    <cellStyle name="Numberi 2 2 2 4 6" xfId="15618"/>
    <cellStyle name="Numberi 2 2 2 4 6 2" xfId="30281"/>
    <cellStyle name="Numberi 2 2 2 4 6 3" xfId="35434"/>
    <cellStyle name="Numberi 2 2 2 4 7" xfId="21461"/>
    <cellStyle name="Numberi 2 2 2 4 8" xfId="19748"/>
    <cellStyle name="Numberi 2 2 2 5" xfId="15619"/>
    <cellStyle name="Numberi 2 2 2 5 2" xfId="15620"/>
    <cellStyle name="Numberi 2 2 2 5 2 2" xfId="30283"/>
    <cellStyle name="Numberi 2 2 2 5 2 3" xfId="35436"/>
    <cellStyle name="Numberi 2 2 2 5 3" xfId="15621"/>
    <cellStyle name="Numberi 2 2 2 5 3 2" xfId="30284"/>
    <cellStyle name="Numberi 2 2 2 5 3 3" xfId="35437"/>
    <cellStyle name="Numberi 2 2 2 5 4" xfId="30282"/>
    <cellStyle name="Numberi 2 2 2 5 5" xfId="35435"/>
    <cellStyle name="Numberi 2 2 2 6" xfId="15622"/>
    <cellStyle name="Numberi 2 2 2 6 2" xfId="15623"/>
    <cellStyle name="Numberi 2 2 2 6 2 2" xfId="30286"/>
    <cellStyle name="Numberi 2 2 2 6 2 3" xfId="35439"/>
    <cellStyle name="Numberi 2 2 2 6 3" xfId="15624"/>
    <cellStyle name="Numberi 2 2 2 6 3 2" xfId="30287"/>
    <cellStyle name="Numberi 2 2 2 6 3 3" xfId="35440"/>
    <cellStyle name="Numberi 2 2 2 6 4" xfId="30285"/>
    <cellStyle name="Numberi 2 2 2 6 5" xfId="35438"/>
    <cellStyle name="Numberi 2 2 2 7" xfId="15625"/>
    <cellStyle name="Numberi 2 2 2 7 2" xfId="30288"/>
    <cellStyle name="Numberi 2 2 2 7 3" xfId="35441"/>
    <cellStyle name="Numberi 2 2 2 8" xfId="15626"/>
    <cellStyle name="Numberi 2 2 2 8 2" xfId="30289"/>
    <cellStyle name="Numberi 2 2 2 8 3" xfId="35442"/>
    <cellStyle name="Numberi 2 2 2 9" xfId="21458"/>
    <cellStyle name="Numberi 2 2 3" xfId="15627"/>
    <cellStyle name="Numberi 2 2 3 2" xfId="15628"/>
    <cellStyle name="Numberi 2 2 3 2 2" xfId="30291"/>
    <cellStyle name="Numberi 2 2 3 2 3" xfId="35444"/>
    <cellStyle name="Numberi 2 2 3 3" xfId="15629"/>
    <cellStyle name="Numberi 2 2 3 3 2" xfId="30292"/>
    <cellStyle name="Numberi 2 2 3 3 3" xfId="35445"/>
    <cellStyle name="Numberi 2 2 3 4" xfId="30290"/>
    <cellStyle name="Numberi 2 2 3 5" xfId="35443"/>
    <cellStyle name="Numberi 2 2 4" xfId="15630"/>
    <cellStyle name="Numberi 2 2 4 2" xfId="15631"/>
    <cellStyle name="Numberi 2 2 4 2 2" xfId="30294"/>
    <cellStyle name="Numberi 2 2 4 2 3" xfId="35447"/>
    <cellStyle name="Numberi 2 2 4 3" xfId="15632"/>
    <cellStyle name="Numberi 2 2 4 3 2" xfId="30295"/>
    <cellStyle name="Numberi 2 2 4 3 3" xfId="35448"/>
    <cellStyle name="Numberi 2 2 4 4" xfId="30293"/>
    <cellStyle name="Numberi 2 2 4 5" xfId="35446"/>
    <cellStyle name="Numberi 2 2 5" xfId="15633"/>
    <cellStyle name="Numberi 2 2 5 2" xfId="30296"/>
    <cellStyle name="Numberi 2 2 5 3" xfId="35449"/>
    <cellStyle name="Numberi 2 2 6" xfId="15634"/>
    <cellStyle name="Numberi 2 2 6 2" xfId="30297"/>
    <cellStyle name="Numberi 2 2 6 3" xfId="35450"/>
    <cellStyle name="Numberi 2 2 7" xfId="20069"/>
    <cellStyle name="Numberi 2 2 8" xfId="27868"/>
    <cellStyle name="Numberi 2 3" xfId="5626"/>
    <cellStyle name="Numberi 2 3 10" xfId="19747"/>
    <cellStyle name="Numberi 2 3 2" xfId="5627"/>
    <cellStyle name="Numberi 2 3 2 2" xfId="15635"/>
    <cellStyle name="Numberi 2 3 2 2 2" xfId="15636"/>
    <cellStyle name="Numberi 2 3 2 2 2 2" xfId="30299"/>
    <cellStyle name="Numberi 2 3 2 2 2 3" xfId="35452"/>
    <cellStyle name="Numberi 2 3 2 2 3" xfId="15637"/>
    <cellStyle name="Numberi 2 3 2 2 3 2" xfId="30300"/>
    <cellStyle name="Numberi 2 3 2 2 3 3" xfId="35453"/>
    <cellStyle name="Numberi 2 3 2 2 4" xfId="30298"/>
    <cellStyle name="Numberi 2 3 2 2 5" xfId="35451"/>
    <cellStyle name="Numberi 2 3 2 3" xfId="15638"/>
    <cellStyle name="Numberi 2 3 2 3 2" xfId="15639"/>
    <cellStyle name="Numberi 2 3 2 3 2 2" xfId="30302"/>
    <cellStyle name="Numberi 2 3 2 3 2 3" xfId="35455"/>
    <cellStyle name="Numberi 2 3 2 3 3" xfId="15640"/>
    <cellStyle name="Numberi 2 3 2 3 3 2" xfId="30303"/>
    <cellStyle name="Numberi 2 3 2 3 3 3" xfId="35456"/>
    <cellStyle name="Numberi 2 3 2 3 4" xfId="30301"/>
    <cellStyle name="Numberi 2 3 2 3 5" xfId="35454"/>
    <cellStyle name="Numberi 2 3 2 4" xfId="15641"/>
    <cellStyle name="Numberi 2 3 2 4 2" xfId="15642"/>
    <cellStyle name="Numberi 2 3 2 4 2 2" xfId="30305"/>
    <cellStyle name="Numberi 2 3 2 4 2 3" xfId="35458"/>
    <cellStyle name="Numberi 2 3 2 4 3" xfId="15643"/>
    <cellStyle name="Numberi 2 3 2 4 3 2" xfId="30306"/>
    <cellStyle name="Numberi 2 3 2 4 3 3" xfId="35459"/>
    <cellStyle name="Numberi 2 3 2 4 4" xfId="30304"/>
    <cellStyle name="Numberi 2 3 2 4 5" xfId="35457"/>
    <cellStyle name="Numberi 2 3 2 5" xfId="15644"/>
    <cellStyle name="Numberi 2 3 2 5 2" xfId="30307"/>
    <cellStyle name="Numberi 2 3 2 5 3" xfId="35460"/>
    <cellStyle name="Numberi 2 3 2 6" xfId="15645"/>
    <cellStyle name="Numberi 2 3 2 6 2" xfId="30308"/>
    <cellStyle name="Numberi 2 3 2 6 3" xfId="35461"/>
    <cellStyle name="Numberi 2 3 2 7" xfId="21463"/>
    <cellStyle name="Numberi 2 3 2 8" xfId="19746"/>
    <cellStyle name="Numberi 2 3 3" xfId="5628"/>
    <cellStyle name="Numberi 2 3 3 2" xfId="15646"/>
    <cellStyle name="Numberi 2 3 3 2 2" xfId="15647"/>
    <cellStyle name="Numberi 2 3 3 2 2 2" xfId="30310"/>
    <cellStyle name="Numberi 2 3 3 2 2 3" xfId="35463"/>
    <cellStyle name="Numberi 2 3 3 2 3" xfId="15648"/>
    <cellStyle name="Numberi 2 3 3 2 3 2" xfId="30311"/>
    <cellStyle name="Numberi 2 3 3 2 3 3" xfId="35464"/>
    <cellStyle name="Numberi 2 3 3 2 4" xfId="30309"/>
    <cellStyle name="Numberi 2 3 3 2 5" xfId="35462"/>
    <cellStyle name="Numberi 2 3 3 3" xfId="15649"/>
    <cellStyle name="Numberi 2 3 3 3 2" xfId="15650"/>
    <cellStyle name="Numberi 2 3 3 3 2 2" xfId="30313"/>
    <cellStyle name="Numberi 2 3 3 3 2 3" xfId="35466"/>
    <cellStyle name="Numberi 2 3 3 3 3" xfId="15651"/>
    <cellStyle name="Numberi 2 3 3 3 3 2" xfId="30314"/>
    <cellStyle name="Numberi 2 3 3 3 3 3" xfId="35467"/>
    <cellStyle name="Numberi 2 3 3 3 4" xfId="30312"/>
    <cellStyle name="Numberi 2 3 3 3 5" xfId="35465"/>
    <cellStyle name="Numberi 2 3 3 4" xfId="15652"/>
    <cellStyle name="Numberi 2 3 3 4 2" xfId="15653"/>
    <cellStyle name="Numberi 2 3 3 4 2 2" xfId="30316"/>
    <cellStyle name="Numberi 2 3 3 4 2 3" xfId="35469"/>
    <cellStyle name="Numberi 2 3 3 4 3" xfId="15654"/>
    <cellStyle name="Numberi 2 3 3 4 3 2" xfId="30317"/>
    <cellStyle name="Numberi 2 3 3 4 3 3" xfId="35470"/>
    <cellStyle name="Numberi 2 3 3 4 4" xfId="30315"/>
    <cellStyle name="Numberi 2 3 3 4 5" xfId="35468"/>
    <cellStyle name="Numberi 2 3 3 5" xfId="15655"/>
    <cellStyle name="Numberi 2 3 3 5 2" xfId="30318"/>
    <cellStyle name="Numberi 2 3 3 5 3" xfId="35471"/>
    <cellStyle name="Numberi 2 3 3 6" xfId="15656"/>
    <cellStyle name="Numberi 2 3 3 6 2" xfId="30319"/>
    <cellStyle name="Numberi 2 3 3 6 3" xfId="35472"/>
    <cellStyle name="Numberi 2 3 3 7" xfId="21464"/>
    <cellStyle name="Numberi 2 3 3 8" xfId="19742"/>
    <cellStyle name="Numberi 2 3 4" xfId="5629"/>
    <cellStyle name="Numberi 2 3 4 2" xfId="15657"/>
    <cellStyle name="Numberi 2 3 4 2 2" xfId="15658"/>
    <cellStyle name="Numberi 2 3 4 2 2 2" xfId="30321"/>
    <cellStyle name="Numberi 2 3 4 2 2 3" xfId="35474"/>
    <cellStyle name="Numberi 2 3 4 2 3" xfId="15659"/>
    <cellStyle name="Numberi 2 3 4 2 3 2" xfId="30322"/>
    <cellStyle name="Numberi 2 3 4 2 3 3" xfId="35475"/>
    <cellStyle name="Numberi 2 3 4 2 4" xfId="30320"/>
    <cellStyle name="Numberi 2 3 4 2 5" xfId="35473"/>
    <cellStyle name="Numberi 2 3 4 3" xfId="15660"/>
    <cellStyle name="Numberi 2 3 4 3 2" xfId="15661"/>
    <cellStyle name="Numberi 2 3 4 3 2 2" xfId="30324"/>
    <cellStyle name="Numberi 2 3 4 3 2 3" xfId="35477"/>
    <cellStyle name="Numberi 2 3 4 3 3" xfId="15662"/>
    <cellStyle name="Numberi 2 3 4 3 3 2" xfId="30325"/>
    <cellStyle name="Numberi 2 3 4 3 3 3" xfId="35478"/>
    <cellStyle name="Numberi 2 3 4 3 4" xfId="30323"/>
    <cellStyle name="Numberi 2 3 4 3 5" xfId="35476"/>
    <cellStyle name="Numberi 2 3 4 4" xfId="15663"/>
    <cellStyle name="Numberi 2 3 4 4 2" xfId="15664"/>
    <cellStyle name="Numberi 2 3 4 4 2 2" xfId="30327"/>
    <cellStyle name="Numberi 2 3 4 4 2 3" xfId="35480"/>
    <cellStyle name="Numberi 2 3 4 4 3" xfId="15665"/>
    <cellStyle name="Numberi 2 3 4 4 3 2" xfId="30328"/>
    <cellStyle name="Numberi 2 3 4 4 3 3" xfId="35481"/>
    <cellStyle name="Numberi 2 3 4 4 4" xfId="30326"/>
    <cellStyle name="Numberi 2 3 4 4 5" xfId="35479"/>
    <cellStyle name="Numberi 2 3 4 5" xfId="15666"/>
    <cellStyle name="Numberi 2 3 4 5 2" xfId="30329"/>
    <cellStyle name="Numberi 2 3 4 5 3" xfId="35482"/>
    <cellStyle name="Numberi 2 3 4 6" xfId="15667"/>
    <cellStyle name="Numberi 2 3 4 6 2" xfId="30330"/>
    <cellStyle name="Numberi 2 3 4 6 3" xfId="35483"/>
    <cellStyle name="Numberi 2 3 4 7" xfId="21465"/>
    <cellStyle name="Numberi 2 3 4 8" xfId="19741"/>
    <cellStyle name="Numberi 2 3 5" xfId="15668"/>
    <cellStyle name="Numberi 2 3 5 2" xfId="15669"/>
    <cellStyle name="Numberi 2 3 5 2 2" xfId="30332"/>
    <cellStyle name="Numberi 2 3 5 2 3" xfId="35485"/>
    <cellStyle name="Numberi 2 3 5 3" xfId="15670"/>
    <cellStyle name="Numberi 2 3 5 3 2" xfId="30333"/>
    <cellStyle name="Numberi 2 3 5 3 3" xfId="35486"/>
    <cellStyle name="Numberi 2 3 5 4" xfId="30331"/>
    <cellStyle name="Numberi 2 3 5 5" xfId="35484"/>
    <cellStyle name="Numberi 2 3 6" xfId="15671"/>
    <cellStyle name="Numberi 2 3 6 2" xfId="15672"/>
    <cellStyle name="Numberi 2 3 6 2 2" xfId="30335"/>
    <cellStyle name="Numberi 2 3 6 2 3" xfId="35488"/>
    <cellStyle name="Numberi 2 3 6 3" xfId="15673"/>
    <cellStyle name="Numberi 2 3 6 3 2" xfId="30336"/>
    <cellStyle name="Numberi 2 3 6 3 3" xfId="35489"/>
    <cellStyle name="Numberi 2 3 6 4" xfId="30334"/>
    <cellStyle name="Numberi 2 3 6 5" xfId="35487"/>
    <cellStyle name="Numberi 2 3 7" xfId="15674"/>
    <cellStyle name="Numberi 2 3 7 2" xfId="30337"/>
    <cellStyle name="Numberi 2 3 7 3" xfId="35490"/>
    <cellStyle name="Numberi 2 3 8" xfId="15675"/>
    <cellStyle name="Numberi 2 3 8 2" xfId="30338"/>
    <cellStyle name="Numberi 2 3 8 3" xfId="35491"/>
    <cellStyle name="Numberi 2 3 9" xfId="21462"/>
    <cellStyle name="Numberi 2 4" xfId="15676"/>
    <cellStyle name="Numberi 2 4 2" xfId="15677"/>
    <cellStyle name="Numberi 2 4 2 2" xfId="30340"/>
    <cellStyle name="Numberi 2 4 2 3" xfId="35493"/>
    <cellStyle name="Numberi 2 4 3" xfId="15678"/>
    <cellStyle name="Numberi 2 4 3 2" xfId="30341"/>
    <cellStyle name="Numberi 2 4 3 3" xfId="35494"/>
    <cellStyle name="Numberi 2 4 4" xfId="30339"/>
    <cellStyle name="Numberi 2 4 5" xfId="35492"/>
    <cellStyle name="Numberi 2 5" xfId="15679"/>
    <cellStyle name="Numberi 2 5 2" xfId="15680"/>
    <cellStyle name="Numberi 2 5 2 2" xfId="30343"/>
    <cellStyle name="Numberi 2 5 2 3" xfId="35496"/>
    <cellStyle name="Numberi 2 5 3" xfId="15681"/>
    <cellStyle name="Numberi 2 5 3 2" xfId="30344"/>
    <cellStyle name="Numberi 2 5 3 3" xfId="35497"/>
    <cellStyle name="Numberi 2 5 4" xfId="30342"/>
    <cellStyle name="Numberi 2 5 5" xfId="35495"/>
    <cellStyle name="Numberi 2 6" xfId="15682"/>
    <cellStyle name="Numberi 2 6 2" xfId="30345"/>
    <cellStyle name="Numberi 2 6 3" xfId="35498"/>
    <cellStyle name="Numberi 2 7" xfId="15683"/>
    <cellStyle name="Numberi 2 7 2" xfId="30346"/>
    <cellStyle name="Numberi 2 7 3" xfId="35499"/>
    <cellStyle name="Numberi 2 8" xfId="20068"/>
    <cellStyle name="Numberi 2 9" xfId="27869"/>
    <cellStyle name="Numberi 3" xfId="3795"/>
    <cellStyle name="Numberi 3 2" xfId="5630"/>
    <cellStyle name="Numberi 3 2 10" xfId="19740"/>
    <cellStyle name="Numberi 3 2 2" xfId="5631"/>
    <cellStyle name="Numberi 3 2 2 2" xfId="15684"/>
    <cellStyle name="Numberi 3 2 2 2 2" xfId="15685"/>
    <cellStyle name="Numberi 3 2 2 2 2 2" xfId="30348"/>
    <cellStyle name="Numberi 3 2 2 2 2 3" xfId="35501"/>
    <cellStyle name="Numberi 3 2 2 2 3" xfId="15686"/>
    <cellStyle name="Numberi 3 2 2 2 3 2" xfId="30349"/>
    <cellStyle name="Numberi 3 2 2 2 3 3" xfId="35502"/>
    <cellStyle name="Numberi 3 2 2 2 4" xfId="30347"/>
    <cellStyle name="Numberi 3 2 2 2 5" xfId="35500"/>
    <cellStyle name="Numberi 3 2 2 3" xfId="15687"/>
    <cellStyle name="Numberi 3 2 2 3 2" xfId="15688"/>
    <cellStyle name="Numberi 3 2 2 3 2 2" xfId="30351"/>
    <cellStyle name="Numberi 3 2 2 3 2 3" xfId="35504"/>
    <cellStyle name="Numberi 3 2 2 3 3" xfId="15689"/>
    <cellStyle name="Numberi 3 2 2 3 3 2" xfId="30352"/>
    <cellStyle name="Numberi 3 2 2 3 3 3" xfId="35505"/>
    <cellStyle name="Numberi 3 2 2 3 4" xfId="30350"/>
    <cellStyle name="Numberi 3 2 2 3 5" xfId="35503"/>
    <cellStyle name="Numberi 3 2 2 4" xfId="15690"/>
    <cellStyle name="Numberi 3 2 2 4 2" xfId="15691"/>
    <cellStyle name="Numberi 3 2 2 4 2 2" xfId="30354"/>
    <cellStyle name="Numberi 3 2 2 4 2 3" xfId="35507"/>
    <cellStyle name="Numberi 3 2 2 4 3" xfId="15692"/>
    <cellStyle name="Numberi 3 2 2 4 3 2" xfId="30355"/>
    <cellStyle name="Numberi 3 2 2 4 3 3" xfId="35508"/>
    <cellStyle name="Numberi 3 2 2 4 4" xfId="30353"/>
    <cellStyle name="Numberi 3 2 2 4 5" xfId="35506"/>
    <cellStyle name="Numberi 3 2 2 5" xfId="15693"/>
    <cellStyle name="Numberi 3 2 2 5 2" xfId="30356"/>
    <cellStyle name="Numberi 3 2 2 5 3" xfId="35509"/>
    <cellStyle name="Numberi 3 2 2 6" xfId="15694"/>
    <cellStyle name="Numberi 3 2 2 6 2" xfId="30357"/>
    <cellStyle name="Numberi 3 2 2 6 3" xfId="35510"/>
    <cellStyle name="Numberi 3 2 2 7" xfId="21467"/>
    <cellStyle name="Numberi 3 2 2 8" xfId="19739"/>
    <cellStyle name="Numberi 3 2 3" xfId="5632"/>
    <cellStyle name="Numberi 3 2 3 2" xfId="15695"/>
    <cellStyle name="Numberi 3 2 3 2 2" xfId="15696"/>
    <cellStyle name="Numberi 3 2 3 2 2 2" xfId="30359"/>
    <cellStyle name="Numberi 3 2 3 2 2 3" xfId="35512"/>
    <cellStyle name="Numberi 3 2 3 2 3" xfId="15697"/>
    <cellStyle name="Numberi 3 2 3 2 3 2" xfId="30360"/>
    <cellStyle name="Numberi 3 2 3 2 3 3" xfId="35513"/>
    <cellStyle name="Numberi 3 2 3 2 4" xfId="30358"/>
    <cellStyle name="Numberi 3 2 3 2 5" xfId="35511"/>
    <cellStyle name="Numberi 3 2 3 3" xfId="15698"/>
    <cellStyle name="Numberi 3 2 3 3 2" xfId="15699"/>
    <cellStyle name="Numberi 3 2 3 3 2 2" xfId="30362"/>
    <cellStyle name="Numberi 3 2 3 3 2 3" xfId="35515"/>
    <cellStyle name="Numberi 3 2 3 3 3" xfId="15700"/>
    <cellStyle name="Numberi 3 2 3 3 3 2" xfId="30363"/>
    <cellStyle name="Numberi 3 2 3 3 3 3" xfId="35516"/>
    <cellStyle name="Numberi 3 2 3 3 4" xfId="30361"/>
    <cellStyle name="Numberi 3 2 3 3 5" xfId="35514"/>
    <cellStyle name="Numberi 3 2 3 4" xfId="15701"/>
    <cellStyle name="Numberi 3 2 3 4 2" xfId="15702"/>
    <cellStyle name="Numberi 3 2 3 4 2 2" xfId="30365"/>
    <cellStyle name="Numberi 3 2 3 4 2 3" xfId="35518"/>
    <cellStyle name="Numberi 3 2 3 4 3" xfId="15703"/>
    <cellStyle name="Numberi 3 2 3 4 3 2" xfId="30366"/>
    <cellStyle name="Numberi 3 2 3 4 3 3" xfId="35519"/>
    <cellStyle name="Numberi 3 2 3 4 4" xfId="30364"/>
    <cellStyle name="Numberi 3 2 3 4 5" xfId="35517"/>
    <cellStyle name="Numberi 3 2 3 5" xfId="15704"/>
    <cellStyle name="Numberi 3 2 3 5 2" xfId="30367"/>
    <cellStyle name="Numberi 3 2 3 5 3" xfId="35520"/>
    <cellStyle name="Numberi 3 2 3 6" xfId="15705"/>
    <cellStyle name="Numberi 3 2 3 6 2" xfId="30368"/>
    <cellStyle name="Numberi 3 2 3 6 3" xfId="35521"/>
    <cellStyle name="Numberi 3 2 3 7" xfId="21468"/>
    <cellStyle name="Numberi 3 2 3 8" xfId="19738"/>
    <cellStyle name="Numberi 3 2 4" xfId="5633"/>
    <cellStyle name="Numberi 3 2 4 2" xfId="15706"/>
    <cellStyle name="Numberi 3 2 4 2 2" xfId="15707"/>
    <cellStyle name="Numberi 3 2 4 2 2 2" xfId="30370"/>
    <cellStyle name="Numberi 3 2 4 2 2 3" xfId="35523"/>
    <cellStyle name="Numberi 3 2 4 2 3" xfId="15708"/>
    <cellStyle name="Numberi 3 2 4 2 3 2" xfId="30371"/>
    <cellStyle name="Numberi 3 2 4 2 3 3" xfId="35524"/>
    <cellStyle name="Numberi 3 2 4 2 4" xfId="30369"/>
    <cellStyle name="Numberi 3 2 4 2 5" xfId="35522"/>
    <cellStyle name="Numberi 3 2 4 3" xfId="15709"/>
    <cellStyle name="Numberi 3 2 4 3 2" xfId="15710"/>
    <cellStyle name="Numberi 3 2 4 3 2 2" xfId="30373"/>
    <cellStyle name="Numberi 3 2 4 3 2 3" xfId="35526"/>
    <cellStyle name="Numberi 3 2 4 3 3" xfId="15711"/>
    <cellStyle name="Numberi 3 2 4 3 3 2" xfId="30374"/>
    <cellStyle name="Numberi 3 2 4 3 3 3" xfId="35527"/>
    <cellStyle name="Numberi 3 2 4 3 4" xfId="30372"/>
    <cellStyle name="Numberi 3 2 4 3 5" xfId="35525"/>
    <cellStyle name="Numberi 3 2 4 4" xfId="15712"/>
    <cellStyle name="Numberi 3 2 4 4 2" xfId="15713"/>
    <cellStyle name="Numberi 3 2 4 4 2 2" xfId="30376"/>
    <cellStyle name="Numberi 3 2 4 4 2 3" xfId="35529"/>
    <cellStyle name="Numberi 3 2 4 4 3" xfId="15714"/>
    <cellStyle name="Numberi 3 2 4 4 3 2" xfId="30377"/>
    <cellStyle name="Numberi 3 2 4 4 3 3" xfId="35530"/>
    <cellStyle name="Numberi 3 2 4 4 4" xfId="30375"/>
    <cellStyle name="Numberi 3 2 4 4 5" xfId="35528"/>
    <cellStyle name="Numberi 3 2 4 5" xfId="15715"/>
    <cellStyle name="Numberi 3 2 4 5 2" xfId="30378"/>
    <cellStyle name="Numberi 3 2 4 5 3" xfId="35531"/>
    <cellStyle name="Numberi 3 2 4 6" xfId="15716"/>
    <cellStyle name="Numberi 3 2 4 6 2" xfId="30379"/>
    <cellStyle name="Numberi 3 2 4 6 3" xfId="35532"/>
    <cellStyle name="Numberi 3 2 4 7" xfId="21469"/>
    <cellStyle name="Numberi 3 2 4 8" xfId="19737"/>
    <cellStyle name="Numberi 3 2 5" xfId="15717"/>
    <cellStyle name="Numberi 3 2 5 2" xfId="15718"/>
    <cellStyle name="Numberi 3 2 5 2 2" xfId="30381"/>
    <cellStyle name="Numberi 3 2 5 2 3" xfId="35534"/>
    <cellStyle name="Numberi 3 2 5 3" xfId="15719"/>
    <cellStyle name="Numberi 3 2 5 3 2" xfId="30382"/>
    <cellStyle name="Numberi 3 2 5 3 3" xfId="35535"/>
    <cellStyle name="Numberi 3 2 5 4" xfId="30380"/>
    <cellStyle name="Numberi 3 2 5 5" xfId="35533"/>
    <cellStyle name="Numberi 3 2 6" xfId="15720"/>
    <cellStyle name="Numberi 3 2 6 2" xfId="15721"/>
    <cellStyle name="Numberi 3 2 6 2 2" xfId="30384"/>
    <cellStyle name="Numberi 3 2 6 2 3" xfId="35537"/>
    <cellStyle name="Numberi 3 2 6 3" xfId="15722"/>
    <cellStyle name="Numberi 3 2 6 3 2" xfId="30385"/>
    <cellStyle name="Numberi 3 2 6 3 3" xfId="35538"/>
    <cellStyle name="Numberi 3 2 6 4" xfId="30383"/>
    <cellStyle name="Numberi 3 2 6 5" xfId="35536"/>
    <cellStyle name="Numberi 3 2 7" xfId="15723"/>
    <cellStyle name="Numberi 3 2 7 2" xfId="30386"/>
    <cellStyle name="Numberi 3 2 7 3" xfId="35539"/>
    <cellStyle name="Numberi 3 2 8" xfId="15724"/>
    <cellStyle name="Numberi 3 2 8 2" xfId="30387"/>
    <cellStyle name="Numberi 3 2 8 3" xfId="35540"/>
    <cellStyle name="Numberi 3 2 9" xfId="21466"/>
    <cellStyle name="Numberi 3 3" xfId="15725"/>
    <cellStyle name="Numberi 3 3 2" xfId="15726"/>
    <cellStyle name="Numberi 3 3 2 2" xfId="30389"/>
    <cellStyle name="Numberi 3 3 2 3" xfId="35542"/>
    <cellStyle name="Numberi 3 3 3" xfId="15727"/>
    <cellStyle name="Numberi 3 3 3 2" xfId="30390"/>
    <cellStyle name="Numberi 3 3 3 3" xfId="35543"/>
    <cellStyle name="Numberi 3 3 4" xfId="30388"/>
    <cellStyle name="Numberi 3 3 5" xfId="35541"/>
    <cellStyle name="Numberi 3 4" xfId="15728"/>
    <cellStyle name="Numberi 3 4 2" xfId="15729"/>
    <cellStyle name="Numberi 3 4 2 2" xfId="30392"/>
    <cellStyle name="Numberi 3 4 2 3" xfId="35545"/>
    <cellStyle name="Numberi 3 4 3" xfId="15730"/>
    <cellStyle name="Numberi 3 4 3 2" xfId="30393"/>
    <cellStyle name="Numberi 3 4 3 3" xfId="35546"/>
    <cellStyle name="Numberi 3 4 4" xfId="30391"/>
    <cellStyle name="Numberi 3 4 5" xfId="35544"/>
    <cellStyle name="Numberi 3 5" xfId="15731"/>
    <cellStyle name="Numberi 3 5 2" xfId="30394"/>
    <cellStyle name="Numberi 3 5 3" xfId="35547"/>
    <cellStyle name="Numberi 3 6" xfId="15732"/>
    <cellStyle name="Numberi 3 6 2" xfId="30395"/>
    <cellStyle name="Numberi 3 6 3" xfId="35548"/>
    <cellStyle name="Numberi 3 7" xfId="20070"/>
    <cellStyle name="Numberi 3 8" xfId="27867"/>
    <cellStyle name="Numberi 4" xfId="5634"/>
    <cellStyle name="Numberi 4 10" xfId="19736"/>
    <cellStyle name="Numberi 4 2" xfId="5635"/>
    <cellStyle name="Numberi 4 2 2" xfId="15733"/>
    <cellStyle name="Numberi 4 2 2 2" xfId="15734"/>
    <cellStyle name="Numberi 4 2 2 2 2" xfId="30397"/>
    <cellStyle name="Numberi 4 2 2 2 3" xfId="35550"/>
    <cellStyle name="Numberi 4 2 2 3" xfId="15735"/>
    <cellStyle name="Numberi 4 2 2 3 2" xfId="30398"/>
    <cellStyle name="Numberi 4 2 2 3 3" xfId="35551"/>
    <cellStyle name="Numberi 4 2 2 4" xfId="30396"/>
    <cellStyle name="Numberi 4 2 2 5" xfId="35549"/>
    <cellStyle name="Numberi 4 2 3" xfId="15736"/>
    <cellStyle name="Numberi 4 2 3 2" xfId="15737"/>
    <cellStyle name="Numberi 4 2 3 2 2" xfId="30400"/>
    <cellStyle name="Numberi 4 2 3 2 3" xfId="35553"/>
    <cellStyle name="Numberi 4 2 3 3" xfId="15738"/>
    <cellStyle name="Numberi 4 2 3 3 2" xfId="30401"/>
    <cellStyle name="Numberi 4 2 3 3 3" xfId="35554"/>
    <cellStyle name="Numberi 4 2 3 4" xfId="30399"/>
    <cellStyle name="Numberi 4 2 3 5" xfId="35552"/>
    <cellStyle name="Numberi 4 2 4" xfId="15739"/>
    <cellStyle name="Numberi 4 2 4 2" xfId="15740"/>
    <cellStyle name="Numberi 4 2 4 2 2" xfId="30403"/>
    <cellStyle name="Numberi 4 2 4 2 3" xfId="35556"/>
    <cellStyle name="Numberi 4 2 4 3" xfId="15741"/>
    <cellStyle name="Numberi 4 2 4 3 2" xfId="30404"/>
    <cellStyle name="Numberi 4 2 4 3 3" xfId="35557"/>
    <cellStyle name="Numberi 4 2 4 4" xfId="30402"/>
    <cellStyle name="Numberi 4 2 4 5" xfId="35555"/>
    <cellStyle name="Numberi 4 2 5" xfId="15742"/>
    <cellStyle name="Numberi 4 2 5 2" xfId="30405"/>
    <cellStyle name="Numberi 4 2 5 3" xfId="35558"/>
    <cellStyle name="Numberi 4 2 6" xfId="15743"/>
    <cellStyle name="Numberi 4 2 6 2" xfId="30406"/>
    <cellStyle name="Numberi 4 2 6 3" xfId="35559"/>
    <cellStyle name="Numberi 4 2 7" xfId="21471"/>
    <cellStyle name="Numberi 4 2 8" xfId="19735"/>
    <cellStyle name="Numberi 4 3" xfId="5636"/>
    <cellStyle name="Numberi 4 3 2" xfId="15744"/>
    <cellStyle name="Numberi 4 3 2 2" xfId="15745"/>
    <cellStyle name="Numberi 4 3 2 2 2" xfId="30408"/>
    <cellStyle name="Numberi 4 3 2 2 3" xfId="35561"/>
    <cellStyle name="Numberi 4 3 2 3" xfId="15746"/>
    <cellStyle name="Numberi 4 3 2 3 2" xfId="30409"/>
    <cellStyle name="Numberi 4 3 2 3 3" xfId="35562"/>
    <cellStyle name="Numberi 4 3 2 4" xfId="30407"/>
    <cellStyle name="Numberi 4 3 2 5" xfId="35560"/>
    <cellStyle name="Numberi 4 3 3" xfId="15747"/>
    <cellStyle name="Numberi 4 3 3 2" xfId="15748"/>
    <cellStyle name="Numberi 4 3 3 2 2" xfId="30411"/>
    <cellStyle name="Numberi 4 3 3 2 3" xfId="35564"/>
    <cellStyle name="Numberi 4 3 3 3" xfId="15749"/>
    <cellStyle name="Numberi 4 3 3 3 2" xfId="30412"/>
    <cellStyle name="Numberi 4 3 3 3 3" xfId="35565"/>
    <cellStyle name="Numberi 4 3 3 4" xfId="30410"/>
    <cellStyle name="Numberi 4 3 3 5" xfId="35563"/>
    <cellStyle name="Numberi 4 3 4" xfId="15750"/>
    <cellStyle name="Numberi 4 3 4 2" xfId="15751"/>
    <cellStyle name="Numberi 4 3 4 2 2" xfId="30414"/>
    <cellStyle name="Numberi 4 3 4 2 3" xfId="35567"/>
    <cellStyle name="Numberi 4 3 4 3" xfId="15752"/>
    <cellStyle name="Numberi 4 3 4 3 2" xfId="30415"/>
    <cellStyle name="Numberi 4 3 4 3 3" xfId="35568"/>
    <cellStyle name="Numberi 4 3 4 4" xfId="30413"/>
    <cellStyle name="Numberi 4 3 4 5" xfId="35566"/>
    <cellStyle name="Numberi 4 3 5" xfId="15753"/>
    <cellStyle name="Numberi 4 3 5 2" xfId="30416"/>
    <cellStyle name="Numberi 4 3 5 3" xfId="35569"/>
    <cellStyle name="Numberi 4 3 6" xfId="15754"/>
    <cellStyle name="Numberi 4 3 6 2" xfId="30417"/>
    <cellStyle name="Numberi 4 3 6 3" xfId="35570"/>
    <cellStyle name="Numberi 4 3 7" xfId="21472"/>
    <cellStyle name="Numberi 4 3 8" xfId="19731"/>
    <cellStyle name="Numberi 4 4" xfId="5637"/>
    <cellStyle name="Numberi 4 4 2" xfId="15755"/>
    <cellStyle name="Numberi 4 4 2 2" xfId="15756"/>
    <cellStyle name="Numberi 4 4 2 2 2" xfId="30419"/>
    <cellStyle name="Numberi 4 4 2 2 3" xfId="35572"/>
    <cellStyle name="Numberi 4 4 2 3" xfId="15757"/>
    <cellStyle name="Numberi 4 4 2 3 2" xfId="30420"/>
    <cellStyle name="Numberi 4 4 2 3 3" xfId="35573"/>
    <cellStyle name="Numberi 4 4 2 4" xfId="30418"/>
    <cellStyle name="Numberi 4 4 2 5" xfId="35571"/>
    <cellStyle name="Numberi 4 4 3" xfId="15758"/>
    <cellStyle name="Numberi 4 4 3 2" xfId="15759"/>
    <cellStyle name="Numberi 4 4 3 2 2" xfId="30422"/>
    <cellStyle name="Numberi 4 4 3 2 3" xfId="35575"/>
    <cellStyle name="Numberi 4 4 3 3" xfId="15760"/>
    <cellStyle name="Numberi 4 4 3 3 2" xfId="30423"/>
    <cellStyle name="Numberi 4 4 3 3 3" xfId="35576"/>
    <cellStyle name="Numberi 4 4 3 4" xfId="30421"/>
    <cellStyle name="Numberi 4 4 3 5" xfId="35574"/>
    <cellStyle name="Numberi 4 4 4" xfId="15761"/>
    <cellStyle name="Numberi 4 4 4 2" xfId="15762"/>
    <cellStyle name="Numberi 4 4 4 2 2" xfId="30425"/>
    <cellStyle name="Numberi 4 4 4 2 3" xfId="35578"/>
    <cellStyle name="Numberi 4 4 4 3" xfId="15763"/>
    <cellStyle name="Numberi 4 4 4 3 2" xfId="30426"/>
    <cellStyle name="Numberi 4 4 4 3 3" xfId="35579"/>
    <cellStyle name="Numberi 4 4 4 4" xfId="30424"/>
    <cellStyle name="Numberi 4 4 4 5" xfId="35577"/>
    <cellStyle name="Numberi 4 4 5" xfId="15764"/>
    <cellStyle name="Numberi 4 4 5 2" xfId="30427"/>
    <cellStyle name="Numberi 4 4 5 3" xfId="35580"/>
    <cellStyle name="Numberi 4 4 6" xfId="15765"/>
    <cellStyle name="Numberi 4 4 6 2" xfId="30428"/>
    <cellStyle name="Numberi 4 4 6 3" xfId="35581"/>
    <cellStyle name="Numberi 4 4 7" xfId="21473"/>
    <cellStyle name="Numberi 4 4 8" xfId="19730"/>
    <cellStyle name="Numberi 4 5" xfId="15766"/>
    <cellStyle name="Numberi 4 5 2" xfId="15767"/>
    <cellStyle name="Numberi 4 5 2 2" xfId="30430"/>
    <cellStyle name="Numberi 4 5 2 3" xfId="35583"/>
    <cellStyle name="Numberi 4 5 3" xfId="15768"/>
    <cellStyle name="Numberi 4 5 3 2" xfId="30431"/>
    <cellStyle name="Numberi 4 5 3 3" xfId="35584"/>
    <cellStyle name="Numberi 4 5 4" xfId="30429"/>
    <cellStyle name="Numberi 4 5 5" xfId="35582"/>
    <cellStyle name="Numberi 4 6" xfId="15769"/>
    <cellStyle name="Numberi 4 6 2" xfId="15770"/>
    <cellStyle name="Numberi 4 6 2 2" xfId="30433"/>
    <cellStyle name="Numberi 4 6 2 3" xfId="35586"/>
    <cellStyle name="Numberi 4 6 3" xfId="15771"/>
    <cellStyle name="Numberi 4 6 3 2" xfId="30434"/>
    <cellStyle name="Numberi 4 6 3 3" xfId="35587"/>
    <cellStyle name="Numberi 4 6 4" xfId="30432"/>
    <cellStyle name="Numberi 4 6 5" xfId="35585"/>
    <cellStyle name="Numberi 4 7" xfId="15772"/>
    <cellStyle name="Numberi 4 7 2" xfId="30435"/>
    <cellStyle name="Numberi 4 7 3" xfId="35588"/>
    <cellStyle name="Numberi 4 8" xfId="15773"/>
    <cellStyle name="Numberi 4 8 2" xfId="30436"/>
    <cellStyle name="Numberi 4 8 3" xfId="35589"/>
    <cellStyle name="Numberi 4 9" xfId="21470"/>
    <cellStyle name="Numberi 5" xfId="15774"/>
    <cellStyle name="Numberi 5 2" xfId="15775"/>
    <cellStyle name="Numberi 5 2 2" xfId="30438"/>
    <cellStyle name="Numberi 5 2 3" xfId="35591"/>
    <cellStyle name="Numberi 5 3" xfId="15776"/>
    <cellStyle name="Numberi 5 3 2" xfId="30439"/>
    <cellStyle name="Numberi 5 3 3" xfId="35592"/>
    <cellStyle name="Numberi 5 4" xfId="30437"/>
    <cellStyle name="Numberi 5 5" xfId="35590"/>
    <cellStyle name="Numberi 6" xfId="15777"/>
    <cellStyle name="Numberi 6 2" xfId="15778"/>
    <cellStyle name="Numberi 6 2 2" xfId="30441"/>
    <cellStyle name="Numberi 6 2 3" xfId="35594"/>
    <cellStyle name="Numberi 6 3" xfId="15779"/>
    <cellStyle name="Numberi 6 3 2" xfId="30442"/>
    <cellStyle name="Numberi 6 3 3" xfId="35595"/>
    <cellStyle name="Numberi 6 4" xfId="30440"/>
    <cellStyle name="Numberi 6 5" xfId="35593"/>
    <cellStyle name="Numberi 7" xfId="15780"/>
    <cellStyle name="Numberi 7 2" xfId="30443"/>
    <cellStyle name="Numberi 7 3" xfId="35596"/>
    <cellStyle name="Numberi 8" xfId="15781"/>
    <cellStyle name="Numberi 8 2" xfId="30444"/>
    <cellStyle name="Numberi 8 3" xfId="35597"/>
    <cellStyle name="Numberi 9" xfId="20067"/>
    <cellStyle name="nx" xfId="3796"/>
    <cellStyle name="Objekte" xfId="3797"/>
    <cellStyle name="Œ…‹æØ‚è [0.00]_!!!GO" xfId="3798"/>
    <cellStyle name="Œ…‹æØ‚è_!!!GO" xfId="3799"/>
    <cellStyle name="op header" xfId="3800"/>
    <cellStyle name="op header 2" xfId="3801"/>
    <cellStyle name="op header 2 2" xfId="5638"/>
    <cellStyle name="op header 2 2 10" xfId="19729"/>
    <cellStyle name="op header 2 2 2" xfId="5639"/>
    <cellStyle name="op header 2 2 2 2" xfId="15782"/>
    <cellStyle name="op header 2 2 2 2 2" xfId="15783"/>
    <cellStyle name="op header 2 2 2 2 2 2" xfId="30446"/>
    <cellStyle name="op header 2 2 2 2 2 3" xfId="35599"/>
    <cellStyle name="op header 2 2 2 2 3" xfId="15784"/>
    <cellStyle name="op header 2 2 2 2 3 2" xfId="30447"/>
    <cellStyle name="op header 2 2 2 2 3 3" xfId="35600"/>
    <cellStyle name="op header 2 2 2 2 4" xfId="30445"/>
    <cellStyle name="op header 2 2 2 2 5" xfId="35598"/>
    <cellStyle name="op header 2 2 2 3" xfId="15785"/>
    <cellStyle name="op header 2 2 2 3 2" xfId="15786"/>
    <cellStyle name="op header 2 2 2 3 2 2" xfId="30449"/>
    <cellStyle name="op header 2 2 2 3 2 3" xfId="35602"/>
    <cellStyle name="op header 2 2 2 3 3" xfId="15787"/>
    <cellStyle name="op header 2 2 2 3 3 2" xfId="30450"/>
    <cellStyle name="op header 2 2 2 3 3 3" xfId="35603"/>
    <cellStyle name="op header 2 2 2 3 4" xfId="30448"/>
    <cellStyle name="op header 2 2 2 3 5" xfId="35601"/>
    <cellStyle name="op header 2 2 2 4" xfId="15788"/>
    <cellStyle name="op header 2 2 2 4 2" xfId="15789"/>
    <cellStyle name="op header 2 2 2 4 2 2" xfId="30452"/>
    <cellStyle name="op header 2 2 2 4 2 3" xfId="35605"/>
    <cellStyle name="op header 2 2 2 4 3" xfId="15790"/>
    <cellStyle name="op header 2 2 2 4 3 2" xfId="30453"/>
    <cellStyle name="op header 2 2 2 4 3 3" xfId="35606"/>
    <cellStyle name="op header 2 2 2 4 4" xfId="30451"/>
    <cellStyle name="op header 2 2 2 4 5" xfId="35604"/>
    <cellStyle name="op header 2 2 2 5" xfId="15791"/>
    <cellStyle name="op header 2 2 2 5 2" xfId="30454"/>
    <cellStyle name="op header 2 2 2 5 3" xfId="35607"/>
    <cellStyle name="op header 2 2 2 6" xfId="15792"/>
    <cellStyle name="op header 2 2 2 6 2" xfId="30455"/>
    <cellStyle name="op header 2 2 2 6 3" xfId="35608"/>
    <cellStyle name="op header 2 2 2 7" xfId="21475"/>
    <cellStyle name="op header 2 2 2 8" xfId="19728"/>
    <cellStyle name="op header 2 2 3" xfId="5640"/>
    <cellStyle name="op header 2 2 3 2" xfId="15793"/>
    <cellStyle name="op header 2 2 3 2 2" xfId="15794"/>
    <cellStyle name="op header 2 2 3 2 2 2" xfId="30457"/>
    <cellStyle name="op header 2 2 3 2 2 3" xfId="35610"/>
    <cellStyle name="op header 2 2 3 2 3" xfId="15795"/>
    <cellStyle name="op header 2 2 3 2 3 2" xfId="30458"/>
    <cellStyle name="op header 2 2 3 2 3 3" xfId="35611"/>
    <cellStyle name="op header 2 2 3 2 4" xfId="30456"/>
    <cellStyle name="op header 2 2 3 2 5" xfId="35609"/>
    <cellStyle name="op header 2 2 3 3" xfId="15796"/>
    <cellStyle name="op header 2 2 3 3 2" xfId="15797"/>
    <cellStyle name="op header 2 2 3 3 2 2" xfId="30460"/>
    <cellStyle name="op header 2 2 3 3 2 3" xfId="35613"/>
    <cellStyle name="op header 2 2 3 3 3" xfId="15798"/>
    <cellStyle name="op header 2 2 3 3 3 2" xfId="30461"/>
    <cellStyle name="op header 2 2 3 3 3 3" xfId="35614"/>
    <cellStyle name="op header 2 2 3 3 4" xfId="30459"/>
    <cellStyle name="op header 2 2 3 3 5" xfId="35612"/>
    <cellStyle name="op header 2 2 3 4" xfId="15799"/>
    <cellStyle name="op header 2 2 3 4 2" xfId="15800"/>
    <cellStyle name="op header 2 2 3 4 2 2" xfId="30463"/>
    <cellStyle name="op header 2 2 3 4 2 3" xfId="35616"/>
    <cellStyle name="op header 2 2 3 4 3" xfId="15801"/>
    <cellStyle name="op header 2 2 3 4 3 2" xfId="30464"/>
    <cellStyle name="op header 2 2 3 4 3 3" xfId="35617"/>
    <cellStyle name="op header 2 2 3 4 4" xfId="30462"/>
    <cellStyle name="op header 2 2 3 4 5" xfId="35615"/>
    <cellStyle name="op header 2 2 3 5" xfId="15802"/>
    <cellStyle name="op header 2 2 3 5 2" xfId="30465"/>
    <cellStyle name="op header 2 2 3 5 3" xfId="35618"/>
    <cellStyle name="op header 2 2 3 6" xfId="15803"/>
    <cellStyle name="op header 2 2 3 6 2" xfId="30466"/>
    <cellStyle name="op header 2 2 3 6 3" xfId="35619"/>
    <cellStyle name="op header 2 2 3 7" xfId="21476"/>
    <cellStyle name="op header 2 2 3 8" xfId="19727"/>
    <cellStyle name="op header 2 2 4" xfId="5641"/>
    <cellStyle name="op header 2 2 4 2" xfId="15804"/>
    <cellStyle name="op header 2 2 4 2 2" xfId="15805"/>
    <cellStyle name="op header 2 2 4 2 2 2" xfId="30468"/>
    <cellStyle name="op header 2 2 4 2 2 3" xfId="35621"/>
    <cellStyle name="op header 2 2 4 2 3" xfId="15806"/>
    <cellStyle name="op header 2 2 4 2 3 2" xfId="30469"/>
    <cellStyle name="op header 2 2 4 2 3 3" xfId="35622"/>
    <cellStyle name="op header 2 2 4 2 4" xfId="30467"/>
    <cellStyle name="op header 2 2 4 2 5" xfId="35620"/>
    <cellStyle name="op header 2 2 4 3" xfId="15807"/>
    <cellStyle name="op header 2 2 4 3 2" xfId="15808"/>
    <cellStyle name="op header 2 2 4 3 2 2" xfId="30471"/>
    <cellStyle name="op header 2 2 4 3 2 3" xfId="35624"/>
    <cellStyle name="op header 2 2 4 3 3" xfId="15809"/>
    <cellStyle name="op header 2 2 4 3 3 2" xfId="30472"/>
    <cellStyle name="op header 2 2 4 3 3 3" xfId="35625"/>
    <cellStyle name="op header 2 2 4 3 4" xfId="30470"/>
    <cellStyle name="op header 2 2 4 3 5" xfId="35623"/>
    <cellStyle name="op header 2 2 4 4" xfId="15810"/>
    <cellStyle name="op header 2 2 4 4 2" xfId="15811"/>
    <cellStyle name="op header 2 2 4 4 2 2" xfId="30474"/>
    <cellStyle name="op header 2 2 4 4 2 3" xfId="35627"/>
    <cellStyle name="op header 2 2 4 4 3" xfId="15812"/>
    <cellStyle name="op header 2 2 4 4 3 2" xfId="30475"/>
    <cellStyle name="op header 2 2 4 4 3 3" xfId="35628"/>
    <cellStyle name="op header 2 2 4 4 4" xfId="30473"/>
    <cellStyle name="op header 2 2 4 4 5" xfId="35626"/>
    <cellStyle name="op header 2 2 4 5" xfId="15813"/>
    <cellStyle name="op header 2 2 4 5 2" xfId="30476"/>
    <cellStyle name="op header 2 2 4 5 3" xfId="35629"/>
    <cellStyle name="op header 2 2 4 6" xfId="15814"/>
    <cellStyle name="op header 2 2 4 6 2" xfId="30477"/>
    <cellStyle name="op header 2 2 4 6 3" xfId="35630"/>
    <cellStyle name="op header 2 2 4 7" xfId="21477"/>
    <cellStyle name="op header 2 2 4 8" xfId="19714"/>
    <cellStyle name="op header 2 2 5" xfId="15815"/>
    <cellStyle name="op header 2 2 5 2" xfId="15816"/>
    <cellStyle name="op header 2 2 5 2 2" xfId="30479"/>
    <cellStyle name="op header 2 2 5 2 3" xfId="35632"/>
    <cellStyle name="op header 2 2 5 3" xfId="15817"/>
    <cellStyle name="op header 2 2 5 3 2" xfId="30480"/>
    <cellStyle name="op header 2 2 5 3 3" xfId="35633"/>
    <cellStyle name="op header 2 2 5 4" xfId="30478"/>
    <cellStyle name="op header 2 2 5 5" xfId="35631"/>
    <cellStyle name="op header 2 2 6" xfId="15818"/>
    <cellStyle name="op header 2 2 6 2" xfId="15819"/>
    <cellStyle name="op header 2 2 6 2 2" xfId="30482"/>
    <cellStyle name="op header 2 2 6 2 3" xfId="35635"/>
    <cellStyle name="op header 2 2 6 3" xfId="15820"/>
    <cellStyle name="op header 2 2 6 3 2" xfId="30483"/>
    <cellStyle name="op header 2 2 6 3 3" xfId="35636"/>
    <cellStyle name="op header 2 2 6 4" xfId="30481"/>
    <cellStyle name="op header 2 2 6 5" xfId="35634"/>
    <cellStyle name="op header 2 2 7" xfId="15821"/>
    <cellStyle name="op header 2 2 7 2" xfId="30484"/>
    <cellStyle name="op header 2 2 7 3" xfId="35637"/>
    <cellStyle name="op header 2 2 8" xfId="15822"/>
    <cellStyle name="op header 2 2 8 2" xfId="30485"/>
    <cellStyle name="op header 2 2 8 3" xfId="35638"/>
    <cellStyle name="op header 2 2 9" xfId="21474"/>
    <cellStyle name="op header 2 3" xfId="15823"/>
    <cellStyle name="op header 2 3 2" xfId="15824"/>
    <cellStyle name="op header 2 3 2 2" xfId="30487"/>
    <cellStyle name="op header 2 3 2 3" xfId="35640"/>
    <cellStyle name="op header 2 3 3" xfId="15825"/>
    <cellStyle name="op header 2 3 3 2" xfId="30488"/>
    <cellStyle name="op header 2 3 3 3" xfId="35641"/>
    <cellStyle name="op header 2 3 4" xfId="30486"/>
    <cellStyle name="op header 2 3 5" xfId="35639"/>
    <cellStyle name="op header 2 4" xfId="15826"/>
    <cellStyle name="op header 2 4 2" xfId="15827"/>
    <cellStyle name="op header 2 4 2 2" xfId="30490"/>
    <cellStyle name="op header 2 4 2 3" xfId="35643"/>
    <cellStyle name="op header 2 4 3" xfId="15828"/>
    <cellStyle name="op header 2 4 3 2" xfId="30491"/>
    <cellStyle name="op header 2 4 3 3" xfId="35644"/>
    <cellStyle name="op header 2 4 4" xfId="30489"/>
    <cellStyle name="op header 2 4 5" xfId="35642"/>
    <cellStyle name="op header 2 5" xfId="15829"/>
    <cellStyle name="op header 2 5 2" xfId="30492"/>
    <cellStyle name="op header 2 5 3" xfId="35645"/>
    <cellStyle name="op header 2 6" xfId="15830"/>
    <cellStyle name="op header 2 6 2" xfId="30493"/>
    <cellStyle name="op header 2 6 3" xfId="35646"/>
    <cellStyle name="op header 2 7" xfId="20072"/>
    <cellStyle name="op header 2 8" xfId="27865"/>
    <cellStyle name="op header 3" xfId="5642"/>
    <cellStyle name="op header 3 10" xfId="19713"/>
    <cellStyle name="op header 3 2" xfId="5643"/>
    <cellStyle name="op header 3 2 2" xfId="15831"/>
    <cellStyle name="op header 3 2 2 2" xfId="15832"/>
    <cellStyle name="op header 3 2 2 2 2" xfId="30495"/>
    <cellStyle name="op header 3 2 2 2 3" xfId="35648"/>
    <cellStyle name="op header 3 2 2 3" xfId="15833"/>
    <cellStyle name="op header 3 2 2 3 2" xfId="30496"/>
    <cellStyle name="op header 3 2 2 3 3" xfId="35649"/>
    <cellStyle name="op header 3 2 2 4" xfId="30494"/>
    <cellStyle name="op header 3 2 2 5" xfId="35647"/>
    <cellStyle name="op header 3 2 3" xfId="15834"/>
    <cellStyle name="op header 3 2 3 2" xfId="15835"/>
    <cellStyle name="op header 3 2 3 2 2" xfId="30498"/>
    <cellStyle name="op header 3 2 3 2 3" xfId="35651"/>
    <cellStyle name="op header 3 2 3 3" xfId="15836"/>
    <cellStyle name="op header 3 2 3 3 2" xfId="30499"/>
    <cellStyle name="op header 3 2 3 3 3" xfId="35652"/>
    <cellStyle name="op header 3 2 3 4" xfId="30497"/>
    <cellStyle name="op header 3 2 3 5" xfId="35650"/>
    <cellStyle name="op header 3 2 4" xfId="15837"/>
    <cellStyle name="op header 3 2 4 2" xfId="15838"/>
    <cellStyle name="op header 3 2 4 2 2" xfId="30501"/>
    <cellStyle name="op header 3 2 4 2 3" xfId="35654"/>
    <cellStyle name="op header 3 2 4 3" xfId="15839"/>
    <cellStyle name="op header 3 2 4 3 2" xfId="30502"/>
    <cellStyle name="op header 3 2 4 3 3" xfId="35655"/>
    <cellStyle name="op header 3 2 4 4" xfId="30500"/>
    <cellStyle name="op header 3 2 4 5" xfId="35653"/>
    <cellStyle name="op header 3 2 5" xfId="15840"/>
    <cellStyle name="op header 3 2 5 2" xfId="30503"/>
    <cellStyle name="op header 3 2 5 3" xfId="35656"/>
    <cellStyle name="op header 3 2 6" xfId="15841"/>
    <cellStyle name="op header 3 2 6 2" xfId="30504"/>
    <cellStyle name="op header 3 2 6 3" xfId="35657"/>
    <cellStyle name="op header 3 2 7" xfId="21479"/>
    <cellStyle name="op header 3 2 8" xfId="19712"/>
    <cellStyle name="op header 3 3" xfId="5644"/>
    <cellStyle name="op header 3 3 2" xfId="15842"/>
    <cellStyle name="op header 3 3 2 2" xfId="15843"/>
    <cellStyle name="op header 3 3 2 2 2" xfId="30506"/>
    <cellStyle name="op header 3 3 2 2 3" xfId="35659"/>
    <cellStyle name="op header 3 3 2 3" xfId="15844"/>
    <cellStyle name="op header 3 3 2 3 2" xfId="30507"/>
    <cellStyle name="op header 3 3 2 3 3" xfId="35660"/>
    <cellStyle name="op header 3 3 2 4" xfId="30505"/>
    <cellStyle name="op header 3 3 2 5" xfId="35658"/>
    <cellStyle name="op header 3 3 3" xfId="15845"/>
    <cellStyle name="op header 3 3 3 2" xfId="15846"/>
    <cellStyle name="op header 3 3 3 2 2" xfId="30509"/>
    <cellStyle name="op header 3 3 3 2 3" xfId="35662"/>
    <cellStyle name="op header 3 3 3 3" xfId="15847"/>
    <cellStyle name="op header 3 3 3 3 2" xfId="30510"/>
    <cellStyle name="op header 3 3 3 3 3" xfId="35663"/>
    <cellStyle name="op header 3 3 3 4" xfId="30508"/>
    <cellStyle name="op header 3 3 3 5" xfId="35661"/>
    <cellStyle name="op header 3 3 4" xfId="15848"/>
    <cellStyle name="op header 3 3 4 2" xfId="15849"/>
    <cellStyle name="op header 3 3 4 2 2" xfId="30512"/>
    <cellStyle name="op header 3 3 4 2 3" xfId="35665"/>
    <cellStyle name="op header 3 3 4 3" xfId="15850"/>
    <cellStyle name="op header 3 3 4 3 2" xfId="30513"/>
    <cellStyle name="op header 3 3 4 3 3" xfId="35666"/>
    <cellStyle name="op header 3 3 4 4" xfId="30511"/>
    <cellStyle name="op header 3 3 4 5" xfId="35664"/>
    <cellStyle name="op header 3 3 5" xfId="15851"/>
    <cellStyle name="op header 3 3 5 2" xfId="30514"/>
    <cellStyle name="op header 3 3 5 3" xfId="35667"/>
    <cellStyle name="op header 3 3 6" xfId="15852"/>
    <cellStyle name="op header 3 3 6 2" xfId="30515"/>
    <cellStyle name="op header 3 3 6 3" xfId="35668"/>
    <cellStyle name="op header 3 3 7" xfId="21480"/>
    <cellStyle name="op header 3 3 8" xfId="19711"/>
    <cellStyle name="op header 3 4" xfId="5645"/>
    <cellStyle name="op header 3 4 2" xfId="15853"/>
    <cellStyle name="op header 3 4 2 2" xfId="15854"/>
    <cellStyle name="op header 3 4 2 2 2" xfId="30517"/>
    <cellStyle name="op header 3 4 2 2 3" xfId="35670"/>
    <cellStyle name="op header 3 4 2 3" xfId="15855"/>
    <cellStyle name="op header 3 4 2 3 2" xfId="30518"/>
    <cellStyle name="op header 3 4 2 3 3" xfId="35671"/>
    <cellStyle name="op header 3 4 2 4" xfId="30516"/>
    <cellStyle name="op header 3 4 2 5" xfId="35669"/>
    <cellStyle name="op header 3 4 3" xfId="15856"/>
    <cellStyle name="op header 3 4 3 2" xfId="15857"/>
    <cellStyle name="op header 3 4 3 2 2" xfId="30520"/>
    <cellStyle name="op header 3 4 3 2 3" xfId="35673"/>
    <cellStyle name="op header 3 4 3 3" xfId="15858"/>
    <cellStyle name="op header 3 4 3 3 2" xfId="30521"/>
    <cellStyle name="op header 3 4 3 3 3" xfId="35674"/>
    <cellStyle name="op header 3 4 3 4" xfId="30519"/>
    <cellStyle name="op header 3 4 3 5" xfId="35672"/>
    <cellStyle name="op header 3 4 4" xfId="15859"/>
    <cellStyle name="op header 3 4 4 2" xfId="15860"/>
    <cellStyle name="op header 3 4 4 2 2" xfId="30523"/>
    <cellStyle name="op header 3 4 4 2 3" xfId="35676"/>
    <cellStyle name="op header 3 4 4 3" xfId="15861"/>
    <cellStyle name="op header 3 4 4 3 2" xfId="30524"/>
    <cellStyle name="op header 3 4 4 3 3" xfId="35677"/>
    <cellStyle name="op header 3 4 4 4" xfId="30522"/>
    <cellStyle name="op header 3 4 4 5" xfId="35675"/>
    <cellStyle name="op header 3 4 5" xfId="15862"/>
    <cellStyle name="op header 3 4 5 2" xfId="30525"/>
    <cellStyle name="op header 3 4 5 3" xfId="35678"/>
    <cellStyle name="op header 3 4 6" xfId="15863"/>
    <cellStyle name="op header 3 4 6 2" xfId="30526"/>
    <cellStyle name="op header 3 4 6 3" xfId="35679"/>
    <cellStyle name="op header 3 4 7" xfId="21481"/>
    <cellStyle name="op header 3 4 8" xfId="19710"/>
    <cellStyle name="op header 3 5" xfId="15864"/>
    <cellStyle name="op header 3 5 2" xfId="15865"/>
    <cellStyle name="op header 3 5 2 2" xfId="30528"/>
    <cellStyle name="op header 3 5 2 3" xfId="35681"/>
    <cellStyle name="op header 3 5 3" xfId="15866"/>
    <cellStyle name="op header 3 5 3 2" xfId="30529"/>
    <cellStyle name="op header 3 5 3 3" xfId="35682"/>
    <cellStyle name="op header 3 5 4" xfId="30527"/>
    <cellStyle name="op header 3 5 5" xfId="35680"/>
    <cellStyle name="op header 3 6" xfId="15867"/>
    <cellStyle name="op header 3 6 2" xfId="15868"/>
    <cellStyle name="op header 3 6 2 2" xfId="30531"/>
    <cellStyle name="op header 3 6 2 3" xfId="35684"/>
    <cellStyle name="op header 3 6 3" xfId="15869"/>
    <cellStyle name="op header 3 6 3 2" xfId="30532"/>
    <cellStyle name="op header 3 6 3 3" xfId="35685"/>
    <cellStyle name="op header 3 6 4" xfId="30530"/>
    <cellStyle name="op header 3 6 5" xfId="35683"/>
    <cellStyle name="op header 3 7" xfId="15870"/>
    <cellStyle name="op header 3 7 2" xfId="30533"/>
    <cellStyle name="op header 3 7 3" xfId="35686"/>
    <cellStyle name="op header 3 8" xfId="15871"/>
    <cellStyle name="op header 3 8 2" xfId="30534"/>
    <cellStyle name="op header 3 8 3" xfId="35687"/>
    <cellStyle name="op header 3 9" xfId="21478"/>
    <cellStyle name="op header 4" xfId="15872"/>
    <cellStyle name="op header 4 2" xfId="15873"/>
    <cellStyle name="op header 4 2 2" xfId="30536"/>
    <cellStyle name="op header 4 2 3" xfId="35689"/>
    <cellStyle name="op header 4 3" xfId="15874"/>
    <cellStyle name="op header 4 3 2" xfId="30537"/>
    <cellStyle name="op header 4 3 3" xfId="35690"/>
    <cellStyle name="op header 4 4" xfId="30535"/>
    <cellStyle name="op header 4 5" xfId="35688"/>
    <cellStyle name="op header 5" xfId="15875"/>
    <cellStyle name="op header 5 2" xfId="15876"/>
    <cellStyle name="op header 5 2 2" xfId="30539"/>
    <cellStyle name="op header 5 2 3" xfId="35692"/>
    <cellStyle name="op header 5 3" xfId="15877"/>
    <cellStyle name="op header 5 3 2" xfId="30540"/>
    <cellStyle name="op header 5 3 3" xfId="35693"/>
    <cellStyle name="op header 5 4" xfId="30538"/>
    <cellStyle name="op header 5 5" xfId="35691"/>
    <cellStyle name="op header 6" xfId="15878"/>
    <cellStyle name="op header 6 2" xfId="30541"/>
    <cellStyle name="op header 6 3" xfId="35694"/>
    <cellStyle name="op header 7" xfId="15879"/>
    <cellStyle name="op header 7 2" xfId="30542"/>
    <cellStyle name="op header 7 3" xfId="35695"/>
    <cellStyle name="op header 8" xfId="20071"/>
    <cellStyle name="op header 9" xfId="27866"/>
    <cellStyle name="OScommands" xfId="3802"/>
    <cellStyle name="OSW_ColumnLabels" xfId="3803"/>
    <cellStyle name="Output 2" xfId="3804"/>
    <cellStyle name="Output Amounts" xfId="3805"/>
    <cellStyle name="Output Amounts 2" xfId="3806"/>
    <cellStyle name="Output Column Headings" xfId="3807"/>
    <cellStyle name="Output Line Items" xfId="3808"/>
    <cellStyle name="Output Line Items 2" xfId="3953"/>
    <cellStyle name="Output Line Items 2 2" xfId="15880"/>
    <cellStyle name="Output Line Items 3" xfId="15881"/>
    <cellStyle name="Output Report Heading" xfId="3809"/>
    <cellStyle name="Output Report Title" xfId="3810"/>
    <cellStyle name="ozzy" xfId="3811"/>
    <cellStyle name="p" xfId="3812"/>
    <cellStyle name="p0" xfId="3813"/>
    <cellStyle name="p0]" xfId="3814"/>
    <cellStyle name="p1" xfId="3815"/>
    <cellStyle name="p1`" xfId="3816"/>
    <cellStyle name="p12" xfId="3817"/>
    <cellStyle name="p1x" xfId="3818"/>
    <cellStyle name="p1x 2" xfId="5646"/>
    <cellStyle name="p1x 2 2" xfId="15882"/>
    <cellStyle name="p1x 2 2 2" xfId="15883"/>
    <cellStyle name="p1x 2 2 2 2" xfId="30544"/>
    <cellStyle name="p1x 2 2 2 3" xfId="35697"/>
    <cellStyle name="p1x 2 2 3" xfId="30543"/>
    <cellStyle name="p1x 2 2 4" xfId="35696"/>
    <cellStyle name="p1x 2 3" xfId="15884"/>
    <cellStyle name="p1x 2 3 2" xfId="30545"/>
    <cellStyle name="p1x 2 3 3" xfId="35698"/>
    <cellStyle name="p1x 2 4" xfId="21482"/>
    <cellStyle name="p1x 2 5" xfId="19709"/>
    <cellStyle name="p1x 3" xfId="5647"/>
    <cellStyle name="p1x 3 2" xfId="15885"/>
    <cellStyle name="p1x 3 2 2" xfId="15886"/>
    <cellStyle name="p1x 3 2 2 2" xfId="30547"/>
    <cellStyle name="p1x 3 2 2 3" xfId="35700"/>
    <cellStyle name="p1x 3 2 3" xfId="30546"/>
    <cellStyle name="p1x 3 2 4" xfId="35699"/>
    <cellStyle name="p1x 3 3" xfId="15887"/>
    <cellStyle name="p1x 3 3 2" xfId="30548"/>
    <cellStyle name="p1x 3 3 3" xfId="35701"/>
    <cellStyle name="p1x 3 4" xfId="21483"/>
    <cellStyle name="p1x 3 5" xfId="19708"/>
    <cellStyle name="p1x 4" xfId="5648"/>
    <cellStyle name="p1x 4 2" xfId="15888"/>
    <cellStyle name="p1x 4 2 2" xfId="15889"/>
    <cellStyle name="p1x 4 2 2 2" xfId="30550"/>
    <cellStyle name="p1x 4 2 2 3" xfId="35703"/>
    <cellStyle name="p1x 4 2 3" xfId="30549"/>
    <cellStyle name="p1x 4 2 4" xfId="35702"/>
    <cellStyle name="p1x 4 3" xfId="15890"/>
    <cellStyle name="p1x 4 3 2" xfId="30551"/>
    <cellStyle name="p1x 4 3 3" xfId="35704"/>
    <cellStyle name="p1x 4 4" xfId="21484"/>
    <cellStyle name="p1x 4 5" xfId="19707"/>
    <cellStyle name="p1x 5" xfId="15891"/>
    <cellStyle name="p1x 5 2" xfId="15892"/>
    <cellStyle name="p1x 5 2 2" xfId="30553"/>
    <cellStyle name="p1x 5 2 3" xfId="35706"/>
    <cellStyle name="p1x 5 3" xfId="30552"/>
    <cellStyle name="p1x 5 4" xfId="35705"/>
    <cellStyle name="p1x 6" xfId="15893"/>
    <cellStyle name="p1x 6 2" xfId="30554"/>
    <cellStyle name="p1x 6 3" xfId="35707"/>
    <cellStyle name="p2" xfId="3819"/>
    <cellStyle name="p3" xfId="3820"/>
    <cellStyle name="Page Number" xfId="3821"/>
    <cellStyle name="paint" xfId="3822"/>
    <cellStyle name="Pct w/ Pts" xfId="3823"/>
    <cellStyle name="Pct w/o Pts" xfId="3824"/>
    <cellStyle name="per.style" xfId="3825"/>
    <cellStyle name="Percen - Estilo1" xfId="3826"/>
    <cellStyle name="Percen - Style2" xfId="3827"/>
    <cellStyle name="Percent 2" xfId="3828"/>
    <cellStyle name="Percent 3" xfId="3829"/>
    <cellStyle name="Percent 4" xfId="3830"/>
    <cellStyle name="Percent 5" xfId="3831"/>
    <cellStyle name="Percent 6" xfId="3832"/>
    <cellStyle name="Percent 6 2" xfId="3833"/>
    <cellStyle name="Percent 6 3" xfId="3834"/>
    <cellStyle name="Percent 7" xfId="3835"/>
    <cellStyle name="PIA" xfId="3836"/>
    <cellStyle name="Porcentaje" xfId="3954" builtinId="5"/>
    <cellStyle name="Porcentaje 2" xfId="19"/>
    <cellStyle name="Porcentaje 2 2" xfId="20"/>
    <cellStyle name="Porcentaje 2 2 2" xfId="460"/>
    <cellStyle name="Porcentaje 2 2 2 2" xfId="3839"/>
    <cellStyle name="Porcentaje 2 2 2 3" xfId="3838"/>
    <cellStyle name="Porcentaje 2 2 3" xfId="3840"/>
    <cellStyle name="Porcentaje 2 2 4" xfId="3837"/>
    <cellStyle name="Porcentaje 2 3" xfId="452"/>
    <cellStyle name="Porcentaje 2 3 2" xfId="3841"/>
    <cellStyle name="Porcentaje 3" xfId="21"/>
    <cellStyle name="Porcentaje 3 2" xfId="461"/>
    <cellStyle name="Porcentaje 4" xfId="3842"/>
    <cellStyle name="Porcentaje 5" xfId="3843"/>
    <cellStyle name="Porcentaje 5 2" xfId="3844"/>
    <cellStyle name="Porcentaje 6" xfId="3845"/>
    <cellStyle name="Porcentaje 7" xfId="3846"/>
    <cellStyle name="Porcentaje 8" xfId="37704"/>
    <cellStyle name="Porcentual 2" xfId="3847"/>
    <cellStyle name="Porcentual 2 2" xfId="3848"/>
    <cellStyle name="Porcentual 3" xfId="3849"/>
    <cellStyle name="Porcentual 3 2" xfId="3850"/>
    <cellStyle name="Porcentual_E-  PYG ABRIL" xfId="20073"/>
    <cellStyle name="Protegido" xfId="3851"/>
    <cellStyle name="Salida" xfId="32" builtinId="21" customBuiltin="1"/>
    <cellStyle name="Salida 2" xfId="3852"/>
    <cellStyle name="Salida 3" xfId="3853"/>
    <cellStyle name="SAPBEXaggData" xfId="3854"/>
    <cellStyle name="SAPBEXaggData 10" xfId="19882"/>
    <cellStyle name="SAPBEXaggData 2" xfId="4140"/>
    <cellStyle name="SAPBEXaggData 2 2" xfId="15894"/>
    <cellStyle name="SAPBEXaggData 2 2 2" xfId="15895"/>
    <cellStyle name="SAPBEXaggData 2 2 2 2" xfId="35709"/>
    <cellStyle name="SAPBEXaggData 2 2 3" xfId="15896"/>
    <cellStyle name="SAPBEXaggData 2 2 3 2" xfId="35710"/>
    <cellStyle name="SAPBEXaggData 2 2 4" xfId="35708"/>
    <cellStyle name="SAPBEXaggData 2 3" xfId="15897"/>
    <cellStyle name="SAPBEXaggData 2 3 2" xfId="15898"/>
    <cellStyle name="SAPBEXaggData 2 3 2 2" xfId="35712"/>
    <cellStyle name="SAPBEXaggData 2 3 3" xfId="15899"/>
    <cellStyle name="SAPBEXaggData 2 3 3 2" xfId="35713"/>
    <cellStyle name="SAPBEXaggData 2 3 4" xfId="35711"/>
    <cellStyle name="SAPBEXaggData 2 4" xfId="15900"/>
    <cellStyle name="SAPBEXaggData 2 4 2" xfId="15901"/>
    <cellStyle name="SAPBEXaggData 2 4 2 2" xfId="35715"/>
    <cellStyle name="SAPBEXaggData 2 4 3" xfId="15902"/>
    <cellStyle name="SAPBEXaggData 2 4 3 2" xfId="35716"/>
    <cellStyle name="SAPBEXaggData 2 4 4" xfId="35714"/>
    <cellStyle name="SAPBEXaggData 2 5" xfId="15903"/>
    <cellStyle name="SAPBEXaggData 2 5 2" xfId="15904"/>
    <cellStyle name="SAPBEXaggData 2 5 2 2" xfId="35718"/>
    <cellStyle name="SAPBEXaggData 2 5 3" xfId="15905"/>
    <cellStyle name="SAPBEXaggData 2 5 3 2" xfId="35719"/>
    <cellStyle name="SAPBEXaggData 2 5 4" xfId="35717"/>
    <cellStyle name="SAPBEXaggData 2 6" xfId="15906"/>
    <cellStyle name="SAPBEXaggData 2 6 2" xfId="15907"/>
    <cellStyle name="SAPBEXaggData 2 6 2 2" xfId="35721"/>
    <cellStyle name="SAPBEXaggData 2 6 3" xfId="15908"/>
    <cellStyle name="SAPBEXaggData 2 6 3 2" xfId="35722"/>
    <cellStyle name="SAPBEXaggData 2 6 4" xfId="35720"/>
    <cellStyle name="SAPBEXaggData 2 7" xfId="15909"/>
    <cellStyle name="SAPBEXaggData 2 7 2" xfId="35723"/>
    <cellStyle name="SAPBEXaggData 2 8" xfId="15910"/>
    <cellStyle name="SAPBEXaggData 2 8 2" xfId="35724"/>
    <cellStyle name="SAPBEXaggData 2 9" xfId="27366"/>
    <cellStyle name="SAPBEXaggData 3" xfId="4410"/>
    <cellStyle name="SAPBEXaggData 3 2" xfId="15911"/>
    <cellStyle name="SAPBEXaggData 3 2 2" xfId="15912"/>
    <cellStyle name="SAPBEXaggData 3 2 2 2" xfId="35726"/>
    <cellStyle name="SAPBEXaggData 3 2 3" xfId="15913"/>
    <cellStyle name="SAPBEXaggData 3 2 3 2" xfId="35727"/>
    <cellStyle name="SAPBEXaggData 3 2 4" xfId="35725"/>
    <cellStyle name="SAPBEXaggData 3 3" xfId="15914"/>
    <cellStyle name="SAPBEXaggData 3 3 2" xfId="15915"/>
    <cellStyle name="SAPBEXaggData 3 3 2 2" xfId="35729"/>
    <cellStyle name="SAPBEXaggData 3 3 3" xfId="15916"/>
    <cellStyle name="SAPBEXaggData 3 3 3 2" xfId="35730"/>
    <cellStyle name="SAPBEXaggData 3 3 4" xfId="35728"/>
    <cellStyle name="SAPBEXaggData 3 4" xfId="15917"/>
    <cellStyle name="SAPBEXaggData 3 4 2" xfId="15918"/>
    <cellStyle name="SAPBEXaggData 3 4 2 2" xfId="35732"/>
    <cellStyle name="SAPBEXaggData 3 4 3" xfId="15919"/>
    <cellStyle name="SAPBEXaggData 3 4 3 2" xfId="35733"/>
    <cellStyle name="SAPBEXaggData 3 4 4" xfId="35731"/>
    <cellStyle name="SAPBEXaggData 3 5" xfId="15920"/>
    <cellStyle name="SAPBEXaggData 3 5 2" xfId="15921"/>
    <cellStyle name="SAPBEXaggData 3 5 2 2" xfId="35735"/>
    <cellStyle name="SAPBEXaggData 3 5 3" xfId="15922"/>
    <cellStyle name="SAPBEXaggData 3 5 3 2" xfId="35736"/>
    <cellStyle name="SAPBEXaggData 3 5 4" xfId="35734"/>
    <cellStyle name="SAPBEXaggData 3 6" xfId="15923"/>
    <cellStyle name="SAPBEXaggData 3 6 2" xfId="15924"/>
    <cellStyle name="SAPBEXaggData 3 6 2 2" xfId="35738"/>
    <cellStyle name="SAPBEXaggData 3 6 3" xfId="15925"/>
    <cellStyle name="SAPBEXaggData 3 6 3 2" xfId="35739"/>
    <cellStyle name="SAPBEXaggData 3 6 4" xfId="35737"/>
    <cellStyle name="SAPBEXaggData 3 7" xfId="15926"/>
    <cellStyle name="SAPBEXaggData 3 7 2" xfId="35740"/>
    <cellStyle name="SAPBEXaggData 3 8" xfId="15927"/>
    <cellStyle name="SAPBEXaggData 3 8 2" xfId="35741"/>
    <cellStyle name="SAPBEXaggData 3 9" xfId="27085"/>
    <cellStyle name="SAPBEXaggData 4" xfId="5649"/>
    <cellStyle name="SAPBEXaggData 4 2" xfId="15928"/>
    <cellStyle name="SAPBEXaggData 4 2 2" xfId="15929"/>
    <cellStyle name="SAPBEXaggData 4 2 2 2" xfId="35743"/>
    <cellStyle name="SAPBEXaggData 4 2 3" xfId="15930"/>
    <cellStyle name="SAPBEXaggData 4 2 3 2" xfId="35744"/>
    <cellStyle name="SAPBEXaggData 4 2 4" xfId="35742"/>
    <cellStyle name="SAPBEXaggData 4 3" xfId="15931"/>
    <cellStyle name="SAPBEXaggData 4 3 2" xfId="15932"/>
    <cellStyle name="SAPBEXaggData 4 3 2 2" xfId="35746"/>
    <cellStyle name="SAPBEXaggData 4 3 3" xfId="15933"/>
    <cellStyle name="SAPBEXaggData 4 3 3 2" xfId="35747"/>
    <cellStyle name="SAPBEXaggData 4 3 4" xfId="35745"/>
    <cellStyle name="SAPBEXaggData 4 4" xfId="15934"/>
    <cellStyle name="SAPBEXaggData 4 4 2" xfId="15935"/>
    <cellStyle name="SAPBEXaggData 4 4 2 2" xfId="35749"/>
    <cellStyle name="SAPBEXaggData 4 4 3" xfId="15936"/>
    <cellStyle name="SAPBEXaggData 4 4 3 2" xfId="35750"/>
    <cellStyle name="SAPBEXaggData 4 4 4" xfId="35748"/>
    <cellStyle name="SAPBEXaggData 4 5" xfId="15937"/>
    <cellStyle name="SAPBEXaggData 4 5 2" xfId="15938"/>
    <cellStyle name="SAPBEXaggData 4 5 2 2" xfId="35752"/>
    <cellStyle name="SAPBEXaggData 4 5 3" xfId="15939"/>
    <cellStyle name="SAPBEXaggData 4 5 3 2" xfId="35753"/>
    <cellStyle name="SAPBEXaggData 4 5 4" xfId="35751"/>
    <cellStyle name="SAPBEXaggData 4 6" xfId="15940"/>
    <cellStyle name="SAPBEXaggData 4 6 2" xfId="15941"/>
    <cellStyle name="SAPBEXaggData 4 6 2 2" xfId="35755"/>
    <cellStyle name="SAPBEXaggData 4 6 3" xfId="15942"/>
    <cellStyle name="SAPBEXaggData 4 6 3 2" xfId="35756"/>
    <cellStyle name="SAPBEXaggData 4 6 4" xfId="35754"/>
    <cellStyle name="SAPBEXaggData 4 7" xfId="15943"/>
    <cellStyle name="SAPBEXaggData 4 7 2" xfId="35757"/>
    <cellStyle name="SAPBEXaggData 4 8" xfId="15944"/>
    <cellStyle name="SAPBEXaggData 4 8 2" xfId="35758"/>
    <cellStyle name="SAPBEXaggData 4 9" xfId="19706"/>
    <cellStyle name="SAPBEXaggData 5" xfId="15945"/>
    <cellStyle name="SAPBEXaggData 5 2" xfId="15946"/>
    <cellStyle name="SAPBEXaggData 5 2 2" xfId="35760"/>
    <cellStyle name="SAPBEXaggData 5 3" xfId="15947"/>
    <cellStyle name="SAPBEXaggData 5 3 2" xfId="35761"/>
    <cellStyle name="SAPBEXaggData 5 4" xfId="35759"/>
    <cellStyle name="SAPBEXaggData 6" xfId="15948"/>
    <cellStyle name="SAPBEXaggData 6 2" xfId="15949"/>
    <cellStyle name="SAPBEXaggData 6 2 2" xfId="35763"/>
    <cellStyle name="SAPBEXaggData 6 3" xfId="15950"/>
    <cellStyle name="SAPBEXaggData 6 3 2" xfId="35764"/>
    <cellStyle name="SAPBEXaggData 6 4" xfId="35762"/>
    <cellStyle name="SAPBEXaggData 7" xfId="15951"/>
    <cellStyle name="SAPBEXaggData 7 2" xfId="15952"/>
    <cellStyle name="SAPBEXaggData 7 2 2" xfId="35766"/>
    <cellStyle name="SAPBEXaggData 7 3" xfId="15953"/>
    <cellStyle name="SAPBEXaggData 7 3 2" xfId="35767"/>
    <cellStyle name="SAPBEXaggData 7 4" xfId="35765"/>
    <cellStyle name="SAPBEXaggData 8" xfId="15954"/>
    <cellStyle name="SAPBEXaggData 8 2" xfId="35768"/>
    <cellStyle name="SAPBEXaggData 9" xfId="15955"/>
    <cellStyle name="SAPBEXaggData 9 2" xfId="35769"/>
    <cellStyle name="SAPBEXaggDataEmph" xfId="3855"/>
    <cellStyle name="SAPBEXaggDataEmph 10" xfId="19881"/>
    <cellStyle name="SAPBEXaggDataEmph 2" xfId="4128"/>
    <cellStyle name="SAPBEXaggDataEmph 2 2" xfId="15956"/>
    <cellStyle name="SAPBEXaggDataEmph 2 2 2" xfId="15957"/>
    <cellStyle name="SAPBEXaggDataEmph 2 2 2 2" xfId="35771"/>
    <cellStyle name="SAPBEXaggDataEmph 2 2 3" xfId="15958"/>
    <cellStyle name="SAPBEXaggDataEmph 2 2 3 2" xfId="35772"/>
    <cellStyle name="SAPBEXaggDataEmph 2 2 4" xfId="35770"/>
    <cellStyle name="SAPBEXaggDataEmph 2 3" xfId="15959"/>
    <cellStyle name="SAPBEXaggDataEmph 2 3 2" xfId="15960"/>
    <cellStyle name="SAPBEXaggDataEmph 2 3 2 2" xfId="35774"/>
    <cellStyle name="SAPBEXaggDataEmph 2 3 3" xfId="15961"/>
    <cellStyle name="SAPBEXaggDataEmph 2 3 3 2" xfId="35775"/>
    <cellStyle name="SAPBEXaggDataEmph 2 3 4" xfId="35773"/>
    <cellStyle name="SAPBEXaggDataEmph 2 4" xfId="15962"/>
    <cellStyle name="SAPBEXaggDataEmph 2 4 2" xfId="15963"/>
    <cellStyle name="SAPBEXaggDataEmph 2 4 2 2" xfId="35777"/>
    <cellStyle name="SAPBEXaggDataEmph 2 4 3" xfId="15964"/>
    <cellStyle name="SAPBEXaggDataEmph 2 4 3 2" xfId="35778"/>
    <cellStyle name="SAPBEXaggDataEmph 2 4 4" xfId="35776"/>
    <cellStyle name="SAPBEXaggDataEmph 2 5" xfId="15965"/>
    <cellStyle name="SAPBEXaggDataEmph 2 5 2" xfId="15966"/>
    <cellStyle name="SAPBEXaggDataEmph 2 5 2 2" xfId="35780"/>
    <cellStyle name="SAPBEXaggDataEmph 2 5 3" xfId="15967"/>
    <cellStyle name="SAPBEXaggDataEmph 2 5 3 2" xfId="35781"/>
    <cellStyle name="SAPBEXaggDataEmph 2 5 4" xfId="35779"/>
    <cellStyle name="SAPBEXaggDataEmph 2 6" xfId="15968"/>
    <cellStyle name="SAPBEXaggDataEmph 2 6 2" xfId="15969"/>
    <cellStyle name="SAPBEXaggDataEmph 2 6 2 2" xfId="35783"/>
    <cellStyle name="SAPBEXaggDataEmph 2 6 3" xfId="15970"/>
    <cellStyle name="SAPBEXaggDataEmph 2 6 3 2" xfId="35784"/>
    <cellStyle name="SAPBEXaggDataEmph 2 6 4" xfId="35782"/>
    <cellStyle name="SAPBEXaggDataEmph 2 7" xfId="15971"/>
    <cellStyle name="SAPBEXaggDataEmph 2 7 2" xfId="35785"/>
    <cellStyle name="SAPBEXaggDataEmph 2 8" xfId="15972"/>
    <cellStyle name="SAPBEXaggDataEmph 2 8 2" xfId="35786"/>
    <cellStyle name="SAPBEXaggDataEmph 2 9" xfId="27372"/>
    <cellStyle name="SAPBEXaggDataEmph 3" xfId="4078"/>
    <cellStyle name="SAPBEXaggDataEmph 3 2" xfId="15973"/>
    <cellStyle name="SAPBEXaggDataEmph 3 2 2" xfId="15974"/>
    <cellStyle name="SAPBEXaggDataEmph 3 2 2 2" xfId="35788"/>
    <cellStyle name="SAPBEXaggDataEmph 3 2 3" xfId="15975"/>
    <cellStyle name="SAPBEXaggDataEmph 3 2 3 2" xfId="35789"/>
    <cellStyle name="SAPBEXaggDataEmph 3 2 4" xfId="35787"/>
    <cellStyle name="SAPBEXaggDataEmph 3 3" xfId="15976"/>
    <cellStyle name="SAPBEXaggDataEmph 3 3 2" xfId="15977"/>
    <cellStyle name="SAPBEXaggDataEmph 3 3 2 2" xfId="35791"/>
    <cellStyle name="SAPBEXaggDataEmph 3 3 3" xfId="15978"/>
    <cellStyle name="SAPBEXaggDataEmph 3 3 3 2" xfId="35792"/>
    <cellStyle name="SAPBEXaggDataEmph 3 3 4" xfId="35790"/>
    <cellStyle name="SAPBEXaggDataEmph 3 4" xfId="15979"/>
    <cellStyle name="SAPBEXaggDataEmph 3 4 2" xfId="15980"/>
    <cellStyle name="SAPBEXaggDataEmph 3 4 2 2" xfId="35794"/>
    <cellStyle name="SAPBEXaggDataEmph 3 4 3" xfId="15981"/>
    <cellStyle name="SAPBEXaggDataEmph 3 4 3 2" xfId="35795"/>
    <cellStyle name="SAPBEXaggDataEmph 3 4 4" xfId="35793"/>
    <cellStyle name="SAPBEXaggDataEmph 3 5" xfId="15982"/>
    <cellStyle name="SAPBEXaggDataEmph 3 5 2" xfId="15983"/>
    <cellStyle name="SAPBEXaggDataEmph 3 5 2 2" xfId="35797"/>
    <cellStyle name="SAPBEXaggDataEmph 3 5 3" xfId="15984"/>
    <cellStyle name="SAPBEXaggDataEmph 3 5 3 2" xfId="35798"/>
    <cellStyle name="SAPBEXaggDataEmph 3 5 4" xfId="35796"/>
    <cellStyle name="SAPBEXaggDataEmph 3 6" xfId="15985"/>
    <cellStyle name="SAPBEXaggDataEmph 3 6 2" xfId="15986"/>
    <cellStyle name="SAPBEXaggDataEmph 3 6 2 2" xfId="35800"/>
    <cellStyle name="SAPBEXaggDataEmph 3 6 3" xfId="15987"/>
    <cellStyle name="SAPBEXaggDataEmph 3 6 3 2" xfId="35801"/>
    <cellStyle name="SAPBEXaggDataEmph 3 6 4" xfId="35799"/>
    <cellStyle name="SAPBEXaggDataEmph 3 7" xfId="15988"/>
    <cellStyle name="SAPBEXaggDataEmph 3 7 2" xfId="35802"/>
    <cellStyle name="SAPBEXaggDataEmph 3 8" xfId="15989"/>
    <cellStyle name="SAPBEXaggDataEmph 3 8 2" xfId="35803"/>
    <cellStyle name="SAPBEXaggDataEmph 3 9" xfId="19863"/>
    <cellStyle name="SAPBEXaggDataEmph 4" xfId="5650"/>
    <cellStyle name="SAPBEXaggDataEmph 4 2" xfId="15990"/>
    <cellStyle name="SAPBEXaggDataEmph 4 2 2" xfId="15991"/>
    <cellStyle name="SAPBEXaggDataEmph 4 2 2 2" xfId="35805"/>
    <cellStyle name="SAPBEXaggDataEmph 4 2 3" xfId="15992"/>
    <cellStyle name="SAPBEXaggDataEmph 4 2 3 2" xfId="35806"/>
    <cellStyle name="SAPBEXaggDataEmph 4 2 4" xfId="35804"/>
    <cellStyle name="SAPBEXaggDataEmph 4 3" xfId="15993"/>
    <cellStyle name="SAPBEXaggDataEmph 4 3 2" xfId="15994"/>
    <cellStyle name="SAPBEXaggDataEmph 4 3 2 2" xfId="35808"/>
    <cellStyle name="SAPBEXaggDataEmph 4 3 3" xfId="15995"/>
    <cellStyle name="SAPBEXaggDataEmph 4 3 3 2" xfId="35809"/>
    <cellStyle name="SAPBEXaggDataEmph 4 3 4" xfId="35807"/>
    <cellStyle name="SAPBEXaggDataEmph 4 4" xfId="15996"/>
    <cellStyle name="SAPBEXaggDataEmph 4 4 2" xfId="15997"/>
    <cellStyle name="SAPBEXaggDataEmph 4 4 2 2" xfId="35811"/>
    <cellStyle name="SAPBEXaggDataEmph 4 4 3" xfId="15998"/>
    <cellStyle name="SAPBEXaggDataEmph 4 4 3 2" xfId="35812"/>
    <cellStyle name="SAPBEXaggDataEmph 4 4 4" xfId="35810"/>
    <cellStyle name="SAPBEXaggDataEmph 4 5" xfId="15999"/>
    <cellStyle name="SAPBEXaggDataEmph 4 5 2" xfId="16000"/>
    <cellStyle name="SAPBEXaggDataEmph 4 5 2 2" xfId="35814"/>
    <cellStyle name="SAPBEXaggDataEmph 4 5 3" xfId="16001"/>
    <cellStyle name="SAPBEXaggDataEmph 4 5 3 2" xfId="35815"/>
    <cellStyle name="SAPBEXaggDataEmph 4 5 4" xfId="35813"/>
    <cellStyle name="SAPBEXaggDataEmph 4 6" xfId="16002"/>
    <cellStyle name="SAPBEXaggDataEmph 4 6 2" xfId="16003"/>
    <cellStyle name="SAPBEXaggDataEmph 4 6 2 2" xfId="35817"/>
    <cellStyle name="SAPBEXaggDataEmph 4 6 3" xfId="16004"/>
    <cellStyle name="SAPBEXaggDataEmph 4 6 3 2" xfId="35818"/>
    <cellStyle name="SAPBEXaggDataEmph 4 6 4" xfId="35816"/>
    <cellStyle name="SAPBEXaggDataEmph 4 7" xfId="16005"/>
    <cellStyle name="SAPBEXaggDataEmph 4 7 2" xfId="35819"/>
    <cellStyle name="SAPBEXaggDataEmph 4 8" xfId="16006"/>
    <cellStyle name="SAPBEXaggDataEmph 4 8 2" xfId="35820"/>
    <cellStyle name="SAPBEXaggDataEmph 4 9" xfId="21057"/>
    <cellStyle name="SAPBEXaggDataEmph 5" xfId="16007"/>
    <cellStyle name="SAPBEXaggDataEmph 5 2" xfId="16008"/>
    <cellStyle name="SAPBEXaggDataEmph 5 2 2" xfId="35822"/>
    <cellStyle name="SAPBEXaggDataEmph 5 3" xfId="16009"/>
    <cellStyle name="SAPBEXaggDataEmph 5 3 2" xfId="35823"/>
    <cellStyle name="SAPBEXaggDataEmph 5 4" xfId="35821"/>
    <cellStyle name="SAPBEXaggDataEmph 6" xfId="16010"/>
    <cellStyle name="SAPBEXaggDataEmph 6 2" xfId="16011"/>
    <cellStyle name="SAPBEXaggDataEmph 6 2 2" xfId="35825"/>
    <cellStyle name="SAPBEXaggDataEmph 6 3" xfId="16012"/>
    <cellStyle name="SAPBEXaggDataEmph 6 3 2" xfId="35826"/>
    <cellStyle name="SAPBEXaggDataEmph 6 4" xfId="35824"/>
    <cellStyle name="SAPBEXaggDataEmph 7" xfId="16013"/>
    <cellStyle name="SAPBEXaggDataEmph 7 2" xfId="16014"/>
    <cellStyle name="SAPBEXaggDataEmph 7 2 2" xfId="35828"/>
    <cellStyle name="SAPBEXaggDataEmph 7 3" xfId="16015"/>
    <cellStyle name="SAPBEXaggDataEmph 7 3 2" xfId="35829"/>
    <cellStyle name="SAPBEXaggDataEmph 7 4" xfId="35827"/>
    <cellStyle name="SAPBEXaggDataEmph 8" xfId="16016"/>
    <cellStyle name="SAPBEXaggDataEmph 8 2" xfId="35830"/>
    <cellStyle name="SAPBEXaggDataEmph 9" xfId="16017"/>
    <cellStyle name="SAPBEXaggDataEmph 9 2" xfId="35831"/>
    <cellStyle name="SAPBEXaggItem" xfId="3856"/>
    <cellStyle name="SAPBEXaggItem 10" xfId="19880"/>
    <cellStyle name="SAPBEXaggItem 2" xfId="4535"/>
    <cellStyle name="SAPBEXaggItem 2 2" xfId="16018"/>
    <cellStyle name="SAPBEXaggItem 2 2 2" xfId="16019"/>
    <cellStyle name="SAPBEXaggItem 2 2 2 2" xfId="35833"/>
    <cellStyle name="SAPBEXaggItem 2 2 3" xfId="16020"/>
    <cellStyle name="SAPBEXaggItem 2 2 3 2" xfId="35834"/>
    <cellStyle name="SAPBEXaggItem 2 2 4" xfId="35832"/>
    <cellStyle name="SAPBEXaggItem 2 3" xfId="16021"/>
    <cellStyle name="SAPBEXaggItem 2 3 2" xfId="16022"/>
    <cellStyle name="SAPBEXaggItem 2 3 2 2" xfId="35836"/>
    <cellStyle name="SAPBEXaggItem 2 3 3" xfId="16023"/>
    <cellStyle name="SAPBEXaggItem 2 3 3 2" xfId="35837"/>
    <cellStyle name="SAPBEXaggItem 2 3 4" xfId="35835"/>
    <cellStyle name="SAPBEXaggItem 2 4" xfId="16024"/>
    <cellStyle name="SAPBEXaggItem 2 4 2" xfId="16025"/>
    <cellStyle name="SAPBEXaggItem 2 4 2 2" xfId="35839"/>
    <cellStyle name="SAPBEXaggItem 2 4 3" xfId="16026"/>
    <cellStyle name="SAPBEXaggItem 2 4 3 2" xfId="35840"/>
    <cellStyle name="SAPBEXaggItem 2 4 4" xfId="35838"/>
    <cellStyle name="SAPBEXaggItem 2 5" xfId="16027"/>
    <cellStyle name="SAPBEXaggItem 2 5 2" xfId="16028"/>
    <cellStyle name="SAPBEXaggItem 2 5 2 2" xfId="35842"/>
    <cellStyle name="SAPBEXaggItem 2 5 3" xfId="16029"/>
    <cellStyle name="SAPBEXaggItem 2 5 3 2" xfId="35843"/>
    <cellStyle name="SAPBEXaggItem 2 5 4" xfId="35841"/>
    <cellStyle name="SAPBEXaggItem 2 6" xfId="16030"/>
    <cellStyle name="SAPBEXaggItem 2 6 2" xfId="16031"/>
    <cellStyle name="SAPBEXaggItem 2 6 2 2" xfId="35845"/>
    <cellStyle name="SAPBEXaggItem 2 6 3" xfId="16032"/>
    <cellStyle name="SAPBEXaggItem 2 6 3 2" xfId="35846"/>
    <cellStyle name="SAPBEXaggItem 2 6 4" xfId="35844"/>
    <cellStyle name="SAPBEXaggItem 2 7" xfId="16033"/>
    <cellStyle name="SAPBEXaggItem 2 7 2" xfId="35847"/>
    <cellStyle name="SAPBEXaggItem 2 8" xfId="16034"/>
    <cellStyle name="SAPBEXaggItem 2 8 2" xfId="35848"/>
    <cellStyle name="SAPBEXaggItem 2 9" xfId="27048"/>
    <cellStyle name="SAPBEXaggItem 3" xfId="4060"/>
    <cellStyle name="SAPBEXaggItem 3 2" xfId="16035"/>
    <cellStyle name="SAPBEXaggItem 3 2 2" xfId="16036"/>
    <cellStyle name="SAPBEXaggItem 3 2 2 2" xfId="35850"/>
    <cellStyle name="SAPBEXaggItem 3 2 3" xfId="16037"/>
    <cellStyle name="SAPBEXaggItem 3 2 3 2" xfId="35851"/>
    <cellStyle name="SAPBEXaggItem 3 2 4" xfId="35849"/>
    <cellStyle name="SAPBEXaggItem 3 3" xfId="16038"/>
    <cellStyle name="SAPBEXaggItem 3 3 2" xfId="16039"/>
    <cellStyle name="SAPBEXaggItem 3 3 2 2" xfId="35853"/>
    <cellStyle name="SAPBEXaggItem 3 3 3" xfId="16040"/>
    <cellStyle name="SAPBEXaggItem 3 3 3 2" xfId="35854"/>
    <cellStyle name="SAPBEXaggItem 3 3 4" xfId="35852"/>
    <cellStyle name="SAPBEXaggItem 3 4" xfId="16041"/>
    <cellStyle name="SAPBEXaggItem 3 4 2" xfId="16042"/>
    <cellStyle name="SAPBEXaggItem 3 4 2 2" xfId="35856"/>
    <cellStyle name="SAPBEXaggItem 3 4 3" xfId="16043"/>
    <cellStyle name="SAPBEXaggItem 3 4 3 2" xfId="35857"/>
    <cellStyle name="SAPBEXaggItem 3 4 4" xfId="35855"/>
    <cellStyle name="SAPBEXaggItem 3 5" xfId="16044"/>
    <cellStyle name="SAPBEXaggItem 3 5 2" xfId="16045"/>
    <cellStyle name="SAPBEXaggItem 3 5 2 2" xfId="35859"/>
    <cellStyle name="SAPBEXaggItem 3 5 3" xfId="16046"/>
    <cellStyle name="SAPBEXaggItem 3 5 3 2" xfId="35860"/>
    <cellStyle name="SAPBEXaggItem 3 5 4" xfId="35858"/>
    <cellStyle name="SAPBEXaggItem 3 6" xfId="16047"/>
    <cellStyle name="SAPBEXaggItem 3 6 2" xfId="16048"/>
    <cellStyle name="SAPBEXaggItem 3 6 2 2" xfId="35862"/>
    <cellStyle name="SAPBEXaggItem 3 6 3" xfId="16049"/>
    <cellStyle name="SAPBEXaggItem 3 6 3 2" xfId="35863"/>
    <cellStyle name="SAPBEXaggItem 3 6 4" xfId="35861"/>
    <cellStyle name="SAPBEXaggItem 3 7" xfId="16050"/>
    <cellStyle name="SAPBEXaggItem 3 7 2" xfId="35864"/>
    <cellStyle name="SAPBEXaggItem 3 8" xfId="16051"/>
    <cellStyle name="SAPBEXaggItem 3 8 2" xfId="35865"/>
    <cellStyle name="SAPBEXaggItem 3 9" xfId="19871"/>
    <cellStyle name="SAPBEXaggItem 4" xfId="5651"/>
    <cellStyle name="SAPBEXaggItem 4 2" xfId="16052"/>
    <cellStyle name="SAPBEXaggItem 4 2 2" xfId="16053"/>
    <cellStyle name="SAPBEXaggItem 4 2 2 2" xfId="35867"/>
    <cellStyle name="SAPBEXaggItem 4 2 3" xfId="16054"/>
    <cellStyle name="SAPBEXaggItem 4 2 3 2" xfId="35868"/>
    <cellStyle name="SAPBEXaggItem 4 2 4" xfId="35866"/>
    <cellStyle name="SAPBEXaggItem 4 3" xfId="16055"/>
    <cellStyle name="SAPBEXaggItem 4 3 2" xfId="16056"/>
    <cellStyle name="SAPBEXaggItem 4 3 2 2" xfId="35870"/>
    <cellStyle name="SAPBEXaggItem 4 3 3" xfId="16057"/>
    <cellStyle name="SAPBEXaggItem 4 3 3 2" xfId="35871"/>
    <cellStyle name="SAPBEXaggItem 4 3 4" xfId="35869"/>
    <cellStyle name="SAPBEXaggItem 4 4" xfId="16058"/>
    <cellStyle name="SAPBEXaggItem 4 4 2" xfId="16059"/>
    <cellStyle name="SAPBEXaggItem 4 4 2 2" xfId="35873"/>
    <cellStyle name="SAPBEXaggItem 4 4 3" xfId="16060"/>
    <cellStyle name="SAPBEXaggItem 4 4 3 2" xfId="35874"/>
    <cellStyle name="SAPBEXaggItem 4 4 4" xfId="35872"/>
    <cellStyle name="SAPBEXaggItem 4 5" xfId="16061"/>
    <cellStyle name="SAPBEXaggItem 4 5 2" xfId="16062"/>
    <cellStyle name="SAPBEXaggItem 4 5 2 2" xfId="35876"/>
    <cellStyle name="SAPBEXaggItem 4 5 3" xfId="16063"/>
    <cellStyle name="SAPBEXaggItem 4 5 3 2" xfId="35877"/>
    <cellStyle name="SAPBEXaggItem 4 5 4" xfId="35875"/>
    <cellStyle name="SAPBEXaggItem 4 6" xfId="16064"/>
    <cellStyle name="SAPBEXaggItem 4 6 2" xfId="16065"/>
    <cellStyle name="SAPBEXaggItem 4 6 2 2" xfId="35879"/>
    <cellStyle name="SAPBEXaggItem 4 6 3" xfId="16066"/>
    <cellStyle name="SAPBEXaggItem 4 6 3 2" xfId="35880"/>
    <cellStyle name="SAPBEXaggItem 4 6 4" xfId="35878"/>
    <cellStyle name="SAPBEXaggItem 4 7" xfId="16067"/>
    <cellStyle name="SAPBEXaggItem 4 7 2" xfId="35881"/>
    <cellStyle name="SAPBEXaggItem 4 8" xfId="16068"/>
    <cellStyle name="SAPBEXaggItem 4 8 2" xfId="35882"/>
    <cellStyle name="SAPBEXaggItem 4 9" xfId="19705"/>
    <cellStyle name="SAPBEXaggItem 5" xfId="16069"/>
    <cellStyle name="SAPBEXaggItem 5 2" xfId="16070"/>
    <cellStyle name="SAPBEXaggItem 5 2 2" xfId="35884"/>
    <cellStyle name="SAPBEXaggItem 5 3" xfId="16071"/>
    <cellStyle name="SAPBEXaggItem 5 3 2" xfId="35885"/>
    <cellStyle name="SAPBEXaggItem 5 4" xfId="35883"/>
    <cellStyle name="SAPBEXaggItem 6" xfId="16072"/>
    <cellStyle name="SAPBEXaggItem 6 2" xfId="16073"/>
    <cellStyle name="SAPBEXaggItem 6 2 2" xfId="35887"/>
    <cellStyle name="SAPBEXaggItem 6 3" xfId="16074"/>
    <cellStyle name="SAPBEXaggItem 6 3 2" xfId="35888"/>
    <cellStyle name="SAPBEXaggItem 6 4" xfId="35886"/>
    <cellStyle name="SAPBEXaggItem 7" xfId="16075"/>
    <cellStyle name="SAPBEXaggItem 7 2" xfId="16076"/>
    <cellStyle name="SAPBEXaggItem 7 2 2" xfId="35890"/>
    <cellStyle name="SAPBEXaggItem 7 3" xfId="16077"/>
    <cellStyle name="SAPBEXaggItem 7 3 2" xfId="35891"/>
    <cellStyle name="SAPBEXaggItem 7 4" xfId="35889"/>
    <cellStyle name="SAPBEXaggItem 8" xfId="16078"/>
    <cellStyle name="SAPBEXaggItem 8 2" xfId="35892"/>
    <cellStyle name="SAPBEXaggItem 9" xfId="16079"/>
    <cellStyle name="SAPBEXaggItem 9 2" xfId="35893"/>
    <cellStyle name="SAPBEXaggItemX" xfId="3857"/>
    <cellStyle name="SAPBEXaggItemX 10" xfId="21141"/>
    <cellStyle name="SAPBEXaggItemX 2" xfId="4069"/>
    <cellStyle name="SAPBEXaggItemX 2 2" xfId="16080"/>
    <cellStyle name="SAPBEXaggItemX 2 2 2" xfId="16081"/>
    <cellStyle name="SAPBEXaggItemX 2 2 2 2" xfId="35895"/>
    <cellStyle name="SAPBEXaggItemX 2 2 3" xfId="16082"/>
    <cellStyle name="SAPBEXaggItemX 2 2 3 2" xfId="35896"/>
    <cellStyle name="SAPBEXaggItemX 2 2 4" xfId="35894"/>
    <cellStyle name="SAPBEXaggItemX 2 3" xfId="16083"/>
    <cellStyle name="SAPBEXaggItemX 2 3 2" xfId="16084"/>
    <cellStyle name="SAPBEXaggItemX 2 3 2 2" xfId="35898"/>
    <cellStyle name="SAPBEXaggItemX 2 3 3" xfId="16085"/>
    <cellStyle name="SAPBEXaggItemX 2 3 3 2" xfId="35899"/>
    <cellStyle name="SAPBEXaggItemX 2 3 4" xfId="35897"/>
    <cellStyle name="SAPBEXaggItemX 2 4" xfId="16086"/>
    <cellStyle name="SAPBEXaggItemX 2 4 2" xfId="16087"/>
    <cellStyle name="SAPBEXaggItemX 2 4 2 2" xfId="35901"/>
    <cellStyle name="SAPBEXaggItemX 2 4 3" xfId="16088"/>
    <cellStyle name="SAPBEXaggItemX 2 4 3 2" xfId="35902"/>
    <cellStyle name="SAPBEXaggItemX 2 4 4" xfId="35900"/>
    <cellStyle name="SAPBEXaggItemX 2 5" xfId="16089"/>
    <cellStyle name="SAPBEXaggItemX 2 5 2" xfId="16090"/>
    <cellStyle name="SAPBEXaggItemX 2 5 2 2" xfId="35904"/>
    <cellStyle name="SAPBEXaggItemX 2 5 3" xfId="16091"/>
    <cellStyle name="SAPBEXaggItemX 2 5 3 2" xfId="35905"/>
    <cellStyle name="SAPBEXaggItemX 2 5 4" xfId="35903"/>
    <cellStyle name="SAPBEXaggItemX 2 6" xfId="16092"/>
    <cellStyle name="SAPBEXaggItemX 2 6 2" xfId="16093"/>
    <cellStyle name="SAPBEXaggItemX 2 6 2 2" xfId="35907"/>
    <cellStyle name="SAPBEXaggItemX 2 6 3" xfId="16094"/>
    <cellStyle name="SAPBEXaggItemX 2 6 3 2" xfId="35908"/>
    <cellStyle name="SAPBEXaggItemX 2 6 4" xfId="35906"/>
    <cellStyle name="SAPBEXaggItemX 2 7" xfId="16095"/>
    <cellStyle name="SAPBEXaggItemX 2 7 2" xfId="35909"/>
    <cellStyle name="SAPBEXaggItemX 2 8" xfId="16096"/>
    <cellStyle name="SAPBEXaggItemX 2 8 2" xfId="35910"/>
    <cellStyle name="SAPBEXaggItemX 2 9" xfId="19866"/>
    <cellStyle name="SAPBEXaggItemX 3" xfId="4552"/>
    <cellStyle name="SAPBEXaggItemX 3 2" xfId="16097"/>
    <cellStyle name="SAPBEXaggItemX 3 2 2" xfId="16098"/>
    <cellStyle name="SAPBEXaggItemX 3 2 2 2" xfId="35912"/>
    <cellStyle name="SAPBEXaggItemX 3 2 3" xfId="16099"/>
    <cellStyle name="SAPBEXaggItemX 3 2 3 2" xfId="35913"/>
    <cellStyle name="SAPBEXaggItemX 3 2 4" xfId="35911"/>
    <cellStyle name="SAPBEXaggItemX 3 3" xfId="16100"/>
    <cellStyle name="SAPBEXaggItemX 3 3 2" xfId="16101"/>
    <cellStyle name="SAPBEXaggItemX 3 3 2 2" xfId="35915"/>
    <cellStyle name="SAPBEXaggItemX 3 3 3" xfId="16102"/>
    <cellStyle name="SAPBEXaggItemX 3 3 3 2" xfId="35916"/>
    <cellStyle name="SAPBEXaggItemX 3 3 4" xfId="35914"/>
    <cellStyle name="SAPBEXaggItemX 3 4" xfId="16103"/>
    <cellStyle name="SAPBEXaggItemX 3 4 2" xfId="16104"/>
    <cellStyle name="SAPBEXaggItemX 3 4 2 2" xfId="35918"/>
    <cellStyle name="SAPBEXaggItemX 3 4 3" xfId="16105"/>
    <cellStyle name="SAPBEXaggItemX 3 4 3 2" xfId="35919"/>
    <cellStyle name="SAPBEXaggItemX 3 4 4" xfId="35917"/>
    <cellStyle name="SAPBEXaggItemX 3 5" xfId="16106"/>
    <cellStyle name="SAPBEXaggItemX 3 5 2" xfId="16107"/>
    <cellStyle name="SAPBEXaggItemX 3 5 2 2" xfId="35921"/>
    <cellStyle name="SAPBEXaggItemX 3 5 3" xfId="16108"/>
    <cellStyle name="SAPBEXaggItemX 3 5 3 2" xfId="35922"/>
    <cellStyle name="SAPBEXaggItemX 3 5 4" xfId="35920"/>
    <cellStyle name="SAPBEXaggItemX 3 6" xfId="16109"/>
    <cellStyle name="SAPBEXaggItemX 3 6 2" xfId="16110"/>
    <cellStyle name="SAPBEXaggItemX 3 6 2 2" xfId="35924"/>
    <cellStyle name="SAPBEXaggItemX 3 6 3" xfId="16111"/>
    <cellStyle name="SAPBEXaggItemX 3 6 3 2" xfId="35925"/>
    <cellStyle name="SAPBEXaggItemX 3 6 4" xfId="35923"/>
    <cellStyle name="SAPBEXaggItemX 3 7" xfId="16112"/>
    <cellStyle name="SAPBEXaggItemX 3 7 2" xfId="35926"/>
    <cellStyle name="SAPBEXaggItemX 3 8" xfId="16113"/>
    <cellStyle name="SAPBEXaggItemX 3 8 2" xfId="35927"/>
    <cellStyle name="SAPBEXaggItemX 3 9" xfId="27042"/>
    <cellStyle name="SAPBEXaggItemX 4" xfId="5652"/>
    <cellStyle name="SAPBEXaggItemX 4 2" xfId="16114"/>
    <cellStyle name="SAPBEXaggItemX 4 2 2" xfId="16115"/>
    <cellStyle name="SAPBEXaggItemX 4 2 2 2" xfId="35929"/>
    <cellStyle name="SAPBEXaggItemX 4 2 3" xfId="16116"/>
    <cellStyle name="SAPBEXaggItemX 4 2 3 2" xfId="35930"/>
    <cellStyle name="SAPBEXaggItemX 4 2 4" xfId="35928"/>
    <cellStyle name="SAPBEXaggItemX 4 3" xfId="16117"/>
    <cellStyle name="SAPBEXaggItemX 4 3 2" xfId="16118"/>
    <cellStyle name="SAPBEXaggItemX 4 3 2 2" xfId="35932"/>
    <cellStyle name="SAPBEXaggItemX 4 3 3" xfId="16119"/>
    <cellStyle name="SAPBEXaggItemX 4 3 3 2" xfId="35933"/>
    <cellStyle name="SAPBEXaggItemX 4 3 4" xfId="35931"/>
    <cellStyle name="SAPBEXaggItemX 4 4" xfId="16120"/>
    <cellStyle name="SAPBEXaggItemX 4 4 2" xfId="16121"/>
    <cellStyle name="SAPBEXaggItemX 4 4 2 2" xfId="35935"/>
    <cellStyle name="SAPBEXaggItemX 4 4 3" xfId="16122"/>
    <cellStyle name="SAPBEXaggItemX 4 4 3 2" xfId="35936"/>
    <cellStyle name="SAPBEXaggItemX 4 4 4" xfId="35934"/>
    <cellStyle name="SAPBEXaggItemX 4 5" xfId="16123"/>
    <cellStyle name="SAPBEXaggItemX 4 5 2" xfId="16124"/>
    <cellStyle name="SAPBEXaggItemX 4 5 2 2" xfId="35938"/>
    <cellStyle name="SAPBEXaggItemX 4 5 3" xfId="16125"/>
    <cellStyle name="SAPBEXaggItemX 4 5 3 2" xfId="35939"/>
    <cellStyle name="SAPBEXaggItemX 4 5 4" xfId="35937"/>
    <cellStyle name="SAPBEXaggItemX 4 6" xfId="16126"/>
    <cellStyle name="SAPBEXaggItemX 4 6 2" xfId="16127"/>
    <cellStyle name="SAPBEXaggItemX 4 6 2 2" xfId="35941"/>
    <cellStyle name="SAPBEXaggItemX 4 6 3" xfId="16128"/>
    <cellStyle name="SAPBEXaggItemX 4 6 3 2" xfId="35942"/>
    <cellStyle name="SAPBEXaggItemX 4 6 4" xfId="35940"/>
    <cellStyle name="SAPBEXaggItemX 4 7" xfId="16129"/>
    <cellStyle name="SAPBEXaggItemX 4 7 2" xfId="35943"/>
    <cellStyle name="SAPBEXaggItemX 4 8" xfId="16130"/>
    <cellStyle name="SAPBEXaggItemX 4 8 2" xfId="35944"/>
    <cellStyle name="SAPBEXaggItemX 4 9" xfId="19704"/>
    <cellStyle name="SAPBEXaggItemX 5" xfId="16131"/>
    <cellStyle name="SAPBEXaggItemX 5 2" xfId="16132"/>
    <cellStyle name="SAPBEXaggItemX 5 2 2" xfId="35946"/>
    <cellStyle name="SAPBEXaggItemX 5 3" xfId="16133"/>
    <cellStyle name="SAPBEXaggItemX 5 3 2" xfId="35947"/>
    <cellStyle name="SAPBEXaggItemX 5 4" xfId="35945"/>
    <cellStyle name="SAPBEXaggItemX 6" xfId="16134"/>
    <cellStyle name="SAPBEXaggItemX 6 2" xfId="16135"/>
    <cellStyle name="SAPBEXaggItemX 6 2 2" xfId="35949"/>
    <cellStyle name="SAPBEXaggItemX 6 3" xfId="16136"/>
    <cellStyle name="SAPBEXaggItemX 6 3 2" xfId="35950"/>
    <cellStyle name="SAPBEXaggItemX 6 4" xfId="35948"/>
    <cellStyle name="SAPBEXaggItemX 7" xfId="16137"/>
    <cellStyle name="SAPBEXaggItemX 7 2" xfId="16138"/>
    <cellStyle name="SAPBEXaggItemX 7 2 2" xfId="35952"/>
    <cellStyle name="SAPBEXaggItemX 7 3" xfId="16139"/>
    <cellStyle name="SAPBEXaggItemX 7 3 2" xfId="35953"/>
    <cellStyle name="SAPBEXaggItemX 7 4" xfId="35951"/>
    <cellStyle name="SAPBEXaggItemX 8" xfId="16140"/>
    <cellStyle name="SAPBEXaggItemX 8 2" xfId="35954"/>
    <cellStyle name="SAPBEXaggItemX 9" xfId="16141"/>
    <cellStyle name="SAPBEXaggItemX 9 2" xfId="35955"/>
    <cellStyle name="SAPBEXchaText" xfId="3858"/>
    <cellStyle name="SAPBEXchaText 2" xfId="5653"/>
    <cellStyle name="SAPBEXchaText 2 2" xfId="16142"/>
    <cellStyle name="SAPBEXchaText 2 2 2" xfId="16143"/>
    <cellStyle name="SAPBEXchaText 2 2 2 2" xfId="30557"/>
    <cellStyle name="SAPBEXchaText 2 2 2 3" xfId="35957"/>
    <cellStyle name="SAPBEXchaText 2 2 3" xfId="30556"/>
    <cellStyle name="SAPBEXchaText 2 2 4" xfId="35956"/>
    <cellStyle name="SAPBEXchaText 2 3" xfId="16144"/>
    <cellStyle name="SAPBEXchaText 2 3 2" xfId="30558"/>
    <cellStyle name="SAPBEXchaText 2 3 3" xfId="35958"/>
    <cellStyle name="SAPBEXchaText 2 4" xfId="21485"/>
    <cellStyle name="SAPBEXchaText 2 5" xfId="19703"/>
    <cellStyle name="SAPBEXchaText 3" xfId="5654"/>
    <cellStyle name="SAPBEXchaText 3 2" xfId="16145"/>
    <cellStyle name="SAPBEXchaText 3 2 2" xfId="16146"/>
    <cellStyle name="SAPBEXchaText 3 2 2 2" xfId="30560"/>
    <cellStyle name="SAPBEXchaText 3 2 2 3" xfId="35960"/>
    <cellStyle name="SAPBEXchaText 3 2 3" xfId="30559"/>
    <cellStyle name="SAPBEXchaText 3 2 4" xfId="35959"/>
    <cellStyle name="SAPBEXchaText 3 3" xfId="16147"/>
    <cellStyle name="SAPBEXchaText 3 3 2" xfId="30561"/>
    <cellStyle name="SAPBEXchaText 3 3 3" xfId="35961"/>
    <cellStyle name="SAPBEXchaText 3 4" xfId="21486"/>
    <cellStyle name="SAPBEXchaText 3 5" xfId="19702"/>
    <cellStyle name="SAPBEXchaText 4" xfId="5655"/>
    <cellStyle name="SAPBEXchaText 4 2" xfId="16148"/>
    <cellStyle name="SAPBEXchaText 4 2 2" xfId="16149"/>
    <cellStyle name="SAPBEXchaText 4 2 2 2" xfId="30563"/>
    <cellStyle name="SAPBEXchaText 4 2 2 3" xfId="35963"/>
    <cellStyle name="SAPBEXchaText 4 2 3" xfId="16150"/>
    <cellStyle name="SAPBEXchaText 4 2 3 2" xfId="30564"/>
    <cellStyle name="SAPBEXchaText 4 2 3 3" xfId="35964"/>
    <cellStyle name="SAPBEXchaText 4 2 4" xfId="30562"/>
    <cellStyle name="SAPBEXchaText 4 2 5" xfId="35962"/>
    <cellStyle name="SAPBEXchaText 4 3" xfId="16151"/>
    <cellStyle name="SAPBEXchaText 4 3 2" xfId="16152"/>
    <cellStyle name="SAPBEXchaText 4 3 2 2" xfId="30566"/>
    <cellStyle name="SAPBEXchaText 4 3 2 3" xfId="35966"/>
    <cellStyle name="SAPBEXchaText 4 3 3" xfId="30565"/>
    <cellStyle name="SAPBEXchaText 4 3 4" xfId="35965"/>
    <cellStyle name="SAPBEXchaText 4 4" xfId="16153"/>
    <cellStyle name="SAPBEXchaText 4 4 2" xfId="30567"/>
    <cellStyle name="SAPBEXchaText 4 4 3" xfId="35967"/>
    <cellStyle name="SAPBEXchaText 4 5" xfId="21487"/>
    <cellStyle name="SAPBEXchaText 4 6" xfId="19701"/>
    <cellStyle name="SAPBEXchaText 5" xfId="16154"/>
    <cellStyle name="SAPBEXchaText 5 2" xfId="16155"/>
    <cellStyle name="SAPBEXchaText 5 2 2" xfId="30569"/>
    <cellStyle name="SAPBEXchaText 5 2 3" xfId="35969"/>
    <cellStyle name="SAPBEXchaText 5 3" xfId="30568"/>
    <cellStyle name="SAPBEXchaText 5 4" xfId="35968"/>
    <cellStyle name="SAPBEXchaText 6" xfId="16156"/>
    <cellStyle name="SAPBEXchaText 6 2" xfId="30570"/>
    <cellStyle name="SAPBEXchaText 6 3" xfId="35970"/>
    <cellStyle name="SAPBEXchaText 7" xfId="20074"/>
    <cellStyle name="SAPBEXexcBad7" xfId="3859"/>
    <cellStyle name="SAPBEXexcBad7 10" xfId="19879"/>
    <cellStyle name="SAPBEXexcBad7 2" xfId="4178"/>
    <cellStyle name="SAPBEXexcBad7 2 2" xfId="16157"/>
    <cellStyle name="SAPBEXexcBad7 2 2 2" xfId="16158"/>
    <cellStyle name="SAPBEXexcBad7 2 2 2 2" xfId="35972"/>
    <cellStyle name="SAPBEXexcBad7 2 2 3" xfId="16159"/>
    <cellStyle name="SAPBEXexcBad7 2 2 3 2" xfId="35973"/>
    <cellStyle name="SAPBEXexcBad7 2 2 4" xfId="35971"/>
    <cellStyle name="SAPBEXexcBad7 2 3" xfId="16160"/>
    <cellStyle name="SAPBEXexcBad7 2 3 2" xfId="16161"/>
    <cellStyle name="SAPBEXexcBad7 2 3 2 2" xfId="35975"/>
    <cellStyle name="SAPBEXexcBad7 2 3 3" xfId="16162"/>
    <cellStyle name="SAPBEXexcBad7 2 3 3 2" xfId="35976"/>
    <cellStyle name="SAPBEXexcBad7 2 3 4" xfId="35974"/>
    <cellStyle name="SAPBEXexcBad7 2 4" xfId="16163"/>
    <cellStyle name="SAPBEXexcBad7 2 4 2" xfId="16164"/>
    <cellStyle name="SAPBEXexcBad7 2 4 2 2" xfId="35978"/>
    <cellStyle name="SAPBEXexcBad7 2 4 3" xfId="16165"/>
    <cellStyle name="SAPBEXexcBad7 2 4 3 2" xfId="35979"/>
    <cellStyle name="SAPBEXexcBad7 2 4 4" xfId="35977"/>
    <cellStyle name="SAPBEXexcBad7 2 5" xfId="16166"/>
    <cellStyle name="SAPBEXexcBad7 2 5 2" xfId="16167"/>
    <cellStyle name="SAPBEXexcBad7 2 5 2 2" xfId="35981"/>
    <cellStyle name="SAPBEXexcBad7 2 5 3" xfId="16168"/>
    <cellStyle name="SAPBEXexcBad7 2 5 3 2" xfId="35982"/>
    <cellStyle name="SAPBEXexcBad7 2 5 4" xfId="35980"/>
    <cellStyle name="SAPBEXexcBad7 2 6" xfId="16169"/>
    <cellStyle name="SAPBEXexcBad7 2 6 2" xfId="16170"/>
    <cellStyle name="SAPBEXexcBad7 2 6 2 2" xfId="35984"/>
    <cellStyle name="SAPBEXexcBad7 2 6 3" xfId="16171"/>
    <cellStyle name="SAPBEXexcBad7 2 6 3 2" xfId="35985"/>
    <cellStyle name="SAPBEXexcBad7 2 6 4" xfId="35983"/>
    <cellStyle name="SAPBEXexcBad7 2 7" xfId="16172"/>
    <cellStyle name="SAPBEXexcBad7 2 7 2" xfId="35986"/>
    <cellStyle name="SAPBEXexcBad7 2 8" xfId="16173"/>
    <cellStyle name="SAPBEXexcBad7 2 8 2" xfId="35987"/>
    <cellStyle name="SAPBEXexcBad7 2 9" xfId="27357"/>
    <cellStyle name="SAPBEXexcBad7 3" xfId="4515"/>
    <cellStyle name="SAPBEXexcBad7 3 2" xfId="16174"/>
    <cellStyle name="SAPBEXexcBad7 3 2 2" xfId="16175"/>
    <cellStyle name="SAPBEXexcBad7 3 2 2 2" xfId="35989"/>
    <cellStyle name="SAPBEXexcBad7 3 2 3" xfId="16176"/>
    <cellStyle name="SAPBEXexcBad7 3 2 3 2" xfId="35990"/>
    <cellStyle name="SAPBEXexcBad7 3 2 4" xfId="35988"/>
    <cellStyle name="SAPBEXexcBad7 3 3" xfId="16177"/>
    <cellStyle name="SAPBEXexcBad7 3 3 2" xfId="16178"/>
    <cellStyle name="SAPBEXexcBad7 3 3 2 2" xfId="35992"/>
    <cellStyle name="SAPBEXexcBad7 3 3 3" xfId="16179"/>
    <cellStyle name="SAPBEXexcBad7 3 3 3 2" xfId="35993"/>
    <cellStyle name="SAPBEXexcBad7 3 3 4" xfId="35991"/>
    <cellStyle name="SAPBEXexcBad7 3 4" xfId="16180"/>
    <cellStyle name="SAPBEXexcBad7 3 4 2" xfId="16181"/>
    <cellStyle name="SAPBEXexcBad7 3 4 2 2" xfId="35995"/>
    <cellStyle name="SAPBEXexcBad7 3 4 3" xfId="16182"/>
    <cellStyle name="SAPBEXexcBad7 3 4 3 2" xfId="35996"/>
    <cellStyle name="SAPBEXexcBad7 3 4 4" xfId="35994"/>
    <cellStyle name="SAPBEXexcBad7 3 5" xfId="16183"/>
    <cellStyle name="SAPBEXexcBad7 3 5 2" xfId="16184"/>
    <cellStyle name="SAPBEXexcBad7 3 5 2 2" xfId="35998"/>
    <cellStyle name="SAPBEXexcBad7 3 5 3" xfId="16185"/>
    <cellStyle name="SAPBEXexcBad7 3 5 3 2" xfId="35999"/>
    <cellStyle name="SAPBEXexcBad7 3 5 4" xfId="35997"/>
    <cellStyle name="SAPBEXexcBad7 3 6" xfId="16186"/>
    <cellStyle name="SAPBEXexcBad7 3 6 2" xfId="16187"/>
    <cellStyle name="SAPBEXexcBad7 3 6 2 2" xfId="36001"/>
    <cellStyle name="SAPBEXexcBad7 3 6 3" xfId="16188"/>
    <cellStyle name="SAPBEXexcBad7 3 6 3 2" xfId="36002"/>
    <cellStyle name="SAPBEXexcBad7 3 6 4" xfId="36000"/>
    <cellStyle name="SAPBEXexcBad7 3 7" xfId="16189"/>
    <cellStyle name="SAPBEXexcBad7 3 7 2" xfId="36003"/>
    <cellStyle name="SAPBEXexcBad7 3 8" xfId="16190"/>
    <cellStyle name="SAPBEXexcBad7 3 8 2" xfId="36004"/>
    <cellStyle name="SAPBEXexcBad7 3 9" xfId="27053"/>
    <cellStyle name="SAPBEXexcBad7 4" xfId="5656"/>
    <cellStyle name="SAPBEXexcBad7 4 2" xfId="16191"/>
    <cellStyle name="SAPBEXexcBad7 4 2 2" xfId="16192"/>
    <cellStyle name="SAPBEXexcBad7 4 2 2 2" xfId="36006"/>
    <cellStyle name="SAPBEXexcBad7 4 2 3" xfId="16193"/>
    <cellStyle name="SAPBEXexcBad7 4 2 3 2" xfId="36007"/>
    <cellStyle name="SAPBEXexcBad7 4 2 4" xfId="36005"/>
    <cellStyle name="SAPBEXexcBad7 4 3" xfId="16194"/>
    <cellStyle name="SAPBEXexcBad7 4 3 2" xfId="16195"/>
    <cellStyle name="SAPBEXexcBad7 4 3 2 2" xfId="36009"/>
    <cellStyle name="SAPBEXexcBad7 4 3 3" xfId="16196"/>
    <cellStyle name="SAPBEXexcBad7 4 3 3 2" xfId="36010"/>
    <cellStyle name="SAPBEXexcBad7 4 3 4" xfId="36008"/>
    <cellStyle name="SAPBEXexcBad7 4 4" xfId="16197"/>
    <cellStyle name="SAPBEXexcBad7 4 4 2" xfId="16198"/>
    <cellStyle name="SAPBEXexcBad7 4 4 2 2" xfId="36012"/>
    <cellStyle name="SAPBEXexcBad7 4 4 3" xfId="16199"/>
    <cellStyle name="SAPBEXexcBad7 4 4 3 2" xfId="36013"/>
    <cellStyle name="SAPBEXexcBad7 4 4 4" xfId="36011"/>
    <cellStyle name="SAPBEXexcBad7 4 5" xfId="16200"/>
    <cellStyle name="SAPBEXexcBad7 4 5 2" xfId="16201"/>
    <cellStyle name="SAPBEXexcBad7 4 5 2 2" xfId="36015"/>
    <cellStyle name="SAPBEXexcBad7 4 5 3" xfId="16202"/>
    <cellStyle name="SAPBEXexcBad7 4 5 3 2" xfId="36016"/>
    <cellStyle name="SAPBEXexcBad7 4 5 4" xfId="36014"/>
    <cellStyle name="SAPBEXexcBad7 4 6" xfId="16203"/>
    <cellStyle name="SAPBEXexcBad7 4 6 2" xfId="16204"/>
    <cellStyle name="SAPBEXexcBad7 4 6 2 2" xfId="36018"/>
    <cellStyle name="SAPBEXexcBad7 4 6 3" xfId="16205"/>
    <cellStyle name="SAPBEXexcBad7 4 6 3 2" xfId="36019"/>
    <cellStyle name="SAPBEXexcBad7 4 6 4" xfId="36017"/>
    <cellStyle name="SAPBEXexcBad7 4 7" xfId="16206"/>
    <cellStyle name="SAPBEXexcBad7 4 7 2" xfId="36020"/>
    <cellStyle name="SAPBEXexcBad7 4 8" xfId="16207"/>
    <cellStyle name="SAPBEXexcBad7 4 8 2" xfId="36021"/>
    <cellStyle name="SAPBEXexcBad7 4 9" xfId="19700"/>
    <cellStyle name="SAPBEXexcBad7 5" xfId="16208"/>
    <cellStyle name="SAPBEXexcBad7 5 2" xfId="16209"/>
    <cellStyle name="SAPBEXexcBad7 5 2 2" xfId="36023"/>
    <cellStyle name="SAPBEXexcBad7 5 3" xfId="16210"/>
    <cellStyle name="SAPBEXexcBad7 5 3 2" xfId="36024"/>
    <cellStyle name="SAPBEXexcBad7 5 4" xfId="36022"/>
    <cellStyle name="SAPBEXexcBad7 6" xfId="16211"/>
    <cellStyle name="SAPBEXexcBad7 6 2" xfId="16212"/>
    <cellStyle name="SAPBEXexcBad7 6 2 2" xfId="36026"/>
    <cellStyle name="SAPBEXexcBad7 6 3" xfId="16213"/>
    <cellStyle name="SAPBEXexcBad7 6 3 2" xfId="36027"/>
    <cellStyle name="SAPBEXexcBad7 6 4" xfId="36025"/>
    <cellStyle name="SAPBEXexcBad7 7" xfId="16214"/>
    <cellStyle name="SAPBEXexcBad7 7 2" xfId="16215"/>
    <cellStyle name="SAPBEXexcBad7 7 2 2" xfId="36029"/>
    <cellStyle name="SAPBEXexcBad7 7 3" xfId="16216"/>
    <cellStyle name="SAPBEXexcBad7 7 3 2" xfId="36030"/>
    <cellStyle name="SAPBEXexcBad7 7 4" xfId="36028"/>
    <cellStyle name="SAPBEXexcBad7 8" xfId="16217"/>
    <cellStyle name="SAPBEXexcBad7 8 2" xfId="36031"/>
    <cellStyle name="SAPBEXexcBad7 9" xfId="16218"/>
    <cellStyle name="SAPBEXexcBad7 9 2" xfId="36032"/>
    <cellStyle name="SAPBEXexcBad8" xfId="3860"/>
    <cellStyle name="SAPBEXexcBad8 10" xfId="19878"/>
    <cellStyle name="SAPBEXexcBad8 2" xfId="4054"/>
    <cellStyle name="SAPBEXexcBad8 2 2" xfId="16219"/>
    <cellStyle name="SAPBEXexcBad8 2 2 2" xfId="16220"/>
    <cellStyle name="SAPBEXexcBad8 2 2 2 2" xfId="36034"/>
    <cellStyle name="SAPBEXexcBad8 2 2 3" xfId="16221"/>
    <cellStyle name="SAPBEXexcBad8 2 2 3 2" xfId="36035"/>
    <cellStyle name="SAPBEXexcBad8 2 2 4" xfId="36033"/>
    <cellStyle name="SAPBEXexcBad8 2 3" xfId="16222"/>
    <cellStyle name="SAPBEXexcBad8 2 3 2" xfId="16223"/>
    <cellStyle name="SAPBEXexcBad8 2 3 2 2" xfId="36037"/>
    <cellStyle name="SAPBEXexcBad8 2 3 3" xfId="16224"/>
    <cellStyle name="SAPBEXexcBad8 2 3 3 2" xfId="36038"/>
    <cellStyle name="SAPBEXexcBad8 2 3 4" xfId="36036"/>
    <cellStyle name="SAPBEXexcBad8 2 4" xfId="16225"/>
    <cellStyle name="SAPBEXexcBad8 2 4 2" xfId="16226"/>
    <cellStyle name="SAPBEXexcBad8 2 4 2 2" xfId="36040"/>
    <cellStyle name="SAPBEXexcBad8 2 4 3" xfId="16227"/>
    <cellStyle name="SAPBEXexcBad8 2 4 3 2" xfId="36041"/>
    <cellStyle name="SAPBEXexcBad8 2 4 4" xfId="36039"/>
    <cellStyle name="SAPBEXexcBad8 2 5" xfId="16228"/>
    <cellStyle name="SAPBEXexcBad8 2 5 2" xfId="16229"/>
    <cellStyle name="SAPBEXexcBad8 2 5 2 2" xfId="36043"/>
    <cellStyle name="SAPBEXexcBad8 2 5 3" xfId="16230"/>
    <cellStyle name="SAPBEXexcBad8 2 5 3 2" xfId="36044"/>
    <cellStyle name="SAPBEXexcBad8 2 5 4" xfId="36042"/>
    <cellStyle name="SAPBEXexcBad8 2 6" xfId="16231"/>
    <cellStyle name="SAPBEXexcBad8 2 6 2" xfId="16232"/>
    <cellStyle name="SAPBEXexcBad8 2 6 2 2" xfId="36046"/>
    <cellStyle name="SAPBEXexcBad8 2 6 3" xfId="16233"/>
    <cellStyle name="SAPBEXexcBad8 2 6 3 2" xfId="36047"/>
    <cellStyle name="SAPBEXexcBad8 2 6 4" xfId="36045"/>
    <cellStyle name="SAPBEXexcBad8 2 7" xfId="16234"/>
    <cellStyle name="SAPBEXexcBad8 2 7 2" xfId="36048"/>
    <cellStyle name="SAPBEXexcBad8 2 8" xfId="16235"/>
    <cellStyle name="SAPBEXexcBad8 2 8 2" xfId="36049"/>
    <cellStyle name="SAPBEXexcBad8 2 9" xfId="19873"/>
    <cellStyle name="SAPBEXexcBad8 3" xfId="4391"/>
    <cellStyle name="SAPBEXexcBad8 3 2" xfId="16236"/>
    <cellStyle name="SAPBEXexcBad8 3 2 2" xfId="16237"/>
    <cellStyle name="SAPBEXexcBad8 3 2 2 2" xfId="36051"/>
    <cellStyle name="SAPBEXexcBad8 3 2 3" xfId="16238"/>
    <cellStyle name="SAPBEXexcBad8 3 2 3 2" xfId="36052"/>
    <cellStyle name="SAPBEXexcBad8 3 2 4" xfId="36050"/>
    <cellStyle name="SAPBEXexcBad8 3 3" xfId="16239"/>
    <cellStyle name="SAPBEXexcBad8 3 3 2" xfId="16240"/>
    <cellStyle name="SAPBEXexcBad8 3 3 2 2" xfId="36054"/>
    <cellStyle name="SAPBEXexcBad8 3 3 3" xfId="16241"/>
    <cellStyle name="SAPBEXexcBad8 3 3 3 2" xfId="36055"/>
    <cellStyle name="SAPBEXexcBad8 3 3 4" xfId="36053"/>
    <cellStyle name="SAPBEXexcBad8 3 4" xfId="16242"/>
    <cellStyle name="SAPBEXexcBad8 3 4 2" xfId="16243"/>
    <cellStyle name="SAPBEXexcBad8 3 4 2 2" xfId="36057"/>
    <cellStyle name="SAPBEXexcBad8 3 4 3" xfId="16244"/>
    <cellStyle name="SAPBEXexcBad8 3 4 3 2" xfId="36058"/>
    <cellStyle name="SAPBEXexcBad8 3 4 4" xfId="36056"/>
    <cellStyle name="SAPBEXexcBad8 3 5" xfId="16245"/>
    <cellStyle name="SAPBEXexcBad8 3 5 2" xfId="16246"/>
    <cellStyle name="SAPBEXexcBad8 3 5 2 2" xfId="36060"/>
    <cellStyle name="SAPBEXexcBad8 3 5 3" xfId="16247"/>
    <cellStyle name="SAPBEXexcBad8 3 5 3 2" xfId="36061"/>
    <cellStyle name="SAPBEXexcBad8 3 5 4" xfId="36059"/>
    <cellStyle name="SAPBEXexcBad8 3 6" xfId="16248"/>
    <cellStyle name="SAPBEXexcBad8 3 6 2" xfId="16249"/>
    <cellStyle name="SAPBEXexcBad8 3 6 2 2" xfId="36063"/>
    <cellStyle name="SAPBEXexcBad8 3 6 3" xfId="16250"/>
    <cellStyle name="SAPBEXexcBad8 3 6 3 2" xfId="36064"/>
    <cellStyle name="SAPBEXexcBad8 3 6 4" xfId="36062"/>
    <cellStyle name="SAPBEXexcBad8 3 7" xfId="16251"/>
    <cellStyle name="SAPBEXexcBad8 3 7 2" xfId="36065"/>
    <cellStyle name="SAPBEXexcBad8 3 8" xfId="16252"/>
    <cellStyle name="SAPBEXexcBad8 3 8 2" xfId="36066"/>
    <cellStyle name="SAPBEXexcBad8 3 9" xfId="27092"/>
    <cellStyle name="SAPBEXexcBad8 4" xfId="5657"/>
    <cellStyle name="SAPBEXexcBad8 4 2" xfId="16253"/>
    <cellStyle name="SAPBEXexcBad8 4 2 2" xfId="16254"/>
    <cellStyle name="SAPBEXexcBad8 4 2 2 2" xfId="36068"/>
    <cellStyle name="SAPBEXexcBad8 4 2 3" xfId="16255"/>
    <cellStyle name="SAPBEXexcBad8 4 2 3 2" xfId="36069"/>
    <cellStyle name="SAPBEXexcBad8 4 2 4" xfId="36067"/>
    <cellStyle name="SAPBEXexcBad8 4 3" xfId="16256"/>
    <cellStyle name="SAPBEXexcBad8 4 3 2" xfId="16257"/>
    <cellStyle name="SAPBEXexcBad8 4 3 2 2" xfId="36071"/>
    <cellStyle name="SAPBEXexcBad8 4 3 3" xfId="16258"/>
    <cellStyle name="SAPBEXexcBad8 4 3 3 2" xfId="36072"/>
    <cellStyle name="SAPBEXexcBad8 4 3 4" xfId="36070"/>
    <cellStyle name="SAPBEXexcBad8 4 4" xfId="16259"/>
    <cellStyle name="SAPBEXexcBad8 4 4 2" xfId="16260"/>
    <cellStyle name="SAPBEXexcBad8 4 4 2 2" xfId="36074"/>
    <cellStyle name="SAPBEXexcBad8 4 4 3" xfId="16261"/>
    <cellStyle name="SAPBEXexcBad8 4 4 3 2" xfId="36075"/>
    <cellStyle name="SAPBEXexcBad8 4 4 4" xfId="36073"/>
    <cellStyle name="SAPBEXexcBad8 4 5" xfId="16262"/>
    <cellStyle name="SAPBEXexcBad8 4 5 2" xfId="16263"/>
    <cellStyle name="SAPBEXexcBad8 4 5 2 2" xfId="36077"/>
    <cellStyle name="SAPBEXexcBad8 4 5 3" xfId="16264"/>
    <cellStyle name="SAPBEXexcBad8 4 5 3 2" xfId="36078"/>
    <cellStyle name="SAPBEXexcBad8 4 5 4" xfId="36076"/>
    <cellStyle name="SAPBEXexcBad8 4 6" xfId="16265"/>
    <cellStyle name="SAPBEXexcBad8 4 6 2" xfId="16266"/>
    <cellStyle name="SAPBEXexcBad8 4 6 2 2" xfId="36080"/>
    <cellStyle name="SAPBEXexcBad8 4 6 3" xfId="16267"/>
    <cellStyle name="SAPBEXexcBad8 4 6 3 2" xfId="36081"/>
    <cellStyle name="SAPBEXexcBad8 4 6 4" xfId="36079"/>
    <cellStyle name="SAPBEXexcBad8 4 7" xfId="16268"/>
    <cellStyle name="SAPBEXexcBad8 4 7 2" xfId="36082"/>
    <cellStyle name="SAPBEXexcBad8 4 8" xfId="16269"/>
    <cellStyle name="SAPBEXexcBad8 4 8 2" xfId="36083"/>
    <cellStyle name="SAPBEXexcBad8 4 9" xfId="19699"/>
    <cellStyle name="SAPBEXexcBad8 5" xfId="16270"/>
    <cellStyle name="SAPBEXexcBad8 5 2" xfId="16271"/>
    <cellStyle name="SAPBEXexcBad8 5 2 2" xfId="36085"/>
    <cellStyle name="SAPBEXexcBad8 5 3" xfId="16272"/>
    <cellStyle name="SAPBEXexcBad8 5 3 2" xfId="36086"/>
    <cellStyle name="SAPBEXexcBad8 5 4" xfId="36084"/>
    <cellStyle name="SAPBEXexcBad8 6" xfId="16273"/>
    <cellStyle name="SAPBEXexcBad8 6 2" xfId="16274"/>
    <cellStyle name="SAPBEXexcBad8 6 2 2" xfId="36088"/>
    <cellStyle name="SAPBEXexcBad8 6 3" xfId="16275"/>
    <cellStyle name="SAPBEXexcBad8 6 3 2" xfId="36089"/>
    <cellStyle name="SAPBEXexcBad8 6 4" xfId="36087"/>
    <cellStyle name="SAPBEXexcBad8 7" xfId="16276"/>
    <cellStyle name="SAPBEXexcBad8 7 2" xfId="16277"/>
    <cellStyle name="SAPBEXexcBad8 7 2 2" xfId="36091"/>
    <cellStyle name="SAPBEXexcBad8 7 3" xfId="16278"/>
    <cellStyle name="SAPBEXexcBad8 7 3 2" xfId="36092"/>
    <cellStyle name="SAPBEXexcBad8 7 4" xfId="36090"/>
    <cellStyle name="SAPBEXexcBad8 8" xfId="16279"/>
    <cellStyle name="SAPBEXexcBad8 8 2" xfId="36093"/>
    <cellStyle name="SAPBEXexcBad8 9" xfId="16280"/>
    <cellStyle name="SAPBEXexcBad8 9 2" xfId="36094"/>
    <cellStyle name="SAPBEXexcBad9" xfId="3861"/>
    <cellStyle name="SAPBEXexcBad9 10" xfId="19877"/>
    <cellStyle name="SAPBEXexcBad9 2" xfId="4138"/>
    <cellStyle name="SAPBEXexcBad9 2 2" xfId="16281"/>
    <cellStyle name="SAPBEXexcBad9 2 2 2" xfId="16282"/>
    <cellStyle name="SAPBEXexcBad9 2 2 2 2" xfId="36096"/>
    <cellStyle name="SAPBEXexcBad9 2 2 3" xfId="16283"/>
    <cellStyle name="SAPBEXexcBad9 2 2 3 2" xfId="36097"/>
    <cellStyle name="SAPBEXexcBad9 2 2 4" xfId="36095"/>
    <cellStyle name="SAPBEXexcBad9 2 3" xfId="16284"/>
    <cellStyle name="SAPBEXexcBad9 2 3 2" xfId="16285"/>
    <cellStyle name="SAPBEXexcBad9 2 3 2 2" xfId="36099"/>
    <cellStyle name="SAPBEXexcBad9 2 3 3" xfId="16286"/>
    <cellStyle name="SAPBEXexcBad9 2 3 3 2" xfId="36100"/>
    <cellStyle name="SAPBEXexcBad9 2 3 4" xfId="36098"/>
    <cellStyle name="SAPBEXexcBad9 2 4" xfId="16287"/>
    <cellStyle name="SAPBEXexcBad9 2 4 2" xfId="16288"/>
    <cellStyle name="SAPBEXexcBad9 2 4 2 2" xfId="36102"/>
    <cellStyle name="SAPBEXexcBad9 2 4 3" xfId="16289"/>
    <cellStyle name="SAPBEXexcBad9 2 4 3 2" xfId="36103"/>
    <cellStyle name="SAPBEXexcBad9 2 4 4" xfId="36101"/>
    <cellStyle name="SAPBEXexcBad9 2 5" xfId="16290"/>
    <cellStyle name="SAPBEXexcBad9 2 5 2" xfId="16291"/>
    <cellStyle name="SAPBEXexcBad9 2 5 2 2" xfId="36105"/>
    <cellStyle name="SAPBEXexcBad9 2 5 3" xfId="16292"/>
    <cellStyle name="SAPBEXexcBad9 2 5 3 2" xfId="36106"/>
    <cellStyle name="SAPBEXexcBad9 2 5 4" xfId="36104"/>
    <cellStyle name="SAPBEXexcBad9 2 6" xfId="16293"/>
    <cellStyle name="SAPBEXexcBad9 2 6 2" xfId="16294"/>
    <cellStyle name="SAPBEXexcBad9 2 6 2 2" xfId="36108"/>
    <cellStyle name="SAPBEXexcBad9 2 6 3" xfId="16295"/>
    <cellStyle name="SAPBEXexcBad9 2 6 3 2" xfId="36109"/>
    <cellStyle name="SAPBEXexcBad9 2 6 4" xfId="36107"/>
    <cellStyle name="SAPBEXexcBad9 2 7" xfId="16296"/>
    <cellStyle name="SAPBEXexcBad9 2 7 2" xfId="36110"/>
    <cellStyle name="SAPBEXexcBad9 2 8" xfId="16297"/>
    <cellStyle name="SAPBEXexcBad9 2 8 2" xfId="36111"/>
    <cellStyle name="SAPBEXexcBad9 2 9" xfId="27367"/>
    <cellStyle name="SAPBEXexcBad9 3" xfId="4420"/>
    <cellStyle name="SAPBEXexcBad9 3 2" xfId="16298"/>
    <cellStyle name="SAPBEXexcBad9 3 2 2" xfId="16299"/>
    <cellStyle name="SAPBEXexcBad9 3 2 2 2" xfId="36113"/>
    <cellStyle name="SAPBEXexcBad9 3 2 3" xfId="16300"/>
    <cellStyle name="SAPBEXexcBad9 3 2 3 2" xfId="36114"/>
    <cellStyle name="SAPBEXexcBad9 3 2 4" xfId="36112"/>
    <cellStyle name="SAPBEXexcBad9 3 3" xfId="16301"/>
    <cellStyle name="SAPBEXexcBad9 3 3 2" xfId="16302"/>
    <cellStyle name="SAPBEXexcBad9 3 3 2 2" xfId="36116"/>
    <cellStyle name="SAPBEXexcBad9 3 3 3" xfId="16303"/>
    <cellStyle name="SAPBEXexcBad9 3 3 3 2" xfId="36117"/>
    <cellStyle name="SAPBEXexcBad9 3 3 4" xfId="36115"/>
    <cellStyle name="SAPBEXexcBad9 3 4" xfId="16304"/>
    <cellStyle name="SAPBEXexcBad9 3 4 2" xfId="16305"/>
    <cellStyle name="SAPBEXexcBad9 3 4 2 2" xfId="36119"/>
    <cellStyle name="SAPBEXexcBad9 3 4 3" xfId="16306"/>
    <cellStyle name="SAPBEXexcBad9 3 4 3 2" xfId="36120"/>
    <cellStyle name="SAPBEXexcBad9 3 4 4" xfId="36118"/>
    <cellStyle name="SAPBEXexcBad9 3 5" xfId="16307"/>
    <cellStyle name="SAPBEXexcBad9 3 5 2" xfId="16308"/>
    <cellStyle name="SAPBEXexcBad9 3 5 2 2" xfId="36122"/>
    <cellStyle name="SAPBEXexcBad9 3 5 3" xfId="16309"/>
    <cellStyle name="SAPBEXexcBad9 3 5 3 2" xfId="36123"/>
    <cellStyle name="SAPBEXexcBad9 3 5 4" xfId="36121"/>
    <cellStyle name="SAPBEXexcBad9 3 6" xfId="16310"/>
    <cellStyle name="SAPBEXexcBad9 3 6 2" xfId="16311"/>
    <cellStyle name="SAPBEXexcBad9 3 6 2 2" xfId="36125"/>
    <cellStyle name="SAPBEXexcBad9 3 6 3" xfId="16312"/>
    <cellStyle name="SAPBEXexcBad9 3 6 3 2" xfId="36126"/>
    <cellStyle name="SAPBEXexcBad9 3 6 4" xfId="36124"/>
    <cellStyle name="SAPBEXexcBad9 3 7" xfId="16313"/>
    <cellStyle name="SAPBEXexcBad9 3 7 2" xfId="36127"/>
    <cellStyle name="SAPBEXexcBad9 3 8" xfId="16314"/>
    <cellStyle name="SAPBEXexcBad9 3 8 2" xfId="36128"/>
    <cellStyle name="SAPBEXexcBad9 3 9" xfId="27081"/>
    <cellStyle name="SAPBEXexcBad9 4" xfId="5658"/>
    <cellStyle name="SAPBEXexcBad9 4 2" xfId="16315"/>
    <cellStyle name="SAPBEXexcBad9 4 2 2" xfId="16316"/>
    <cellStyle name="SAPBEXexcBad9 4 2 2 2" xfId="36130"/>
    <cellStyle name="SAPBEXexcBad9 4 2 3" xfId="16317"/>
    <cellStyle name="SAPBEXexcBad9 4 2 3 2" xfId="36131"/>
    <cellStyle name="SAPBEXexcBad9 4 2 4" xfId="36129"/>
    <cellStyle name="SAPBEXexcBad9 4 3" xfId="16318"/>
    <cellStyle name="SAPBEXexcBad9 4 3 2" xfId="16319"/>
    <cellStyle name="SAPBEXexcBad9 4 3 2 2" xfId="36133"/>
    <cellStyle name="SAPBEXexcBad9 4 3 3" xfId="16320"/>
    <cellStyle name="SAPBEXexcBad9 4 3 3 2" xfId="36134"/>
    <cellStyle name="SAPBEXexcBad9 4 3 4" xfId="36132"/>
    <cellStyle name="SAPBEXexcBad9 4 4" xfId="16321"/>
    <cellStyle name="SAPBEXexcBad9 4 4 2" xfId="16322"/>
    <cellStyle name="SAPBEXexcBad9 4 4 2 2" xfId="36136"/>
    <cellStyle name="SAPBEXexcBad9 4 4 3" xfId="16323"/>
    <cellStyle name="SAPBEXexcBad9 4 4 3 2" xfId="36137"/>
    <cellStyle name="SAPBEXexcBad9 4 4 4" xfId="36135"/>
    <cellStyle name="SAPBEXexcBad9 4 5" xfId="16324"/>
    <cellStyle name="SAPBEXexcBad9 4 5 2" xfId="16325"/>
    <cellStyle name="SAPBEXexcBad9 4 5 2 2" xfId="36139"/>
    <cellStyle name="SAPBEXexcBad9 4 5 3" xfId="16326"/>
    <cellStyle name="SAPBEXexcBad9 4 5 3 2" xfId="36140"/>
    <cellStyle name="SAPBEXexcBad9 4 5 4" xfId="36138"/>
    <cellStyle name="SAPBEXexcBad9 4 6" xfId="16327"/>
    <cellStyle name="SAPBEXexcBad9 4 6 2" xfId="16328"/>
    <cellStyle name="SAPBEXexcBad9 4 6 2 2" xfId="36142"/>
    <cellStyle name="SAPBEXexcBad9 4 6 3" xfId="16329"/>
    <cellStyle name="SAPBEXexcBad9 4 6 3 2" xfId="36143"/>
    <cellStyle name="SAPBEXexcBad9 4 6 4" xfId="36141"/>
    <cellStyle name="SAPBEXexcBad9 4 7" xfId="16330"/>
    <cellStyle name="SAPBEXexcBad9 4 7 2" xfId="36144"/>
    <cellStyle name="SAPBEXexcBad9 4 8" xfId="16331"/>
    <cellStyle name="SAPBEXexcBad9 4 8 2" xfId="36145"/>
    <cellStyle name="SAPBEXexcBad9 4 9" xfId="19698"/>
    <cellStyle name="SAPBEXexcBad9 5" xfId="16332"/>
    <cellStyle name="SAPBEXexcBad9 5 2" xfId="16333"/>
    <cellStyle name="SAPBEXexcBad9 5 2 2" xfId="36147"/>
    <cellStyle name="SAPBEXexcBad9 5 3" xfId="16334"/>
    <cellStyle name="SAPBEXexcBad9 5 3 2" xfId="36148"/>
    <cellStyle name="SAPBEXexcBad9 5 4" xfId="36146"/>
    <cellStyle name="SAPBEXexcBad9 6" xfId="16335"/>
    <cellStyle name="SAPBEXexcBad9 6 2" xfId="16336"/>
    <cellStyle name="SAPBEXexcBad9 6 2 2" xfId="36150"/>
    <cellStyle name="SAPBEXexcBad9 6 3" xfId="16337"/>
    <cellStyle name="SAPBEXexcBad9 6 3 2" xfId="36151"/>
    <cellStyle name="SAPBEXexcBad9 6 4" xfId="36149"/>
    <cellStyle name="SAPBEXexcBad9 7" xfId="16338"/>
    <cellStyle name="SAPBEXexcBad9 7 2" xfId="16339"/>
    <cellStyle name="SAPBEXexcBad9 7 2 2" xfId="36153"/>
    <cellStyle name="SAPBEXexcBad9 7 3" xfId="16340"/>
    <cellStyle name="SAPBEXexcBad9 7 3 2" xfId="36154"/>
    <cellStyle name="SAPBEXexcBad9 7 4" xfId="36152"/>
    <cellStyle name="SAPBEXexcBad9 8" xfId="16341"/>
    <cellStyle name="SAPBEXexcBad9 8 2" xfId="36155"/>
    <cellStyle name="SAPBEXexcBad9 9" xfId="16342"/>
    <cellStyle name="SAPBEXexcBad9 9 2" xfId="36156"/>
    <cellStyle name="SAPBEXexcCritical4" xfId="3862"/>
    <cellStyle name="SAPBEXexcCritical4 10" xfId="27419"/>
    <cellStyle name="SAPBEXexcCritical4 2" xfId="4409"/>
    <cellStyle name="SAPBEXexcCritical4 2 2" xfId="16343"/>
    <cellStyle name="SAPBEXexcCritical4 2 2 2" xfId="16344"/>
    <cellStyle name="SAPBEXexcCritical4 2 2 2 2" xfId="36158"/>
    <cellStyle name="SAPBEXexcCritical4 2 2 3" xfId="16345"/>
    <cellStyle name="SAPBEXexcCritical4 2 2 3 2" xfId="36159"/>
    <cellStyle name="SAPBEXexcCritical4 2 2 4" xfId="36157"/>
    <cellStyle name="SAPBEXexcCritical4 2 3" xfId="16346"/>
    <cellStyle name="SAPBEXexcCritical4 2 3 2" xfId="16347"/>
    <cellStyle name="SAPBEXexcCritical4 2 3 2 2" xfId="36161"/>
    <cellStyle name="SAPBEXexcCritical4 2 3 3" xfId="16348"/>
    <cellStyle name="SAPBEXexcCritical4 2 3 3 2" xfId="36162"/>
    <cellStyle name="SAPBEXexcCritical4 2 3 4" xfId="36160"/>
    <cellStyle name="SAPBEXexcCritical4 2 4" xfId="16349"/>
    <cellStyle name="SAPBEXexcCritical4 2 4 2" xfId="16350"/>
    <cellStyle name="SAPBEXexcCritical4 2 4 2 2" xfId="36164"/>
    <cellStyle name="SAPBEXexcCritical4 2 4 3" xfId="16351"/>
    <cellStyle name="SAPBEXexcCritical4 2 4 3 2" xfId="36165"/>
    <cellStyle name="SAPBEXexcCritical4 2 4 4" xfId="36163"/>
    <cellStyle name="SAPBEXexcCritical4 2 5" xfId="16352"/>
    <cellStyle name="SAPBEXexcCritical4 2 5 2" xfId="16353"/>
    <cellStyle name="SAPBEXexcCritical4 2 5 2 2" xfId="36167"/>
    <cellStyle name="SAPBEXexcCritical4 2 5 3" xfId="16354"/>
    <cellStyle name="SAPBEXexcCritical4 2 5 3 2" xfId="36168"/>
    <cellStyle name="SAPBEXexcCritical4 2 5 4" xfId="36166"/>
    <cellStyle name="SAPBEXexcCritical4 2 6" xfId="16355"/>
    <cellStyle name="SAPBEXexcCritical4 2 6 2" xfId="16356"/>
    <cellStyle name="SAPBEXexcCritical4 2 6 2 2" xfId="36170"/>
    <cellStyle name="SAPBEXexcCritical4 2 6 3" xfId="16357"/>
    <cellStyle name="SAPBEXexcCritical4 2 6 3 2" xfId="36171"/>
    <cellStyle name="SAPBEXexcCritical4 2 6 4" xfId="36169"/>
    <cellStyle name="SAPBEXexcCritical4 2 7" xfId="16358"/>
    <cellStyle name="SAPBEXexcCritical4 2 7 2" xfId="36172"/>
    <cellStyle name="SAPBEXexcCritical4 2 8" xfId="16359"/>
    <cellStyle name="SAPBEXexcCritical4 2 8 2" xfId="36173"/>
    <cellStyle name="SAPBEXexcCritical4 2 9" xfId="27086"/>
    <cellStyle name="SAPBEXexcCritical4 3" xfId="4404"/>
    <cellStyle name="SAPBEXexcCritical4 3 2" xfId="16360"/>
    <cellStyle name="SAPBEXexcCritical4 3 2 2" xfId="16361"/>
    <cellStyle name="SAPBEXexcCritical4 3 2 2 2" xfId="36175"/>
    <cellStyle name="SAPBEXexcCritical4 3 2 3" xfId="16362"/>
    <cellStyle name="SAPBEXexcCritical4 3 2 3 2" xfId="36176"/>
    <cellStyle name="SAPBEXexcCritical4 3 2 4" xfId="36174"/>
    <cellStyle name="SAPBEXexcCritical4 3 3" xfId="16363"/>
    <cellStyle name="SAPBEXexcCritical4 3 3 2" xfId="16364"/>
    <cellStyle name="SAPBEXexcCritical4 3 3 2 2" xfId="36178"/>
    <cellStyle name="SAPBEXexcCritical4 3 3 3" xfId="16365"/>
    <cellStyle name="SAPBEXexcCritical4 3 3 3 2" xfId="36179"/>
    <cellStyle name="SAPBEXexcCritical4 3 3 4" xfId="36177"/>
    <cellStyle name="SAPBEXexcCritical4 3 4" xfId="16366"/>
    <cellStyle name="SAPBEXexcCritical4 3 4 2" xfId="16367"/>
    <cellStyle name="SAPBEXexcCritical4 3 4 2 2" xfId="36181"/>
    <cellStyle name="SAPBEXexcCritical4 3 4 3" xfId="16368"/>
    <cellStyle name="SAPBEXexcCritical4 3 4 3 2" xfId="36182"/>
    <cellStyle name="SAPBEXexcCritical4 3 4 4" xfId="36180"/>
    <cellStyle name="SAPBEXexcCritical4 3 5" xfId="16369"/>
    <cellStyle name="SAPBEXexcCritical4 3 5 2" xfId="16370"/>
    <cellStyle name="SAPBEXexcCritical4 3 5 2 2" xfId="36184"/>
    <cellStyle name="SAPBEXexcCritical4 3 5 3" xfId="16371"/>
    <cellStyle name="SAPBEXexcCritical4 3 5 3 2" xfId="36185"/>
    <cellStyle name="SAPBEXexcCritical4 3 5 4" xfId="36183"/>
    <cellStyle name="SAPBEXexcCritical4 3 6" xfId="16372"/>
    <cellStyle name="SAPBEXexcCritical4 3 6 2" xfId="16373"/>
    <cellStyle name="SAPBEXexcCritical4 3 6 2 2" xfId="36187"/>
    <cellStyle name="SAPBEXexcCritical4 3 6 3" xfId="16374"/>
    <cellStyle name="SAPBEXexcCritical4 3 6 3 2" xfId="36188"/>
    <cellStyle name="SAPBEXexcCritical4 3 6 4" xfId="36186"/>
    <cellStyle name="SAPBEXexcCritical4 3 7" xfId="16375"/>
    <cellStyle name="SAPBEXexcCritical4 3 7 2" xfId="36189"/>
    <cellStyle name="SAPBEXexcCritical4 3 8" xfId="16376"/>
    <cellStyle name="SAPBEXexcCritical4 3 8 2" xfId="36190"/>
    <cellStyle name="SAPBEXexcCritical4 3 9" xfId="27087"/>
    <cellStyle name="SAPBEXexcCritical4 4" xfId="5659"/>
    <cellStyle name="SAPBEXexcCritical4 4 2" xfId="16377"/>
    <cellStyle name="SAPBEXexcCritical4 4 2 2" xfId="16378"/>
    <cellStyle name="SAPBEXexcCritical4 4 2 2 2" xfId="36192"/>
    <cellStyle name="SAPBEXexcCritical4 4 2 3" xfId="16379"/>
    <cellStyle name="SAPBEXexcCritical4 4 2 3 2" xfId="36193"/>
    <cellStyle name="SAPBEXexcCritical4 4 2 4" xfId="36191"/>
    <cellStyle name="SAPBEXexcCritical4 4 3" xfId="16380"/>
    <cellStyle name="SAPBEXexcCritical4 4 3 2" xfId="16381"/>
    <cellStyle name="SAPBEXexcCritical4 4 3 2 2" xfId="36195"/>
    <cellStyle name="SAPBEXexcCritical4 4 3 3" xfId="16382"/>
    <cellStyle name="SAPBEXexcCritical4 4 3 3 2" xfId="36196"/>
    <cellStyle name="SAPBEXexcCritical4 4 3 4" xfId="36194"/>
    <cellStyle name="SAPBEXexcCritical4 4 4" xfId="16383"/>
    <cellStyle name="SAPBEXexcCritical4 4 4 2" xfId="16384"/>
    <cellStyle name="SAPBEXexcCritical4 4 4 2 2" xfId="36198"/>
    <cellStyle name="SAPBEXexcCritical4 4 4 3" xfId="16385"/>
    <cellStyle name="SAPBEXexcCritical4 4 4 3 2" xfId="36199"/>
    <cellStyle name="SAPBEXexcCritical4 4 4 4" xfId="36197"/>
    <cellStyle name="SAPBEXexcCritical4 4 5" xfId="16386"/>
    <cellStyle name="SAPBEXexcCritical4 4 5 2" xfId="16387"/>
    <cellStyle name="SAPBEXexcCritical4 4 5 2 2" xfId="36201"/>
    <cellStyle name="SAPBEXexcCritical4 4 5 3" xfId="16388"/>
    <cellStyle name="SAPBEXexcCritical4 4 5 3 2" xfId="36202"/>
    <cellStyle name="SAPBEXexcCritical4 4 5 4" xfId="36200"/>
    <cellStyle name="SAPBEXexcCritical4 4 6" xfId="16389"/>
    <cellStyle name="SAPBEXexcCritical4 4 6 2" xfId="16390"/>
    <cellStyle name="SAPBEXexcCritical4 4 6 2 2" xfId="36204"/>
    <cellStyle name="SAPBEXexcCritical4 4 6 3" xfId="16391"/>
    <cellStyle name="SAPBEXexcCritical4 4 6 3 2" xfId="36205"/>
    <cellStyle name="SAPBEXexcCritical4 4 6 4" xfId="36203"/>
    <cellStyle name="SAPBEXexcCritical4 4 7" xfId="16392"/>
    <cellStyle name="SAPBEXexcCritical4 4 7 2" xfId="36206"/>
    <cellStyle name="SAPBEXexcCritical4 4 8" xfId="16393"/>
    <cellStyle name="SAPBEXexcCritical4 4 8 2" xfId="36207"/>
    <cellStyle name="SAPBEXexcCritical4 4 9" xfId="19697"/>
    <cellStyle name="SAPBEXexcCritical4 5" xfId="16394"/>
    <cellStyle name="SAPBEXexcCritical4 5 2" xfId="16395"/>
    <cellStyle name="SAPBEXexcCritical4 5 2 2" xfId="36209"/>
    <cellStyle name="SAPBEXexcCritical4 5 3" xfId="16396"/>
    <cellStyle name="SAPBEXexcCritical4 5 3 2" xfId="36210"/>
    <cellStyle name="SAPBEXexcCritical4 5 4" xfId="36208"/>
    <cellStyle name="SAPBEXexcCritical4 6" xfId="16397"/>
    <cellStyle name="SAPBEXexcCritical4 6 2" xfId="16398"/>
    <cellStyle name="SAPBEXexcCritical4 6 2 2" xfId="36212"/>
    <cellStyle name="SAPBEXexcCritical4 6 3" xfId="16399"/>
    <cellStyle name="SAPBEXexcCritical4 6 3 2" xfId="36213"/>
    <cellStyle name="SAPBEXexcCritical4 6 4" xfId="36211"/>
    <cellStyle name="SAPBEXexcCritical4 7" xfId="16400"/>
    <cellStyle name="SAPBEXexcCritical4 7 2" xfId="16401"/>
    <cellStyle name="SAPBEXexcCritical4 7 2 2" xfId="36215"/>
    <cellStyle name="SAPBEXexcCritical4 7 3" xfId="16402"/>
    <cellStyle name="SAPBEXexcCritical4 7 3 2" xfId="36216"/>
    <cellStyle name="SAPBEXexcCritical4 7 4" xfId="36214"/>
    <cellStyle name="SAPBEXexcCritical4 8" xfId="16403"/>
    <cellStyle name="SAPBEXexcCritical4 8 2" xfId="36217"/>
    <cellStyle name="SAPBEXexcCritical4 9" xfId="16404"/>
    <cellStyle name="SAPBEXexcCritical4 9 2" xfId="36218"/>
    <cellStyle name="SAPBEXexcCritical5" xfId="3863"/>
    <cellStyle name="SAPBEXexcCritical5 10" xfId="27418"/>
    <cellStyle name="SAPBEXexcCritical5 2" xfId="4181"/>
    <cellStyle name="SAPBEXexcCritical5 2 2" xfId="16405"/>
    <cellStyle name="SAPBEXexcCritical5 2 2 2" xfId="16406"/>
    <cellStyle name="SAPBEXexcCritical5 2 2 2 2" xfId="36220"/>
    <cellStyle name="SAPBEXexcCritical5 2 2 3" xfId="16407"/>
    <cellStyle name="SAPBEXexcCritical5 2 2 3 2" xfId="36221"/>
    <cellStyle name="SAPBEXexcCritical5 2 2 4" xfId="36219"/>
    <cellStyle name="SAPBEXexcCritical5 2 3" xfId="16408"/>
    <cellStyle name="SAPBEXexcCritical5 2 3 2" xfId="16409"/>
    <cellStyle name="SAPBEXexcCritical5 2 3 2 2" xfId="36223"/>
    <cellStyle name="SAPBEXexcCritical5 2 3 3" xfId="16410"/>
    <cellStyle name="SAPBEXexcCritical5 2 3 3 2" xfId="36224"/>
    <cellStyle name="SAPBEXexcCritical5 2 3 4" xfId="36222"/>
    <cellStyle name="SAPBEXexcCritical5 2 4" xfId="16411"/>
    <cellStyle name="SAPBEXexcCritical5 2 4 2" xfId="16412"/>
    <cellStyle name="SAPBEXexcCritical5 2 4 2 2" xfId="36226"/>
    <cellStyle name="SAPBEXexcCritical5 2 4 3" xfId="16413"/>
    <cellStyle name="SAPBEXexcCritical5 2 4 3 2" xfId="36227"/>
    <cellStyle name="SAPBEXexcCritical5 2 4 4" xfId="36225"/>
    <cellStyle name="SAPBEXexcCritical5 2 5" xfId="16414"/>
    <cellStyle name="SAPBEXexcCritical5 2 5 2" xfId="16415"/>
    <cellStyle name="SAPBEXexcCritical5 2 5 2 2" xfId="36229"/>
    <cellStyle name="SAPBEXexcCritical5 2 5 3" xfId="16416"/>
    <cellStyle name="SAPBEXexcCritical5 2 5 3 2" xfId="36230"/>
    <cellStyle name="SAPBEXexcCritical5 2 5 4" xfId="36228"/>
    <cellStyle name="SAPBEXexcCritical5 2 6" xfId="16417"/>
    <cellStyle name="SAPBEXexcCritical5 2 6 2" xfId="16418"/>
    <cellStyle name="SAPBEXexcCritical5 2 6 2 2" xfId="36232"/>
    <cellStyle name="SAPBEXexcCritical5 2 6 3" xfId="16419"/>
    <cellStyle name="SAPBEXexcCritical5 2 6 3 2" xfId="36233"/>
    <cellStyle name="SAPBEXexcCritical5 2 6 4" xfId="36231"/>
    <cellStyle name="SAPBEXexcCritical5 2 7" xfId="16420"/>
    <cellStyle name="SAPBEXexcCritical5 2 7 2" xfId="36234"/>
    <cellStyle name="SAPBEXexcCritical5 2 8" xfId="16421"/>
    <cellStyle name="SAPBEXexcCritical5 2 8 2" xfId="36235"/>
    <cellStyle name="SAPBEXexcCritical5 2 9" xfId="27356"/>
    <cellStyle name="SAPBEXexcCritical5 3" xfId="4198"/>
    <cellStyle name="SAPBEXexcCritical5 3 2" xfId="16422"/>
    <cellStyle name="SAPBEXexcCritical5 3 2 2" xfId="16423"/>
    <cellStyle name="SAPBEXexcCritical5 3 2 2 2" xfId="36237"/>
    <cellStyle name="SAPBEXexcCritical5 3 2 3" xfId="16424"/>
    <cellStyle name="SAPBEXexcCritical5 3 2 3 2" xfId="36238"/>
    <cellStyle name="SAPBEXexcCritical5 3 2 4" xfId="36236"/>
    <cellStyle name="SAPBEXexcCritical5 3 3" xfId="16425"/>
    <cellStyle name="SAPBEXexcCritical5 3 3 2" xfId="16426"/>
    <cellStyle name="SAPBEXexcCritical5 3 3 2 2" xfId="36240"/>
    <cellStyle name="SAPBEXexcCritical5 3 3 3" xfId="16427"/>
    <cellStyle name="SAPBEXexcCritical5 3 3 3 2" xfId="36241"/>
    <cellStyle name="SAPBEXexcCritical5 3 3 4" xfId="36239"/>
    <cellStyle name="SAPBEXexcCritical5 3 4" xfId="16428"/>
    <cellStyle name="SAPBEXexcCritical5 3 4 2" xfId="16429"/>
    <cellStyle name="SAPBEXexcCritical5 3 4 2 2" xfId="36243"/>
    <cellStyle name="SAPBEXexcCritical5 3 4 3" xfId="16430"/>
    <cellStyle name="SAPBEXexcCritical5 3 4 3 2" xfId="36244"/>
    <cellStyle name="SAPBEXexcCritical5 3 4 4" xfId="36242"/>
    <cellStyle name="SAPBEXexcCritical5 3 5" xfId="16431"/>
    <cellStyle name="SAPBEXexcCritical5 3 5 2" xfId="16432"/>
    <cellStyle name="SAPBEXexcCritical5 3 5 2 2" xfId="36246"/>
    <cellStyle name="SAPBEXexcCritical5 3 5 3" xfId="16433"/>
    <cellStyle name="SAPBEXexcCritical5 3 5 3 2" xfId="36247"/>
    <cellStyle name="SAPBEXexcCritical5 3 5 4" xfId="36245"/>
    <cellStyle name="SAPBEXexcCritical5 3 6" xfId="16434"/>
    <cellStyle name="SAPBEXexcCritical5 3 6 2" xfId="16435"/>
    <cellStyle name="SAPBEXexcCritical5 3 6 2 2" xfId="36249"/>
    <cellStyle name="SAPBEXexcCritical5 3 6 3" xfId="16436"/>
    <cellStyle name="SAPBEXexcCritical5 3 6 3 2" xfId="36250"/>
    <cellStyle name="SAPBEXexcCritical5 3 6 4" xfId="36248"/>
    <cellStyle name="SAPBEXexcCritical5 3 7" xfId="16437"/>
    <cellStyle name="SAPBEXexcCritical5 3 7 2" xfId="36251"/>
    <cellStyle name="SAPBEXexcCritical5 3 8" xfId="16438"/>
    <cellStyle name="SAPBEXexcCritical5 3 8 2" xfId="36252"/>
    <cellStyle name="SAPBEXexcCritical5 3 9" xfId="27354"/>
    <cellStyle name="SAPBEXexcCritical5 4" xfId="5660"/>
    <cellStyle name="SAPBEXexcCritical5 4 2" xfId="16439"/>
    <cellStyle name="SAPBEXexcCritical5 4 2 2" xfId="16440"/>
    <cellStyle name="SAPBEXexcCritical5 4 2 2 2" xfId="36254"/>
    <cellStyle name="SAPBEXexcCritical5 4 2 3" xfId="16441"/>
    <cellStyle name="SAPBEXexcCritical5 4 2 3 2" xfId="36255"/>
    <cellStyle name="SAPBEXexcCritical5 4 2 4" xfId="36253"/>
    <cellStyle name="SAPBEXexcCritical5 4 3" xfId="16442"/>
    <cellStyle name="SAPBEXexcCritical5 4 3 2" xfId="16443"/>
    <cellStyle name="SAPBEXexcCritical5 4 3 2 2" xfId="36257"/>
    <cellStyle name="SAPBEXexcCritical5 4 3 3" xfId="16444"/>
    <cellStyle name="SAPBEXexcCritical5 4 3 3 2" xfId="36258"/>
    <cellStyle name="SAPBEXexcCritical5 4 3 4" xfId="36256"/>
    <cellStyle name="SAPBEXexcCritical5 4 4" xfId="16445"/>
    <cellStyle name="SAPBEXexcCritical5 4 4 2" xfId="16446"/>
    <cellStyle name="SAPBEXexcCritical5 4 4 2 2" xfId="36260"/>
    <cellStyle name="SAPBEXexcCritical5 4 4 3" xfId="16447"/>
    <cellStyle name="SAPBEXexcCritical5 4 4 3 2" xfId="36261"/>
    <cellStyle name="SAPBEXexcCritical5 4 4 4" xfId="36259"/>
    <cellStyle name="SAPBEXexcCritical5 4 5" xfId="16448"/>
    <cellStyle name="SAPBEXexcCritical5 4 5 2" xfId="16449"/>
    <cellStyle name="SAPBEXexcCritical5 4 5 2 2" xfId="36263"/>
    <cellStyle name="SAPBEXexcCritical5 4 5 3" xfId="16450"/>
    <cellStyle name="SAPBEXexcCritical5 4 5 3 2" xfId="36264"/>
    <cellStyle name="SAPBEXexcCritical5 4 5 4" xfId="36262"/>
    <cellStyle name="SAPBEXexcCritical5 4 6" xfId="16451"/>
    <cellStyle name="SAPBEXexcCritical5 4 6 2" xfId="16452"/>
    <cellStyle name="SAPBEXexcCritical5 4 6 2 2" xfId="36266"/>
    <cellStyle name="SAPBEXexcCritical5 4 6 3" xfId="16453"/>
    <cellStyle name="SAPBEXexcCritical5 4 6 3 2" xfId="36267"/>
    <cellStyle name="SAPBEXexcCritical5 4 6 4" xfId="36265"/>
    <cellStyle name="SAPBEXexcCritical5 4 7" xfId="16454"/>
    <cellStyle name="SAPBEXexcCritical5 4 7 2" xfId="36268"/>
    <cellStyle name="SAPBEXexcCritical5 4 8" xfId="16455"/>
    <cellStyle name="SAPBEXexcCritical5 4 8 2" xfId="36269"/>
    <cellStyle name="SAPBEXexcCritical5 4 9" xfId="19696"/>
    <cellStyle name="SAPBEXexcCritical5 5" xfId="16456"/>
    <cellStyle name="SAPBEXexcCritical5 5 2" xfId="16457"/>
    <cellStyle name="SAPBEXexcCritical5 5 2 2" xfId="36271"/>
    <cellStyle name="SAPBEXexcCritical5 5 3" xfId="16458"/>
    <cellStyle name="SAPBEXexcCritical5 5 3 2" xfId="36272"/>
    <cellStyle name="SAPBEXexcCritical5 5 4" xfId="36270"/>
    <cellStyle name="SAPBEXexcCritical5 6" xfId="16459"/>
    <cellStyle name="SAPBEXexcCritical5 6 2" xfId="16460"/>
    <cellStyle name="SAPBEXexcCritical5 6 2 2" xfId="36274"/>
    <cellStyle name="SAPBEXexcCritical5 6 3" xfId="16461"/>
    <cellStyle name="SAPBEXexcCritical5 6 3 2" xfId="36275"/>
    <cellStyle name="SAPBEXexcCritical5 6 4" xfId="36273"/>
    <cellStyle name="SAPBEXexcCritical5 7" xfId="16462"/>
    <cellStyle name="SAPBEXexcCritical5 7 2" xfId="16463"/>
    <cellStyle name="SAPBEXexcCritical5 7 2 2" xfId="36277"/>
    <cellStyle name="SAPBEXexcCritical5 7 3" xfId="16464"/>
    <cellStyle name="SAPBEXexcCritical5 7 3 2" xfId="36278"/>
    <cellStyle name="SAPBEXexcCritical5 7 4" xfId="36276"/>
    <cellStyle name="SAPBEXexcCritical5 8" xfId="16465"/>
    <cellStyle name="SAPBEXexcCritical5 8 2" xfId="36279"/>
    <cellStyle name="SAPBEXexcCritical5 9" xfId="16466"/>
    <cellStyle name="SAPBEXexcCritical5 9 2" xfId="36280"/>
    <cellStyle name="SAPBEXexcCritical6" xfId="3864"/>
    <cellStyle name="SAPBEXexcCritical6 10" xfId="27417"/>
    <cellStyle name="SAPBEXexcCritical6 2" xfId="4572"/>
    <cellStyle name="SAPBEXexcCritical6 2 2" xfId="16467"/>
    <cellStyle name="SAPBEXexcCritical6 2 2 2" xfId="16468"/>
    <cellStyle name="SAPBEXexcCritical6 2 2 2 2" xfId="36282"/>
    <cellStyle name="SAPBEXexcCritical6 2 2 3" xfId="16469"/>
    <cellStyle name="SAPBEXexcCritical6 2 2 3 2" xfId="36283"/>
    <cellStyle name="SAPBEXexcCritical6 2 2 4" xfId="36281"/>
    <cellStyle name="SAPBEXexcCritical6 2 3" xfId="16470"/>
    <cellStyle name="SAPBEXexcCritical6 2 3 2" xfId="16471"/>
    <cellStyle name="SAPBEXexcCritical6 2 3 2 2" xfId="36285"/>
    <cellStyle name="SAPBEXexcCritical6 2 3 3" xfId="16472"/>
    <cellStyle name="SAPBEXexcCritical6 2 3 3 2" xfId="36286"/>
    <cellStyle name="SAPBEXexcCritical6 2 3 4" xfId="36284"/>
    <cellStyle name="SAPBEXexcCritical6 2 4" xfId="16473"/>
    <cellStyle name="SAPBEXexcCritical6 2 4 2" xfId="16474"/>
    <cellStyle name="SAPBEXexcCritical6 2 4 2 2" xfId="36288"/>
    <cellStyle name="SAPBEXexcCritical6 2 4 3" xfId="16475"/>
    <cellStyle name="SAPBEXexcCritical6 2 4 3 2" xfId="36289"/>
    <cellStyle name="SAPBEXexcCritical6 2 4 4" xfId="36287"/>
    <cellStyle name="SAPBEXexcCritical6 2 5" xfId="16476"/>
    <cellStyle name="SAPBEXexcCritical6 2 5 2" xfId="16477"/>
    <cellStyle name="SAPBEXexcCritical6 2 5 2 2" xfId="36291"/>
    <cellStyle name="SAPBEXexcCritical6 2 5 3" xfId="16478"/>
    <cellStyle name="SAPBEXexcCritical6 2 5 3 2" xfId="36292"/>
    <cellStyle name="SAPBEXexcCritical6 2 5 4" xfId="36290"/>
    <cellStyle name="SAPBEXexcCritical6 2 6" xfId="16479"/>
    <cellStyle name="SAPBEXexcCritical6 2 6 2" xfId="16480"/>
    <cellStyle name="SAPBEXexcCritical6 2 6 2 2" xfId="36294"/>
    <cellStyle name="SAPBEXexcCritical6 2 6 3" xfId="16481"/>
    <cellStyle name="SAPBEXexcCritical6 2 6 3 2" xfId="36295"/>
    <cellStyle name="SAPBEXexcCritical6 2 6 4" xfId="36293"/>
    <cellStyle name="SAPBEXexcCritical6 2 7" xfId="16482"/>
    <cellStyle name="SAPBEXexcCritical6 2 7 2" xfId="36296"/>
    <cellStyle name="SAPBEXexcCritical6 2 8" xfId="16483"/>
    <cellStyle name="SAPBEXexcCritical6 2 8 2" xfId="36297"/>
    <cellStyle name="SAPBEXexcCritical6 2 9" xfId="27036"/>
    <cellStyle name="SAPBEXexcCritical6 3" xfId="4452"/>
    <cellStyle name="SAPBEXexcCritical6 3 2" xfId="16484"/>
    <cellStyle name="SAPBEXexcCritical6 3 2 2" xfId="16485"/>
    <cellStyle name="SAPBEXexcCritical6 3 2 2 2" xfId="36299"/>
    <cellStyle name="SAPBEXexcCritical6 3 2 3" xfId="16486"/>
    <cellStyle name="SAPBEXexcCritical6 3 2 3 2" xfId="36300"/>
    <cellStyle name="SAPBEXexcCritical6 3 2 4" xfId="36298"/>
    <cellStyle name="SAPBEXexcCritical6 3 3" xfId="16487"/>
    <cellStyle name="SAPBEXexcCritical6 3 3 2" xfId="16488"/>
    <cellStyle name="SAPBEXexcCritical6 3 3 2 2" xfId="36302"/>
    <cellStyle name="SAPBEXexcCritical6 3 3 3" xfId="16489"/>
    <cellStyle name="SAPBEXexcCritical6 3 3 3 2" xfId="36303"/>
    <cellStyle name="SAPBEXexcCritical6 3 3 4" xfId="36301"/>
    <cellStyle name="SAPBEXexcCritical6 3 4" xfId="16490"/>
    <cellStyle name="SAPBEXexcCritical6 3 4 2" xfId="16491"/>
    <cellStyle name="SAPBEXexcCritical6 3 4 2 2" xfId="36305"/>
    <cellStyle name="SAPBEXexcCritical6 3 4 3" xfId="16492"/>
    <cellStyle name="SAPBEXexcCritical6 3 4 3 2" xfId="36306"/>
    <cellStyle name="SAPBEXexcCritical6 3 4 4" xfId="36304"/>
    <cellStyle name="SAPBEXexcCritical6 3 5" xfId="16493"/>
    <cellStyle name="SAPBEXexcCritical6 3 5 2" xfId="16494"/>
    <cellStyle name="SAPBEXexcCritical6 3 5 2 2" xfId="36308"/>
    <cellStyle name="SAPBEXexcCritical6 3 5 3" xfId="16495"/>
    <cellStyle name="SAPBEXexcCritical6 3 5 3 2" xfId="36309"/>
    <cellStyle name="SAPBEXexcCritical6 3 5 4" xfId="36307"/>
    <cellStyle name="SAPBEXexcCritical6 3 6" xfId="16496"/>
    <cellStyle name="SAPBEXexcCritical6 3 6 2" xfId="16497"/>
    <cellStyle name="SAPBEXexcCritical6 3 6 2 2" xfId="36311"/>
    <cellStyle name="SAPBEXexcCritical6 3 6 3" xfId="16498"/>
    <cellStyle name="SAPBEXexcCritical6 3 6 3 2" xfId="36312"/>
    <cellStyle name="SAPBEXexcCritical6 3 6 4" xfId="36310"/>
    <cellStyle name="SAPBEXexcCritical6 3 7" xfId="16499"/>
    <cellStyle name="SAPBEXexcCritical6 3 7 2" xfId="36313"/>
    <cellStyle name="SAPBEXexcCritical6 3 8" xfId="16500"/>
    <cellStyle name="SAPBEXexcCritical6 3 8 2" xfId="36314"/>
    <cellStyle name="SAPBEXexcCritical6 3 9" xfId="19839"/>
    <cellStyle name="SAPBEXexcCritical6 4" xfId="5661"/>
    <cellStyle name="SAPBEXexcCritical6 4 2" xfId="16501"/>
    <cellStyle name="SAPBEXexcCritical6 4 2 2" xfId="16502"/>
    <cellStyle name="SAPBEXexcCritical6 4 2 2 2" xfId="36316"/>
    <cellStyle name="SAPBEXexcCritical6 4 2 3" xfId="16503"/>
    <cellStyle name="SAPBEXexcCritical6 4 2 3 2" xfId="36317"/>
    <cellStyle name="SAPBEXexcCritical6 4 2 4" xfId="36315"/>
    <cellStyle name="SAPBEXexcCritical6 4 3" xfId="16504"/>
    <cellStyle name="SAPBEXexcCritical6 4 3 2" xfId="16505"/>
    <cellStyle name="SAPBEXexcCritical6 4 3 2 2" xfId="36319"/>
    <cellStyle name="SAPBEXexcCritical6 4 3 3" xfId="16506"/>
    <cellStyle name="SAPBEXexcCritical6 4 3 3 2" xfId="36320"/>
    <cellStyle name="SAPBEXexcCritical6 4 3 4" xfId="36318"/>
    <cellStyle name="SAPBEXexcCritical6 4 4" xfId="16507"/>
    <cellStyle name="SAPBEXexcCritical6 4 4 2" xfId="16508"/>
    <cellStyle name="SAPBEXexcCritical6 4 4 2 2" xfId="36322"/>
    <cellStyle name="SAPBEXexcCritical6 4 4 3" xfId="16509"/>
    <cellStyle name="SAPBEXexcCritical6 4 4 3 2" xfId="36323"/>
    <cellStyle name="SAPBEXexcCritical6 4 4 4" xfId="36321"/>
    <cellStyle name="SAPBEXexcCritical6 4 5" xfId="16510"/>
    <cellStyle name="SAPBEXexcCritical6 4 5 2" xfId="16511"/>
    <cellStyle name="SAPBEXexcCritical6 4 5 2 2" xfId="36325"/>
    <cellStyle name="SAPBEXexcCritical6 4 5 3" xfId="16512"/>
    <cellStyle name="SAPBEXexcCritical6 4 5 3 2" xfId="36326"/>
    <cellStyle name="SAPBEXexcCritical6 4 5 4" xfId="36324"/>
    <cellStyle name="SAPBEXexcCritical6 4 6" xfId="16513"/>
    <cellStyle name="SAPBEXexcCritical6 4 6 2" xfId="16514"/>
    <cellStyle name="SAPBEXexcCritical6 4 6 2 2" xfId="36328"/>
    <cellStyle name="SAPBEXexcCritical6 4 6 3" xfId="16515"/>
    <cellStyle name="SAPBEXexcCritical6 4 6 3 2" xfId="36329"/>
    <cellStyle name="SAPBEXexcCritical6 4 6 4" xfId="36327"/>
    <cellStyle name="SAPBEXexcCritical6 4 7" xfId="16516"/>
    <cellStyle name="SAPBEXexcCritical6 4 7 2" xfId="36330"/>
    <cellStyle name="SAPBEXexcCritical6 4 8" xfId="16517"/>
    <cellStyle name="SAPBEXexcCritical6 4 8 2" xfId="36331"/>
    <cellStyle name="SAPBEXexcCritical6 4 9" xfId="19695"/>
    <cellStyle name="SAPBEXexcCritical6 5" xfId="16518"/>
    <cellStyle name="SAPBEXexcCritical6 5 2" xfId="16519"/>
    <cellStyle name="SAPBEXexcCritical6 5 2 2" xfId="36333"/>
    <cellStyle name="SAPBEXexcCritical6 5 3" xfId="16520"/>
    <cellStyle name="SAPBEXexcCritical6 5 3 2" xfId="36334"/>
    <cellStyle name="SAPBEXexcCritical6 5 4" xfId="36332"/>
    <cellStyle name="SAPBEXexcCritical6 6" xfId="16521"/>
    <cellStyle name="SAPBEXexcCritical6 6 2" xfId="16522"/>
    <cellStyle name="SAPBEXexcCritical6 6 2 2" xfId="36336"/>
    <cellStyle name="SAPBEXexcCritical6 6 3" xfId="16523"/>
    <cellStyle name="SAPBEXexcCritical6 6 3 2" xfId="36337"/>
    <cellStyle name="SAPBEXexcCritical6 6 4" xfId="36335"/>
    <cellStyle name="SAPBEXexcCritical6 7" xfId="16524"/>
    <cellStyle name="SAPBEXexcCritical6 7 2" xfId="16525"/>
    <cellStyle name="SAPBEXexcCritical6 7 2 2" xfId="36339"/>
    <cellStyle name="SAPBEXexcCritical6 7 3" xfId="16526"/>
    <cellStyle name="SAPBEXexcCritical6 7 3 2" xfId="36340"/>
    <cellStyle name="SAPBEXexcCritical6 7 4" xfId="36338"/>
    <cellStyle name="SAPBEXexcCritical6 8" xfId="16527"/>
    <cellStyle name="SAPBEXexcCritical6 8 2" xfId="36341"/>
    <cellStyle name="SAPBEXexcCritical6 9" xfId="16528"/>
    <cellStyle name="SAPBEXexcCritical6 9 2" xfId="36342"/>
    <cellStyle name="SAPBEXexcGood1" xfId="3865"/>
    <cellStyle name="SAPBEXexcGood1 10" xfId="27416"/>
    <cellStyle name="SAPBEXexcGood1 2" xfId="4206"/>
    <cellStyle name="SAPBEXexcGood1 2 2" xfId="16529"/>
    <cellStyle name="SAPBEXexcGood1 2 2 2" xfId="16530"/>
    <cellStyle name="SAPBEXexcGood1 2 2 2 2" xfId="36344"/>
    <cellStyle name="SAPBEXexcGood1 2 2 3" xfId="16531"/>
    <cellStyle name="SAPBEXexcGood1 2 2 3 2" xfId="36345"/>
    <cellStyle name="SAPBEXexcGood1 2 2 4" xfId="36343"/>
    <cellStyle name="SAPBEXexcGood1 2 3" xfId="16532"/>
    <cellStyle name="SAPBEXexcGood1 2 3 2" xfId="16533"/>
    <cellStyle name="SAPBEXexcGood1 2 3 2 2" xfId="36347"/>
    <cellStyle name="SAPBEXexcGood1 2 3 3" xfId="16534"/>
    <cellStyle name="SAPBEXexcGood1 2 3 3 2" xfId="36348"/>
    <cellStyle name="SAPBEXexcGood1 2 3 4" xfId="36346"/>
    <cellStyle name="SAPBEXexcGood1 2 4" xfId="16535"/>
    <cellStyle name="SAPBEXexcGood1 2 4 2" xfId="16536"/>
    <cellStyle name="SAPBEXexcGood1 2 4 2 2" xfId="36350"/>
    <cellStyle name="SAPBEXexcGood1 2 4 3" xfId="16537"/>
    <cellStyle name="SAPBEXexcGood1 2 4 3 2" xfId="36351"/>
    <cellStyle name="SAPBEXexcGood1 2 4 4" xfId="36349"/>
    <cellStyle name="SAPBEXexcGood1 2 5" xfId="16538"/>
    <cellStyle name="SAPBEXexcGood1 2 5 2" xfId="16539"/>
    <cellStyle name="SAPBEXexcGood1 2 5 2 2" xfId="36353"/>
    <cellStyle name="SAPBEXexcGood1 2 5 3" xfId="16540"/>
    <cellStyle name="SAPBEXexcGood1 2 5 3 2" xfId="36354"/>
    <cellStyle name="SAPBEXexcGood1 2 5 4" xfId="36352"/>
    <cellStyle name="SAPBEXexcGood1 2 6" xfId="16541"/>
    <cellStyle name="SAPBEXexcGood1 2 6 2" xfId="16542"/>
    <cellStyle name="SAPBEXexcGood1 2 6 2 2" xfId="36356"/>
    <cellStyle name="SAPBEXexcGood1 2 6 3" xfId="16543"/>
    <cellStyle name="SAPBEXexcGood1 2 6 3 2" xfId="36357"/>
    <cellStyle name="SAPBEXexcGood1 2 6 4" xfId="36355"/>
    <cellStyle name="SAPBEXexcGood1 2 7" xfId="16544"/>
    <cellStyle name="SAPBEXexcGood1 2 7 2" xfId="36358"/>
    <cellStyle name="SAPBEXexcGood1 2 8" xfId="16545"/>
    <cellStyle name="SAPBEXexcGood1 2 8 2" xfId="36359"/>
    <cellStyle name="SAPBEXexcGood1 2 9" xfId="27351"/>
    <cellStyle name="SAPBEXexcGood1 3" xfId="4633"/>
    <cellStyle name="SAPBEXexcGood1 3 2" xfId="16546"/>
    <cellStyle name="SAPBEXexcGood1 3 2 2" xfId="16547"/>
    <cellStyle name="SAPBEXexcGood1 3 2 2 2" xfId="36361"/>
    <cellStyle name="SAPBEXexcGood1 3 2 3" xfId="16548"/>
    <cellStyle name="SAPBEXexcGood1 3 2 3 2" xfId="36362"/>
    <cellStyle name="SAPBEXexcGood1 3 2 4" xfId="36360"/>
    <cellStyle name="SAPBEXexcGood1 3 3" xfId="16549"/>
    <cellStyle name="SAPBEXexcGood1 3 3 2" xfId="16550"/>
    <cellStyle name="SAPBEXexcGood1 3 3 2 2" xfId="36364"/>
    <cellStyle name="SAPBEXexcGood1 3 3 3" xfId="16551"/>
    <cellStyle name="SAPBEXexcGood1 3 3 3 2" xfId="36365"/>
    <cellStyle name="SAPBEXexcGood1 3 3 4" xfId="36363"/>
    <cellStyle name="SAPBEXexcGood1 3 4" xfId="16552"/>
    <cellStyle name="SAPBEXexcGood1 3 4 2" xfId="16553"/>
    <cellStyle name="SAPBEXexcGood1 3 4 2 2" xfId="36367"/>
    <cellStyle name="SAPBEXexcGood1 3 4 3" xfId="16554"/>
    <cellStyle name="SAPBEXexcGood1 3 4 3 2" xfId="36368"/>
    <cellStyle name="SAPBEXexcGood1 3 4 4" xfId="36366"/>
    <cellStyle name="SAPBEXexcGood1 3 5" xfId="16555"/>
    <cellStyle name="SAPBEXexcGood1 3 5 2" xfId="16556"/>
    <cellStyle name="SAPBEXexcGood1 3 5 2 2" xfId="36370"/>
    <cellStyle name="SAPBEXexcGood1 3 5 3" xfId="16557"/>
    <cellStyle name="SAPBEXexcGood1 3 5 3 2" xfId="36371"/>
    <cellStyle name="SAPBEXexcGood1 3 5 4" xfId="36369"/>
    <cellStyle name="SAPBEXexcGood1 3 6" xfId="16558"/>
    <cellStyle name="SAPBEXexcGood1 3 6 2" xfId="16559"/>
    <cellStyle name="SAPBEXexcGood1 3 6 2 2" xfId="36373"/>
    <cellStyle name="SAPBEXexcGood1 3 6 3" xfId="16560"/>
    <cellStyle name="SAPBEXexcGood1 3 6 3 2" xfId="36374"/>
    <cellStyle name="SAPBEXexcGood1 3 6 4" xfId="36372"/>
    <cellStyle name="SAPBEXexcGood1 3 7" xfId="16561"/>
    <cellStyle name="SAPBEXexcGood1 3 7 2" xfId="36375"/>
    <cellStyle name="SAPBEXexcGood1 3 8" xfId="16562"/>
    <cellStyle name="SAPBEXexcGood1 3 8 2" xfId="36376"/>
    <cellStyle name="SAPBEXexcGood1 3 9" xfId="26836"/>
    <cellStyle name="SAPBEXexcGood1 4" xfId="5662"/>
    <cellStyle name="SAPBEXexcGood1 4 2" xfId="16563"/>
    <cellStyle name="SAPBEXexcGood1 4 2 2" xfId="16564"/>
    <cellStyle name="SAPBEXexcGood1 4 2 2 2" xfId="36378"/>
    <cellStyle name="SAPBEXexcGood1 4 2 3" xfId="16565"/>
    <cellStyle name="SAPBEXexcGood1 4 2 3 2" xfId="36379"/>
    <cellStyle name="SAPBEXexcGood1 4 2 4" xfId="36377"/>
    <cellStyle name="SAPBEXexcGood1 4 3" xfId="16566"/>
    <cellStyle name="SAPBEXexcGood1 4 3 2" xfId="16567"/>
    <cellStyle name="SAPBEXexcGood1 4 3 2 2" xfId="36381"/>
    <cellStyle name="SAPBEXexcGood1 4 3 3" xfId="16568"/>
    <cellStyle name="SAPBEXexcGood1 4 3 3 2" xfId="36382"/>
    <cellStyle name="SAPBEXexcGood1 4 3 4" xfId="36380"/>
    <cellStyle name="SAPBEXexcGood1 4 4" xfId="16569"/>
    <cellStyle name="SAPBEXexcGood1 4 4 2" xfId="16570"/>
    <cellStyle name="SAPBEXexcGood1 4 4 2 2" xfId="36384"/>
    <cellStyle name="SAPBEXexcGood1 4 4 3" xfId="16571"/>
    <cellStyle name="SAPBEXexcGood1 4 4 3 2" xfId="36385"/>
    <cellStyle name="SAPBEXexcGood1 4 4 4" xfId="36383"/>
    <cellStyle name="SAPBEXexcGood1 4 5" xfId="16572"/>
    <cellStyle name="SAPBEXexcGood1 4 5 2" xfId="16573"/>
    <cellStyle name="SAPBEXexcGood1 4 5 2 2" xfId="36387"/>
    <cellStyle name="SAPBEXexcGood1 4 5 3" xfId="16574"/>
    <cellStyle name="SAPBEXexcGood1 4 5 3 2" xfId="36388"/>
    <cellStyle name="SAPBEXexcGood1 4 5 4" xfId="36386"/>
    <cellStyle name="SAPBEXexcGood1 4 6" xfId="16575"/>
    <cellStyle name="SAPBEXexcGood1 4 6 2" xfId="16576"/>
    <cellStyle name="SAPBEXexcGood1 4 6 2 2" xfId="36390"/>
    <cellStyle name="SAPBEXexcGood1 4 6 3" xfId="16577"/>
    <cellStyle name="SAPBEXexcGood1 4 6 3 2" xfId="36391"/>
    <cellStyle name="SAPBEXexcGood1 4 6 4" xfId="36389"/>
    <cellStyle name="SAPBEXexcGood1 4 7" xfId="16578"/>
    <cellStyle name="SAPBEXexcGood1 4 7 2" xfId="36392"/>
    <cellStyle name="SAPBEXexcGood1 4 8" xfId="16579"/>
    <cellStyle name="SAPBEXexcGood1 4 8 2" xfId="36393"/>
    <cellStyle name="SAPBEXexcGood1 4 9" xfId="19694"/>
    <cellStyle name="SAPBEXexcGood1 5" xfId="16580"/>
    <cellStyle name="SAPBEXexcGood1 5 2" xfId="16581"/>
    <cellStyle name="SAPBEXexcGood1 5 2 2" xfId="36395"/>
    <cellStyle name="SAPBEXexcGood1 5 3" xfId="16582"/>
    <cellStyle name="SAPBEXexcGood1 5 3 2" xfId="36396"/>
    <cellStyle name="SAPBEXexcGood1 5 4" xfId="36394"/>
    <cellStyle name="SAPBEXexcGood1 6" xfId="16583"/>
    <cellStyle name="SAPBEXexcGood1 6 2" xfId="16584"/>
    <cellStyle name="SAPBEXexcGood1 6 2 2" xfId="36398"/>
    <cellStyle name="SAPBEXexcGood1 6 3" xfId="16585"/>
    <cellStyle name="SAPBEXexcGood1 6 3 2" xfId="36399"/>
    <cellStyle name="SAPBEXexcGood1 6 4" xfId="36397"/>
    <cellStyle name="SAPBEXexcGood1 7" xfId="16586"/>
    <cellStyle name="SAPBEXexcGood1 7 2" xfId="16587"/>
    <cellStyle name="SAPBEXexcGood1 7 2 2" xfId="36401"/>
    <cellStyle name="SAPBEXexcGood1 7 3" xfId="16588"/>
    <cellStyle name="SAPBEXexcGood1 7 3 2" xfId="36402"/>
    <cellStyle name="SAPBEXexcGood1 7 4" xfId="36400"/>
    <cellStyle name="SAPBEXexcGood1 8" xfId="16589"/>
    <cellStyle name="SAPBEXexcGood1 8 2" xfId="36403"/>
    <cellStyle name="SAPBEXexcGood1 9" xfId="16590"/>
    <cellStyle name="SAPBEXexcGood1 9 2" xfId="36404"/>
    <cellStyle name="SAPBEXexcGood2" xfId="3866"/>
    <cellStyle name="SAPBEXexcGood2 10" xfId="27415"/>
    <cellStyle name="SAPBEXexcGood2 2" xfId="4426"/>
    <cellStyle name="SAPBEXexcGood2 2 2" xfId="16591"/>
    <cellStyle name="SAPBEXexcGood2 2 2 2" xfId="16592"/>
    <cellStyle name="SAPBEXexcGood2 2 2 2 2" xfId="36406"/>
    <cellStyle name="SAPBEXexcGood2 2 2 3" xfId="16593"/>
    <cellStyle name="SAPBEXexcGood2 2 2 3 2" xfId="36407"/>
    <cellStyle name="SAPBEXexcGood2 2 2 4" xfId="36405"/>
    <cellStyle name="SAPBEXexcGood2 2 3" xfId="16594"/>
    <cellStyle name="SAPBEXexcGood2 2 3 2" xfId="16595"/>
    <cellStyle name="SAPBEXexcGood2 2 3 2 2" xfId="36409"/>
    <cellStyle name="SAPBEXexcGood2 2 3 3" xfId="16596"/>
    <cellStyle name="SAPBEXexcGood2 2 3 3 2" xfId="36410"/>
    <cellStyle name="SAPBEXexcGood2 2 3 4" xfId="36408"/>
    <cellStyle name="SAPBEXexcGood2 2 4" xfId="16597"/>
    <cellStyle name="SAPBEXexcGood2 2 4 2" xfId="16598"/>
    <cellStyle name="SAPBEXexcGood2 2 4 2 2" xfId="36412"/>
    <cellStyle name="SAPBEXexcGood2 2 4 3" xfId="16599"/>
    <cellStyle name="SAPBEXexcGood2 2 4 3 2" xfId="36413"/>
    <cellStyle name="SAPBEXexcGood2 2 4 4" xfId="36411"/>
    <cellStyle name="SAPBEXexcGood2 2 5" xfId="16600"/>
    <cellStyle name="SAPBEXexcGood2 2 5 2" xfId="16601"/>
    <cellStyle name="SAPBEXexcGood2 2 5 2 2" xfId="36415"/>
    <cellStyle name="SAPBEXexcGood2 2 5 3" xfId="16602"/>
    <cellStyle name="SAPBEXexcGood2 2 5 3 2" xfId="36416"/>
    <cellStyle name="SAPBEXexcGood2 2 5 4" xfId="36414"/>
    <cellStyle name="SAPBEXexcGood2 2 6" xfId="16603"/>
    <cellStyle name="SAPBEXexcGood2 2 6 2" xfId="16604"/>
    <cellStyle name="SAPBEXexcGood2 2 6 2 2" xfId="36418"/>
    <cellStyle name="SAPBEXexcGood2 2 6 3" xfId="16605"/>
    <cellStyle name="SAPBEXexcGood2 2 6 3 2" xfId="36419"/>
    <cellStyle name="SAPBEXexcGood2 2 6 4" xfId="36417"/>
    <cellStyle name="SAPBEXexcGood2 2 7" xfId="16606"/>
    <cellStyle name="SAPBEXexcGood2 2 7 2" xfId="36420"/>
    <cellStyle name="SAPBEXexcGood2 2 8" xfId="16607"/>
    <cellStyle name="SAPBEXexcGood2 2 8 2" xfId="36421"/>
    <cellStyle name="SAPBEXexcGood2 2 9" xfId="27076"/>
    <cellStyle name="SAPBEXexcGood2 3" xfId="4624"/>
    <cellStyle name="SAPBEXexcGood2 3 2" xfId="16608"/>
    <cellStyle name="SAPBEXexcGood2 3 2 2" xfId="16609"/>
    <cellStyle name="SAPBEXexcGood2 3 2 2 2" xfId="36423"/>
    <cellStyle name="SAPBEXexcGood2 3 2 3" xfId="16610"/>
    <cellStyle name="SAPBEXexcGood2 3 2 3 2" xfId="36424"/>
    <cellStyle name="SAPBEXexcGood2 3 2 4" xfId="36422"/>
    <cellStyle name="SAPBEXexcGood2 3 3" xfId="16611"/>
    <cellStyle name="SAPBEXexcGood2 3 3 2" xfId="16612"/>
    <cellStyle name="SAPBEXexcGood2 3 3 2 2" xfId="36426"/>
    <cellStyle name="SAPBEXexcGood2 3 3 3" xfId="16613"/>
    <cellStyle name="SAPBEXexcGood2 3 3 3 2" xfId="36427"/>
    <cellStyle name="SAPBEXexcGood2 3 3 4" xfId="36425"/>
    <cellStyle name="SAPBEXexcGood2 3 4" xfId="16614"/>
    <cellStyle name="SAPBEXexcGood2 3 4 2" xfId="16615"/>
    <cellStyle name="SAPBEXexcGood2 3 4 2 2" xfId="36429"/>
    <cellStyle name="SAPBEXexcGood2 3 4 3" xfId="16616"/>
    <cellStyle name="SAPBEXexcGood2 3 4 3 2" xfId="36430"/>
    <cellStyle name="SAPBEXexcGood2 3 4 4" xfId="36428"/>
    <cellStyle name="SAPBEXexcGood2 3 5" xfId="16617"/>
    <cellStyle name="SAPBEXexcGood2 3 5 2" xfId="16618"/>
    <cellStyle name="SAPBEXexcGood2 3 5 2 2" xfId="36432"/>
    <cellStyle name="SAPBEXexcGood2 3 5 3" xfId="16619"/>
    <cellStyle name="SAPBEXexcGood2 3 5 3 2" xfId="36433"/>
    <cellStyle name="SAPBEXexcGood2 3 5 4" xfId="36431"/>
    <cellStyle name="SAPBEXexcGood2 3 6" xfId="16620"/>
    <cellStyle name="SAPBEXexcGood2 3 6 2" xfId="16621"/>
    <cellStyle name="SAPBEXexcGood2 3 6 2 2" xfId="36435"/>
    <cellStyle name="SAPBEXexcGood2 3 6 3" xfId="16622"/>
    <cellStyle name="SAPBEXexcGood2 3 6 3 2" xfId="36436"/>
    <cellStyle name="SAPBEXexcGood2 3 6 4" xfId="36434"/>
    <cellStyle name="SAPBEXexcGood2 3 7" xfId="16623"/>
    <cellStyle name="SAPBEXexcGood2 3 7 2" xfId="36437"/>
    <cellStyle name="SAPBEXexcGood2 3 8" xfId="16624"/>
    <cellStyle name="SAPBEXexcGood2 3 8 2" xfId="36438"/>
    <cellStyle name="SAPBEXexcGood2 3 9" xfId="19828"/>
    <cellStyle name="SAPBEXexcGood2 4" xfId="5663"/>
    <cellStyle name="SAPBEXexcGood2 4 2" xfId="16625"/>
    <cellStyle name="SAPBEXexcGood2 4 2 2" xfId="16626"/>
    <cellStyle name="SAPBEXexcGood2 4 2 2 2" xfId="36440"/>
    <cellStyle name="SAPBEXexcGood2 4 2 3" xfId="16627"/>
    <cellStyle name="SAPBEXexcGood2 4 2 3 2" xfId="36441"/>
    <cellStyle name="SAPBEXexcGood2 4 2 4" xfId="36439"/>
    <cellStyle name="SAPBEXexcGood2 4 3" xfId="16628"/>
    <cellStyle name="SAPBEXexcGood2 4 3 2" xfId="16629"/>
    <cellStyle name="SAPBEXexcGood2 4 3 2 2" xfId="36443"/>
    <cellStyle name="SAPBEXexcGood2 4 3 3" xfId="16630"/>
    <cellStyle name="SAPBEXexcGood2 4 3 3 2" xfId="36444"/>
    <cellStyle name="SAPBEXexcGood2 4 3 4" xfId="36442"/>
    <cellStyle name="SAPBEXexcGood2 4 4" xfId="16631"/>
    <cellStyle name="SAPBEXexcGood2 4 4 2" xfId="16632"/>
    <cellStyle name="SAPBEXexcGood2 4 4 2 2" xfId="36446"/>
    <cellStyle name="SAPBEXexcGood2 4 4 3" xfId="16633"/>
    <cellStyle name="SAPBEXexcGood2 4 4 3 2" xfId="36447"/>
    <cellStyle name="SAPBEXexcGood2 4 4 4" xfId="36445"/>
    <cellStyle name="SAPBEXexcGood2 4 5" xfId="16634"/>
    <cellStyle name="SAPBEXexcGood2 4 5 2" xfId="16635"/>
    <cellStyle name="SAPBEXexcGood2 4 5 2 2" xfId="36449"/>
    <cellStyle name="SAPBEXexcGood2 4 5 3" xfId="16636"/>
    <cellStyle name="SAPBEXexcGood2 4 5 3 2" xfId="36450"/>
    <cellStyle name="SAPBEXexcGood2 4 5 4" xfId="36448"/>
    <cellStyle name="SAPBEXexcGood2 4 6" xfId="16637"/>
    <cellStyle name="SAPBEXexcGood2 4 6 2" xfId="16638"/>
    <cellStyle name="SAPBEXexcGood2 4 6 2 2" xfId="36452"/>
    <cellStyle name="SAPBEXexcGood2 4 6 3" xfId="16639"/>
    <cellStyle name="SAPBEXexcGood2 4 6 3 2" xfId="36453"/>
    <cellStyle name="SAPBEXexcGood2 4 6 4" xfId="36451"/>
    <cellStyle name="SAPBEXexcGood2 4 7" xfId="16640"/>
    <cellStyle name="SAPBEXexcGood2 4 7 2" xfId="36454"/>
    <cellStyle name="SAPBEXexcGood2 4 8" xfId="16641"/>
    <cellStyle name="SAPBEXexcGood2 4 8 2" xfId="36455"/>
    <cellStyle name="SAPBEXexcGood2 4 9" xfId="19693"/>
    <cellStyle name="SAPBEXexcGood2 5" xfId="16642"/>
    <cellStyle name="SAPBEXexcGood2 5 2" xfId="16643"/>
    <cellStyle name="SAPBEXexcGood2 5 2 2" xfId="36457"/>
    <cellStyle name="SAPBEXexcGood2 5 3" xfId="16644"/>
    <cellStyle name="SAPBEXexcGood2 5 3 2" xfId="36458"/>
    <cellStyle name="SAPBEXexcGood2 5 4" xfId="36456"/>
    <cellStyle name="SAPBEXexcGood2 6" xfId="16645"/>
    <cellStyle name="SAPBEXexcGood2 6 2" xfId="16646"/>
    <cellStyle name="SAPBEXexcGood2 6 2 2" xfId="36460"/>
    <cellStyle name="SAPBEXexcGood2 6 3" xfId="16647"/>
    <cellStyle name="SAPBEXexcGood2 6 3 2" xfId="36461"/>
    <cellStyle name="SAPBEXexcGood2 6 4" xfId="36459"/>
    <cellStyle name="SAPBEXexcGood2 7" xfId="16648"/>
    <cellStyle name="SAPBEXexcGood2 7 2" xfId="16649"/>
    <cellStyle name="SAPBEXexcGood2 7 2 2" xfId="36463"/>
    <cellStyle name="SAPBEXexcGood2 7 3" xfId="16650"/>
    <cellStyle name="SAPBEXexcGood2 7 3 2" xfId="36464"/>
    <cellStyle name="SAPBEXexcGood2 7 4" xfId="36462"/>
    <cellStyle name="SAPBEXexcGood2 8" xfId="16651"/>
    <cellStyle name="SAPBEXexcGood2 8 2" xfId="36465"/>
    <cellStyle name="SAPBEXexcGood2 9" xfId="16652"/>
    <cellStyle name="SAPBEXexcGood2 9 2" xfId="36466"/>
    <cellStyle name="SAPBEXexcGood3" xfId="3867"/>
    <cellStyle name="SAPBEXexcGood3 10" xfId="27414"/>
    <cellStyle name="SAPBEXexcGood3 2" xfId="4422"/>
    <cellStyle name="SAPBEXexcGood3 2 2" xfId="16653"/>
    <cellStyle name="SAPBEXexcGood3 2 2 2" xfId="16654"/>
    <cellStyle name="SAPBEXexcGood3 2 2 2 2" xfId="36468"/>
    <cellStyle name="SAPBEXexcGood3 2 2 3" xfId="16655"/>
    <cellStyle name="SAPBEXexcGood3 2 2 3 2" xfId="36469"/>
    <cellStyle name="SAPBEXexcGood3 2 2 4" xfId="36467"/>
    <cellStyle name="SAPBEXexcGood3 2 3" xfId="16656"/>
    <cellStyle name="SAPBEXexcGood3 2 3 2" xfId="16657"/>
    <cellStyle name="SAPBEXexcGood3 2 3 2 2" xfId="36471"/>
    <cellStyle name="SAPBEXexcGood3 2 3 3" xfId="16658"/>
    <cellStyle name="SAPBEXexcGood3 2 3 3 2" xfId="36472"/>
    <cellStyle name="SAPBEXexcGood3 2 3 4" xfId="36470"/>
    <cellStyle name="SAPBEXexcGood3 2 4" xfId="16659"/>
    <cellStyle name="SAPBEXexcGood3 2 4 2" xfId="16660"/>
    <cellStyle name="SAPBEXexcGood3 2 4 2 2" xfId="36474"/>
    <cellStyle name="SAPBEXexcGood3 2 4 3" xfId="16661"/>
    <cellStyle name="SAPBEXexcGood3 2 4 3 2" xfId="36475"/>
    <cellStyle name="SAPBEXexcGood3 2 4 4" xfId="36473"/>
    <cellStyle name="SAPBEXexcGood3 2 5" xfId="16662"/>
    <cellStyle name="SAPBEXexcGood3 2 5 2" xfId="16663"/>
    <cellStyle name="SAPBEXexcGood3 2 5 2 2" xfId="36477"/>
    <cellStyle name="SAPBEXexcGood3 2 5 3" xfId="16664"/>
    <cellStyle name="SAPBEXexcGood3 2 5 3 2" xfId="36478"/>
    <cellStyle name="SAPBEXexcGood3 2 5 4" xfId="36476"/>
    <cellStyle name="SAPBEXexcGood3 2 6" xfId="16665"/>
    <cellStyle name="SAPBEXexcGood3 2 6 2" xfId="16666"/>
    <cellStyle name="SAPBEXexcGood3 2 6 2 2" xfId="36480"/>
    <cellStyle name="SAPBEXexcGood3 2 6 3" xfId="16667"/>
    <cellStyle name="SAPBEXexcGood3 2 6 3 2" xfId="36481"/>
    <cellStyle name="SAPBEXexcGood3 2 6 4" xfId="36479"/>
    <cellStyle name="SAPBEXexcGood3 2 7" xfId="16668"/>
    <cellStyle name="SAPBEXexcGood3 2 7 2" xfId="36482"/>
    <cellStyle name="SAPBEXexcGood3 2 8" xfId="16669"/>
    <cellStyle name="SAPBEXexcGood3 2 8 2" xfId="36483"/>
    <cellStyle name="SAPBEXexcGood3 2 9" xfId="27079"/>
    <cellStyle name="SAPBEXexcGood3 3" xfId="4075"/>
    <cellStyle name="SAPBEXexcGood3 3 2" xfId="16670"/>
    <cellStyle name="SAPBEXexcGood3 3 2 2" xfId="16671"/>
    <cellStyle name="SAPBEXexcGood3 3 2 2 2" xfId="36485"/>
    <cellStyle name="SAPBEXexcGood3 3 2 3" xfId="16672"/>
    <cellStyle name="SAPBEXexcGood3 3 2 3 2" xfId="36486"/>
    <cellStyle name="SAPBEXexcGood3 3 2 4" xfId="36484"/>
    <cellStyle name="SAPBEXexcGood3 3 3" xfId="16673"/>
    <cellStyle name="SAPBEXexcGood3 3 3 2" xfId="16674"/>
    <cellStyle name="SAPBEXexcGood3 3 3 2 2" xfId="36488"/>
    <cellStyle name="SAPBEXexcGood3 3 3 3" xfId="16675"/>
    <cellStyle name="SAPBEXexcGood3 3 3 3 2" xfId="36489"/>
    <cellStyle name="SAPBEXexcGood3 3 3 4" xfId="36487"/>
    <cellStyle name="SAPBEXexcGood3 3 4" xfId="16676"/>
    <cellStyle name="SAPBEXexcGood3 3 4 2" xfId="16677"/>
    <cellStyle name="SAPBEXexcGood3 3 4 2 2" xfId="36491"/>
    <cellStyle name="SAPBEXexcGood3 3 4 3" xfId="16678"/>
    <cellStyle name="SAPBEXexcGood3 3 4 3 2" xfId="36492"/>
    <cellStyle name="SAPBEXexcGood3 3 4 4" xfId="36490"/>
    <cellStyle name="SAPBEXexcGood3 3 5" xfId="16679"/>
    <cellStyle name="SAPBEXexcGood3 3 5 2" xfId="16680"/>
    <cellStyle name="SAPBEXexcGood3 3 5 2 2" xfId="36494"/>
    <cellStyle name="SAPBEXexcGood3 3 5 3" xfId="16681"/>
    <cellStyle name="SAPBEXexcGood3 3 5 3 2" xfId="36495"/>
    <cellStyle name="SAPBEXexcGood3 3 5 4" xfId="36493"/>
    <cellStyle name="SAPBEXexcGood3 3 6" xfId="16682"/>
    <cellStyle name="SAPBEXexcGood3 3 6 2" xfId="16683"/>
    <cellStyle name="SAPBEXexcGood3 3 6 2 2" xfId="36497"/>
    <cellStyle name="SAPBEXexcGood3 3 6 3" xfId="16684"/>
    <cellStyle name="SAPBEXexcGood3 3 6 3 2" xfId="36498"/>
    <cellStyle name="SAPBEXexcGood3 3 6 4" xfId="36496"/>
    <cellStyle name="SAPBEXexcGood3 3 7" xfId="16685"/>
    <cellStyle name="SAPBEXexcGood3 3 7 2" xfId="36499"/>
    <cellStyle name="SAPBEXexcGood3 3 8" xfId="16686"/>
    <cellStyle name="SAPBEXexcGood3 3 8 2" xfId="36500"/>
    <cellStyle name="SAPBEXexcGood3 3 9" xfId="19864"/>
    <cellStyle name="SAPBEXexcGood3 4" xfId="5664"/>
    <cellStyle name="SAPBEXexcGood3 4 2" xfId="16687"/>
    <cellStyle name="SAPBEXexcGood3 4 2 2" xfId="16688"/>
    <cellStyle name="SAPBEXexcGood3 4 2 2 2" xfId="36502"/>
    <cellStyle name="SAPBEXexcGood3 4 2 3" xfId="16689"/>
    <cellStyle name="SAPBEXexcGood3 4 2 3 2" xfId="36503"/>
    <cellStyle name="SAPBEXexcGood3 4 2 4" xfId="36501"/>
    <cellStyle name="SAPBEXexcGood3 4 3" xfId="16690"/>
    <cellStyle name="SAPBEXexcGood3 4 3 2" xfId="16691"/>
    <cellStyle name="SAPBEXexcGood3 4 3 2 2" xfId="36505"/>
    <cellStyle name="SAPBEXexcGood3 4 3 3" xfId="16692"/>
    <cellStyle name="SAPBEXexcGood3 4 3 3 2" xfId="36506"/>
    <cellStyle name="SAPBEXexcGood3 4 3 4" xfId="36504"/>
    <cellStyle name="SAPBEXexcGood3 4 4" xfId="16693"/>
    <cellStyle name="SAPBEXexcGood3 4 4 2" xfId="16694"/>
    <cellStyle name="SAPBEXexcGood3 4 4 2 2" xfId="36508"/>
    <cellStyle name="SAPBEXexcGood3 4 4 3" xfId="16695"/>
    <cellStyle name="SAPBEXexcGood3 4 4 3 2" xfId="36509"/>
    <cellStyle name="SAPBEXexcGood3 4 4 4" xfId="36507"/>
    <cellStyle name="SAPBEXexcGood3 4 5" xfId="16696"/>
    <cellStyle name="SAPBEXexcGood3 4 5 2" xfId="16697"/>
    <cellStyle name="SAPBEXexcGood3 4 5 2 2" xfId="36511"/>
    <cellStyle name="SAPBEXexcGood3 4 5 3" xfId="16698"/>
    <cellStyle name="SAPBEXexcGood3 4 5 3 2" xfId="36512"/>
    <cellStyle name="SAPBEXexcGood3 4 5 4" xfId="36510"/>
    <cellStyle name="SAPBEXexcGood3 4 6" xfId="16699"/>
    <cellStyle name="SAPBEXexcGood3 4 6 2" xfId="16700"/>
    <cellStyle name="SAPBEXexcGood3 4 6 2 2" xfId="36514"/>
    <cellStyle name="SAPBEXexcGood3 4 6 3" xfId="16701"/>
    <cellStyle name="SAPBEXexcGood3 4 6 3 2" xfId="36515"/>
    <cellStyle name="SAPBEXexcGood3 4 6 4" xfId="36513"/>
    <cellStyle name="SAPBEXexcGood3 4 7" xfId="16702"/>
    <cellStyle name="SAPBEXexcGood3 4 7 2" xfId="36516"/>
    <cellStyle name="SAPBEXexcGood3 4 8" xfId="16703"/>
    <cellStyle name="SAPBEXexcGood3 4 8 2" xfId="36517"/>
    <cellStyle name="SAPBEXexcGood3 4 9" xfId="19691"/>
    <cellStyle name="SAPBEXexcGood3 5" xfId="16704"/>
    <cellStyle name="SAPBEXexcGood3 5 2" xfId="16705"/>
    <cellStyle name="SAPBEXexcGood3 5 2 2" xfId="36519"/>
    <cellStyle name="SAPBEXexcGood3 5 3" xfId="16706"/>
    <cellStyle name="SAPBEXexcGood3 5 3 2" xfId="36520"/>
    <cellStyle name="SAPBEXexcGood3 5 4" xfId="36518"/>
    <cellStyle name="SAPBEXexcGood3 6" xfId="16707"/>
    <cellStyle name="SAPBEXexcGood3 6 2" xfId="16708"/>
    <cellStyle name="SAPBEXexcGood3 6 2 2" xfId="36522"/>
    <cellStyle name="SAPBEXexcGood3 6 3" xfId="16709"/>
    <cellStyle name="SAPBEXexcGood3 6 3 2" xfId="36523"/>
    <cellStyle name="SAPBEXexcGood3 6 4" xfId="36521"/>
    <cellStyle name="SAPBEXexcGood3 7" xfId="16710"/>
    <cellStyle name="SAPBEXexcGood3 7 2" xfId="16711"/>
    <cellStyle name="SAPBEXexcGood3 7 2 2" xfId="36525"/>
    <cellStyle name="SAPBEXexcGood3 7 3" xfId="16712"/>
    <cellStyle name="SAPBEXexcGood3 7 3 2" xfId="36526"/>
    <cellStyle name="SAPBEXexcGood3 7 4" xfId="36524"/>
    <cellStyle name="SAPBEXexcGood3 8" xfId="16713"/>
    <cellStyle name="SAPBEXexcGood3 8 2" xfId="36527"/>
    <cellStyle name="SAPBEXexcGood3 9" xfId="16714"/>
    <cellStyle name="SAPBEXexcGood3 9 2" xfId="36528"/>
    <cellStyle name="SAPBEXfilterDrill" xfId="3868"/>
    <cellStyle name="SAPBEXfilterDrill 10" xfId="4503"/>
    <cellStyle name="SAPBEXfilterDrill 10 2" xfId="20451"/>
    <cellStyle name="SAPBEXfilterDrill 11" xfId="4216"/>
    <cellStyle name="SAPBEXfilterDrill 11 2" xfId="20300"/>
    <cellStyle name="SAPBEXfilterDrill 12" xfId="4626"/>
    <cellStyle name="SAPBEXfilterDrill 12 2" xfId="20545"/>
    <cellStyle name="SAPBEXfilterDrill 13" xfId="4440"/>
    <cellStyle name="SAPBEXfilterDrill 13 2" xfId="20406"/>
    <cellStyle name="SAPBEXfilterDrill 14" xfId="4121"/>
    <cellStyle name="SAPBEXfilterDrill 14 2" xfId="20245"/>
    <cellStyle name="SAPBEXfilterDrill 15" xfId="4657"/>
    <cellStyle name="SAPBEXfilterDrill 15 2" xfId="20570"/>
    <cellStyle name="SAPBEXfilterDrill 16" xfId="4077"/>
    <cellStyle name="SAPBEXfilterDrill 16 2" xfId="20216"/>
    <cellStyle name="SAPBEXfilterDrill 17" xfId="20076"/>
    <cellStyle name="SAPBEXfilterDrill 2" xfId="3869"/>
    <cellStyle name="SAPBEXfilterDrill 2 10" xfId="4215"/>
    <cellStyle name="SAPBEXfilterDrill 2 10 2" xfId="20299"/>
    <cellStyle name="SAPBEXfilterDrill 2 11" xfId="4627"/>
    <cellStyle name="SAPBEXfilterDrill 2 11 2" xfId="20546"/>
    <cellStyle name="SAPBEXfilterDrill 2 12" xfId="4483"/>
    <cellStyle name="SAPBEXfilterDrill 2 12 2" xfId="20437"/>
    <cellStyle name="SAPBEXfilterDrill 2 13" xfId="4176"/>
    <cellStyle name="SAPBEXfilterDrill 2 13 2" xfId="20276"/>
    <cellStyle name="SAPBEXfilterDrill 2 14" xfId="4658"/>
    <cellStyle name="SAPBEXfilterDrill 2 14 2" xfId="20571"/>
    <cellStyle name="SAPBEXfilterDrill 2 15" xfId="4521"/>
    <cellStyle name="SAPBEXfilterDrill 2 15 2" xfId="20463"/>
    <cellStyle name="SAPBEXfilterDrill 2 16" xfId="20077"/>
    <cellStyle name="SAPBEXfilterDrill 2 2" xfId="4566"/>
    <cellStyle name="SAPBEXfilterDrill 2 2 2" xfId="16715"/>
    <cellStyle name="SAPBEXfilterDrill 2 2 2 2" xfId="16716"/>
    <cellStyle name="SAPBEXfilterDrill 2 2 2 2 2" xfId="30619"/>
    <cellStyle name="SAPBEXfilterDrill 2 2 2 3" xfId="30618"/>
    <cellStyle name="SAPBEXfilterDrill 2 2 3" xfId="16717"/>
    <cellStyle name="SAPBEXfilterDrill 2 2 3 2" xfId="16718"/>
    <cellStyle name="SAPBEXfilterDrill 2 2 3 2 2" xfId="30621"/>
    <cellStyle name="SAPBEXfilterDrill 2 2 3 3" xfId="30620"/>
    <cellStyle name="SAPBEXfilterDrill 2 2 4" xfId="16719"/>
    <cellStyle name="SAPBEXfilterDrill 2 2 4 2" xfId="16720"/>
    <cellStyle name="SAPBEXfilterDrill 2 2 4 2 2" xfId="30623"/>
    <cellStyle name="SAPBEXfilterDrill 2 2 4 3" xfId="30622"/>
    <cellStyle name="SAPBEXfilterDrill 2 2 5" xfId="16721"/>
    <cellStyle name="SAPBEXfilterDrill 2 2 5 2" xfId="16722"/>
    <cellStyle name="SAPBEXfilterDrill 2 2 5 2 2" xfId="30625"/>
    <cellStyle name="SAPBEXfilterDrill 2 2 5 3" xfId="30624"/>
    <cellStyle name="SAPBEXfilterDrill 2 2 6" xfId="16723"/>
    <cellStyle name="SAPBEXfilterDrill 2 2 6 2" xfId="16724"/>
    <cellStyle name="SAPBEXfilterDrill 2 2 6 2 2" xfId="30627"/>
    <cellStyle name="SAPBEXfilterDrill 2 2 6 3" xfId="30626"/>
    <cellStyle name="SAPBEXfilterDrill 2 2 7" xfId="16725"/>
    <cellStyle name="SAPBEXfilterDrill 2 2 7 2" xfId="16726"/>
    <cellStyle name="SAPBEXfilterDrill 2 2 7 2 2" xfId="30629"/>
    <cellStyle name="SAPBEXfilterDrill 2 2 7 3" xfId="30628"/>
    <cellStyle name="SAPBEXfilterDrill 2 2 8" xfId="16727"/>
    <cellStyle name="SAPBEXfilterDrill 2 2 8 2" xfId="30630"/>
    <cellStyle name="SAPBEXfilterDrill 2 2 9" xfId="20497"/>
    <cellStyle name="SAPBEXfilterDrill 2 3" xfId="4086"/>
    <cellStyle name="SAPBEXfilterDrill 2 3 2" xfId="16728"/>
    <cellStyle name="SAPBEXfilterDrill 2 3 2 2" xfId="30631"/>
    <cellStyle name="SAPBEXfilterDrill 2 3 3" xfId="20221"/>
    <cellStyle name="SAPBEXfilterDrill 2 4" xfId="4168"/>
    <cellStyle name="SAPBEXfilterDrill 2 4 2" xfId="16729"/>
    <cellStyle name="SAPBEXfilterDrill 2 4 2 2" xfId="30632"/>
    <cellStyle name="SAPBEXfilterDrill 2 4 3" xfId="20272"/>
    <cellStyle name="SAPBEXfilterDrill 2 5" xfId="4108"/>
    <cellStyle name="SAPBEXfilterDrill 2 5 2" xfId="16730"/>
    <cellStyle name="SAPBEXfilterDrill 2 5 2 2" xfId="30633"/>
    <cellStyle name="SAPBEXfilterDrill 2 5 3" xfId="20237"/>
    <cellStyle name="SAPBEXfilterDrill 2 6" xfId="4133"/>
    <cellStyle name="SAPBEXfilterDrill 2 6 2" xfId="16731"/>
    <cellStyle name="SAPBEXfilterDrill 2 6 2 2" xfId="30634"/>
    <cellStyle name="SAPBEXfilterDrill 2 6 3" xfId="20252"/>
    <cellStyle name="SAPBEXfilterDrill 2 7" xfId="4203"/>
    <cellStyle name="SAPBEXfilterDrill 2 7 2" xfId="16732"/>
    <cellStyle name="SAPBEXfilterDrill 2 7 2 2" xfId="30635"/>
    <cellStyle name="SAPBEXfilterDrill 2 7 3" xfId="20291"/>
    <cellStyle name="SAPBEXfilterDrill 2 8" xfId="4530"/>
    <cellStyle name="SAPBEXfilterDrill 2 8 2" xfId="16733"/>
    <cellStyle name="SAPBEXfilterDrill 2 8 2 2" xfId="30636"/>
    <cellStyle name="SAPBEXfilterDrill 2 8 3" xfId="20472"/>
    <cellStyle name="SAPBEXfilterDrill 2 9" xfId="4522"/>
    <cellStyle name="SAPBEXfilterDrill 2 9 2" xfId="20464"/>
    <cellStyle name="SAPBEXfilterDrill 3" xfId="4565"/>
    <cellStyle name="SAPBEXfilterDrill 3 2" xfId="16734"/>
    <cellStyle name="SAPBEXfilterDrill 3 2 2" xfId="16735"/>
    <cellStyle name="SAPBEXfilterDrill 3 2 2 2" xfId="30638"/>
    <cellStyle name="SAPBEXfilterDrill 3 2 3" xfId="30637"/>
    <cellStyle name="SAPBEXfilterDrill 3 3" xfId="16736"/>
    <cellStyle name="SAPBEXfilterDrill 3 3 2" xfId="16737"/>
    <cellStyle name="SAPBEXfilterDrill 3 3 2 2" xfId="30640"/>
    <cellStyle name="SAPBEXfilterDrill 3 3 3" xfId="30639"/>
    <cellStyle name="SAPBEXfilterDrill 3 4" xfId="16738"/>
    <cellStyle name="SAPBEXfilterDrill 3 4 2" xfId="16739"/>
    <cellStyle name="SAPBEXfilterDrill 3 4 2 2" xfId="30642"/>
    <cellStyle name="SAPBEXfilterDrill 3 4 3" xfId="30641"/>
    <cellStyle name="SAPBEXfilterDrill 3 5" xfId="16740"/>
    <cellStyle name="SAPBEXfilterDrill 3 5 2" xfId="16741"/>
    <cellStyle name="SAPBEXfilterDrill 3 5 2 2" xfId="30644"/>
    <cellStyle name="SAPBEXfilterDrill 3 5 3" xfId="30643"/>
    <cellStyle name="SAPBEXfilterDrill 3 6" xfId="16742"/>
    <cellStyle name="SAPBEXfilterDrill 3 6 2" xfId="16743"/>
    <cellStyle name="SAPBEXfilterDrill 3 6 2 2" xfId="30646"/>
    <cellStyle name="SAPBEXfilterDrill 3 6 3" xfId="30645"/>
    <cellStyle name="SAPBEXfilterDrill 3 7" xfId="16744"/>
    <cellStyle name="SAPBEXfilterDrill 3 7 2" xfId="16745"/>
    <cellStyle name="SAPBEXfilterDrill 3 7 2 2" xfId="30648"/>
    <cellStyle name="SAPBEXfilterDrill 3 7 3" xfId="30647"/>
    <cellStyle name="SAPBEXfilterDrill 3 8" xfId="16746"/>
    <cellStyle name="SAPBEXfilterDrill 3 8 2" xfId="30649"/>
    <cellStyle name="SAPBEXfilterDrill 3 9" xfId="20496"/>
    <cellStyle name="SAPBEXfilterDrill 4" xfId="4066"/>
    <cellStyle name="SAPBEXfilterDrill 4 2" xfId="16747"/>
    <cellStyle name="SAPBEXfilterDrill 4 2 2" xfId="30650"/>
    <cellStyle name="SAPBEXfilterDrill 4 3" xfId="20209"/>
    <cellStyle name="SAPBEXfilterDrill 5" xfId="4169"/>
    <cellStyle name="SAPBEXfilterDrill 5 2" xfId="16748"/>
    <cellStyle name="SAPBEXfilterDrill 5 2 2" xfId="30651"/>
    <cellStyle name="SAPBEXfilterDrill 5 3" xfId="20273"/>
    <cellStyle name="SAPBEXfilterDrill 6" xfId="4055"/>
    <cellStyle name="SAPBEXfilterDrill 6 2" xfId="16749"/>
    <cellStyle name="SAPBEXfilterDrill 6 2 2" xfId="30652"/>
    <cellStyle name="SAPBEXfilterDrill 6 3" xfId="20204"/>
    <cellStyle name="SAPBEXfilterDrill 7" xfId="4534"/>
    <cellStyle name="SAPBEXfilterDrill 7 2" xfId="16750"/>
    <cellStyle name="SAPBEXfilterDrill 7 2 2" xfId="30653"/>
    <cellStyle name="SAPBEXfilterDrill 7 3" xfId="20475"/>
    <cellStyle name="SAPBEXfilterDrill 8" xfId="4204"/>
    <cellStyle name="SAPBEXfilterDrill 8 2" xfId="16751"/>
    <cellStyle name="SAPBEXfilterDrill 8 2 2" xfId="30654"/>
    <cellStyle name="SAPBEXfilterDrill 8 3" xfId="20292"/>
    <cellStyle name="SAPBEXfilterDrill 9" xfId="4424"/>
    <cellStyle name="SAPBEXfilterDrill 9 2" xfId="16752"/>
    <cellStyle name="SAPBEXfilterDrill 9 2 2" xfId="30655"/>
    <cellStyle name="SAPBEXfilterDrill 9 3" xfId="20396"/>
    <cellStyle name="SAPBEXfilterItem" xfId="3870"/>
    <cellStyle name="SAPBEXfilterText" xfId="3871"/>
    <cellStyle name="SAPBEXformats" xfId="3872"/>
    <cellStyle name="SAPBEXformats 10" xfId="27413"/>
    <cellStyle name="SAPBEXformats 2" xfId="4492"/>
    <cellStyle name="SAPBEXformats 2 2" xfId="16753"/>
    <cellStyle name="SAPBEXformats 2 2 2" xfId="16754"/>
    <cellStyle name="SAPBEXformats 2 2 2 2" xfId="36530"/>
    <cellStyle name="SAPBEXformats 2 2 3" xfId="16755"/>
    <cellStyle name="SAPBEXformats 2 2 3 2" xfId="36531"/>
    <cellStyle name="SAPBEXformats 2 2 4" xfId="36529"/>
    <cellStyle name="SAPBEXformats 2 3" xfId="16756"/>
    <cellStyle name="SAPBEXformats 2 3 2" xfId="16757"/>
    <cellStyle name="SAPBEXformats 2 3 2 2" xfId="36533"/>
    <cellStyle name="SAPBEXformats 2 3 3" xfId="16758"/>
    <cellStyle name="SAPBEXformats 2 3 3 2" xfId="36534"/>
    <cellStyle name="SAPBEXformats 2 3 4" xfId="36532"/>
    <cellStyle name="SAPBEXformats 2 4" xfId="16759"/>
    <cellStyle name="SAPBEXformats 2 4 2" xfId="16760"/>
    <cellStyle name="SAPBEXformats 2 4 2 2" xfId="36536"/>
    <cellStyle name="SAPBEXformats 2 4 3" xfId="16761"/>
    <cellStyle name="SAPBEXformats 2 4 3 2" xfId="36537"/>
    <cellStyle name="SAPBEXformats 2 4 4" xfId="36535"/>
    <cellStyle name="SAPBEXformats 2 5" xfId="16762"/>
    <cellStyle name="SAPBEXformats 2 5 2" xfId="16763"/>
    <cellStyle name="SAPBEXformats 2 5 2 2" xfId="36539"/>
    <cellStyle name="SAPBEXformats 2 5 3" xfId="16764"/>
    <cellStyle name="SAPBEXformats 2 5 3 2" xfId="36540"/>
    <cellStyle name="SAPBEXformats 2 5 4" xfId="36538"/>
    <cellStyle name="SAPBEXformats 2 6" xfId="16765"/>
    <cellStyle name="SAPBEXformats 2 6 2" xfId="16766"/>
    <cellStyle name="SAPBEXformats 2 6 2 2" xfId="36542"/>
    <cellStyle name="SAPBEXformats 2 6 3" xfId="16767"/>
    <cellStyle name="SAPBEXformats 2 6 3 2" xfId="36543"/>
    <cellStyle name="SAPBEXformats 2 6 4" xfId="36541"/>
    <cellStyle name="SAPBEXformats 2 7" xfId="16768"/>
    <cellStyle name="SAPBEXformats 2 7 2" xfId="36544"/>
    <cellStyle name="SAPBEXformats 2 8" xfId="16769"/>
    <cellStyle name="SAPBEXformats 2 8 2" xfId="36545"/>
    <cellStyle name="SAPBEXformats 2 9" xfId="27060"/>
    <cellStyle name="SAPBEXformats 3" xfId="4548"/>
    <cellStyle name="SAPBEXformats 3 2" xfId="16770"/>
    <cellStyle name="SAPBEXformats 3 2 2" xfId="16771"/>
    <cellStyle name="SAPBEXformats 3 2 2 2" xfId="36547"/>
    <cellStyle name="SAPBEXformats 3 2 3" xfId="16772"/>
    <cellStyle name="SAPBEXformats 3 2 3 2" xfId="36548"/>
    <cellStyle name="SAPBEXformats 3 2 4" xfId="36546"/>
    <cellStyle name="SAPBEXformats 3 3" xfId="16773"/>
    <cellStyle name="SAPBEXformats 3 3 2" xfId="16774"/>
    <cellStyle name="SAPBEXformats 3 3 2 2" xfId="36550"/>
    <cellStyle name="SAPBEXformats 3 3 3" xfId="16775"/>
    <cellStyle name="SAPBEXformats 3 3 3 2" xfId="36551"/>
    <cellStyle name="SAPBEXformats 3 3 4" xfId="36549"/>
    <cellStyle name="SAPBEXformats 3 4" xfId="16776"/>
    <cellStyle name="SAPBEXformats 3 4 2" xfId="16777"/>
    <cellStyle name="SAPBEXformats 3 4 2 2" xfId="36553"/>
    <cellStyle name="SAPBEXformats 3 4 3" xfId="16778"/>
    <cellStyle name="SAPBEXformats 3 4 3 2" xfId="36554"/>
    <cellStyle name="SAPBEXformats 3 4 4" xfId="36552"/>
    <cellStyle name="SAPBEXformats 3 5" xfId="16779"/>
    <cellStyle name="SAPBEXformats 3 5 2" xfId="16780"/>
    <cellStyle name="SAPBEXformats 3 5 2 2" xfId="36556"/>
    <cellStyle name="SAPBEXformats 3 5 3" xfId="16781"/>
    <cellStyle name="SAPBEXformats 3 5 3 2" xfId="36557"/>
    <cellStyle name="SAPBEXformats 3 5 4" xfId="36555"/>
    <cellStyle name="SAPBEXformats 3 6" xfId="16782"/>
    <cellStyle name="SAPBEXformats 3 6 2" xfId="16783"/>
    <cellStyle name="SAPBEXformats 3 6 2 2" xfId="36559"/>
    <cellStyle name="SAPBEXformats 3 6 3" xfId="16784"/>
    <cellStyle name="SAPBEXformats 3 6 3 2" xfId="36560"/>
    <cellStyle name="SAPBEXformats 3 6 4" xfId="36558"/>
    <cellStyle name="SAPBEXformats 3 7" xfId="16785"/>
    <cellStyle name="SAPBEXformats 3 7 2" xfId="36561"/>
    <cellStyle name="SAPBEXformats 3 8" xfId="16786"/>
    <cellStyle name="SAPBEXformats 3 8 2" xfId="36562"/>
    <cellStyle name="SAPBEXformats 3 9" xfId="27044"/>
    <cellStyle name="SAPBEXformats 4" xfId="5665"/>
    <cellStyle name="SAPBEXformats 4 2" xfId="16787"/>
    <cellStyle name="SAPBEXformats 4 2 2" xfId="16788"/>
    <cellStyle name="SAPBEXformats 4 2 2 2" xfId="36564"/>
    <cellStyle name="SAPBEXformats 4 2 3" xfId="16789"/>
    <cellStyle name="SAPBEXformats 4 2 3 2" xfId="36565"/>
    <cellStyle name="SAPBEXformats 4 2 4" xfId="36563"/>
    <cellStyle name="SAPBEXformats 4 3" xfId="16790"/>
    <cellStyle name="SAPBEXformats 4 3 2" xfId="16791"/>
    <cellStyle name="SAPBEXformats 4 3 2 2" xfId="36567"/>
    <cellStyle name="SAPBEXformats 4 3 3" xfId="16792"/>
    <cellStyle name="SAPBEXformats 4 3 3 2" xfId="36568"/>
    <cellStyle name="SAPBEXformats 4 3 4" xfId="36566"/>
    <cellStyle name="SAPBEXformats 4 4" xfId="16793"/>
    <cellStyle name="SAPBEXformats 4 4 2" xfId="16794"/>
    <cellStyle name="SAPBEXformats 4 4 2 2" xfId="36570"/>
    <cellStyle name="SAPBEXformats 4 4 3" xfId="16795"/>
    <cellStyle name="SAPBEXformats 4 4 3 2" xfId="36571"/>
    <cellStyle name="SAPBEXformats 4 4 4" xfId="36569"/>
    <cellStyle name="SAPBEXformats 4 5" xfId="16796"/>
    <cellStyle name="SAPBEXformats 4 5 2" xfId="16797"/>
    <cellStyle name="SAPBEXformats 4 5 2 2" xfId="36573"/>
    <cellStyle name="SAPBEXformats 4 5 3" xfId="16798"/>
    <cellStyle name="SAPBEXformats 4 5 3 2" xfId="36574"/>
    <cellStyle name="SAPBEXformats 4 5 4" xfId="36572"/>
    <cellStyle name="SAPBEXformats 4 6" xfId="16799"/>
    <cellStyle name="SAPBEXformats 4 6 2" xfId="16800"/>
    <cellStyle name="SAPBEXformats 4 6 2 2" xfId="36576"/>
    <cellStyle name="SAPBEXformats 4 6 3" xfId="16801"/>
    <cellStyle name="SAPBEXformats 4 6 3 2" xfId="36577"/>
    <cellStyle name="SAPBEXformats 4 6 4" xfId="36575"/>
    <cellStyle name="SAPBEXformats 4 7" xfId="16802"/>
    <cellStyle name="SAPBEXformats 4 7 2" xfId="36578"/>
    <cellStyle name="SAPBEXformats 4 8" xfId="16803"/>
    <cellStyle name="SAPBEXformats 4 8 2" xfId="36579"/>
    <cellStyle name="SAPBEXformats 4 9" xfId="19690"/>
    <cellStyle name="SAPBEXformats 5" xfId="16804"/>
    <cellStyle name="SAPBEXformats 5 2" xfId="16805"/>
    <cellStyle name="SAPBEXformats 5 2 2" xfId="36581"/>
    <cellStyle name="SAPBEXformats 5 3" xfId="16806"/>
    <cellStyle name="SAPBEXformats 5 3 2" xfId="36582"/>
    <cellStyle name="SAPBEXformats 5 4" xfId="36580"/>
    <cellStyle name="SAPBEXformats 6" xfId="16807"/>
    <cellStyle name="SAPBEXformats 6 2" xfId="16808"/>
    <cellStyle name="SAPBEXformats 6 2 2" xfId="36584"/>
    <cellStyle name="SAPBEXformats 6 3" xfId="16809"/>
    <cellStyle name="SAPBEXformats 6 3 2" xfId="36585"/>
    <cellStyle name="SAPBEXformats 6 4" xfId="36583"/>
    <cellStyle name="SAPBEXformats 7" xfId="16810"/>
    <cellStyle name="SAPBEXformats 7 2" xfId="16811"/>
    <cellStyle name="SAPBEXformats 7 2 2" xfId="36587"/>
    <cellStyle name="SAPBEXformats 7 3" xfId="16812"/>
    <cellStyle name="SAPBEXformats 7 3 2" xfId="36588"/>
    <cellStyle name="SAPBEXformats 7 4" xfId="36586"/>
    <cellStyle name="SAPBEXformats 8" xfId="16813"/>
    <cellStyle name="SAPBEXformats 8 2" xfId="36589"/>
    <cellStyle name="SAPBEXformats 9" xfId="16814"/>
    <cellStyle name="SAPBEXformats 9 2" xfId="36590"/>
    <cellStyle name="SAPBEXheaderItem" xfId="3873"/>
    <cellStyle name="SAPBEXheaderText" xfId="3874"/>
    <cellStyle name="SAPBEXHLevel0" xfId="3875"/>
    <cellStyle name="SAPBEXHLevel0 10" xfId="27412"/>
    <cellStyle name="SAPBEXHLevel0 2" xfId="4173"/>
    <cellStyle name="SAPBEXHLevel0 2 2" xfId="16815"/>
    <cellStyle name="SAPBEXHLevel0 2 2 2" xfId="16816"/>
    <cellStyle name="SAPBEXHLevel0 2 2 2 2" xfId="36592"/>
    <cellStyle name="SAPBEXHLevel0 2 2 3" xfId="16817"/>
    <cellStyle name="SAPBEXHLevel0 2 2 3 2" xfId="36593"/>
    <cellStyle name="SAPBEXHLevel0 2 2 4" xfId="36591"/>
    <cellStyle name="SAPBEXHLevel0 2 3" xfId="16818"/>
    <cellStyle name="SAPBEXHLevel0 2 3 2" xfId="16819"/>
    <cellStyle name="SAPBEXHLevel0 2 3 2 2" xfId="36595"/>
    <cellStyle name="SAPBEXHLevel0 2 3 3" xfId="16820"/>
    <cellStyle name="SAPBEXHLevel0 2 3 3 2" xfId="36596"/>
    <cellStyle name="SAPBEXHLevel0 2 3 4" xfId="36594"/>
    <cellStyle name="SAPBEXHLevel0 2 4" xfId="16821"/>
    <cellStyle name="SAPBEXHLevel0 2 4 2" xfId="16822"/>
    <cellStyle name="SAPBEXHLevel0 2 4 2 2" xfId="36598"/>
    <cellStyle name="SAPBEXHLevel0 2 4 3" xfId="16823"/>
    <cellStyle name="SAPBEXHLevel0 2 4 3 2" xfId="36599"/>
    <cellStyle name="SAPBEXHLevel0 2 4 4" xfId="36597"/>
    <cellStyle name="SAPBEXHLevel0 2 5" xfId="16824"/>
    <cellStyle name="SAPBEXHLevel0 2 5 2" xfId="16825"/>
    <cellStyle name="SAPBEXHLevel0 2 5 2 2" xfId="36601"/>
    <cellStyle name="SAPBEXHLevel0 2 5 3" xfId="16826"/>
    <cellStyle name="SAPBEXHLevel0 2 5 3 2" xfId="36602"/>
    <cellStyle name="SAPBEXHLevel0 2 5 4" xfId="36600"/>
    <cellStyle name="SAPBEXHLevel0 2 6" xfId="16827"/>
    <cellStyle name="SAPBEXHLevel0 2 6 2" xfId="16828"/>
    <cellStyle name="SAPBEXHLevel0 2 6 2 2" xfId="36604"/>
    <cellStyle name="SAPBEXHLevel0 2 6 3" xfId="16829"/>
    <cellStyle name="SAPBEXHLevel0 2 6 3 2" xfId="36605"/>
    <cellStyle name="SAPBEXHLevel0 2 6 4" xfId="36603"/>
    <cellStyle name="SAPBEXHLevel0 2 7" xfId="16830"/>
    <cellStyle name="SAPBEXHLevel0 2 7 2" xfId="36606"/>
    <cellStyle name="SAPBEXHLevel0 2 8" xfId="16831"/>
    <cellStyle name="SAPBEXHLevel0 2 8 2" xfId="36607"/>
    <cellStyle name="SAPBEXHLevel0 2 9" xfId="27359"/>
    <cellStyle name="SAPBEXHLevel0 3" xfId="4106"/>
    <cellStyle name="SAPBEXHLevel0 3 2" xfId="16832"/>
    <cellStyle name="SAPBEXHLevel0 3 2 2" xfId="16833"/>
    <cellStyle name="SAPBEXHLevel0 3 2 2 2" xfId="36609"/>
    <cellStyle name="SAPBEXHLevel0 3 2 3" xfId="16834"/>
    <cellStyle name="SAPBEXHLevel0 3 2 3 2" xfId="36610"/>
    <cellStyle name="SAPBEXHLevel0 3 2 4" xfId="36608"/>
    <cellStyle name="SAPBEXHLevel0 3 3" xfId="16835"/>
    <cellStyle name="SAPBEXHLevel0 3 3 2" xfId="16836"/>
    <cellStyle name="SAPBEXHLevel0 3 3 2 2" xfId="36612"/>
    <cellStyle name="SAPBEXHLevel0 3 3 3" xfId="16837"/>
    <cellStyle name="SAPBEXHLevel0 3 3 3 2" xfId="36613"/>
    <cellStyle name="SAPBEXHLevel0 3 3 4" xfId="36611"/>
    <cellStyle name="SAPBEXHLevel0 3 4" xfId="16838"/>
    <cellStyle name="SAPBEXHLevel0 3 4 2" xfId="16839"/>
    <cellStyle name="SAPBEXHLevel0 3 4 2 2" xfId="36615"/>
    <cellStyle name="SAPBEXHLevel0 3 4 3" xfId="16840"/>
    <cellStyle name="SAPBEXHLevel0 3 4 3 2" xfId="36616"/>
    <cellStyle name="SAPBEXHLevel0 3 4 4" xfId="36614"/>
    <cellStyle name="SAPBEXHLevel0 3 5" xfId="16841"/>
    <cellStyle name="SAPBEXHLevel0 3 5 2" xfId="16842"/>
    <cellStyle name="SAPBEXHLevel0 3 5 2 2" xfId="36618"/>
    <cellStyle name="SAPBEXHLevel0 3 5 3" xfId="16843"/>
    <cellStyle name="SAPBEXHLevel0 3 5 3 2" xfId="36619"/>
    <cellStyle name="SAPBEXHLevel0 3 5 4" xfId="36617"/>
    <cellStyle name="SAPBEXHLevel0 3 6" xfId="16844"/>
    <cellStyle name="SAPBEXHLevel0 3 6 2" xfId="16845"/>
    <cellStyle name="SAPBEXHLevel0 3 6 2 2" xfId="36621"/>
    <cellStyle name="SAPBEXHLevel0 3 6 3" xfId="16846"/>
    <cellStyle name="SAPBEXHLevel0 3 6 3 2" xfId="36622"/>
    <cellStyle name="SAPBEXHLevel0 3 6 4" xfId="36620"/>
    <cellStyle name="SAPBEXHLevel0 3 7" xfId="16847"/>
    <cellStyle name="SAPBEXHLevel0 3 7 2" xfId="36623"/>
    <cellStyle name="SAPBEXHLevel0 3 8" xfId="16848"/>
    <cellStyle name="SAPBEXHLevel0 3 8 2" xfId="36624"/>
    <cellStyle name="SAPBEXHLevel0 3 9" xfId="27380"/>
    <cellStyle name="SAPBEXHLevel0 4" xfId="5666"/>
    <cellStyle name="SAPBEXHLevel0 4 2" xfId="16849"/>
    <cellStyle name="SAPBEXHLevel0 4 2 2" xfId="16850"/>
    <cellStyle name="SAPBEXHLevel0 4 2 2 2" xfId="36626"/>
    <cellStyle name="SAPBEXHLevel0 4 2 3" xfId="16851"/>
    <cellStyle name="SAPBEXHLevel0 4 2 3 2" xfId="36627"/>
    <cellStyle name="SAPBEXHLevel0 4 2 4" xfId="36625"/>
    <cellStyle name="SAPBEXHLevel0 4 3" xfId="16852"/>
    <cellStyle name="SAPBEXHLevel0 4 3 2" xfId="16853"/>
    <cellStyle name="SAPBEXHLevel0 4 3 2 2" xfId="36629"/>
    <cellStyle name="SAPBEXHLevel0 4 3 3" xfId="16854"/>
    <cellStyle name="SAPBEXHLevel0 4 3 3 2" xfId="36630"/>
    <cellStyle name="SAPBEXHLevel0 4 3 4" xfId="36628"/>
    <cellStyle name="SAPBEXHLevel0 4 4" xfId="16855"/>
    <cellStyle name="SAPBEXHLevel0 4 4 2" xfId="16856"/>
    <cellStyle name="SAPBEXHLevel0 4 4 2 2" xfId="36632"/>
    <cellStyle name="SAPBEXHLevel0 4 4 3" xfId="16857"/>
    <cellStyle name="SAPBEXHLevel0 4 4 3 2" xfId="36633"/>
    <cellStyle name="SAPBEXHLevel0 4 4 4" xfId="36631"/>
    <cellStyle name="SAPBEXHLevel0 4 5" xfId="16858"/>
    <cellStyle name="SAPBEXHLevel0 4 5 2" xfId="16859"/>
    <cellStyle name="SAPBEXHLevel0 4 5 2 2" xfId="36635"/>
    <cellStyle name="SAPBEXHLevel0 4 5 3" xfId="16860"/>
    <cellStyle name="SAPBEXHLevel0 4 5 3 2" xfId="36636"/>
    <cellStyle name="SAPBEXHLevel0 4 5 4" xfId="36634"/>
    <cellStyle name="SAPBEXHLevel0 4 6" xfId="16861"/>
    <cellStyle name="SAPBEXHLevel0 4 6 2" xfId="16862"/>
    <cellStyle name="SAPBEXHLevel0 4 6 2 2" xfId="36638"/>
    <cellStyle name="SAPBEXHLevel0 4 6 3" xfId="16863"/>
    <cellStyle name="SAPBEXHLevel0 4 6 3 2" xfId="36639"/>
    <cellStyle name="SAPBEXHLevel0 4 6 4" xfId="36637"/>
    <cellStyle name="SAPBEXHLevel0 4 7" xfId="16864"/>
    <cellStyle name="SAPBEXHLevel0 4 7 2" xfId="36640"/>
    <cellStyle name="SAPBEXHLevel0 4 8" xfId="16865"/>
    <cellStyle name="SAPBEXHLevel0 4 8 2" xfId="36641"/>
    <cellStyle name="SAPBEXHLevel0 4 9" xfId="19689"/>
    <cellStyle name="SAPBEXHLevel0 5" xfId="16866"/>
    <cellStyle name="SAPBEXHLevel0 5 2" xfId="16867"/>
    <cellStyle name="SAPBEXHLevel0 5 2 2" xfId="36643"/>
    <cellStyle name="SAPBEXHLevel0 5 3" xfId="16868"/>
    <cellStyle name="SAPBEXHLevel0 5 3 2" xfId="36644"/>
    <cellStyle name="SAPBEXHLevel0 5 4" xfId="36642"/>
    <cellStyle name="SAPBEXHLevel0 6" xfId="16869"/>
    <cellStyle name="SAPBEXHLevel0 6 2" xfId="16870"/>
    <cellStyle name="SAPBEXHLevel0 6 2 2" xfId="36646"/>
    <cellStyle name="SAPBEXHLevel0 6 3" xfId="16871"/>
    <cellStyle name="SAPBEXHLevel0 6 3 2" xfId="36647"/>
    <cellStyle name="SAPBEXHLevel0 6 4" xfId="36645"/>
    <cellStyle name="SAPBEXHLevel0 7" xfId="16872"/>
    <cellStyle name="SAPBEXHLevel0 7 2" xfId="16873"/>
    <cellStyle name="SAPBEXHLevel0 7 2 2" xfId="36649"/>
    <cellStyle name="SAPBEXHLevel0 7 3" xfId="16874"/>
    <cellStyle name="SAPBEXHLevel0 7 3 2" xfId="36650"/>
    <cellStyle name="SAPBEXHLevel0 7 4" xfId="36648"/>
    <cellStyle name="SAPBEXHLevel0 8" xfId="16875"/>
    <cellStyle name="SAPBEXHLevel0 8 2" xfId="36651"/>
    <cellStyle name="SAPBEXHLevel0 9" xfId="16876"/>
    <cellStyle name="SAPBEXHLevel0 9 2" xfId="36652"/>
    <cellStyle name="SAPBEXHLevel0X" xfId="3876"/>
    <cellStyle name="SAPBEXHLevel0X 10" xfId="27411"/>
    <cellStyle name="SAPBEXHLevel0X 2" xfId="4122"/>
    <cellStyle name="SAPBEXHLevel0X 2 2" xfId="16877"/>
    <cellStyle name="SAPBEXHLevel0X 2 2 2" xfId="16878"/>
    <cellStyle name="SAPBEXHLevel0X 2 2 2 2" xfId="36654"/>
    <cellStyle name="SAPBEXHLevel0X 2 2 3" xfId="16879"/>
    <cellStyle name="SAPBEXHLevel0X 2 2 3 2" xfId="36655"/>
    <cellStyle name="SAPBEXHLevel0X 2 2 4" xfId="36653"/>
    <cellStyle name="SAPBEXHLevel0X 2 3" xfId="16880"/>
    <cellStyle name="SAPBEXHLevel0X 2 3 2" xfId="16881"/>
    <cellStyle name="SAPBEXHLevel0X 2 3 2 2" xfId="36657"/>
    <cellStyle name="SAPBEXHLevel0X 2 3 3" xfId="16882"/>
    <cellStyle name="SAPBEXHLevel0X 2 3 3 2" xfId="36658"/>
    <cellStyle name="SAPBEXHLevel0X 2 3 4" xfId="36656"/>
    <cellStyle name="SAPBEXHLevel0X 2 4" xfId="16883"/>
    <cellStyle name="SAPBEXHLevel0X 2 4 2" xfId="16884"/>
    <cellStyle name="SAPBEXHLevel0X 2 4 2 2" xfId="36660"/>
    <cellStyle name="SAPBEXHLevel0X 2 4 3" xfId="16885"/>
    <cellStyle name="SAPBEXHLevel0X 2 4 3 2" xfId="36661"/>
    <cellStyle name="SAPBEXHLevel0X 2 4 4" xfId="36659"/>
    <cellStyle name="SAPBEXHLevel0X 2 5" xfId="16886"/>
    <cellStyle name="SAPBEXHLevel0X 2 5 2" xfId="16887"/>
    <cellStyle name="SAPBEXHLevel0X 2 5 2 2" xfId="36663"/>
    <cellStyle name="SAPBEXHLevel0X 2 5 3" xfId="16888"/>
    <cellStyle name="SAPBEXHLevel0X 2 5 3 2" xfId="36664"/>
    <cellStyle name="SAPBEXHLevel0X 2 5 4" xfId="36662"/>
    <cellStyle name="SAPBEXHLevel0X 2 6" xfId="16889"/>
    <cellStyle name="SAPBEXHLevel0X 2 6 2" xfId="16890"/>
    <cellStyle name="SAPBEXHLevel0X 2 6 2 2" xfId="36666"/>
    <cellStyle name="SAPBEXHLevel0X 2 6 3" xfId="16891"/>
    <cellStyle name="SAPBEXHLevel0X 2 6 3 2" xfId="36667"/>
    <cellStyle name="SAPBEXHLevel0X 2 6 4" xfId="36665"/>
    <cellStyle name="SAPBEXHLevel0X 2 7" xfId="16892"/>
    <cellStyle name="SAPBEXHLevel0X 2 7 2" xfId="36668"/>
    <cellStyle name="SAPBEXHLevel0X 2 8" xfId="16893"/>
    <cellStyle name="SAPBEXHLevel0X 2 8 2" xfId="36669"/>
    <cellStyle name="SAPBEXHLevel0X 2 9" xfId="27376"/>
    <cellStyle name="SAPBEXHLevel0X 3" xfId="4510"/>
    <cellStyle name="SAPBEXHLevel0X 3 2" xfId="16894"/>
    <cellStyle name="SAPBEXHLevel0X 3 2 2" xfId="16895"/>
    <cellStyle name="SAPBEXHLevel0X 3 2 2 2" xfId="36671"/>
    <cellStyle name="SAPBEXHLevel0X 3 2 3" xfId="16896"/>
    <cellStyle name="SAPBEXHLevel0X 3 2 3 2" xfId="36672"/>
    <cellStyle name="SAPBEXHLevel0X 3 2 4" xfId="36670"/>
    <cellStyle name="SAPBEXHLevel0X 3 3" xfId="16897"/>
    <cellStyle name="SAPBEXHLevel0X 3 3 2" xfId="16898"/>
    <cellStyle name="SAPBEXHLevel0X 3 3 2 2" xfId="36674"/>
    <cellStyle name="SAPBEXHLevel0X 3 3 3" xfId="16899"/>
    <cellStyle name="SAPBEXHLevel0X 3 3 3 2" xfId="36675"/>
    <cellStyle name="SAPBEXHLevel0X 3 3 4" xfId="36673"/>
    <cellStyle name="SAPBEXHLevel0X 3 4" xfId="16900"/>
    <cellStyle name="SAPBEXHLevel0X 3 4 2" xfId="16901"/>
    <cellStyle name="SAPBEXHLevel0X 3 4 2 2" xfId="36677"/>
    <cellStyle name="SAPBEXHLevel0X 3 4 3" xfId="16902"/>
    <cellStyle name="SAPBEXHLevel0X 3 4 3 2" xfId="36678"/>
    <cellStyle name="SAPBEXHLevel0X 3 4 4" xfId="36676"/>
    <cellStyle name="SAPBEXHLevel0X 3 5" xfId="16903"/>
    <cellStyle name="SAPBEXHLevel0X 3 5 2" xfId="16904"/>
    <cellStyle name="SAPBEXHLevel0X 3 5 2 2" xfId="36680"/>
    <cellStyle name="SAPBEXHLevel0X 3 5 3" xfId="16905"/>
    <cellStyle name="SAPBEXHLevel0X 3 5 3 2" xfId="36681"/>
    <cellStyle name="SAPBEXHLevel0X 3 5 4" xfId="36679"/>
    <cellStyle name="SAPBEXHLevel0X 3 6" xfId="16906"/>
    <cellStyle name="SAPBEXHLevel0X 3 6 2" xfId="16907"/>
    <cellStyle name="SAPBEXHLevel0X 3 6 2 2" xfId="36683"/>
    <cellStyle name="SAPBEXHLevel0X 3 6 3" xfId="16908"/>
    <cellStyle name="SAPBEXHLevel0X 3 6 3 2" xfId="36684"/>
    <cellStyle name="SAPBEXHLevel0X 3 6 4" xfId="36682"/>
    <cellStyle name="SAPBEXHLevel0X 3 7" xfId="16909"/>
    <cellStyle name="SAPBEXHLevel0X 3 7 2" xfId="36685"/>
    <cellStyle name="SAPBEXHLevel0X 3 8" xfId="16910"/>
    <cellStyle name="SAPBEXHLevel0X 3 8 2" xfId="36686"/>
    <cellStyle name="SAPBEXHLevel0X 3 9" xfId="27056"/>
    <cellStyle name="SAPBEXHLevel0X 4" xfId="5667"/>
    <cellStyle name="SAPBEXHLevel0X 4 2" xfId="16911"/>
    <cellStyle name="SAPBEXHLevel0X 4 2 2" xfId="16912"/>
    <cellStyle name="SAPBEXHLevel0X 4 2 2 2" xfId="36688"/>
    <cellStyle name="SAPBEXHLevel0X 4 2 3" xfId="16913"/>
    <cellStyle name="SAPBEXHLevel0X 4 2 3 2" xfId="36689"/>
    <cellStyle name="SAPBEXHLevel0X 4 2 4" xfId="36687"/>
    <cellStyle name="SAPBEXHLevel0X 4 3" xfId="16914"/>
    <cellStyle name="SAPBEXHLevel0X 4 3 2" xfId="16915"/>
    <cellStyle name="SAPBEXHLevel0X 4 3 2 2" xfId="36691"/>
    <cellStyle name="SAPBEXHLevel0X 4 3 3" xfId="16916"/>
    <cellStyle name="SAPBEXHLevel0X 4 3 3 2" xfId="36692"/>
    <cellStyle name="SAPBEXHLevel0X 4 3 4" xfId="36690"/>
    <cellStyle name="SAPBEXHLevel0X 4 4" xfId="16917"/>
    <cellStyle name="SAPBEXHLevel0X 4 4 2" xfId="16918"/>
    <cellStyle name="SAPBEXHLevel0X 4 4 2 2" xfId="36694"/>
    <cellStyle name="SAPBEXHLevel0X 4 4 3" xfId="16919"/>
    <cellStyle name="SAPBEXHLevel0X 4 4 3 2" xfId="36695"/>
    <cellStyle name="SAPBEXHLevel0X 4 4 4" xfId="36693"/>
    <cellStyle name="SAPBEXHLevel0X 4 5" xfId="16920"/>
    <cellStyle name="SAPBEXHLevel0X 4 5 2" xfId="16921"/>
    <cellStyle name="SAPBEXHLevel0X 4 5 2 2" xfId="36697"/>
    <cellStyle name="SAPBEXHLevel0X 4 5 3" xfId="16922"/>
    <cellStyle name="SAPBEXHLevel0X 4 5 3 2" xfId="36698"/>
    <cellStyle name="SAPBEXHLevel0X 4 5 4" xfId="36696"/>
    <cellStyle name="SAPBEXHLevel0X 4 6" xfId="16923"/>
    <cellStyle name="SAPBEXHLevel0X 4 6 2" xfId="16924"/>
    <cellStyle name="SAPBEXHLevel0X 4 6 2 2" xfId="36700"/>
    <cellStyle name="SAPBEXHLevel0X 4 6 3" xfId="16925"/>
    <cellStyle name="SAPBEXHLevel0X 4 6 3 2" xfId="36701"/>
    <cellStyle name="SAPBEXHLevel0X 4 6 4" xfId="36699"/>
    <cellStyle name="SAPBEXHLevel0X 4 7" xfId="16926"/>
    <cellStyle name="SAPBEXHLevel0X 4 7 2" xfId="36702"/>
    <cellStyle name="SAPBEXHLevel0X 4 8" xfId="16927"/>
    <cellStyle name="SAPBEXHLevel0X 4 8 2" xfId="36703"/>
    <cellStyle name="SAPBEXHLevel0X 4 9" xfId="19688"/>
    <cellStyle name="SAPBEXHLevel0X 5" xfId="16928"/>
    <cellStyle name="SAPBEXHLevel0X 5 2" xfId="16929"/>
    <cellStyle name="SAPBEXHLevel0X 5 2 2" xfId="36705"/>
    <cellStyle name="SAPBEXHLevel0X 5 3" xfId="16930"/>
    <cellStyle name="SAPBEXHLevel0X 5 3 2" xfId="36706"/>
    <cellStyle name="SAPBEXHLevel0X 5 4" xfId="36704"/>
    <cellStyle name="SAPBEXHLevel0X 6" xfId="16931"/>
    <cellStyle name="SAPBEXHLevel0X 6 2" xfId="16932"/>
    <cellStyle name="SAPBEXHLevel0X 6 2 2" xfId="36708"/>
    <cellStyle name="SAPBEXHLevel0X 6 3" xfId="16933"/>
    <cellStyle name="SAPBEXHLevel0X 6 3 2" xfId="36709"/>
    <cellStyle name="SAPBEXHLevel0X 6 4" xfId="36707"/>
    <cellStyle name="SAPBEXHLevel0X 7" xfId="16934"/>
    <cellStyle name="SAPBEXHLevel0X 7 2" xfId="16935"/>
    <cellStyle name="SAPBEXHLevel0X 7 2 2" xfId="36711"/>
    <cellStyle name="SAPBEXHLevel0X 7 3" xfId="16936"/>
    <cellStyle name="SAPBEXHLevel0X 7 3 2" xfId="36712"/>
    <cellStyle name="SAPBEXHLevel0X 7 4" xfId="36710"/>
    <cellStyle name="SAPBEXHLevel0X 8" xfId="16937"/>
    <cellStyle name="SAPBEXHLevel0X 8 2" xfId="36713"/>
    <cellStyle name="SAPBEXHLevel0X 9" xfId="16938"/>
    <cellStyle name="SAPBEXHLevel0X 9 2" xfId="36714"/>
    <cellStyle name="SAPBEXHLevel1" xfId="3877"/>
    <cellStyle name="SAPBEXHLevel1 10" xfId="27410"/>
    <cellStyle name="SAPBEXHLevel1 2" xfId="4098"/>
    <cellStyle name="SAPBEXHLevel1 2 2" xfId="16939"/>
    <cellStyle name="SAPBEXHLevel1 2 2 2" xfId="16940"/>
    <cellStyle name="SAPBEXHLevel1 2 2 2 2" xfId="36716"/>
    <cellStyle name="SAPBEXHLevel1 2 2 3" xfId="16941"/>
    <cellStyle name="SAPBEXHLevel1 2 2 3 2" xfId="36717"/>
    <cellStyle name="SAPBEXHLevel1 2 2 4" xfId="36715"/>
    <cellStyle name="SAPBEXHLevel1 2 3" xfId="16942"/>
    <cellStyle name="SAPBEXHLevel1 2 3 2" xfId="16943"/>
    <cellStyle name="SAPBEXHLevel1 2 3 2 2" xfId="36719"/>
    <cellStyle name="SAPBEXHLevel1 2 3 3" xfId="16944"/>
    <cellStyle name="SAPBEXHLevel1 2 3 3 2" xfId="36720"/>
    <cellStyle name="SAPBEXHLevel1 2 3 4" xfId="36718"/>
    <cellStyle name="SAPBEXHLevel1 2 4" xfId="16945"/>
    <cellStyle name="SAPBEXHLevel1 2 4 2" xfId="16946"/>
    <cellStyle name="SAPBEXHLevel1 2 4 2 2" xfId="36722"/>
    <cellStyle name="SAPBEXHLevel1 2 4 3" xfId="16947"/>
    <cellStyle name="SAPBEXHLevel1 2 4 3 2" xfId="36723"/>
    <cellStyle name="SAPBEXHLevel1 2 4 4" xfId="36721"/>
    <cellStyle name="SAPBEXHLevel1 2 5" xfId="16948"/>
    <cellStyle name="SAPBEXHLevel1 2 5 2" xfId="16949"/>
    <cellStyle name="SAPBEXHLevel1 2 5 2 2" xfId="36725"/>
    <cellStyle name="SAPBEXHLevel1 2 5 3" xfId="16950"/>
    <cellStyle name="SAPBEXHLevel1 2 5 3 2" xfId="36726"/>
    <cellStyle name="SAPBEXHLevel1 2 5 4" xfId="36724"/>
    <cellStyle name="SAPBEXHLevel1 2 6" xfId="16951"/>
    <cellStyle name="SAPBEXHLevel1 2 6 2" xfId="16952"/>
    <cellStyle name="SAPBEXHLevel1 2 6 2 2" xfId="36728"/>
    <cellStyle name="SAPBEXHLevel1 2 6 3" xfId="16953"/>
    <cellStyle name="SAPBEXHLevel1 2 6 3 2" xfId="36729"/>
    <cellStyle name="SAPBEXHLevel1 2 6 4" xfId="36727"/>
    <cellStyle name="SAPBEXHLevel1 2 7" xfId="16954"/>
    <cellStyle name="SAPBEXHLevel1 2 7 2" xfId="36730"/>
    <cellStyle name="SAPBEXHLevel1 2 8" xfId="16955"/>
    <cellStyle name="SAPBEXHLevel1 2 8 2" xfId="36731"/>
    <cellStyle name="SAPBEXHLevel1 2 9" xfId="27384"/>
    <cellStyle name="SAPBEXHLevel1 3" xfId="4219"/>
    <cellStyle name="SAPBEXHLevel1 3 2" xfId="16956"/>
    <cellStyle name="SAPBEXHLevel1 3 2 2" xfId="16957"/>
    <cellStyle name="SAPBEXHLevel1 3 2 2 2" xfId="36733"/>
    <cellStyle name="SAPBEXHLevel1 3 2 3" xfId="16958"/>
    <cellStyle name="SAPBEXHLevel1 3 2 3 2" xfId="36734"/>
    <cellStyle name="SAPBEXHLevel1 3 2 4" xfId="36732"/>
    <cellStyle name="SAPBEXHLevel1 3 3" xfId="16959"/>
    <cellStyle name="SAPBEXHLevel1 3 3 2" xfId="16960"/>
    <cellStyle name="SAPBEXHLevel1 3 3 2 2" xfId="36736"/>
    <cellStyle name="SAPBEXHLevel1 3 3 3" xfId="16961"/>
    <cellStyle name="SAPBEXHLevel1 3 3 3 2" xfId="36737"/>
    <cellStyle name="SAPBEXHLevel1 3 3 4" xfId="36735"/>
    <cellStyle name="SAPBEXHLevel1 3 4" xfId="16962"/>
    <cellStyle name="SAPBEXHLevel1 3 4 2" xfId="16963"/>
    <cellStyle name="SAPBEXHLevel1 3 4 2 2" xfId="36739"/>
    <cellStyle name="SAPBEXHLevel1 3 4 3" xfId="16964"/>
    <cellStyle name="SAPBEXHLevel1 3 4 3 2" xfId="36740"/>
    <cellStyle name="SAPBEXHLevel1 3 4 4" xfId="36738"/>
    <cellStyle name="SAPBEXHLevel1 3 5" xfId="16965"/>
    <cellStyle name="SAPBEXHLevel1 3 5 2" xfId="16966"/>
    <cellStyle name="SAPBEXHLevel1 3 5 2 2" xfId="36742"/>
    <cellStyle name="SAPBEXHLevel1 3 5 3" xfId="16967"/>
    <cellStyle name="SAPBEXHLevel1 3 5 3 2" xfId="36743"/>
    <cellStyle name="SAPBEXHLevel1 3 5 4" xfId="36741"/>
    <cellStyle name="SAPBEXHLevel1 3 6" xfId="16968"/>
    <cellStyle name="SAPBEXHLevel1 3 6 2" xfId="16969"/>
    <cellStyle name="SAPBEXHLevel1 3 6 2 2" xfId="36745"/>
    <cellStyle name="SAPBEXHLevel1 3 6 3" xfId="16970"/>
    <cellStyle name="SAPBEXHLevel1 3 6 3 2" xfId="36746"/>
    <cellStyle name="SAPBEXHLevel1 3 6 4" xfId="36744"/>
    <cellStyle name="SAPBEXHLevel1 3 7" xfId="16971"/>
    <cellStyle name="SAPBEXHLevel1 3 7 2" xfId="36747"/>
    <cellStyle name="SAPBEXHLevel1 3 8" xfId="16972"/>
    <cellStyle name="SAPBEXHLevel1 3 8 2" xfId="36748"/>
    <cellStyle name="SAPBEXHLevel1 3 9" xfId="27347"/>
    <cellStyle name="SAPBEXHLevel1 4" xfId="5668"/>
    <cellStyle name="SAPBEXHLevel1 4 2" xfId="16973"/>
    <cellStyle name="SAPBEXHLevel1 4 2 2" xfId="16974"/>
    <cellStyle name="SAPBEXHLevel1 4 2 2 2" xfId="36750"/>
    <cellStyle name="SAPBEXHLevel1 4 2 3" xfId="16975"/>
    <cellStyle name="SAPBEXHLevel1 4 2 3 2" xfId="36751"/>
    <cellStyle name="SAPBEXHLevel1 4 2 4" xfId="36749"/>
    <cellStyle name="SAPBEXHLevel1 4 3" xfId="16976"/>
    <cellStyle name="SAPBEXHLevel1 4 3 2" xfId="16977"/>
    <cellStyle name="SAPBEXHLevel1 4 3 2 2" xfId="36753"/>
    <cellStyle name="SAPBEXHLevel1 4 3 3" xfId="16978"/>
    <cellStyle name="SAPBEXHLevel1 4 3 3 2" xfId="36754"/>
    <cellStyle name="SAPBEXHLevel1 4 3 4" xfId="36752"/>
    <cellStyle name="SAPBEXHLevel1 4 4" xfId="16979"/>
    <cellStyle name="SAPBEXHLevel1 4 4 2" xfId="16980"/>
    <cellStyle name="SAPBEXHLevel1 4 4 2 2" xfId="36756"/>
    <cellStyle name="SAPBEXHLevel1 4 4 3" xfId="16981"/>
    <cellStyle name="SAPBEXHLevel1 4 4 3 2" xfId="36757"/>
    <cellStyle name="SAPBEXHLevel1 4 4 4" xfId="36755"/>
    <cellStyle name="SAPBEXHLevel1 4 5" xfId="16982"/>
    <cellStyle name="SAPBEXHLevel1 4 5 2" xfId="16983"/>
    <cellStyle name="SAPBEXHLevel1 4 5 2 2" xfId="36759"/>
    <cellStyle name="SAPBEXHLevel1 4 5 3" xfId="16984"/>
    <cellStyle name="SAPBEXHLevel1 4 5 3 2" xfId="36760"/>
    <cellStyle name="SAPBEXHLevel1 4 5 4" xfId="36758"/>
    <cellStyle name="SAPBEXHLevel1 4 6" xfId="16985"/>
    <cellStyle name="SAPBEXHLevel1 4 6 2" xfId="16986"/>
    <cellStyle name="SAPBEXHLevel1 4 6 2 2" xfId="36762"/>
    <cellStyle name="SAPBEXHLevel1 4 6 3" xfId="16987"/>
    <cellStyle name="SAPBEXHLevel1 4 6 3 2" xfId="36763"/>
    <cellStyle name="SAPBEXHLevel1 4 6 4" xfId="36761"/>
    <cellStyle name="SAPBEXHLevel1 4 7" xfId="16988"/>
    <cellStyle name="SAPBEXHLevel1 4 7 2" xfId="36764"/>
    <cellStyle name="SAPBEXHLevel1 4 8" xfId="16989"/>
    <cellStyle name="SAPBEXHLevel1 4 8 2" xfId="36765"/>
    <cellStyle name="SAPBEXHLevel1 4 9" xfId="19687"/>
    <cellStyle name="SAPBEXHLevel1 5" xfId="16990"/>
    <cellStyle name="SAPBEXHLevel1 5 2" xfId="16991"/>
    <cellStyle name="SAPBEXHLevel1 5 2 2" xfId="36767"/>
    <cellStyle name="SAPBEXHLevel1 5 3" xfId="16992"/>
    <cellStyle name="SAPBEXHLevel1 5 3 2" xfId="36768"/>
    <cellStyle name="SAPBEXHLevel1 5 4" xfId="36766"/>
    <cellStyle name="SAPBEXHLevel1 6" xfId="16993"/>
    <cellStyle name="SAPBEXHLevel1 6 2" xfId="16994"/>
    <cellStyle name="SAPBEXHLevel1 6 2 2" xfId="36770"/>
    <cellStyle name="SAPBEXHLevel1 6 3" xfId="16995"/>
    <cellStyle name="SAPBEXHLevel1 6 3 2" xfId="36771"/>
    <cellStyle name="SAPBEXHLevel1 6 4" xfId="36769"/>
    <cellStyle name="SAPBEXHLevel1 7" xfId="16996"/>
    <cellStyle name="SAPBEXHLevel1 7 2" xfId="16997"/>
    <cellStyle name="SAPBEXHLevel1 7 2 2" xfId="36773"/>
    <cellStyle name="SAPBEXHLevel1 7 3" xfId="16998"/>
    <cellStyle name="SAPBEXHLevel1 7 3 2" xfId="36774"/>
    <cellStyle name="SAPBEXHLevel1 7 4" xfId="36772"/>
    <cellStyle name="SAPBEXHLevel1 8" xfId="16999"/>
    <cellStyle name="SAPBEXHLevel1 8 2" xfId="36775"/>
    <cellStyle name="SAPBEXHLevel1 9" xfId="17000"/>
    <cellStyle name="SAPBEXHLevel1 9 2" xfId="36776"/>
    <cellStyle name="SAPBEXHLevel1X" xfId="3878"/>
    <cellStyle name="SAPBEXHLevel1X 10" xfId="27409"/>
    <cellStyle name="SAPBEXHLevel1X 2" xfId="4493"/>
    <cellStyle name="SAPBEXHLevel1X 2 2" xfId="17001"/>
    <cellStyle name="SAPBEXHLevel1X 2 2 2" xfId="17002"/>
    <cellStyle name="SAPBEXHLevel1X 2 2 2 2" xfId="36778"/>
    <cellStyle name="SAPBEXHLevel1X 2 2 3" xfId="17003"/>
    <cellStyle name="SAPBEXHLevel1X 2 2 3 2" xfId="36779"/>
    <cellStyle name="SAPBEXHLevel1X 2 2 4" xfId="36777"/>
    <cellStyle name="SAPBEXHLevel1X 2 3" xfId="17004"/>
    <cellStyle name="SAPBEXHLevel1X 2 3 2" xfId="17005"/>
    <cellStyle name="SAPBEXHLevel1X 2 3 2 2" xfId="36781"/>
    <cellStyle name="SAPBEXHLevel1X 2 3 3" xfId="17006"/>
    <cellStyle name="SAPBEXHLevel1X 2 3 3 2" xfId="36782"/>
    <cellStyle name="SAPBEXHLevel1X 2 3 4" xfId="36780"/>
    <cellStyle name="SAPBEXHLevel1X 2 4" xfId="17007"/>
    <cellStyle name="SAPBEXHLevel1X 2 4 2" xfId="17008"/>
    <cellStyle name="SAPBEXHLevel1X 2 4 2 2" xfId="36784"/>
    <cellStyle name="SAPBEXHLevel1X 2 4 3" xfId="17009"/>
    <cellStyle name="SAPBEXHLevel1X 2 4 3 2" xfId="36785"/>
    <cellStyle name="SAPBEXHLevel1X 2 4 4" xfId="36783"/>
    <cellStyle name="SAPBEXHLevel1X 2 5" xfId="17010"/>
    <cellStyle name="SAPBEXHLevel1X 2 5 2" xfId="17011"/>
    <cellStyle name="SAPBEXHLevel1X 2 5 2 2" xfId="36787"/>
    <cellStyle name="SAPBEXHLevel1X 2 5 3" xfId="17012"/>
    <cellStyle name="SAPBEXHLevel1X 2 5 3 2" xfId="36788"/>
    <cellStyle name="SAPBEXHLevel1X 2 5 4" xfId="36786"/>
    <cellStyle name="SAPBEXHLevel1X 2 6" xfId="17013"/>
    <cellStyle name="SAPBEXHLevel1X 2 6 2" xfId="17014"/>
    <cellStyle name="SAPBEXHLevel1X 2 6 2 2" xfId="36790"/>
    <cellStyle name="SAPBEXHLevel1X 2 6 3" xfId="17015"/>
    <cellStyle name="SAPBEXHLevel1X 2 6 3 2" xfId="36791"/>
    <cellStyle name="SAPBEXHLevel1X 2 6 4" xfId="36789"/>
    <cellStyle name="SAPBEXHLevel1X 2 7" xfId="17016"/>
    <cellStyle name="SAPBEXHLevel1X 2 7 2" xfId="36792"/>
    <cellStyle name="SAPBEXHLevel1X 2 8" xfId="17017"/>
    <cellStyle name="SAPBEXHLevel1X 2 8 2" xfId="36793"/>
    <cellStyle name="SAPBEXHLevel1X 2 9" xfId="27059"/>
    <cellStyle name="SAPBEXHLevel1X 3" xfId="4112"/>
    <cellStyle name="SAPBEXHLevel1X 3 2" xfId="17018"/>
    <cellStyle name="SAPBEXHLevel1X 3 2 2" xfId="17019"/>
    <cellStyle name="SAPBEXHLevel1X 3 2 2 2" xfId="36795"/>
    <cellStyle name="SAPBEXHLevel1X 3 2 3" xfId="17020"/>
    <cellStyle name="SAPBEXHLevel1X 3 2 3 2" xfId="36796"/>
    <cellStyle name="SAPBEXHLevel1X 3 2 4" xfId="36794"/>
    <cellStyle name="SAPBEXHLevel1X 3 3" xfId="17021"/>
    <cellStyle name="SAPBEXHLevel1X 3 3 2" xfId="17022"/>
    <cellStyle name="SAPBEXHLevel1X 3 3 2 2" xfId="36798"/>
    <cellStyle name="SAPBEXHLevel1X 3 3 3" xfId="17023"/>
    <cellStyle name="SAPBEXHLevel1X 3 3 3 2" xfId="36799"/>
    <cellStyle name="SAPBEXHLevel1X 3 3 4" xfId="36797"/>
    <cellStyle name="SAPBEXHLevel1X 3 4" xfId="17024"/>
    <cellStyle name="SAPBEXHLevel1X 3 4 2" xfId="17025"/>
    <cellStyle name="SAPBEXHLevel1X 3 4 2 2" xfId="36801"/>
    <cellStyle name="SAPBEXHLevel1X 3 4 3" xfId="17026"/>
    <cellStyle name="SAPBEXHLevel1X 3 4 3 2" xfId="36802"/>
    <cellStyle name="SAPBEXHLevel1X 3 4 4" xfId="36800"/>
    <cellStyle name="SAPBEXHLevel1X 3 5" xfId="17027"/>
    <cellStyle name="SAPBEXHLevel1X 3 5 2" xfId="17028"/>
    <cellStyle name="SAPBEXHLevel1X 3 5 2 2" xfId="36804"/>
    <cellStyle name="SAPBEXHLevel1X 3 5 3" xfId="17029"/>
    <cellStyle name="SAPBEXHLevel1X 3 5 3 2" xfId="36805"/>
    <cellStyle name="SAPBEXHLevel1X 3 5 4" xfId="36803"/>
    <cellStyle name="SAPBEXHLevel1X 3 6" xfId="17030"/>
    <cellStyle name="SAPBEXHLevel1X 3 6 2" xfId="17031"/>
    <cellStyle name="SAPBEXHLevel1X 3 6 2 2" xfId="36807"/>
    <cellStyle name="SAPBEXHLevel1X 3 6 3" xfId="17032"/>
    <cellStyle name="SAPBEXHLevel1X 3 6 3 2" xfId="36808"/>
    <cellStyle name="SAPBEXHLevel1X 3 6 4" xfId="36806"/>
    <cellStyle name="SAPBEXHLevel1X 3 7" xfId="17033"/>
    <cellStyle name="SAPBEXHLevel1X 3 7 2" xfId="36809"/>
    <cellStyle name="SAPBEXHLevel1X 3 8" xfId="17034"/>
    <cellStyle name="SAPBEXHLevel1X 3 8 2" xfId="36810"/>
    <cellStyle name="SAPBEXHLevel1X 3 9" xfId="27379"/>
    <cellStyle name="SAPBEXHLevel1X 4" xfId="5669"/>
    <cellStyle name="SAPBEXHLevel1X 4 2" xfId="17035"/>
    <cellStyle name="SAPBEXHLevel1X 4 2 2" xfId="17036"/>
    <cellStyle name="SAPBEXHLevel1X 4 2 2 2" xfId="36812"/>
    <cellStyle name="SAPBEXHLevel1X 4 2 3" xfId="17037"/>
    <cellStyle name="SAPBEXHLevel1X 4 2 3 2" xfId="36813"/>
    <cellStyle name="SAPBEXHLevel1X 4 2 4" xfId="36811"/>
    <cellStyle name="SAPBEXHLevel1X 4 3" xfId="17038"/>
    <cellStyle name="SAPBEXHLevel1X 4 3 2" xfId="17039"/>
    <cellStyle name="SAPBEXHLevel1X 4 3 2 2" xfId="36815"/>
    <cellStyle name="SAPBEXHLevel1X 4 3 3" xfId="17040"/>
    <cellStyle name="SAPBEXHLevel1X 4 3 3 2" xfId="36816"/>
    <cellStyle name="SAPBEXHLevel1X 4 3 4" xfId="36814"/>
    <cellStyle name="SAPBEXHLevel1X 4 4" xfId="17041"/>
    <cellStyle name="SAPBEXHLevel1X 4 4 2" xfId="17042"/>
    <cellStyle name="SAPBEXHLevel1X 4 4 2 2" xfId="36818"/>
    <cellStyle name="SAPBEXHLevel1X 4 4 3" xfId="17043"/>
    <cellStyle name="SAPBEXHLevel1X 4 4 3 2" xfId="36819"/>
    <cellStyle name="SAPBEXHLevel1X 4 4 4" xfId="36817"/>
    <cellStyle name="SAPBEXHLevel1X 4 5" xfId="17044"/>
    <cellStyle name="SAPBEXHLevel1X 4 5 2" xfId="17045"/>
    <cellStyle name="SAPBEXHLevel1X 4 5 2 2" xfId="36821"/>
    <cellStyle name="SAPBEXHLevel1X 4 5 3" xfId="17046"/>
    <cellStyle name="SAPBEXHLevel1X 4 5 3 2" xfId="36822"/>
    <cellStyle name="SAPBEXHLevel1X 4 5 4" xfId="36820"/>
    <cellStyle name="SAPBEXHLevel1X 4 6" xfId="17047"/>
    <cellStyle name="SAPBEXHLevel1X 4 6 2" xfId="17048"/>
    <cellStyle name="SAPBEXHLevel1X 4 6 2 2" xfId="36824"/>
    <cellStyle name="SAPBEXHLevel1X 4 6 3" xfId="17049"/>
    <cellStyle name="SAPBEXHLevel1X 4 6 3 2" xfId="36825"/>
    <cellStyle name="SAPBEXHLevel1X 4 6 4" xfId="36823"/>
    <cellStyle name="SAPBEXHLevel1X 4 7" xfId="17050"/>
    <cellStyle name="SAPBEXHLevel1X 4 7 2" xfId="36826"/>
    <cellStyle name="SAPBEXHLevel1X 4 8" xfId="17051"/>
    <cellStyle name="SAPBEXHLevel1X 4 8 2" xfId="36827"/>
    <cellStyle name="SAPBEXHLevel1X 4 9" xfId="19686"/>
    <cellStyle name="SAPBEXHLevel1X 5" xfId="17052"/>
    <cellStyle name="SAPBEXHLevel1X 5 2" xfId="17053"/>
    <cellStyle name="SAPBEXHLevel1X 5 2 2" xfId="36829"/>
    <cellStyle name="SAPBEXHLevel1X 5 3" xfId="17054"/>
    <cellStyle name="SAPBEXHLevel1X 5 3 2" xfId="36830"/>
    <cellStyle name="SAPBEXHLevel1X 5 4" xfId="36828"/>
    <cellStyle name="SAPBEXHLevel1X 6" xfId="17055"/>
    <cellStyle name="SAPBEXHLevel1X 6 2" xfId="17056"/>
    <cellStyle name="SAPBEXHLevel1X 6 2 2" xfId="36832"/>
    <cellStyle name="SAPBEXHLevel1X 6 3" xfId="17057"/>
    <cellStyle name="SAPBEXHLevel1X 6 3 2" xfId="36833"/>
    <cellStyle name="SAPBEXHLevel1X 6 4" xfId="36831"/>
    <cellStyle name="SAPBEXHLevel1X 7" xfId="17058"/>
    <cellStyle name="SAPBEXHLevel1X 7 2" xfId="17059"/>
    <cellStyle name="SAPBEXHLevel1X 7 2 2" xfId="36835"/>
    <cellStyle name="SAPBEXHLevel1X 7 3" xfId="17060"/>
    <cellStyle name="SAPBEXHLevel1X 7 3 2" xfId="36836"/>
    <cellStyle name="SAPBEXHLevel1X 7 4" xfId="36834"/>
    <cellStyle name="SAPBEXHLevel1X 8" xfId="17061"/>
    <cellStyle name="SAPBEXHLevel1X 8 2" xfId="36837"/>
    <cellStyle name="SAPBEXHLevel1X 9" xfId="17062"/>
    <cellStyle name="SAPBEXHLevel1X 9 2" xfId="36838"/>
    <cellStyle name="SAPBEXHLevel2" xfId="3879"/>
    <cellStyle name="SAPBEXHLevel2 10" xfId="27408"/>
    <cellStyle name="SAPBEXHLevel2 2" xfId="4199"/>
    <cellStyle name="SAPBEXHLevel2 2 2" xfId="17063"/>
    <cellStyle name="SAPBEXHLevel2 2 2 2" xfId="17064"/>
    <cellStyle name="SAPBEXHLevel2 2 2 2 2" xfId="36840"/>
    <cellStyle name="SAPBEXHLevel2 2 2 3" xfId="17065"/>
    <cellStyle name="SAPBEXHLevel2 2 2 3 2" xfId="36841"/>
    <cellStyle name="SAPBEXHLevel2 2 2 4" xfId="36839"/>
    <cellStyle name="SAPBEXHLevel2 2 3" xfId="17066"/>
    <cellStyle name="SAPBEXHLevel2 2 3 2" xfId="17067"/>
    <cellStyle name="SAPBEXHLevel2 2 3 2 2" xfId="36843"/>
    <cellStyle name="SAPBEXHLevel2 2 3 3" xfId="17068"/>
    <cellStyle name="SAPBEXHLevel2 2 3 3 2" xfId="36844"/>
    <cellStyle name="SAPBEXHLevel2 2 3 4" xfId="36842"/>
    <cellStyle name="SAPBEXHLevel2 2 4" xfId="17069"/>
    <cellStyle name="SAPBEXHLevel2 2 4 2" xfId="17070"/>
    <cellStyle name="SAPBEXHLevel2 2 4 2 2" xfId="36846"/>
    <cellStyle name="SAPBEXHLevel2 2 4 3" xfId="17071"/>
    <cellStyle name="SAPBEXHLevel2 2 4 3 2" xfId="36847"/>
    <cellStyle name="SAPBEXHLevel2 2 4 4" xfId="36845"/>
    <cellStyle name="SAPBEXHLevel2 2 5" xfId="17072"/>
    <cellStyle name="SAPBEXHLevel2 2 5 2" xfId="17073"/>
    <cellStyle name="SAPBEXHLevel2 2 5 2 2" xfId="36849"/>
    <cellStyle name="SAPBEXHLevel2 2 5 3" xfId="17074"/>
    <cellStyle name="SAPBEXHLevel2 2 5 3 2" xfId="36850"/>
    <cellStyle name="SAPBEXHLevel2 2 5 4" xfId="36848"/>
    <cellStyle name="SAPBEXHLevel2 2 6" xfId="17075"/>
    <cellStyle name="SAPBEXHLevel2 2 6 2" xfId="17076"/>
    <cellStyle name="SAPBEXHLevel2 2 6 2 2" xfId="36852"/>
    <cellStyle name="SAPBEXHLevel2 2 6 3" xfId="17077"/>
    <cellStyle name="SAPBEXHLevel2 2 6 3 2" xfId="36853"/>
    <cellStyle name="SAPBEXHLevel2 2 6 4" xfId="36851"/>
    <cellStyle name="SAPBEXHLevel2 2 7" xfId="17078"/>
    <cellStyle name="SAPBEXHLevel2 2 7 2" xfId="36854"/>
    <cellStyle name="SAPBEXHLevel2 2 8" xfId="17079"/>
    <cellStyle name="SAPBEXHLevel2 2 8 2" xfId="36855"/>
    <cellStyle name="SAPBEXHLevel2 2 9" xfId="27353"/>
    <cellStyle name="SAPBEXHLevel2 3" xfId="4232"/>
    <cellStyle name="SAPBEXHLevel2 3 2" xfId="17080"/>
    <cellStyle name="SAPBEXHLevel2 3 2 2" xfId="17081"/>
    <cellStyle name="SAPBEXHLevel2 3 2 2 2" xfId="36857"/>
    <cellStyle name="SAPBEXHLevel2 3 2 3" xfId="17082"/>
    <cellStyle name="SAPBEXHLevel2 3 2 3 2" xfId="36858"/>
    <cellStyle name="SAPBEXHLevel2 3 2 4" xfId="36856"/>
    <cellStyle name="SAPBEXHLevel2 3 3" xfId="17083"/>
    <cellStyle name="SAPBEXHLevel2 3 3 2" xfId="17084"/>
    <cellStyle name="SAPBEXHLevel2 3 3 2 2" xfId="36860"/>
    <cellStyle name="SAPBEXHLevel2 3 3 3" xfId="17085"/>
    <cellStyle name="SAPBEXHLevel2 3 3 3 2" xfId="36861"/>
    <cellStyle name="SAPBEXHLevel2 3 3 4" xfId="36859"/>
    <cellStyle name="SAPBEXHLevel2 3 4" xfId="17086"/>
    <cellStyle name="SAPBEXHLevel2 3 4 2" xfId="17087"/>
    <cellStyle name="SAPBEXHLevel2 3 4 2 2" xfId="36863"/>
    <cellStyle name="SAPBEXHLevel2 3 4 3" xfId="17088"/>
    <cellStyle name="SAPBEXHLevel2 3 4 3 2" xfId="36864"/>
    <cellStyle name="SAPBEXHLevel2 3 4 4" xfId="36862"/>
    <cellStyle name="SAPBEXHLevel2 3 5" xfId="17089"/>
    <cellStyle name="SAPBEXHLevel2 3 5 2" xfId="17090"/>
    <cellStyle name="SAPBEXHLevel2 3 5 2 2" xfId="36866"/>
    <cellStyle name="SAPBEXHLevel2 3 5 3" xfId="17091"/>
    <cellStyle name="SAPBEXHLevel2 3 5 3 2" xfId="36867"/>
    <cellStyle name="SAPBEXHLevel2 3 5 4" xfId="36865"/>
    <cellStyle name="SAPBEXHLevel2 3 6" xfId="17092"/>
    <cellStyle name="SAPBEXHLevel2 3 6 2" xfId="17093"/>
    <cellStyle name="SAPBEXHLevel2 3 6 2 2" xfId="36869"/>
    <cellStyle name="SAPBEXHLevel2 3 6 3" xfId="17094"/>
    <cellStyle name="SAPBEXHLevel2 3 6 3 2" xfId="36870"/>
    <cellStyle name="SAPBEXHLevel2 3 6 4" xfId="36868"/>
    <cellStyle name="SAPBEXHLevel2 3 7" xfId="17095"/>
    <cellStyle name="SAPBEXHLevel2 3 7 2" xfId="36871"/>
    <cellStyle name="SAPBEXHLevel2 3 8" xfId="17096"/>
    <cellStyle name="SAPBEXHLevel2 3 8 2" xfId="36872"/>
    <cellStyle name="SAPBEXHLevel2 3 9" xfId="20347"/>
    <cellStyle name="SAPBEXHLevel2 4" xfId="5670"/>
    <cellStyle name="SAPBEXHLevel2 4 2" xfId="17097"/>
    <cellStyle name="SAPBEXHLevel2 4 2 2" xfId="17098"/>
    <cellStyle name="SAPBEXHLevel2 4 2 2 2" xfId="36874"/>
    <cellStyle name="SAPBEXHLevel2 4 2 3" xfId="17099"/>
    <cellStyle name="SAPBEXHLevel2 4 2 3 2" xfId="36875"/>
    <cellStyle name="SAPBEXHLevel2 4 2 4" xfId="36873"/>
    <cellStyle name="SAPBEXHLevel2 4 3" xfId="17100"/>
    <cellStyle name="SAPBEXHLevel2 4 3 2" xfId="17101"/>
    <cellStyle name="SAPBEXHLevel2 4 3 2 2" xfId="36877"/>
    <cellStyle name="SAPBEXHLevel2 4 3 3" xfId="17102"/>
    <cellStyle name="SAPBEXHLevel2 4 3 3 2" xfId="36878"/>
    <cellStyle name="SAPBEXHLevel2 4 3 4" xfId="36876"/>
    <cellStyle name="SAPBEXHLevel2 4 4" xfId="17103"/>
    <cellStyle name="SAPBEXHLevel2 4 4 2" xfId="17104"/>
    <cellStyle name="SAPBEXHLevel2 4 4 2 2" xfId="36880"/>
    <cellStyle name="SAPBEXHLevel2 4 4 3" xfId="17105"/>
    <cellStyle name="SAPBEXHLevel2 4 4 3 2" xfId="36881"/>
    <cellStyle name="SAPBEXHLevel2 4 4 4" xfId="36879"/>
    <cellStyle name="SAPBEXHLevel2 4 5" xfId="17106"/>
    <cellStyle name="SAPBEXHLevel2 4 5 2" xfId="17107"/>
    <cellStyle name="SAPBEXHLevel2 4 5 2 2" xfId="36883"/>
    <cellStyle name="SAPBEXHLevel2 4 5 3" xfId="17108"/>
    <cellStyle name="SAPBEXHLevel2 4 5 3 2" xfId="36884"/>
    <cellStyle name="SAPBEXHLevel2 4 5 4" xfId="36882"/>
    <cellStyle name="SAPBEXHLevel2 4 6" xfId="17109"/>
    <cellStyle name="SAPBEXHLevel2 4 6 2" xfId="17110"/>
    <cellStyle name="SAPBEXHLevel2 4 6 2 2" xfId="36886"/>
    <cellStyle name="SAPBEXHLevel2 4 6 3" xfId="17111"/>
    <cellStyle name="SAPBEXHLevel2 4 6 3 2" xfId="36887"/>
    <cellStyle name="SAPBEXHLevel2 4 6 4" xfId="36885"/>
    <cellStyle name="SAPBEXHLevel2 4 7" xfId="17112"/>
    <cellStyle name="SAPBEXHLevel2 4 7 2" xfId="36888"/>
    <cellStyle name="SAPBEXHLevel2 4 8" xfId="17113"/>
    <cellStyle name="SAPBEXHLevel2 4 8 2" xfId="36889"/>
    <cellStyle name="SAPBEXHLevel2 4 9" xfId="19685"/>
    <cellStyle name="SAPBEXHLevel2 5" xfId="17114"/>
    <cellStyle name="SAPBEXHLevel2 5 2" xfId="17115"/>
    <cellStyle name="SAPBEXHLevel2 5 2 2" xfId="36891"/>
    <cellStyle name="SAPBEXHLevel2 5 3" xfId="17116"/>
    <cellStyle name="SAPBEXHLevel2 5 3 2" xfId="36892"/>
    <cellStyle name="SAPBEXHLevel2 5 4" xfId="36890"/>
    <cellStyle name="SAPBEXHLevel2 6" xfId="17117"/>
    <cellStyle name="SAPBEXHLevel2 6 2" xfId="17118"/>
    <cellStyle name="SAPBEXHLevel2 6 2 2" xfId="36894"/>
    <cellStyle name="SAPBEXHLevel2 6 3" xfId="17119"/>
    <cellStyle name="SAPBEXHLevel2 6 3 2" xfId="36895"/>
    <cellStyle name="SAPBEXHLevel2 6 4" xfId="36893"/>
    <cellStyle name="SAPBEXHLevel2 7" xfId="17120"/>
    <cellStyle name="SAPBEXHLevel2 7 2" xfId="17121"/>
    <cellStyle name="SAPBEXHLevel2 7 2 2" xfId="36897"/>
    <cellStyle name="SAPBEXHLevel2 7 3" xfId="17122"/>
    <cellStyle name="SAPBEXHLevel2 7 3 2" xfId="36898"/>
    <cellStyle name="SAPBEXHLevel2 7 4" xfId="36896"/>
    <cellStyle name="SAPBEXHLevel2 8" xfId="17123"/>
    <cellStyle name="SAPBEXHLevel2 8 2" xfId="36899"/>
    <cellStyle name="SAPBEXHLevel2 9" xfId="17124"/>
    <cellStyle name="SAPBEXHLevel2 9 2" xfId="36900"/>
    <cellStyle name="SAPBEXHLevel2X" xfId="3880"/>
    <cellStyle name="SAPBEXHLevel2X 10" xfId="27407"/>
    <cellStyle name="SAPBEXHLevel2X 2" xfId="4210"/>
    <cellStyle name="SAPBEXHLevel2X 2 2" xfId="17125"/>
    <cellStyle name="SAPBEXHLevel2X 2 2 2" xfId="17126"/>
    <cellStyle name="SAPBEXHLevel2X 2 2 2 2" xfId="36902"/>
    <cellStyle name="SAPBEXHLevel2X 2 2 3" xfId="17127"/>
    <cellStyle name="SAPBEXHLevel2X 2 2 3 2" xfId="36903"/>
    <cellStyle name="SAPBEXHLevel2X 2 2 4" xfId="36901"/>
    <cellStyle name="SAPBEXHLevel2X 2 3" xfId="17128"/>
    <cellStyle name="SAPBEXHLevel2X 2 3 2" xfId="17129"/>
    <cellStyle name="SAPBEXHLevel2X 2 3 2 2" xfId="36905"/>
    <cellStyle name="SAPBEXHLevel2X 2 3 3" xfId="17130"/>
    <cellStyle name="SAPBEXHLevel2X 2 3 3 2" xfId="36906"/>
    <cellStyle name="SAPBEXHLevel2X 2 3 4" xfId="36904"/>
    <cellStyle name="SAPBEXHLevel2X 2 4" xfId="17131"/>
    <cellStyle name="SAPBEXHLevel2X 2 4 2" xfId="17132"/>
    <cellStyle name="SAPBEXHLevel2X 2 4 2 2" xfId="36908"/>
    <cellStyle name="SAPBEXHLevel2X 2 4 3" xfId="17133"/>
    <cellStyle name="SAPBEXHLevel2X 2 4 3 2" xfId="36909"/>
    <cellStyle name="SAPBEXHLevel2X 2 4 4" xfId="36907"/>
    <cellStyle name="SAPBEXHLevel2X 2 5" xfId="17134"/>
    <cellStyle name="SAPBEXHLevel2X 2 5 2" xfId="17135"/>
    <cellStyle name="SAPBEXHLevel2X 2 5 2 2" xfId="36911"/>
    <cellStyle name="SAPBEXHLevel2X 2 5 3" xfId="17136"/>
    <cellStyle name="SAPBEXHLevel2X 2 5 3 2" xfId="36912"/>
    <cellStyle name="SAPBEXHLevel2X 2 5 4" xfId="36910"/>
    <cellStyle name="SAPBEXHLevel2X 2 6" xfId="17137"/>
    <cellStyle name="SAPBEXHLevel2X 2 6 2" xfId="17138"/>
    <cellStyle name="SAPBEXHLevel2X 2 6 2 2" xfId="36914"/>
    <cellStyle name="SAPBEXHLevel2X 2 6 3" xfId="17139"/>
    <cellStyle name="SAPBEXHLevel2X 2 6 3 2" xfId="36915"/>
    <cellStyle name="SAPBEXHLevel2X 2 6 4" xfId="36913"/>
    <cellStyle name="SAPBEXHLevel2X 2 7" xfId="17140"/>
    <cellStyle name="SAPBEXHLevel2X 2 7 2" xfId="36916"/>
    <cellStyle name="SAPBEXHLevel2X 2 8" xfId="17141"/>
    <cellStyle name="SAPBEXHLevel2X 2 8 2" xfId="36917"/>
    <cellStyle name="SAPBEXHLevel2X 2 9" xfId="27350"/>
    <cellStyle name="SAPBEXHLevel2X 3" xfId="4202"/>
    <cellStyle name="SAPBEXHLevel2X 3 2" xfId="17142"/>
    <cellStyle name="SAPBEXHLevel2X 3 2 2" xfId="17143"/>
    <cellStyle name="SAPBEXHLevel2X 3 2 2 2" xfId="36919"/>
    <cellStyle name="SAPBEXHLevel2X 3 2 3" xfId="17144"/>
    <cellStyle name="SAPBEXHLevel2X 3 2 3 2" xfId="36920"/>
    <cellStyle name="SAPBEXHLevel2X 3 2 4" xfId="36918"/>
    <cellStyle name="SAPBEXHLevel2X 3 3" xfId="17145"/>
    <cellStyle name="SAPBEXHLevel2X 3 3 2" xfId="17146"/>
    <cellStyle name="SAPBEXHLevel2X 3 3 2 2" xfId="36922"/>
    <cellStyle name="SAPBEXHLevel2X 3 3 3" xfId="17147"/>
    <cellStyle name="SAPBEXHLevel2X 3 3 3 2" xfId="36923"/>
    <cellStyle name="SAPBEXHLevel2X 3 3 4" xfId="36921"/>
    <cellStyle name="SAPBEXHLevel2X 3 4" xfId="17148"/>
    <cellStyle name="SAPBEXHLevel2X 3 4 2" xfId="17149"/>
    <cellStyle name="SAPBEXHLevel2X 3 4 2 2" xfId="36925"/>
    <cellStyle name="SAPBEXHLevel2X 3 4 3" xfId="17150"/>
    <cellStyle name="SAPBEXHLevel2X 3 4 3 2" xfId="36926"/>
    <cellStyle name="SAPBEXHLevel2X 3 4 4" xfId="36924"/>
    <cellStyle name="SAPBEXHLevel2X 3 5" xfId="17151"/>
    <cellStyle name="SAPBEXHLevel2X 3 5 2" xfId="17152"/>
    <cellStyle name="SAPBEXHLevel2X 3 5 2 2" xfId="36928"/>
    <cellStyle name="SAPBEXHLevel2X 3 5 3" xfId="17153"/>
    <cellStyle name="SAPBEXHLevel2X 3 5 3 2" xfId="36929"/>
    <cellStyle name="SAPBEXHLevel2X 3 5 4" xfId="36927"/>
    <cellStyle name="SAPBEXHLevel2X 3 6" xfId="17154"/>
    <cellStyle name="SAPBEXHLevel2X 3 6 2" xfId="17155"/>
    <cellStyle name="SAPBEXHLevel2X 3 6 2 2" xfId="36931"/>
    <cellStyle name="SAPBEXHLevel2X 3 6 3" xfId="17156"/>
    <cellStyle name="SAPBEXHLevel2X 3 6 3 2" xfId="36932"/>
    <cellStyle name="SAPBEXHLevel2X 3 6 4" xfId="36930"/>
    <cellStyle name="SAPBEXHLevel2X 3 7" xfId="17157"/>
    <cellStyle name="SAPBEXHLevel2X 3 7 2" xfId="36933"/>
    <cellStyle name="SAPBEXHLevel2X 3 8" xfId="17158"/>
    <cellStyle name="SAPBEXHLevel2X 3 8 2" xfId="36934"/>
    <cellStyle name="SAPBEXHLevel2X 3 9" xfId="27352"/>
    <cellStyle name="SAPBEXHLevel2X 4" xfId="5671"/>
    <cellStyle name="SAPBEXHLevel2X 4 2" xfId="17159"/>
    <cellStyle name="SAPBEXHLevel2X 4 2 2" xfId="17160"/>
    <cellStyle name="SAPBEXHLevel2X 4 2 2 2" xfId="36936"/>
    <cellStyle name="SAPBEXHLevel2X 4 2 3" xfId="17161"/>
    <cellStyle name="SAPBEXHLevel2X 4 2 3 2" xfId="36937"/>
    <cellStyle name="SAPBEXHLevel2X 4 2 4" xfId="36935"/>
    <cellStyle name="SAPBEXHLevel2X 4 3" xfId="17162"/>
    <cellStyle name="SAPBEXHLevel2X 4 3 2" xfId="17163"/>
    <cellStyle name="SAPBEXHLevel2X 4 3 2 2" xfId="36939"/>
    <cellStyle name="SAPBEXHLevel2X 4 3 3" xfId="17164"/>
    <cellStyle name="SAPBEXHLevel2X 4 3 3 2" xfId="36940"/>
    <cellStyle name="SAPBEXHLevel2X 4 3 4" xfId="36938"/>
    <cellStyle name="SAPBEXHLevel2X 4 4" xfId="17165"/>
    <cellStyle name="SAPBEXHLevel2X 4 4 2" xfId="17166"/>
    <cellStyle name="SAPBEXHLevel2X 4 4 2 2" xfId="36942"/>
    <cellStyle name="SAPBEXHLevel2X 4 4 3" xfId="17167"/>
    <cellStyle name="SAPBEXHLevel2X 4 4 3 2" xfId="36943"/>
    <cellStyle name="SAPBEXHLevel2X 4 4 4" xfId="36941"/>
    <cellStyle name="SAPBEXHLevel2X 4 5" xfId="17168"/>
    <cellStyle name="SAPBEXHLevel2X 4 5 2" xfId="17169"/>
    <cellStyle name="SAPBEXHLevel2X 4 5 2 2" xfId="36945"/>
    <cellStyle name="SAPBEXHLevel2X 4 5 3" xfId="17170"/>
    <cellStyle name="SAPBEXHLevel2X 4 5 3 2" xfId="36946"/>
    <cellStyle name="SAPBEXHLevel2X 4 5 4" xfId="36944"/>
    <cellStyle name="SAPBEXHLevel2X 4 6" xfId="17171"/>
    <cellStyle name="SAPBEXHLevel2X 4 6 2" xfId="17172"/>
    <cellStyle name="SAPBEXHLevel2X 4 6 2 2" xfId="36948"/>
    <cellStyle name="SAPBEXHLevel2X 4 6 3" xfId="17173"/>
    <cellStyle name="SAPBEXHLevel2X 4 6 3 2" xfId="36949"/>
    <cellStyle name="SAPBEXHLevel2X 4 6 4" xfId="36947"/>
    <cellStyle name="SAPBEXHLevel2X 4 7" xfId="17174"/>
    <cellStyle name="SAPBEXHLevel2X 4 7 2" xfId="36950"/>
    <cellStyle name="SAPBEXHLevel2X 4 8" xfId="17175"/>
    <cellStyle name="SAPBEXHLevel2X 4 8 2" xfId="36951"/>
    <cellStyle name="SAPBEXHLevel2X 4 9" xfId="19684"/>
    <cellStyle name="SAPBEXHLevel2X 5" xfId="17176"/>
    <cellStyle name="SAPBEXHLevel2X 5 2" xfId="17177"/>
    <cellStyle name="SAPBEXHLevel2X 5 2 2" xfId="36953"/>
    <cellStyle name="SAPBEXHLevel2X 5 3" xfId="17178"/>
    <cellStyle name="SAPBEXHLevel2X 5 3 2" xfId="36954"/>
    <cellStyle name="SAPBEXHLevel2X 5 4" xfId="36952"/>
    <cellStyle name="SAPBEXHLevel2X 6" xfId="17179"/>
    <cellStyle name="SAPBEXHLevel2X 6 2" xfId="17180"/>
    <cellStyle name="SAPBEXHLevel2X 6 2 2" xfId="36956"/>
    <cellStyle name="SAPBEXHLevel2X 6 3" xfId="17181"/>
    <cellStyle name="SAPBEXHLevel2X 6 3 2" xfId="36957"/>
    <cellStyle name="SAPBEXHLevel2X 6 4" xfId="36955"/>
    <cellStyle name="SAPBEXHLevel2X 7" xfId="17182"/>
    <cellStyle name="SAPBEXHLevel2X 7 2" xfId="17183"/>
    <cellStyle name="SAPBEXHLevel2X 7 2 2" xfId="36959"/>
    <cellStyle name="SAPBEXHLevel2X 7 3" xfId="17184"/>
    <cellStyle name="SAPBEXHLevel2X 7 3 2" xfId="36960"/>
    <cellStyle name="SAPBEXHLevel2X 7 4" xfId="36958"/>
    <cellStyle name="SAPBEXHLevel2X 8" xfId="17185"/>
    <cellStyle name="SAPBEXHLevel2X 8 2" xfId="36961"/>
    <cellStyle name="SAPBEXHLevel2X 9" xfId="17186"/>
    <cellStyle name="SAPBEXHLevel2X 9 2" xfId="36962"/>
    <cellStyle name="SAPBEXHLevel3" xfId="3881"/>
    <cellStyle name="SAPBEXHLevel3 10" xfId="21140"/>
    <cellStyle name="SAPBEXHLevel3 2" xfId="3956"/>
    <cellStyle name="SAPBEXHLevel3 2 2" xfId="17187"/>
    <cellStyle name="SAPBEXHLevel3 2 2 2" xfId="17188"/>
    <cellStyle name="SAPBEXHLevel3 2 2 2 2" xfId="36964"/>
    <cellStyle name="SAPBEXHLevel3 2 2 3" xfId="17189"/>
    <cellStyle name="SAPBEXHLevel3 2 2 3 2" xfId="36965"/>
    <cellStyle name="SAPBEXHLevel3 2 2 4" xfId="36963"/>
    <cellStyle name="SAPBEXHLevel3 2 3" xfId="17190"/>
    <cellStyle name="SAPBEXHLevel3 2 3 2" xfId="17191"/>
    <cellStyle name="SAPBEXHLevel3 2 3 2 2" xfId="36967"/>
    <cellStyle name="SAPBEXHLevel3 2 3 3" xfId="17192"/>
    <cellStyle name="SAPBEXHLevel3 2 3 3 2" xfId="36968"/>
    <cellStyle name="SAPBEXHLevel3 2 3 4" xfId="36966"/>
    <cellStyle name="SAPBEXHLevel3 2 4" xfId="17193"/>
    <cellStyle name="SAPBEXHLevel3 2 4 2" xfId="17194"/>
    <cellStyle name="SAPBEXHLevel3 2 4 2 2" xfId="36970"/>
    <cellStyle name="SAPBEXHLevel3 2 4 3" xfId="17195"/>
    <cellStyle name="SAPBEXHLevel3 2 4 3 2" xfId="36971"/>
    <cellStyle name="SAPBEXHLevel3 2 4 4" xfId="36969"/>
    <cellStyle name="SAPBEXHLevel3 2 5" xfId="17196"/>
    <cellStyle name="SAPBEXHLevel3 2 5 2" xfId="17197"/>
    <cellStyle name="SAPBEXHLevel3 2 5 2 2" xfId="36973"/>
    <cellStyle name="SAPBEXHLevel3 2 5 3" xfId="17198"/>
    <cellStyle name="SAPBEXHLevel3 2 5 3 2" xfId="36974"/>
    <cellStyle name="SAPBEXHLevel3 2 5 4" xfId="36972"/>
    <cellStyle name="SAPBEXHLevel3 2 6" xfId="17199"/>
    <cellStyle name="SAPBEXHLevel3 2 6 2" xfId="17200"/>
    <cellStyle name="SAPBEXHLevel3 2 6 2 2" xfId="36976"/>
    <cellStyle name="SAPBEXHLevel3 2 6 3" xfId="17201"/>
    <cellStyle name="SAPBEXHLevel3 2 6 3 2" xfId="36977"/>
    <cellStyle name="SAPBEXHLevel3 2 6 4" xfId="36975"/>
    <cellStyle name="SAPBEXHLevel3 2 7" xfId="17202"/>
    <cellStyle name="SAPBEXHLevel3 2 7 2" xfId="36978"/>
    <cellStyle name="SAPBEXHLevel3 2 8" xfId="17203"/>
    <cellStyle name="SAPBEXHLevel3 2 8 2" xfId="36979"/>
    <cellStyle name="SAPBEXHLevel3 2 9" xfId="27389"/>
    <cellStyle name="SAPBEXHLevel3 3" xfId="4470"/>
    <cellStyle name="SAPBEXHLevel3 3 2" xfId="17204"/>
    <cellStyle name="SAPBEXHLevel3 3 2 2" xfId="17205"/>
    <cellStyle name="SAPBEXHLevel3 3 2 2 2" xfId="36981"/>
    <cellStyle name="SAPBEXHLevel3 3 2 3" xfId="17206"/>
    <cellStyle name="SAPBEXHLevel3 3 2 3 2" xfId="36982"/>
    <cellStyle name="SAPBEXHLevel3 3 2 4" xfId="36980"/>
    <cellStyle name="SAPBEXHLevel3 3 3" xfId="17207"/>
    <cellStyle name="SAPBEXHLevel3 3 3 2" xfId="17208"/>
    <cellStyle name="SAPBEXHLevel3 3 3 2 2" xfId="36984"/>
    <cellStyle name="SAPBEXHLevel3 3 3 3" xfId="17209"/>
    <cellStyle name="SAPBEXHLevel3 3 3 3 2" xfId="36985"/>
    <cellStyle name="SAPBEXHLevel3 3 3 4" xfId="36983"/>
    <cellStyle name="SAPBEXHLevel3 3 4" xfId="17210"/>
    <cellStyle name="SAPBEXHLevel3 3 4 2" xfId="17211"/>
    <cellStyle name="SAPBEXHLevel3 3 4 2 2" xfId="36987"/>
    <cellStyle name="SAPBEXHLevel3 3 4 3" xfId="17212"/>
    <cellStyle name="SAPBEXHLevel3 3 4 3 2" xfId="36988"/>
    <cellStyle name="SAPBEXHLevel3 3 4 4" xfId="36986"/>
    <cellStyle name="SAPBEXHLevel3 3 5" xfId="17213"/>
    <cellStyle name="SAPBEXHLevel3 3 5 2" xfId="17214"/>
    <cellStyle name="SAPBEXHLevel3 3 5 2 2" xfId="36990"/>
    <cellStyle name="SAPBEXHLevel3 3 5 3" xfId="17215"/>
    <cellStyle name="SAPBEXHLevel3 3 5 3 2" xfId="36991"/>
    <cellStyle name="SAPBEXHLevel3 3 5 4" xfId="36989"/>
    <cellStyle name="SAPBEXHLevel3 3 6" xfId="17216"/>
    <cellStyle name="SAPBEXHLevel3 3 6 2" xfId="17217"/>
    <cellStyle name="SAPBEXHLevel3 3 6 2 2" xfId="36993"/>
    <cellStyle name="SAPBEXHLevel3 3 6 3" xfId="17218"/>
    <cellStyle name="SAPBEXHLevel3 3 6 3 2" xfId="36994"/>
    <cellStyle name="SAPBEXHLevel3 3 6 4" xfId="36992"/>
    <cellStyle name="SAPBEXHLevel3 3 7" xfId="17219"/>
    <cellStyle name="SAPBEXHLevel3 3 7 2" xfId="36995"/>
    <cellStyle name="SAPBEXHLevel3 3 8" xfId="17220"/>
    <cellStyle name="SAPBEXHLevel3 3 8 2" xfId="36996"/>
    <cellStyle name="SAPBEXHLevel3 3 9" xfId="27065"/>
    <cellStyle name="SAPBEXHLevel3 4" xfId="5672"/>
    <cellStyle name="SAPBEXHLevel3 4 2" xfId="17221"/>
    <cellStyle name="SAPBEXHLevel3 4 2 2" xfId="17222"/>
    <cellStyle name="SAPBEXHLevel3 4 2 2 2" xfId="36998"/>
    <cellStyle name="SAPBEXHLevel3 4 2 3" xfId="17223"/>
    <cellStyle name="SAPBEXHLevel3 4 2 3 2" xfId="36999"/>
    <cellStyle name="SAPBEXHLevel3 4 2 4" xfId="36997"/>
    <cellStyle name="SAPBEXHLevel3 4 3" xfId="17224"/>
    <cellStyle name="SAPBEXHLevel3 4 3 2" xfId="17225"/>
    <cellStyle name="SAPBEXHLevel3 4 3 2 2" xfId="37001"/>
    <cellStyle name="SAPBEXHLevel3 4 3 3" xfId="17226"/>
    <cellStyle name="SAPBEXHLevel3 4 3 3 2" xfId="37002"/>
    <cellStyle name="SAPBEXHLevel3 4 3 4" xfId="37000"/>
    <cellStyle name="SAPBEXHLevel3 4 4" xfId="17227"/>
    <cellStyle name="SAPBEXHLevel3 4 4 2" xfId="17228"/>
    <cellStyle name="SAPBEXHLevel3 4 4 2 2" xfId="37004"/>
    <cellStyle name="SAPBEXHLevel3 4 4 3" xfId="17229"/>
    <cellStyle name="SAPBEXHLevel3 4 4 3 2" xfId="37005"/>
    <cellStyle name="SAPBEXHLevel3 4 4 4" xfId="37003"/>
    <cellStyle name="SAPBEXHLevel3 4 5" xfId="17230"/>
    <cellStyle name="SAPBEXHLevel3 4 5 2" xfId="17231"/>
    <cellStyle name="SAPBEXHLevel3 4 5 2 2" xfId="37007"/>
    <cellStyle name="SAPBEXHLevel3 4 5 3" xfId="17232"/>
    <cellStyle name="SAPBEXHLevel3 4 5 3 2" xfId="37008"/>
    <cellStyle name="SAPBEXHLevel3 4 5 4" xfId="37006"/>
    <cellStyle name="SAPBEXHLevel3 4 6" xfId="17233"/>
    <cellStyle name="SAPBEXHLevel3 4 6 2" xfId="17234"/>
    <cellStyle name="SAPBEXHLevel3 4 6 2 2" xfId="37010"/>
    <cellStyle name="SAPBEXHLevel3 4 6 3" xfId="17235"/>
    <cellStyle name="SAPBEXHLevel3 4 6 3 2" xfId="37011"/>
    <cellStyle name="SAPBEXHLevel3 4 6 4" xfId="37009"/>
    <cellStyle name="SAPBEXHLevel3 4 7" xfId="17236"/>
    <cellStyle name="SAPBEXHLevel3 4 7 2" xfId="37012"/>
    <cellStyle name="SAPBEXHLevel3 4 8" xfId="17237"/>
    <cellStyle name="SAPBEXHLevel3 4 8 2" xfId="37013"/>
    <cellStyle name="SAPBEXHLevel3 4 9" xfId="19683"/>
    <cellStyle name="SAPBEXHLevel3 5" xfId="17238"/>
    <cellStyle name="SAPBEXHLevel3 5 2" xfId="17239"/>
    <cellStyle name="SAPBEXHLevel3 5 2 2" xfId="37015"/>
    <cellStyle name="SAPBEXHLevel3 5 3" xfId="17240"/>
    <cellStyle name="SAPBEXHLevel3 5 3 2" xfId="37016"/>
    <cellStyle name="SAPBEXHLevel3 5 4" xfId="37014"/>
    <cellStyle name="SAPBEXHLevel3 6" xfId="17241"/>
    <cellStyle name="SAPBEXHLevel3 6 2" xfId="17242"/>
    <cellStyle name="SAPBEXHLevel3 6 2 2" xfId="37018"/>
    <cellStyle name="SAPBEXHLevel3 6 3" xfId="17243"/>
    <cellStyle name="SAPBEXHLevel3 6 3 2" xfId="37019"/>
    <cellStyle name="SAPBEXHLevel3 6 4" xfId="37017"/>
    <cellStyle name="SAPBEXHLevel3 7" xfId="17244"/>
    <cellStyle name="SAPBEXHLevel3 7 2" xfId="17245"/>
    <cellStyle name="SAPBEXHLevel3 7 2 2" xfId="37021"/>
    <cellStyle name="SAPBEXHLevel3 7 3" xfId="17246"/>
    <cellStyle name="SAPBEXHLevel3 7 3 2" xfId="37022"/>
    <cellStyle name="SAPBEXHLevel3 7 4" xfId="37020"/>
    <cellStyle name="SAPBEXHLevel3 8" xfId="17247"/>
    <cellStyle name="SAPBEXHLevel3 8 2" xfId="37023"/>
    <cellStyle name="SAPBEXHLevel3 9" xfId="17248"/>
    <cellStyle name="SAPBEXHLevel3 9 2" xfId="37024"/>
    <cellStyle name="SAPBEXHLevel3X" xfId="3882"/>
    <cellStyle name="SAPBEXHLevel3X 10" xfId="27406"/>
    <cellStyle name="SAPBEXHLevel3X 2" xfId="4421"/>
    <cellStyle name="SAPBEXHLevel3X 2 2" xfId="17249"/>
    <cellStyle name="SAPBEXHLevel3X 2 2 2" xfId="17250"/>
    <cellStyle name="SAPBEXHLevel3X 2 2 2 2" xfId="37026"/>
    <cellStyle name="SAPBEXHLevel3X 2 2 3" xfId="17251"/>
    <cellStyle name="SAPBEXHLevel3X 2 2 3 2" xfId="37027"/>
    <cellStyle name="SAPBEXHLevel3X 2 2 4" xfId="37025"/>
    <cellStyle name="SAPBEXHLevel3X 2 3" xfId="17252"/>
    <cellStyle name="SAPBEXHLevel3X 2 3 2" xfId="17253"/>
    <cellStyle name="SAPBEXHLevel3X 2 3 2 2" xfId="37029"/>
    <cellStyle name="SAPBEXHLevel3X 2 3 3" xfId="17254"/>
    <cellStyle name="SAPBEXHLevel3X 2 3 3 2" xfId="37030"/>
    <cellStyle name="SAPBEXHLevel3X 2 3 4" xfId="37028"/>
    <cellStyle name="SAPBEXHLevel3X 2 4" xfId="17255"/>
    <cellStyle name="SAPBEXHLevel3X 2 4 2" xfId="17256"/>
    <cellStyle name="SAPBEXHLevel3X 2 4 2 2" xfId="37032"/>
    <cellStyle name="SAPBEXHLevel3X 2 4 3" xfId="17257"/>
    <cellStyle name="SAPBEXHLevel3X 2 4 3 2" xfId="37033"/>
    <cellStyle name="SAPBEXHLevel3X 2 4 4" xfId="37031"/>
    <cellStyle name="SAPBEXHLevel3X 2 5" xfId="17258"/>
    <cellStyle name="SAPBEXHLevel3X 2 5 2" xfId="17259"/>
    <cellStyle name="SAPBEXHLevel3X 2 5 2 2" xfId="37035"/>
    <cellStyle name="SAPBEXHLevel3X 2 5 3" xfId="17260"/>
    <cellStyle name="SAPBEXHLevel3X 2 5 3 2" xfId="37036"/>
    <cellStyle name="SAPBEXHLevel3X 2 5 4" xfId="37034"/>
    <cellStyle name="SAPBEXHLevel3X 2 6" xfId="17261"/>
    <cellStyle name="SAPBEXHLevel3X 2 6 2" xfId="17262"/>
    <cellStyle name="SAPBEXHLevel3X 2 6 2 2" xfId="37038"/>
    <cellStyle name="SAPBEXHLevel3X 2 6 3" xfId="17263"/>
    <cellStyle name="SAPBEXHLevel3X 2 6 3 2" xfId="37039"/>
    <cellStyle name="SAPBEXHLevel3X 2 6 4" xfId="37037"/>
    <cellStyle name="SAPBEXHLevel3X 2 7" xfId="17264"/>
    <cellStyle name="SAPBEXHLevel3X 2 7 2" xfId="37040"/>
    <cellStyle name="SAPBEXHLevel3X 2 8" xfId="17265"/>
    <cellStyle name="SAPBEXHLevel3X 2 8 2" xfId="37041"/>
    <cellStyle name="SAPBEXHLevel3X 2 9" xfId="27080"/>
    <cellStyle name="SAPBEXHLevel3X 3" xfId="4573"/>
    <cellStyle name="SAPBEXHLevel3X 3 2" xfId="17266"/>
    <cellStyle name="SAPBEXHLevel3X 3 2 2" xfId="17267"/>
    <cellStyle name="SAPBEXHLevel3X 3 2 2 2" xfId="37043"/>
    <cellStyle name="SAPBEXHLevel3X 3 2 3" xfId="17268"/>
    <cellStyle name="SAPBEXHLevel3X 3 2 3 2" xfId="37044"/>
    <cellStyle name="SAPBEXHLevel3X 3 2 4" xfId="37042"/>
    <cellStyle name="SAPBEXHLevel3X 3 3" xfId="17269"/>
    <cellStyle name="SAPBEXHLevel3X 3 3 2" xfId="17270"/>
    <cellStyle name="SAPBEXHLevel3X 3 3 2 2" xfId="37046"/>
    <cellStyle name="SAPBEXHLevel3X 3 3 3" xfId="17271"/>
    <cellStyle name="SAPBEXHLevel3X 3 3 3 2" xfId="37047"/>
    <cellStyle name="SAPBEXHLevel3X 3 3 4" xfId="37045"/>
    <cellStyle name="SAPBEXHLevel3X 3 4" xfId="17272"/>
    <cellStyle name="SAPBEXHLevel3X 3 4 2" xfId="17273"/>
    <cellStyle name="SAPBEXHLevel3X 3 4 2 2" xfId="37049"/>
    <cellStyle name="SAPBEXHLevel3X 3 4 3" xfId="17274"/>
    <cellStyle name="SAPBEXHLevel3X 3 4 3 2" xfId="37050"/>
    <cellStyle name="SAPBEXHLevel3X 3 4 4" xfId="37048"/>
    <cellStyle name="SAPBEXHLevel3X 3 5" xfId="17275"/>
    <cellStyle name="SAPBEXHLevel3X 3 5 2" xfId="17276"/>
    <cellStyle name="SAPBEXHLevel3X 3 5 2 2" xfId="37052"/>
    <cellStyle name="SAPBEXHLevel3X 3 5 3" xfId="17277"/>
    <cellStyle name="SAPBEXHLevel3X 3 5 3 2" xfId="37053"/>
    <cellStyle name="SAPBEXHLevel3X 3 5 4" xfId="37051"/>
    <cellStyle name="SAPBEXHLevel3X 3 6" xfId="17278"/>
    <cellStyle name="SAPBEXHLevel3X 3 6 2" xfId="17279"/>
    <cellStyle name="SAPBEXHLevel3X 3 6 2 2" xfId="37055"/>
    <cellStyle name="SAPBEXHLevel3X 3 6 3" xfId="17280"/>
    <cellStyle name="SAPBEXHLevel3X 3 6 3 2" xfId="37056"/>
    <cellStyle name="SAPBEXHLevel3X 3 6 4" xfId="37054"/>
    <cellStyle name="SAPBEXHLevel3X 3 7" xfId="17281"/>
    <cellStyle name="SAPBEXHLevel3X 3 7 2" xfId="37057"/>
    <cellStyle name="SAPBEXHLevel3X 3 8" xfId="17282"/>
    <cellStyle name="SAPBEXHLevel3X 3 8 2" xfId="37058"/>
    <cellStyle name="SAPBEXHLevel3X 3 9" xfId="27035"/>
    <cellStyle name="SAPBEXHLevel3X 4" xfId="5673"/>
    <cellStyle name="SAPBEXHLevel3X 4 2" xfId="17283"/>
    <cellStyle name="SAPBEXHLevel3X 4 2 2" xfId="17284"/>
    <cellStyle name="SAPBEXHLevel3X 4 2 2 2" xfId="37060"/>
    <cellStyle name="SAPBEXHLevel3X 4 2 3" xfId="17285"/>
    <cellStyle name="SAPBEXHLevel3X 4 2 3 2" xfId="37061"/>
    <cellStyle name="SAPBEXHLevel3X 4 2 4" xfId="37059"/>
    <cellStyle name="SAPBEXHLevel3X 4 3" xfId="17286"/>
    <cellStyle name="SAPBEXHLevel3X 4 3 2" xfId="17287"/>
    <cellStyle name="SAPBEXHLevel3X 4 3 2 2" xfId="37063"/>
    <cellStyle name="SAPBEXHLevel3X 4 3 3" xfId="17288"/>
    <cellStyle name="SAPBEXHLevel3X 4 3 3 2" xfId="37064"/>
    <cellStyle name="SAPBEXHLevel3X 4 3 4" xfId="37062"/>
    <cellStyle name="SAPBEXHLevel3X 4 4" xfId="17289"/>
    <cellStyle name="SAPBEXHLevel3X 4 4 2" xfId="17290"/>
    <cellStyle name="SAPBEXHLevel3X 4 4 2 2" xfId="37066"/>
    <cellStyle name="SAPBEXHLevel3X 4 4 3" xfId="17291"/>
    <cellStyle name="SAPBEXHLevel3X 4 4 3 2" xfId="37067"/>
    <cellStyle name="SAPBEXHLevel3X 4 4 4" xfId="37065"/>
    <cellStyle name="SAPBEXHLevel3X 4 5" xfId="17292"/>
    <cellStyle name="SAPBEXHLevel3X 4 5 2" xfId="17293"/>
    <cellStyle name="SAPBEXHLevel3X 4 5 2 2" xfId="37069"/>
    <cellStyle name="SAPBEXHLevel3X 4 5 3" xfId="17294"/>
    <cellStyle name="SAPBEXHLevel3X 4 5 3 2" xfId="37070"/>
    <cellStyle name="SAPBEXHLevel3X 4 5 4" xfId="37068"/>
    <cellStyle name="SAPBEXHLevel3X 4 6" xfId="17295"/>
    <cellStyle name="SAPBEXHLevel3X 4 6 2" xfId="17296"/>
    <cellStyle name="SAPBEXHLevel3X 4 6 2 2" xfId="37072"/>
    <cellStyle name="SAPBEXHLevel3X 4 6 3" xfId="17297"/>
    <cellStyle name="SAPBEXHLevel3X 4 6 3 2" xfId="37073"/>
    <cellStyle name="SAPBEXHLevel3X 4 6 4" xfId="37071"/>
    <cellStyle name="SAPBEXHLevel3X 4 7" xfId="17298"/>
    <cellStyle name="SAPBEXHLevel3X 4 7 2" xfId="37074"/>
    <cellStyle name="SAPBEXHLevel3X 4 8" xfId="17299"/>
    <cellStyle name="SAPBEXHLevel3X 4 8 2" xfId="37075"/>
    <cellStyle name="SAPBEXHLevel3X 4 9" xfId="19677"/>
    <cellStyle name="SAPBEXHLevel3X 5" xfId="17300"/>
    <cellStyle name="SAPBEXHLevel3X 5 2" xfId="17301"/>
    <cellStyle name="SAPBEXHLevel3X 5 2 2" xfId="37077"/>
    <cellStyle name="SAPBEXHLevel3X 5 3" xfId="17302"/>
    <cellStyle name="SAPBEXHLevel3X 5 3 2" xfId="37078"/>
    <cellStyle name="SAPBEXHLevel3X 5 4" xfId="37076"/>
    <cellStyle name="SAPBEXHLevel3X 6" xfId="17303"/>
    <cellStyle name="SAPBEXHLevel3X 6 2" xfId="17304"/>
    <cellStyle name="SAPBEXHLevel3X 6 2 2" xfId="37080"/>
    <cellStyle name="SAPBEXHLevel3X 6 3" xfId="17305"/>
    <cellStyle name="SAPBEXHLevel3X 6 3 2" xfId="37081"/>
    <cellStyle name="SAPBEXHLevel3X 6 4" xfId="37079"/>
    <cellStyle name="SAPBEXHLevel3X 7" xfId="17306"/>
    <cellStyle name="SAPBEXHLevel3X 7 2" xfId="17307"/>
    <cellStyle name="SAPBEXHLevel3X 7 2 2" xfId="37083"/>
    <cellStyle name="SAPBEXHLevel3X 7 3" xfId="17308"/>
    <cellStyle name="SAPBEXHLevel3X 7 3 2" xfId="37084"/>
    <cellStyle name="SAPBEXHLevel3X 7 4" xfId="37082"/>
    <cellStyle name="SAPBEXHLevel3X 8" xfId="17309"/>
    <cellStyle name="SAPBEXHLevel3X 8 2" xfId="37085"/>
    <cellStyle name="SAPBEXHLevel3X 9" xfId="17310"/>
    <cellStyle name="SAPBEXHLevel3X 9 2" xfId="37086"/>
    <cellStyle name="SAPBEXresData" xfId="3883"/>
    <cellStyle name="SAPBEXresData 10" xfId="27405"/>
    <cellStyle name="SAPBEXresData 2" xfId="4435"/>
    <cellStyle name="SAPBEXresData 2 2" xfId="17311"/>
    <cellStyle name="SAPBEXresData 2 2 2" xfId="17312"/>
    <cellStyle name="SAPBEXresData 2 2 2 2" xfId="37088"/>
    <cellStyle name="SAPBEXresData 2 2 3" xfId="17313"/>
    <cellStyle name="SAPBEXresData 2 2 3 2" xfId="37089"/>
    <cellStyle name="SAPBEXresData 2 2 4" xfId="37087"/>
    <cellStyle name="SAPBEXresData 2 3" xfId="17314"/>
    <cellStyle name="SAPBEXresData 2 3 2" xfId="17315"/>
    <cellStyle name="SAPBEXresData 2 3 2 2" xfId="37091"/>
    <cellStyle name="SAPBEXresData 2 3 3" xfId="17316"/>
    <cellStyle name="SAPBEXresData 2 3 3 2" xfId="37092"/>
    <cellStyle name="SAPBEXresData 2 3 4" xfId="37090"/>
    <cellStyle name="SAPBEXresData 2 4" xfId="17317"/>
    <cellStyle name="SAPBEXresData 2 4 2" xfId="17318"/>
    <cellStyle name="SAPBEXresData 2 4 2 2" xfId="37094"/>
    <cellStyle name="SAPBEXresData 2 4 3" xfId="17319"/>
    <cellStyle name="SAPBEXresData 2 4 3 2" xfId="37095"/>
    <cellStyle name="SAPBEXresData 2 4 4" xfId="37093"/>
    <cellStyle name="SAPBEXresData 2 5" xfId="17320"/>
    <cellStyle name="SAPBEXresData 2 5 2" xfId="17321"/>
    <cellStyle name="SAPBEXresData 2 5 2 2" xfId="37097"/>
    <cellStyle name="SAPBEXresData 2 5 3" xfId="17322"/>
    <cellStyle name="SAPBEXresData 2 5 3 2" xfId="37098"/>
    <cellStyle name="SAPBEXresData 2 5 4" xfId="37096"/>
    <cellStyle name="SAPBEXresData 2 6" xfId="17323"/>
    <cellStyle name="SAPBEXresData 2 6 2" xfId="17324"/>
    <cellStyle name="SAPBEXresData 2 6 2 2" xfId="37100"/>
    <cellStyle name="SAPBEXresData 2 6 3" xfId="17325"/>
    <cellStyle name="SAPBEXresData 2 6 3 2" xfId="37101"/>
    <cellStyle name="SAPBEXresData 2 6 4" xfId="37099"/>
    <cellStyle name="SAPBEXresData 2 7" xfId="17326"/>
    <cellStyle name="SAPBEXresData 2 7 2" xfId="37102"/>
    <cellStyle name="SAPBEXresData 2 8" xfId="17327"/>
    <cellStyle name="SAPBEXresData 2 8 2" xfId="37103"/>
    <cellStyle name="SAPBEXresData 2 9" xfId="27075"/>
    <cellStyle name="SAPBEXresData 3" xfId="4132"/>
    <cellStyle name="SAPBEXresData 3 2" xfId="17328"/>
    <cellStyle name="SAPBEXresData 3 2 2" xfId="17329"/>
    <cellStyle name="SAPBEXresData 3 2 2 2" xfId="37105"/>
    <cellStyle name="SAPBEXresData 3 2 3" xfId="17330"/>
    <cellStyle name="SAPBEXresData 3 2 3 2" xfId="37106"/>
    <cellStyle name="SAPBEXresData 3 2 4" xfId="37104"/>
    <cellStyle name="SAPBEXresData 3 3" xfId="17331"/>
    <cellStyle name="SAPBEXresData 3 3 2" xfId="17332"/>
    <cellStyle name="SAPBEXresData 3 3 2 2" xfId="37108"/>
    <cellStyle name="SAPBEXresData 3 3 3" xfId="17333"/>
    <cellStyle name="SAPBEXresData 3 3 3 2" xfId="37109"/>
    <cellStyle name="SAPBEXresData 3 3 4" xfId="37107"/>
    <cellStyle name="SAPBEXresData 3 4" xfId="17334"/>
    <cellStyle name="SAPBEXresData 3 4 2" xfId="17335"/>
    <cellStyle name="SAPBEXresData 3 4 2 2" xfId="37111"/>
    <cellStyle name="SAPBEXresData 3 4 3" xfId="17336"/>
    <cellStyle name="SAPBEXresData 3 4 3 2" xfId="37112"/>
    <cellStyle name="SAPBEXresData 3 4 4" xfId="37110"/>
    <cellStyle name="SAPBEXresData 3 5" xfId="17337"/>
    <cellStyle name="SAPBEXresData 3 5 2" xfId="17338"/>
    <cellStyle name="SAPBEXresData 3 5 2 2" xfId="37114"/>
    <cellStyle name="SAPBEXresData 3 5 3" xfId="17339"/>
    <cellStyle name="SAPBEXresData 3 5 3 2" xfId="37115"/>
    <cellStyle name="SAPBEXresData 3 5 4" xfId="37113"/>
    <cellStyle name="SAPBEXresData 3 6" xfId="17340"/>
    <cellStyle name="SAPBEXresData 3 6 2" xfId="17341"/>
    <cellStyle name="SAPBEXresData 3 6 2 2" xfId="37117"/>
    <cellStyle name="SAPBEXresData 3 6 3" xfId="17342"/>
    <cellStyle name="SAPBEXresData 3 6 3 2" xfId="37118"/>
    <cellStyle name="SAPBEXresData 3 6 4" xfId="37116"/>
    <cellStyle name="SAPBEXresData 3 7" xfId="17343"/>
    <cellStyle name="SAPBEXresData 3 7 2" xfId="37119"/>
    <cellStyle name="SAPBEXresData 3 8" xfId="17344"/>
    <cellStyle name="SAPBEXresData 3 8 2" xfId="37120"/>
    <cellStyle name="SAPBEXresData 3 9" xfId="27369"/>
    <cellStyle name="SAPBEXresData 4" xfId="5674"/>
    <cellStyle name="SAPBEXresData 4 2" xfId="17345"/>
    <cellStyle name="SAPBEXresData 4 2 2" xfId="17346"/>
    <cellStyle name="SAPBEXresData 4 2 2 2" xfId="37122"/>
    <cellStyle name="SAPBEXresData 4 2 3" xfId="17347"/>
    <cellStyle name="SAPBEXresData 4 2 3 2" xfId="37123"/>
    <cellStyle name="SAPBEXresData 4 2 4" xfId="37121"/>
    <cellStyle name="SAPBEXresData 4 3" xfId="17348"/>
    <cellStyle name="SAPBEXresData 4 3 2" xfId="17349"/>
    <cellStyle name="SAPBEXresData 4 3 2 2" xfId="37125"/>
    <cellStyle name="SAPBEXresData 4 3 3" xfId="17350"/>
    <cellStyle name="SAPBEXresData 4 3 3 2" xfId="37126"/>
    <cellStyle name="SAPBEXresData 4 3 4" xfId="37124"/>
    <cellStyle name="SAPBEXresData 4 4" xfId="17351"/>
    <cellStyle name="SAPBEXresData 4 4 2" xfId="17352"/>
    <cellStyle name="SAPBEXresData 4 4 2 2" xfId="37128"/>
    <cellStyle name="SAPBEXresData 4 4 3" xfId="17353"/>
    <cellStyle name="SAPBEXresData 4 4 3 2" xfId="37129"/>
    <cellStyle name="SAPBEXresData 4 4 4" xfId="37127"/>
    <cellStyle name="SAPBEXresData 4 5" xfId="17354"/>
    <cellStyle name="SAPBEXresData 4 5 2" xfId="17355"/>
    <cellStyle name="SAPBEXresData 4 5 2 2" xfId="37131"/>
    <cellStyle name="SAPBEXresData 4 5 3" xfId="17356"/>
    <cellStyle name="SAPBEXresData 4 5 3 2" xfId="37132"/>
    <cellStyle name="SAPBEXresData 4 5 4" xfId="37130"/>
    <cellStyle name="SAPBEXresData 4 6" xfId="17357"/>
    <cellStyle name="SAPBEXresData 4 6 2" xfId="17358"/>
    <cellStyle name="SAPBEXresData 4 6 2 2" xfId="37134"/>
    <cellStyle name="SAPBEXresData 4 6 3" xfId="17359"/>
    <cellStyle name="SAPBEXresData 4 6 3 2" xfId="37135"/>
    <cellStyle name="SAPBEXresData 4 6 4" xfId="37133"/>
    <cellStyle name="SAPBEXresData 4 7" xfId="17360"/>
    <cellStyle name="SAPBEXresData 4 7 2" xfId="37136"/>
    <cellStyle name="SAPBEXresData 4 8" xfId="17361"/>
    <cellStyle name="SAPBEXresData 4 8 2" xfId="37137"/>
    <cellStyle name="SAPBEXresData 4 9" xfId="19676"/>
    <cellStyle name="SAPBEXresData 5" xfId="17362"/>
    <cellStyle name="SAPBEXresData 5 2" xfId="17363"/>
    <cellStyle name="SAPBEXresData 5 2 2" xfId="37139"/>
    <cellStyle name="SAPBEXresData 5 3" xfId="17364"/>
    <cellStyle name="SAPBEXresData 5 3 2" xfId="37140"/>
    <cellStyle name="SAPBEXresData 5 4" xfId="37138"/>
    <cellStyle name="SAPBEXresData 6" xfId="17365"/>
    <cellStyle name="SAPBEXresData 6 2" xfId="17366"/>
    <cellStyle name="SAPBEXresData 6 2 2" xfId="37142"/>
    <cellStyle name="SAPBEXresData 6 3" xfId="17367"/>
    <cellStyle name="SAPBEXresData 6 3 2" xfId="37143"/>
    <cellStyle name="SAPBEXresData 6 4" xfId="37141"/>
    <cellStyle name="SAPBEXresData 7" xfId="17368"/>
    <cellStyle name="SAPBEXresData 7 2" xfId="17369"/>
    <cellStyle name="SAPBEXresData 7 2 2" xfId="37145"/>
    <cellStyle name="SAPBEXresData 7 3" xfId="17370"/>
    <cellStyle name="SAPBEXresData 7 3 2" xfId="37146"/>
    <cellStyle name="SAPBEXresData 7 4" xfId="37144"/>
    <cellStyle name="SAPBEXresData 8" xfId="17371"/>
    <cellStyle name="SAPBEXresData 8 2" xfId="37147"/>
    <cellStyle name="SAPBEXresData 9" xfId="17372"/>
    <cellStyle name="SAPBEXresData 9 2" xfId="37148"/>
    <cellStyle name="SAPBEXresDataEmph" xfId="3884"/>
    <cellStyle name="SAPBEXresDataEmph 10" xfId="27404"/>
    <cellStyle name="SAPBEXresDataEmph 2" xfId="4146"/>
    <cellStyle name="SAPBEXresDataEmph 2 2" xfId="17373"/>
    <cellStyle name="SAPBEXresDataEmph 2 2 2" xfId="17374"/>
    <cellStyle name="SAPBEXresDataEmph 2 2 2 2" xfId="37150"/>
    <cellStyle name="SAPBEXresDataEmph 2 2 3" xfId="17375"/>
    <cellStyle name="SAPBEXresDataEmph 2 2 3 2" xfId="37151"/>
    <cellStyle name="SAPBEXresDataEmph 2 2 4" xfId="37149"/>
    <cellStyle name="SAPBEXresDataEmph 2 3" xfId="17376"/>
    <cellStyle name="SAPBEXresDataEmph 2 3 2" xfId="17377"/>
    <cellStyle name="SAPBEXresDataEmph 2 3 2 2" xfId="37153"/>
    <cellStyle name="SAPBEXresDataEmph 2 3 3" xfId="17378"/>
    <cellStyle name="SAPBEXresDataEmph 2 3 3 2" xfId="37154"/>
    <cellStyle name="SAPBEXresDataEmph 2 3 4" xfId="37152"/>
    <cellStyle name="SAPBEXresDataEmph 2 4" xfId="17379"/>
    <cellStyle name="SAPBEXresDataEmph 2 4 2" xfId="17380"/>
    <cellStyle name="SAPBEXresDataEmph 2 4 2 2" xfId="37156"/>
    <cellStyle name="SAPBEXresDataEmph 2 4 3" xfId="17381"/>
    <cellStyle name="SAPBEXresDataEmph 2 4 3 2" xfId="37157"/>
    <cellStyle name="SAPBEXresDataEmph 2 4 4" xfId="37155"/>
    <cellStyle name="SAPBEXresDataEmph 2 5" xfId="17382"/>
    <cellStyle name="SAPBEXresDataEmph 2 5 2" xfId="17383"/>
    <cellStyle name="SAPBEXresDataEmph 2 5 2 2" xfId="37159"/>
    <cellStyle name="SAPBEXresDataEmph 2 5 3" xfId="17384"/>
    <cellStyle name="SAPBEXresDataEmph 2 5 3 2" xfId="37160"/>
    <cellStyle name="SAPBEXresDataEmph 2 5 4" xfId="37158"/>
    <cellStyle name="SAPBEXresDataEmph 2 6" xfId="17385"/>
    <cellStyle name="SAPBEXresDataEmph 2 6 2" xfId="17386"/>
    <cellStyle name="SAPBEXresDataEmph 2 6 2 2" xfId="37162"/>
    <cellStyle name="SAPBEXresDataEmph 2 6 3" xfId="17387"/>
    <cellStyle name="SAPBEXresDataEmph 2 6 3 2" xfId="37163"/>
    <cellStyle name="SAPBEXresDataEmph 2 6 4" xfId="37161"/>
    <cellStyle name="SAPBEXresDataEmph 2 7" xfId="17388"/>
    <cellStyle name="SAPBEXresDataEmph 2 7 2" xfId="37164"/>
    <cellStyle name="SAPBEXresDataEmph 2 8" xfId="17389"/>
    <cellStyle name="SAPBEXresDataEmph 2 8 2" xfId="37165"/>
    <cellStyle name="SAPBEXresDataEmph 2 9" xfId="27365"/>
    <cellStyle name="SAPBEXresDataEmph 3" xfId="4165"/>
    <cellStyle name="SAPBEXresDataEmph 3 2" xfId="17390"/>
    <cellStyle name="SAPBEXresDataEmph 3 2 2" xfId="17391"/>
    <cellStyle name="SAPBEXresDataEmph 3 2 2 2" xfId="37167"/>
    <cellStyle name="SAPBEXresDataEmph 3 2 3" xfId="17392"/>
    <cellStyle name="SAPBEXresDataEmph 3 2 3 2" xfId="37168"/>
    <cellStyle name="SAPBEXresDataEmph 3 2 4" xfId="37166"/>
    <cellStyle name="SAPBEXresDataEmph 3 3" xfId="17393"/>
    <cellStyle name="SAPBEXresDataEmph 3 3 2" xfId="17394"/>
    <cellStyle name="SAPBEXresDataEmph 3 3 2 2" xfId="37170"/>
    <cellStyle name="SAPBEXresDataEmph 3 3 3" xfId="17395"/>
    <cellStyle name="SAPBEXresDataEmph 3 3 3 2" xfId="37171"/>
    <cellStyle name="SAPBEXresDataEmph 3 3 4" xfId="37169"/>
    <cellStyle name="SAPBEXresDataEmph 3 4" xfId="17396"/>
    <cellStyle name="SAPBEXresDataEmph 3 4 2" xfId="17397"/>
    <cellStyle name="SAPBEXresDataEmph 3 4 2 2" xfId="37173"/>
    <cellStyle name="SAPBEXresDataEmph 3 4 3" xfId="17398"/>
    <cellStyle name="SAPBEXresDataEmph 3 4 3 2" xfId="37174"/>
    <cellStyle name="SAPBEXresDataEmph 3 4 4" xfId="37172"/>
    <cellStyle name="SAPBEXresDataEmph 3 5" xfId="17399"/>
    <cellStyle name="SAPBEXresDataEmph 3 5 2" xfId="17400"/>
    <cellStyle name="SAPBEXresDataEmph 3 5 2 2" xfId="37176"/>
    <cellStyle name="SAPBEXresDataEmph 3 5 3" xfId="17401"/>
    <cellStyle name="SAPBEXresDataEmph 3 5 3 2" xfId="37177"/>
    <cellStyle name="SAPBEXresDataEmph 3 5 4" xfId="37175"/>
    <cellStyle name="SAPBEXresDataEmph 3 6" xfId="17402"/>
    <cellStyle name="SAPBEXresDataEmph 3 6 2" xfId="17403"/>
    <cellStyle name="SAPBEXresDataEmph 3 6 2 2" xfId="37179"/>
    <cellStyle name="SAPBEXresDataEmph 3 6 3" xfId="17404"/>
    <cellStyle name="SAPBEXresDataEmph 3 6 3 2" xfId="37180"/>
    <cellStyle name="SAPBEXresDataEmph 3 6 4" xfId="37178"/>
    <cellStyle name="SAPBEXresDataEmph 3 7" xfId="17405"/>
    <cellStyle name="SAPBEXresDataEmph 3 7 2" xfId="37181"/>
    <cellStyle name="SAPBEXresDataEmph 3 8" xfId="17406"/>
    <cellStyle name="SAPBEXresDataEmph 3 8 2" xfId="37182"/>
    <cellStyle name="SAPBEXresDataEmph 3 9" xfId="27360"/>
    <cellStyle name="SAPBEXresDataEmph 4" xfId="5675"/>
    <cellStyle name="SAPBEXresDataEmph 4 2" xfId="17407"/>
    <cellStyle name="SAPBEXresDataEmph 4 2 2" xfId="17408"/>
    <cellStyle name="SAPBEXresDataEmph 4 2 2 2" xfId="37184"/>
    <cellStyle name="SAPBEXresDataEmph 4 2 3" xfId="17409"/>
    <cellStyle name="SAPBEXresDataEmph 4 2 3 2" xfId="37185"/>
    <cellStyle name="SAPBEXresDataEmph 4 2 4" xfId="37183"/>
    <cellStyle name="SAPBEXresDataEmph 4 3" xfId="17410"/>
    <cellStyle name="SAPBEXresDataEmph 4 3 2" xfId="17411"/>
    <cellStyle name="SAPBEXresDataEmph 4 3 2 2" xfId="37187"/>
    <cellStyle name="SAPBEXresDataEmph 4 3 3" xfId="17412"/>
    <cellStyle name="SAPBEXresDataEmph 4 3 3 2" xfId="37188"/>
    <cellStyle name="SAPBEXresDataEmph 4 3 4" xfId="37186"/>
    <cellStyle name="SAPBEXresDataEmph 4 4" xfId="17413"/>
    <cellStyle name="SAPBEXresDataEmph 4 4 2" xfId="17414"/>
    <cellStyle name="SAPBEXresDataEmph 4 4 2 2" xfId="37190"/>
    <cellStyle name="SAPBEXresDataEmph 4 4 3" xfId="17415"/>
    <cellStyle name="SAPBEXresDataEmph 4 4 3 2" xfId="37191"/>
    <cellStyle name="SAPBEXresDataEmph 4 4 4" xfId="37189"/>
    <cellStyle name="SAPBEXresDataEmph 4 5" xfId="17416"/>
    <cellStyle name="SAPBEXresDataEmph 4 5 2" xfId="17417"/>
    <cellStyle name="SAPBEXresDataEmph 4 5 2 2" xfId="37193"/>
    <cellStyle name="SAPBEXresDataEmph 4 5 3" xfId="17418"/>
    <cellStyle name="SAPBEXresDataEmph 4 5 3 2" xfId="37194"/>
    <cellStyle name="SAPBEXresDataEmph 4 5 4" xfId="37192"/>
    <cellStyle name="SAPBEXresDataEmph 4 6" xfId="17419"/>
    <cellStyle name="SAPBEXresDataEmph 4 6 2" xfId="17420"/>
    <cellStyle name="SAPBEXresDataEmph 4 6 2 2" xfId="37196"/>
    <cellStyle name="SAPBEXresDataEmph 4 6 3" xfId="17421"/>
    <cellStyle name="SAPBEXresDataEmph 4 6 3 2" xfId="37197"/>
    <cellStyle name="SAPBEXresDataEmph 4 6 4" xfId="37195"/>
    <cellStyle name="SAPBEXresDataEmph 4 7" xfId="17422"/>
    <cellStyle name="SAPBEXresDataEmph 4 7 2" xfId="37198"/>
    <cellStyle name="SAPBEXresDataEmph 4 8" xfId="17423"/>
    <cellStyle name="SAPBEXresDataEmph 4 8 2" xfId="37199"/>
    <cellStyle name="SAPBEXresDataEmph 4 9" xfId="19674"/>
    <cellStyle name="SAPBEXresDataEmph 5" xfId="17424"/>
    <cellStyle name="SAPBEXresDataEmph 5 2" xfId="17425"/>
    <cellStyle name="SAPBEXresDataEmph 5 2 2" xfId="37201"/>
    <cellStyle name="SAPBEXresDataEmph 5 3" xfId="17426"/>
    <cellStyle name="SAPBEXresDataEmph 5 3 2" xfId="37202"/>
    <cellStyle name="SAPBEXresDataEmph 5 4" xfId="37200"/>
    <cellStyle name="SAPBEXresDataEmph 6" xfId="17427"/>
    <cellStyle name="SAPBEXresDataEmph 6 2" xfId="17428"/>
    <cellStyle name="SAPBEXresDataEmph 6 2 2" xfId="37204"/>
    <cellStyle name="SAPBEXresDataEmph 6 3" xfId="17429"/>
    <cellStyle name="SAPBEXresDataEmph 6 3 2" xfId="37205"/>
    <cellStyle name="SAPBEXresDataEmph 6 4" xfId="37203"/>
    <cellStyle name="SAPBEXresDataEmph 7" xfId="17430"/>
    <cellStyle name="SAPBEXresDataEmph 7 2" xfId="17431"/>
    <cellStyle name="SAPBEXresDataEmph 7 2 2" xfId="37207"/>
    <cellStyle name="SAPBEXresDataEmph 7 3" xfId="17432"/>
    <cellStyle name="SAPBEXresDataEmph 7 3 2" xfId="37208"/>
    <cellStyle name="SAPBEXresDataEmph 7 4" xfId="37206"/>
    <cellStyle name="SAPBEXresDataEmph 8" xfId="17433"/>
    <cellStyle name="SAPBEXresDataEmph 8 2" xfId="37209"/>
    <cellStyle name="SAPBEXresDataEmph 9" xfId="17434"/>
    <cellStyle name="SAPBEXresDataEmph 9 2" xfId="37210"/>
    <cellStyle name="SAPBEXresItem" xfId="3885"/>
    <cellStyle name="SAPBEXresItem 10" xfId="27403"/>
    <cellStyle name="SAPBEXresItem 2" xfId="4484"/>
    <cellStyle name="SAPBEXresItem 2 2" xfId="17435"/>
    <cellStyle name="SAPBEXresItem 2 2 2" xfId="17436"/>
    <cellStyle name="SAPBEXresItem 2 2 2 2" xfId="37212"/>
    <cellStyle name="SAPBEXresItem 2 2 3" xfId="17437"/>
    <cellStyle name="SAPBEXresItem 2 2 3 2" xfId="37213"/>
    <cellStyle name="SAPBEXresItem 2 2 4" xfId="37211"/>
    <cellStyle name="SAPBEXresItem 2 3" xfId="17438"/>
    <cellStyle name="SAPBEXresItem 2 3 2" xfId="17439"/>
    <cellStyle name="SAPBEXresItem 2 3 2 2" xfId="37215"/>
    <cellStyle name="SAPBEXresItem 2 3 3" xfId="17440"/>
    <cellStyle name="SAPBEXresItem 2 3 3 2" xfId="37216"/>
    <cellStyle name="SAPBEXresItem 2 3 4" xfId="37214"/>
    <cellStyle name="SAPBEXresItem 2 4" xfId="17441"/>
    <cellStyle name="SAPBEXresItem 2 4 2" xfId="17442"/>
    <cellStyle name="SAPBEXresItem 2 4 2 2" xfId="37218"/>
    <cellStyle name="SAPBEXresItem 2 4 3" xfId="17443"/>
    <cellStyle name="SAPBEXresItem 2 4 3 2" xfId="37219"/>
    <cellStyle name="SAPBEXresItem 2 4 4" xfId="37217"/>
    <cellStyle name="SAPBEXresItem 2 5" xfId="17444"/>
    <cellStyle name="SAPBEXresItem 2 5 2" xfId="17445"/>
    <cellStyle name="SAPBEXresItem 2 5 2 2" xfId="37221"/>
    <cellStyle name="SAPBEXresItem 2 5 3" xfId="17446"/>
    <cellStyle name="SAPBEXresItem 2 5 3 2" xfId="37222"/>
    <cellStyle name="SAPBEXresItem 2 5 4" xfId="37220"/>
    <cellStyle name="SAPBEXresItem 2 6" xfId="17447"/>
    <cellStyle name="SAPBEXresItem 2 6 2" xfId="17448"/>
    <cellStyle name="SAPBEXresItem 2 6 2 2" xfId="37224"/>
    <cellStyle name="SAPBEXresItem 2 6 3" xfId="17449"/>
    <cellStyle name="SAPBEXresItem 2 6 3 2" xfId="37225"/>
    <cellStyle name="SAPBEXresItem 2 6 4" xfId="37223"/>
    <cellStyle name="SAPBEXresItem 2 7" xfId="17450"/>
    <cellStyle name="SAPBEXresItem 2 7 2" xfId="37226"/>
    <cellStyle name="SAPBEXresItem 2 8" xfId="17451"/>
    <cellStyle name="SAPBEXresItem 2 8 2" xfId="37227"/>
    <cellStyle name="SAPBEXresItem 2 9" xfId="27063"/>
    <cellStyle name="SAPBEXresItem 3" xfId="4396"/>
    <cellStyle name="SAPBEXresItem 3 2" xfId="17452"/>
    <cellStyle name="SAPBEXresItem 3 2 2" xfId="17453"/>
    <cellStyle name="SAPBEXresItem 3 2 2 2" xfId="37229"/>
    <cellStyle name="SAPBEXresItem 3 2 3" xfId="17454"/>
    <cellStyle name="SAPBEXresItem 3 2 3 2" xfId="37230"/>
    <cellStyle name="SAPBEXresItem 3 2 4" xfId="37228"/>
    <cellStyle name="SAPBEXresItem 3 3" xfId="17455"/>
    <cellStyle name="SAPBEXresItem 3 3 2" xfId="17456"/>
    <cellStyle name="SAPBEXresItem 3 3 2 2" xfId="37232"/>
    <cellStyle name="SAPBEXresItem 3 3 3" xfId="17457"/>
    <cellStyle name="SAPBEXresItem 3 3 3 2" xfId="37233"/>
    <cellStyle name="SAPBEXresItem 3 3 4" xfId="37231"/>
    <cellStyle name="SAPBEXresItem 3 4" xfId="17458"/>
    <cellStyle name="SAPBEXresItem 3 4 2" xfId="17459"/>
    <cellStyle name="SAPBEXresItem 3 4 2 2" xfId="37235"/>
    <cellStyle name="SAPBEXresItem 3 4 3" xfId="17460"/>
    <cellStyle name="SAPBEXresItem 3 4 3 2" xfId="37236"/>
    <cellStyle name="SAPBEXresItem 3 4 4" xfId="37234"/>
    <cellStyle name="SAPBEXresItem 3 5" xfId="17461"/>
    <cellStyle name="SAPBEXresItem 3 5 2" xfId="17462"/>
    <cellStyle name="SAPBEXresItem 3 5 2 2" xfId="37238"/>
    <cellStyle name="SAPBEXresItem 3 5 3" xfId="17463"/>
    <cellStyle name="SAPBEXresItem 3 5 3 2" xfId="37239"/>
    <cellStyle name="SAPBEXresItem 3 5 4" xfId="37237"/>
    <cellStyle name="SAPBEXresItem 3 6" xfId="17464"/>
    <cellStyle name="SAPBEXresItem 3 6 2" xfId="17465"/>
    <cellStyle name="SAPBEXresItem 3 6 2 2" xfId="37241"/>
    <cellStyle name="SAPBEXresItem 3 6 3" xfId="17466"/>
    <cellStyle name="SAPBEXresItem 3 6 3 2" xfId="37242"/>
    <cellStyle name="SAPBEXresItem 3 6 4" xfId="37240"/>
    <cellStyle name="SAPBEXresItem 3 7" xfId="17467"/>
    <cellStyle name="SAPBEXresItem 3 7 2" xfId="37243"/>
    <cellStyle name="SAPBEXresItem 3 8" xfId="17468"/>
    <cellStyle name="SAPBEXresItem 3 8 2" xfId="37244"/>
    <cellStyle name="SAPBEXresItem 3 9" xfId="27091"/>
    <cellStyle name="SAPBEXresItem 4" xfId="5676"/>
    <cellStyle name="SAPBEXresItem 4 2" xfId="17469"/>
    <cellStyle name="SAPBEXresItem 4 2 2" xfId="17470"/>
    <cellStyle name="SAPBEXresItem 4 2 2 2" xfId="37246"/>
    <cellStyle name="SAPBEXresItem 4 2 3" xfId="17471"/>
    <cellStyle name="SAPBEXresItem 4 2 3 2" xfId="37247"/>
    <cellStyle name="SAPBEXresItem 4 2 4" xfId="37245"/>
    <cellStyle name="SAPBEXresItem 4 3" xfId="17472"/>
    <cellStyle name="SAPBEXresItem 4 3 2" xfId="17473"/>
    <cellStyle name="SAPBEXresItem 4 3 2 2" xfId="37249"/>
    <cellStyle name="SAPBEXresItem 4 3 3" xfId="17474"/>
    <cellStyle name="SAPBEXresItem 4 3 3 2" xfId="37250"/>
    <cellStyle name="SAPBEXresItem 4 3 4" xfId="37248"/>
    <cellStyle name="SAPBEXresItem 4 4" xfId="17475"/>
    <cellStyle name="SAPBEXresItem 4 4 2" xfId="17476"/>
    <cellStyle name="SAPBEXresItem 4 4 2 2" xfId="37252"/>
    <cellStyle name="SAPBEXresItem 4 4 3" xfId="17477"/>
    <cellStyle name="SAPBEXresItem 4 4 3 2" xfId="37253"/>
    <cellStyle name="SAPBEXresItem 4 4 4" xfId="37251"/>
    <cellStyle name="SAPBEXresItem 4 5" xfId="17478"/>
    <cellStyle name="SAPBEXresItem 4 5 2" xfId="17479"/>
    <cellStyle name="SAPBEXresItem 4 5 2 2" xfId="37255"/>
    <cellStyle name="SAPBEXresItem 4 5 3" xfId="17480"/>
    <cellStyle name="SAPBEXresItem 4 5 3 2" xfId="37256"/>
    <cellStyle name="SAPBEXresItem 4 5 4" xfId="37254"/>
    <cellStyle name="SAPBEXresItem 4 6" xfId="17481"/>
    <cellStyle name="SAPBEXresItem 4 6 2" xfId="17482"/>
    <cellStyle name="SAPBEXresItem 4 6 2 2" xfId="37258"/>
    <cellStyle name="SAPBEXresItem 4 6 3" xfId="17483"/>
    <cellStyle name="SAPBEXresItem 4 6 3 2" xfId="37259"/>
    <cellStyle name="SAPBEXresItem 4 6 4" xfId="37257"/>
    <cellStyle name="SAPBEXresItem 4 7" xfId="17484"/>
    <cellStyle name="SAPBEXresItem 4 7 2" xfId="37260"/>
    <cellStyle name="SAPBEXresItem 4 8" xfId="17485"/>
    <cellStyle name="SAPBEXresItem 4 8 2" xfId="37261"/>
    <cellStyle name="SAPBEXresItem 4 9" xfId="19673"/>
    <cellStyle name="SAPBEXresItem 5" xfId="17486"/>
    <cellStyle name="SAPBEXresItem 5 2" xfId="17487"/>
    <cellStyle name="SAPBEXresItem 5 2 2" xfId="37263"/>
    <cellStyle name="SAPBEXresItem 5 3" xfId="17488"/>
    <cellStyle name="SAPBEXresItem 5 3 2" xfId="37264"/>
    <cellStyle name="SAPBEXresItem 5 4" xfId="37262"/>
    <cellStyle name="SAPBEXresItem 6" xfId="17489"/>
    <cellStyle name="SAPBEXresItem 6 2" xfId="17490"/>
    <cellStyle name="SAPBEXresItem 6 2 2" xfId="37266"/>
    <cellStyle name="SAPBEXresItem 6 3" xfId="17491"/>
    <cellStyle name="SAPBEXresItem 6 3 2" xfId="37267"/>
    <cellStyle name="SAPBEXresItem 6 4" xfId="37265"/>
    <cellStyle name="SAPBEXresItem 7" xfId="17492"/>
    <cellStyle name="SAPBEXresItem 7 2" xfId="17493"/>
    <cellStyle name="SAPBEXresItem 7 2 2" xfId="37269"/>
    <cellStyle name="SAPBEXresItem 7 3" xfId="17494"/>
    <cellStyle name="SAPBEXresItem 7 3 2" xfId="37270"/>
    <cellStyle name="SAPBEXresItem 7 4" xfId="37268"/>
    <cellStyle name="SAPBEXresItem 8" xfId="17495"/>
    <cellStyle name="SAPBEXresItem 8 2" xfId="37271"/>
    <cellStyle name="SAPBEXresItem 9" xfId="17496"/>
    <cellStyle name="SAPBEXresItem 9 2" xfId="37272"/>
    <cellStyle name="SAPBEXresItemX" xfId="3886"/>
    <cellStyle name="SAPBEXresItemX 10" xfId="27402"/>
    <cellStyle name="SAPBEXresItemX 2" xfId="4175"/>
    <cellStyle name="SAPBEXresItemX 2 2" xfId="17497"/>
    <cellStyle name="SAPBEXresItemX 2 2 2" xfId="17498"/>
    <cellStyle name="SAPBEXresItemX 2 2 2 2" xfId="37274"/>
    <cellStyle name="SAPBEXresItemX 2 2 3" xfId="17499"/>
    <cellStyle name="SAPBEXresItemX 2 2 3 2" xfId="37275"/>
    <cellStyle name="SAPBEXresItemX 2 2 4" xfId="37273"/>
    <cellStyle name="SAPBEXresItemX 2 3" xfId="17500"/>
    <cellStyle name="SAPBEXresItemX 2 3 2" xfId="17501"/>
    <cellStyle name="SAPBEXresItemX 2 3 2 2" xfId="37277"/>
    <cellStyle name="SAPBEXresItemX 2 3 3" xfId="17502"/>
    <cellStyle name="SAPBEXresItemX 2 3 3 2" xfId="37278"/>
    <cellStyle name="SAPBEXresItemX 2 3 4" xfId="37276"/>
    <cellStyle name="SAPBEXresItemX 2 4" xfId="17503"/>
    <cellStyle name="SAPBEXresItemX 2 4 2" xfId="17504"/>
    <cellStyle name="SAPBEXresItemX 2 4 2 2" xfId="37280"/>
    <cellStyle name="SAPBEXresItemX 2 4 3" xfId="17505"/>
    <cellStyle name="SAPBEXresItemX 2 4 3 2" xfId="37281"/>
    <cellStyle name="SAPBEXresItemX 2 4 4" xfId="37279"/>
    <cellStyle name="SAPBEXresItemX 2 5" xfId="17506"/>
    <cellStyle name="SAPBEXresItemX 2 5 2" xfId="17507"/>
    <cellStyle name="SAPBEXresItemX 2 5 2 2" xfId="37283"/>
    <cellStyle name="SAPBEXresItemX 2 5 3" xfId="17508"/>
    <cellStyle name="SAPBEXresItemX 2 5 3 2" xfId="37284"/>
    <cellStyle name="SAPBEXresItemX 2 5 4" xfId="37282"/>
    <cellStyle name="SAPBEXresItemX 2 6" xfId="17509"/>
    <cellStyle name="SAPBEXresItemX 2 6 2" xfId="17510"/>
    <cellStyle name="SAPBEXresItemX 2 6 2 2" xfId="37286"/>
    <cellStyle name="SAPBEXresItemX 2 6 3" xfId="17511"/>
    <cellStyle name="SAPBEXresItemX 2 6 3 2" xfId="37287"/>
    <cellStyle name="SAPBEXresItemX 2 6 4" xfId="37285"/>
    <cellStyle name="SAPBEXresItemX 2 7" xfId="17512"/>
    <cellStyle name="SAPBEXresItemX 2 7 2" xfId="37288"/>
    <cellStyle name="SAPBEXresItemX 2 8" xfId="17513"/>
    <cellStyle name="SAPBEXresItemX 2 8 2" xfId="37289"/>
    <cellStyle name="SAPBEXresItemX 2 9" xfId="27358"/>
    <cellStyle name="SAPBEXresItemX 3" xfId="4439"/>
    <cellStyle name="SAPBEXresItemX 3 2" xfId="17514"/>
    <cellStyle name="SAPBEXresItemX 3 2 2" xfId="17515"/>
    <cellStyle name="SAPBEXresItemX 3 2 2 2" xfId="37291"/>
    <cellStyle name="SAPBEXresItemX 3 2 3" xfId="17516"/>
    <cellStyle name="SAPBEXresItemX 3 2 3 2" xfId="37292"/>
    <cellStyle name="SAPBEXresItemX 3 2 4" xfId="37290"/>
    <cellStyle name="SAPBEXresItemX 3 3" xfId="17517"/>
    <cellStyle name="SAPBEXresItemX 3 3 2" xfId="17518"/>
    <cellStyle name="SAPBEXresItemX 3 3 2 2" xfId="37294"/>
    <cellStyle name="SAPBEXresItemX 3 3 3" xfId="17519"/>
    <cellStyle name="SAPBEXresItemX 3 3 3 2" xfId="37295"/>
    <cellStyle name="SAPBEXresItemX 3 3 4" xfId="37293"/>
    <cellStyle name="SAPBEXresItemX 3 4" xfId="17520"/>
    <cellStyle name="SAPBEXresItemX 3 4 2" xfId="17521"/>
    <cellStyle name="SAPBEXresItemX 3 4 2 2" xfId="37297"/>
    <cellStyle name="SAPBEXresItemX 3 4 3" xfId="17522"/>
    <cellStyle name="SAPBEXresItemX 3 4 3 2" xfId="37298"/>
    <cellStyle name="SAPBEXresItemX 3 4 4" xfId="37296"/>
    <cellStyle name="SAPBEXresItemX 3 5" xfId="17523"/>
    <cellStyle name="SAPBEXresItemX 3 5 2" xfId="17524"/>
    <cellStyle name="SAPBEXresItemX 3 5 2 2" xfId="37300"/>
    <cellStyle name="SAPBEXresItemX 3 5 3" xfId="17525"/>
    <cellStyle name="SAPBEXresItemX 3 5 3 2" xfId="37301"/>
    <cellStyle name="SAPBEXresItemX 3 5 4" xfId="37299"/>
    <cellStyle name="SAPBEXresItemX 3 6" xfId="17526"/>
    <cellStyle name="SAPBEXresItemX 3 6 2" xfId="17527"/>
    <cellStyle name="SAPBEXresItemX 3 6 2 2" xfId="37303"/>
    <cellStyle name="SAPBEXresItemX 3 6 3" xfId="17528"/>
    <cellStyle name="SAPBEXresItemX 3 6 3 2" xfId="37304"/>
    <cellStyle name="SAPBEXresItemX 3 6 4" xfId="37302"/>
    <cellStyle name="SAPBEXresItemX 3 7" xfId="17529"/>
    <cellStyle name="SAPBEXresItemX 3 7 2" xfId="37305"/>
    <cellStyle name="SAPBEXresItemX 3 8" xfId="17530"/>
    <cellStyle name="SAPBEXresItemX 3 8 2" xfId="37306"/>
    <cellStyle name="SAPBEXresItemX 3 9" xfId="27074"/>
    <cellStyle name="SAPBEXresItemX 4" xfId="5677"/>
    <cellStyle name="SAPBEXresItemX 4 2" xfId="17531"/>
    <cellStyle name="SAPBEXresItemX 4 2 2" xfId="17532"/>
    <cellStyle name="SAPBEXresItemX 4 2 2 2" xfId="37308"/>
    <cellStyle name="SAPBEXresItemX 4 2 3" xfId="17533"/>
    <cellStyle name="SAPBEXresItemX 4 2 3 2" xfId="37309"/>
    <cellStyle name="SAPBEXresItemX 4 2 4" xfId="37307"/>
    <cellStyle name="SAPBEXresItemX 4 3" xfId="17534"/>
    <cellStyle name="SAPBEXresItemX 4 3 2" xfId="17535"/>
    <cellStyle name="SAPBEXresItemX 4 3 2 2" xfId="37311"/>
    <cellStyle name="SAPBEXresItemX 4 3 3" xfId="17536"/>
    <cellStyle name="SAPBEXresItemX 4 3 3 2" xfId="37312"/>
    <cellStyle name="SAPBEXresItemX 4 3 4" xfId="37310"/>
    <cellStyle name="SAPBEXresItemX 4 4" xfId="17537"/>
    <cellStyle name="SAPBEXresItemX 4 4 2" xfId="17538"/>
    <cellStyle name="SAPBEXresItemX 4 4 2 2" xfId="37314"/>
    <cellStyle name="SAPBEXresItemX 4 4 3" xfId="17539"/>
    <cellStyle name="SAPBEXresItemX 4 4 3 2" xfId="37315"/>
    <cellStyle name="SAPBEXresItemX 4 4 4" xfId="37313"/>
    <cellStyle name="SAPBEXresItemX 4 5" xfId="17540"/>
    <cellStyle name="SAPBEXresItemX 4 5 2" xfId="17541"/>
    <cellStyle name="SAPBEXresItemX 4 5 2 2" xfId="37317"/>
    <cellStyle name="SAPBEXresItemX 4 5 3" xfId="17542"/>
    <cellStyle name="SAPBEXresItemX 4 5 3 2" xfId="37318"/>
    <cellStyle name="SAPBEXresItemX 4 5 4" xfId="37316"/>
    <cellStyle name="SAPBEXresItemX 4 6" xfId="17543"/>
    <cellStyle name="SAPBEXresItemX 4 6 2" xfId="17544"/>
    <cellStyle name="SAPBEXresItemX 4 6 2 2" xfId="37320"/>
    <cellStyle name="SAPBEXresItemX 4 6 3" xfId="17545"/>
    <cellStyle name="SAPBEXresItemX 4 6 3 2" xfId="37321"/>
    <cellStyle name="SAPBEXresItemX 4 6 4" xfId="37319"/>
    <cellStyle name="SAPBEXresItemX 4 7" xfId="17546"/>
    <cellStyle name="SAPBEXresItemX 4 7 2" xfId="37322"/>
    <cellStyle name="SAPBEXresItemX 4 8" xfId="17547"/>
    <cellStyle name="SAPBEXresItemX 4 8 2" xfId="37323"/>
    <cellStyle name="SAPBEXresItemX 4 9" xfId="19671"/>
    <cellStyle name="SAPBEXresItemX 5" xfId="17548"/>
    <cellStyle name="SAPBEXresItemX 5 2" xfId="17549"/>
    <cellStyle name="SAPBEXresItemX 5 2 2" xfId="37325"/>
    <cellStyle name="SAPBEXresItemX 5 3" xfId="17550"/>
    <cellStyle name="SAPBEXresItemX 5 3 2" xfId="37326"/>
    <cellStyle name="SAPBEXresItemX 5 4" xfId="37324"/>
    <cellStyle name="SAPBEXresItemX 6" xfId="17551"/>
    <cellStyle name="SAPBEXresItemX 6 2" xfId="17552"/>
    <cellStyle name="SAPBEXresItemX 6 2 2" xfId="37328"/>
    <cellStyle name="SAPBEXresItemX 6 3" xfId="17553"/>
    <cellStyle name="SAPBEXresItemX 6 3 2" xfId="37329"/>
    <cellStyle name="SAPBEXresItemX 6 4" xfId="37327"/>
    <cellStyle name="SAPBEXresItemX 7" xfId="17554"/>
    <cellStyle name="SAPBEXresItemX 7 2" xfId="17555"/>
    <cellStyle name="SAPBEXresItemX 7 2 2" xfId="37331"/>
    <cellStyle name="SAPBEXresItemX 7 3" xfId="17556"/>
    <cellStyle name="SAPBEXresItemX 7 3 2" xfId="37332"/>
    <cellStyle name="SAPBEXresItemX 7 4" xfId="37330"/>
    <cellStyle name="SAPBEXresItemX 8" xfId="17557"/>
    <cellStyle name="SAPBEXresItemX 8 2" xfId="37333"/>
    <cellStyle name="SAPBEXresItemX 9" xfId="17558"/>
    <cellStyle name="SAPBEXresItemX 9 2" xfId="37334"/>
    <cellStyle name="SAPBEXstdData" xfId="3887"/>
    <cellStyle name="SAPBEXstdData 10" xfId="27401"/>
    <cellStyle name="SAPBEXstdData 2" xfId="4164"/>
    <cellStyle name="SAPBEXstdData 2 2" xfId="17559"/>
    <cellStyle name="SAPBEXstdData 2 2 2" xfId="17560"/>
    <cellStyle name="SAPBEXstdData 2 2 2 2" xfId="37336"/>
    <cellStyle name="SAPBEXstdData 2 2 3" xfId="17561"/>
    <cellStyle name="SAPBEXstdData 2 2 3 2" xfId="37337"/>
    <cellStyle name="SAPBEXstdData 2 2 4" xfId="37335"/>
    <cellStyle name="SAPBEXstdData 2 3" xfId="17562"/>
    <cellStyle name="SAPBEXstdData 2 3 2" xfId="17563"/>
    <cellStyle name="SAPBEXstdData 2 3 2 2" xfId="37339"/>
    <cellStyle name="SAPBEXstdData 2 3 3" xfId="17564"/>
    <cellStyle name="SAPBEXstdData 2 3 3 2" xfId="37340"/>
    <cellStyle name="SAPBEXstdData 2 3 4" xfId="37338"/>
    <cellStyle name="SAPBEXstdData 2 4" xfId="17565"/>
    <cellStyle name="SAPBEXstdData 2 4 2" xfId="17566"/>
    <cellStyle name="SAPBEXstdData 2 4 2 2" xfId="37342"/>
    <cellStyle name="SAPBEXstdData 2 4 3" xfId="17567"/>
    <cellStyle name="SAPBEXstdData 2 4 3 2" xfId="37343"/>
    <cellStyle name="SAPBEXstdData 2 4 4" xfId="37341"/>
    <cellStyle name="SAPBEXstdData 2 5" xfId="17568"/>
    <cellStyle name="SAPBEXstdData 2 5 2" xfId="17569"/>
    <cellStyle name="SAPBEXstdData 2 5 2 2" xfId="37345"/>
    <cellStyle name="SAPBEXstdData 2 5 3" xfId="17570"/>
    <cellStyle name="SAPBEXstdData 2 5 3 2" xfId="37346"/>
    <cellStyle name="SAPBEXstdData 2 5 4" xfId="37344"/>
    <cellStyle name="SAPBEXstdData 2 6" xfId="17571"/>
    <cellStyle name="SAPBEXstdData 2 6 2" xfId="17572"/>
    <cellStyle name="SAPBEXstdData 2 6 2 2" xfId="37348"/>
    <cellStyle name="SAPBEXstdData 2 6 3" xfId="17573"/>
    <cellStyle name="SAPBEXstdData 2 6 3 2" xfId="37349"/>
    <cellStyle name="SAPBEXstdData 2 6 4" xfId="37347"/>
    <cellStyle name="SAPBEXstdData 2 7" xfId="17574"/>
    <cellStyle name="SAPBEXstdData 2 7 2" xfId="37350"/>
    <cellStyle name="SAPBEXstdData 2 8" xfId="17575"/>
    <cellStyle name="SAPBEXstdData 2 8 2" xfId="37351"/>
    <cellStyle name="SAPBEXstdData 2 9" xfId="27361"/>
    <cellStyle name="SAPBEXstdData 3" xfId="4162"/>
    <cellStyle name="SAPBEXstdData 3 2" xfId="17576"/>
    <cellStyle name="SAPBEXstdData 3 2 2" xfId="17577"/>
    <cellStyle name="SAPBEXstdData 3 2 2 2" xfId="37353"/>
    <cellStyle name="SAPBEXstdData 3 2 3" xfId="17578"/>
    <cellStyle name="SAPBEXstdData 3 2 3 2" xfId="37354"/>
    <cellStyle name="SAPBEXstdData 3 2 4" xfId="37352"/>
    <cellStyle name="SAPBEXstdData 3 3" xfId="17579"/>
    <cellStyle name="SAPBEXstdData 3 3 2" xfId="17580"/>
    <cellStyle name="SAPBEXstdData 3 3 2 2" xfId="37356"/>
    <cellStyle name="SAPBEXstdData 3 3 3" xfId="17581"/>
    <cellStyle name="SAPBEXstdData 3 3 3 2" xfId="37357"/>
    <cellStyle name="SAPBEXstdData 3 3 4" xfId="37355"/>
    <cellStyle name="SAPBEXstdData 3 4" xfId="17582"/>
    <cellStyle name="SAPBEXstdData 3 4 2" xfId="17583"/>
    <cellStyle name="SAPBEXstdData 3 4 2 2" xfId="37359"/>
    <cellStyle name="SAPBEXstdData 3 4 3" xfId="17584"/>
    <cellStyle name="SAPBEXstdData 3 4 3 2" xfId="37360"/>
    <cellStyle name="SAPBEXstdData 3 4 4" xfId="37358"/>
    <cellStyle name="SAPBEXstdData 3 5" xfId="17585"/>
    <cellStyle name="SAPBEXstdData 3 5 2" xfId="17586"/>
    <cellStyle name="SAPBEXstdData 3 5 2 2" xfId="37362"/>
    <cellStyle name="SAPBEXstdData 3 5 3" xfId="17587"/>
    <cellStyle name="SAPBEXstdData 3 5 3 2" xfId="37363"/>
    <cellStyle name="SAPBEXstdData 3 5 4" xfId="37361"/>
    <cellStyle name="SAPBEXstdData 3 6" xfId="17588"/>
    <cellStyle name="SAPBEXstdData 3 6 2" xfId="17589"/>
    <cellStyle name="SAPBEXstdData 3 6 2 2" xfId="37365"/>
    <cellStyle name="SAPBEXstdData 3 6 3" xfId="17590"/>
    <cellStyle name="SAPBEXstdData 3 6 3 2" xfId="37366"/>
    <cellStyle name="SAPBEXstdData 3 6 4" xfId="37364"/>
    <cellStyle name="SAPBEXstdData 3 7" xfId="17591"/>
    <cellStyle name="SAPBEXstdData 3 7 2" xfId="37367"/>
    <cellStyle name="SAPBEXstdData 3 8" xfId="17592"/>
    <cellStyle name="SAPBEXstdData 3 8 2" xfId="37368"/>
    <cellStyle name="SAPBEXstdData 3 9" xfId="27362"/>
    <cellStyle name="SAPBEXstdData 4" xfId="5678"/>
    <cellStyle name="SAPBEXstdData 4 2" xfId="17593"/>
    <cellStyle name="SAPBEXstdData 4 2 2" xfId="17594"/>
    <cellStyle name="SAPBEXstdData 4 2 2 2" xfId="37370"/>
    <cellStyle name="SAPBEXstdData 4 2 3" xfId="17595"/>
    <cellStyle name="SAPBEXstdData 4 2 3 2" xfId="37371"/>
    <cellStyle name="SAPBEXstdData 4 2 4" xfId="37369"/>
    <cellStyle name="SAPBEXstdData 4 3" xfId="17596"/>
    <cellStyle name="SAPBEXstdData 4 3 2" xfId="17597"/>
    <cellStyle name="SAPBEXstdData 4 3 2 2" xfId="37373"/>
    <cellStyle name="SAPBEXstdData 4 3 3" xfId="17598"/>
    <cellStyle name="SAPBEXstdData 4 3 3 2" xfId="37374"/>
    <cellStyle name="SAPBEXstdData 4 3 4" xfId="37372"/>
    <cellStyle name="SAPBEXstdData 4 4" xfId="17599"/>
    <cellStyle name="SAPBEXstdData 4 4 2" xfId="17600"/>
    <cellStyle name="SAPBEXstdData 4 4 2 2" xfId="37376"/>
    <cellStyle name="SAPBEXstdData 4 4 3" xfId="17601"/>
    <cellStyle name="SAPBEXstdData 4 4 3 2" xfId="37377"/>
    <cellStyle name="SAPBEXstdData 4 4 4" xfId="37375"/>
    <cellStyle name="SAPBEXstdData 4 5" xfId="17602"/>
    <cellStyle name="SAPBEXstdData 4 5 2" xfId="17603"/>
    <cellStyle name="SAPBEXstdData 4 5 2 2" xfId="37379"/>
    <cellStyle name="SAPBEXstdData 4 5 3" xfId="17604"/>
    <cellStyle name="SAPBEXstdData 4 5 3 2" xfId="37380"/>
    <cellStyle name="SAPBEXstdData 4 5 4" xfId="37378"/>
    <cellStyle name="SAPBEXstdData 4 6" xfId="17605"/>
    <cellStyle name="SAPBEXstdData 4 6 2" xfId="17606"/>
    <cellStyle name="SAPBEXstdData 4 6 2 2" xfId="37382"/>
    <cellStyle name="SAPBEXstdData 4 6 3" xfId="17607"/>
    <cellStyle name="SAPBEXstdData 4 6 3 2" xfId="37383"/>
    <cellStyle name="SAPBEXstdData 4 6 4" xfId="37381"/>
    <cellStyle name="SAPBEXstdData 4 7" xfId="17608"/>
    <cellStyle name="SAPBEXstdData 4 7 2" xfId="37384"/>
    <cellStyle name="SAPBEXstdData 4 8" xfId="17609"/>
    <cellStyle name="SAPBEXstdData 4 8 2" xfId="37385"/>
    <cellStyle name="SAPBEXstdData 4 9" xfId="19670"/>
    <cellStyle name="SAPBEXstdData 5" xfId="17610"/>
    <cellStyle name="SAPBEXstdData 5 2" xfId="17611"/>
    <cellStyle name="SAPBEXstdData 5 2 2" xfId="37387"/>
    <cellStyle name="SAPBEXstdData 5 3" xfId="17612"/>
    <cellStyle name="SAPBEXstdData 5 3 2" xfId="37388"/>
    <cellStyle name="SAPBEXstdData 5 4" xfId="37386"/>
    <cellStyle name="SAPBEXstdData 6" xfId="17613"/>
    <cellStyle name="SAPBEXstdData 6 2" xfId="17614"/>
    <cellStyle name="SAPBEXstdData 6 2 2" xfId="37390"/>
    <cellStyle name="SAPBEXstdData 6 3" xfId="17615"/>
    <cellStyle name="SAPBEXstdData 6 3 2" xfId="37391"/>
    <cellStyle name="SAPBEXstdData 6 4" xfId="37389"/>
    <cellStyle name="SAPBEXstdData 7" xfId="17616"/>
    <cellStyle name="SAPBEXstdData 7 2" xfId="17617"/>
    <cellStyle name="SAPBEXstdData 7 2 2" xfId="37393"/>
    <cellStyle name="SAPBEXstdData 7 3" xfId="17618"/>
    <cellStyle name="SAPBEXstdData 7 3 2" xfId="37394"/>
    <cellStyle name="SAPBEXstdData 7 4" xfId="37392"/>
    <cellStyle name="SAPBEXstdData 8" xfId="17619"/>
    <cellStyle name="SAPBEXstdData 8 2" xfId="37395"/>
    <cellStyle name="SAPBEXstdData 9" xfId="17620"/>
    <cellStyle name="SAPBEXstdData 9 2" xfId="37396"/>
    <cellStyle name="SAPBEXstdDataEmph" xfId="3888"/>
    <cellStyle name="SAPBEXstdDataEmph 10" xfId="27400"/>
    <cellStyle name="SAPBEXstdDataEmph 2" xfId="4413"/>
    <cellStyle name="SAPBEXstdDataEmph 2 2" xfId="17621"/>
    <cellStyle name="SAPBEXstdDataEmph 2 2 2" xfId="17622"/>
    <cellStyle name="SAPBEXstdDataEmph 2 2 2 2" xfId="37398"/>
    <cellStyle name="SAPBEXstdDataEmph 2 2 3" xfId="17623"/>
    <cellStyle name="SAPBEXstdDataEmph 2 2 3 2" xfId="37399"/>
    <cellStyle name="SAPBEXstdDataEmph 2 2 4" xfId="37397"/>
    <cellStyle name="SAPBEXstdDataEmph 2 3" xfId="17624"/>
    <cellStyle name="SAPBEXstdDataEmph 2 3 2" xfId="17625"/>
    <cellStyle name="SAPBEXstdDataEmph 2 3 2 2" xfId="37401"/>
    <cellStyle name="SAPBEXstdDataEmph 2 3 3" xfId="17626"/>
    <cellStyle name="SAPBEXstdDataEmph 2 3 3 2" xfId="37402"/>
    <cellStyle name="SAPBEXstdDataEmph 2 3 4" xfId="37400"/>
    <cellStyle name="SAPBEXstdDataEmph 2 4" xfId="17627"/>
    <cellStyle name="SAPBEXstdDataEmph 2 4 2" xfId="17628"/>
    <cellStyle name="SAPBEXstdDataEmph 2 4 2 2" xfId="37404"/>
    <cellStyle name="SAPBEXstdDataEmph 2 4 3" xfId="17629"/>
    <cellStyle name="SAPBEXstdDataEmph 2 4 3 2" xfId="37405"/>
    <cellStyle name="SAPBEXstdDataEmph 2 4 4" xfId="37403"/>
    <cellStyle name="SAPBEXstdDataEmph 2 5" xfId="17630"/>
    <cellStyle name="SAPBEXstdDataEmph 2 5 2" xfId="17631"/>
    <cellStyle name="SAPBEXstdDataEmph 2 5 2 2" xfId="37407"/>
    <cellStyle name="SAPBEXstdDataEmph 2 5 3" xfId="17632"/>
    <cellStyle name="SAPBEXstdDataEmph 2 5 3 2" xfId="37408"/>
    <cellStyle name="SAPBEXstdDataEmph 2 5 4" xfId="37406"/>
    <cellStyle name="SAPBEXstdDataEmph 2 6" xfId="17633"/>
    <cellStyle name="SAPBEXstdDataEmph 2 6 2" xfId="17634"/>
    <cellStyle name="SAPBEXstdDataEmph 2 6 2 2" xfId="37410"/>
    <cellStyle name="SAPBEXstdDataEmph 2 6 3" xfId="17635"/>
    <cellStyle name="SAPBEXstdDataEmph 2 6 3 2" xfId="37411"/>
    <cellStyle name="SAPBEXstdDataEmph 2 6 4" xfId="37409"/>
    <cellStyle name="SAPBEXstdDataEmph 2 7" xfId="17636"/>
    <cellStyle name="SAPBEXstdDataEmph 2 7 2" xfId="37412"/>
    <cellStyle name="SAPBEXstdDataEmph 2 8" xfId="17637"/>
    <cellStyle name="SAPBEXstdDataEmph 2 8 2" xfId="37413"/>
    <cellStyle name="SAPBEXstdDataEmph 2 9" xfId="27083"/>
    <cellStyle name="SAPBEXstdDataEmph 3" xfId="4061"/>
    <cellStyle name="SAPBEXstdDataEmph 3 2" xfId="17638"/>
    <cellStyle name="SAPBEXstdDataEmph 3 2 2" xfId="17639"/>
    <cellStyle name="SAPBEXstdDataEmph 3 2 2 2" xfId="37415"/>
    <cellStyle name="SAPBEXstdDataEmph 3 2 3" xfId="17640"/>
    <cellStyle name="SAPBEXstdDataEmph 3 2 3 2" xfId="37416"/>
    <cellStyle name="SAPBEXstdDataEmph 3 2 4" xfId="37414"/>
    <cellStyle name="SAPBEXstdDataEmph 3 3" xfId="17641"/>
    <cellStyle name="SAPBEXstdDataEmph 3 3 2" xfId="17642"/>
    <cellStyle name="SAPBEXstdDataEmph 3 3 2 2" xfId="37418"/>
    <cellStyle name="SAPBEXstdDataEmph 3 3 3" xfId="17643"/>
    <cellStyle name="SAPBEXstdDataEmph 3 3 3 2" xfId="37419"/>
    <cellStyle name="SAPBEXstdDataEmph 3 3 4" xfId="37417"/>
    <cellStyle name="SAPBEXstdDataEmph 3 4" xfId="17644"/>
    <cellStyle name="SAPBEXstdDataEmph 3 4 2" xfId="17645"/>
    <cellStyle name="SAPBEXstdDataEmph 3 4 2 2" xfId="37421"/>
    <cellStyle name="SAPBEXstdDataEmph 3 4 3" xfId="17646"/>
    <cellStyle name="SAPBEXstdDataEmph 3 4 3 2" xfId="37422"/>
    <cellStyle name="SAPBEXstdDataEmph 3 4 4" xfId="37420"/>
    <cellStyle name="SAPBEXstdDataEmph 3 5" xfId="17647"/>
    <cellStyle name="SAPBEXstdDataEmph 3 5 2" xfId="17648"/>
    <cellStyle name="SAPBEXstdDataEmph 3 5 2 2" xfId="37424"/>
    <cellStyle name="SAPBEXstdDataEmph 3 5 3" xfId="17649"/>
    <cellStyle name="SAPBEXstdDataEmph 3 5 3 2" xfId="37425"/>
    <cellStyle name="SAPBEXstdDataEmph 3 5 4" xfId="37423"/>
    <cellStyle name="SAPBEXstdDataEmph 3 6" xfId="17650"/>
    <cellStyle name="SAPBEXstdDataEmph 3 6 2" xfId="17651"/>
    <cellStyle name="SAPBEXstdDataEmph 3 6 2 2" xfId="37427"/>
    <cellStyle name="SAPBEXstdDataEmph 3 6 3" xfId="17652"/>
    <cellStyle name="SAPBEXstdDataEmph 3 6 3 2" xfId="37428"/>
    <cellStyle name="SAPBEXstdDataEmph 3 6 4" xfId="37426"/>
    <cellStyle name="SAPBEXstdDataEmph 3 7" xfId="17653"/>
    <cellStyle name="SAPBEXstdDataEmph 3 7 2" xfId="37429"/>
    <cellStyle name="SAPBEXstdDataEmph 3 8" xfId="17654"/>
    <cellStyle name="SAPBEXstdDataEmph 3 8 2" xfId="37430"/>
    <cellStyle name="SAPBEXstdDataEmph 3 9" xfId="19870"/>
    <cellStyle name="SAPBEXstdDataEmph 4" xfId="5679"/>
    <cellStyle name="SAPBEXstdDataEmph 4 2" xfId="17655"/>
    <cellStyle name="SAPBEXstdDataEmph 4 2 2" xfId="17656"/>
    <cellStyle name="SAPBEXstdDataEmph 4 2 2 2" xfId="37432"/>
    <cellStyle name="SAPBEXstdDataEmph 4 2 3" xfId="17657"/>
    <cellStyle name="SAPBEXstdDataEmph 4 2 3 2" xfId="37433"/>
    <cellStyle name="SAPBEXstdDataEmph 4 2 4" xfId="37431"/>
    <cellStyle name="SAPBEXstdDataEmph 4 3" xfId="17658"/>
    <cellStyle name="SAPBEXstdDataEmph 4 3 2" xfId="17659"/>
    <cellStyle name="SAPBEXstdDataEmph 4 3 2 2" xfId="37435"/>
    <cellStyle name="SAPBEXstdDataEmph 4 3 3" xfId="17660"/>
    <cellStyle name="SAPBEXstdDataEmph 4 3 3 2" xfId="37436"/>
    <cellStyle name="SAPBEXstdDataEmph 4 3 4" xfId="37434"/>
    <cellStyle name="SAPBEXstdDataEmph 4 4" xfId="17661"/>
    <cellStyle name="SAPBEXstdDataEmph 4 4 2" xfId="17662"/>
    <cellStyle name="SAPBEXstdDataEmph 4 4 2 2" xfId="37438"/>
    <cellStyle name="SAPBEXstdDataEmph 4 4 3" xfId="17663"/>
    <cellStyle name="SAPBEXstdDataEmph 4 4 3 2" xfId="37439"/>
    <cellStyle name="SAPBEXstdDataEmph 4 4 4" xfId="37437"/>
    <cellStyle name="SAPBEXstdDataEmph 4 5" xfId="17664"/>
    <cellStyle name="SAPBEXstdDataEmph 4 5 2" xfId="17665"/>
    <cellStyle name="SAPBEXstdDataEmph 4 5 2 2" xfId="37441"/>
    <cellStyle name="SAPBEXstdDataEmph 4 5 3" xfId="17666"/>
    <cellStyle name="SAPBEXstdDataEmph 4 5 3 2" xfId="37442"/>
    <cellStyle name="SAPBEXstdDataEmph 4 5 4" xfId="37440"/>
    <cellStyle name="SAPBEXstdDataEmph 4 6" xfId="17667"/>
    <cellStyle name="SAPBEXstdDataEmph 4 6 2" xfId="17668"/>
    <cellStyle name="SAPBEXstdDataEmph 4 6 2 2" xfId="37444"/>
    <cellStyle name="SAPBEXstdDataEmph 4 6 3" xfId="17669"/>
    <cellStyle name="SAPBEXstdDataEmph 4 6 3 2" xfId="37445"/>
    <cellStyle name="SAPBEXstdDataEmph 4 6 4" xfId="37443"/>
    <cellStyle name="SAPBEXstdDataEmph 4 7" xfId="17670"/>
    <cellStyle name="SAPBEXstdDataEmph 4 7 2" xfId="37446"/>
    <cellStyle name="SAPBEXstdDataEmph 4 8" xfId="17671"/>
    <cellStyle name="SAPBEXstdDataEmph 4 8 2" xfId="37447"/>
    <cellStyle name="SAPBEXstdDataEmph 4 9" xfId="19668"/>
    <cellStyle name="SAPBEXstdDataEmph 5" xfId="17672"/>
    <cellStyle name="SAPBEXstdDataEmph 5 2" xfId="17673"/>
    <cellStyle name="SAPBEXstdDataEmph 5 2 2" xfId="37449"/>
    <cellStyle name="SAPBEXstdDataEmph 5 3" xfId="17674"/>
    <cellStyle name="SAPBEXstdDataEmph 5 3 2" xfId="37450"/>
    <cellStyle name="SAPBEXstdDataEmph 5 4" xfId="37448"/>
    <cellStyle name="SAPBEXstdDataEmph 6" xfId="17675"/>
    <cellStyle name="SAPBEXstdDataEmph 6 2" xfId="17676"/>
    <cellStyle name="SAPBEXstdDataEmph 6 2 2" xfId="37452"/>
    <cellStyle name="SAPBEXstdDataEmph 6 3" xfId="17677"/>
    <cellStyle name="SAPBEXstdDataEmph 6 3 2" xfId="37453"/>
    <cellStyle name="SAPBEXstdDataEmph 6 4" xfId="37451"/>
    <cellStyle name="SAPBEXstdDataEmph 7" xfId="17678"/>
    <cellStyle name="SAPBEXstdDataEmph 7 2" xfId="17679"/>
    <cellStyle name="SAPBEXstdDataEmph 7 2 2" xfId="37455"/>
    <cellStyle name="SAPBEXstdDataEmph 7 3" xfId="17680"/>
    <cellStyle name="SAPBEXstdDataEmph 7 3 2" xfId="37456"/>
    <cellStyle name="SAPBEXstdDataEmph 7 4" xfId="37454"/>
    <cellStyle name="SAPBEXstdDataEmph 8" xfId="17681"/>
    <cellStyle name="SAPBEXstdDataEmph 8 2" xfId="37457"/>
    <cellStyle name="SAPBEXstdDataEmph 9" xfId="17682"/>
    <cellStyle name="SAPBEXstdDataEmph 9 2" xfId="37458"/>
    <cellStyle name="SAPBEXstdItem" xfId="3889"/>
    <cellStyle name="SAPBEXstdItem 10" xfId="27399"/>
    <cellStyle name="SAPBEXstdItem 2" xfId="4065"/>
    <cellStyle name="SAPBEXstdItem 2 2" xfId="17683"/>
    <cellStyle name="SAPBEXstdItem 2 2 2" xfId="17684"/>
    <cellStyle name="SAPBEXstdItem 2 2 2 2" xfId="37460"/>
    <cellStyle name="SAPBEXstdItem 2 2 3" xfId="17685"/>
    <cellStyle name="SAPBEXstdItem 2 2 3 2" xfId="37461"/>
    <cellStyle name="SAPBEXstdItem 2 2 4" xfId="37459"/>
    <cellStyle name="SAPBEXstdItem 2 3" xfId="17686"/>
    <cellStyle name="SAPBEXstdItem 2 3 2" xfId="17687"/>
    <cellStyle name="SAPBEXstdItem 2 3 2 2" xfId="37463"/>
    <cellStyle name="SAPBEXstdItem 2 3 3" xfId="17688"/>
    <cellStyle name="SAPBEXstdItem 2 3 3 2" xfId="37464"/>
    <cellStyle name="SAPBEXstdItem 2 3 4" xfId="37462"/>
    <cellStyle name="SAPBEXstdItem 2 4" xfId="17689"/>
    <cellStyle name="SAPBEXstdItem 2 4 2" xfId="17690"/>
    <cellStyle name="SAPBEXstdItem 2 4 2 2" xfId="37466"/>
    <cellStyle name="SAPBEXstdItem 2 4 3" xfId="17691"/>
    <cellStyle name="SAPBEXstdItem 2 4 3 2" xfId="37467"/>
    <cellStyle name="SAPBEXstdItem 2 4 4" xfId="37465"/>
    <cellStyle name="SAPBEXstdItem 2 5" xfId="17692"/>
    <cellStyle name="SAPBEXstdItem 2 5 2" xfId="17693"/>
    <cellStyle name="SAPBEXstdItem 2 5 2 2" xfId="37469"/>
    <cellStyle name="SAPBEXstdItem 2 5 3" xfId="17694"/>
    <cellStyle name="SAPBEXstdItem 2 5 3 2" xfId="37470"/>
    <cellStyle name="SAPBEXstdItem 2 5 4" xfId="37468"/>
    <cellStyle name="SAPBEXstdItem 2 6" xfId="17695"/>
    <cellStyle name="SAPBEXstdItem 2 6 2" xfId="17696"/>
    <cellStyle name="SAPBEXstdItem 2 6 2 2" xfId="37472"/>
    <cellStyle name="SAPBEXstdItem 2 6 3" xfId="17697"/>
    <cellStyle name="SAPBEXstdItem 2 6 3 2" xfId="37473"/>
    <cellStyle name="SAPBEXstdItem 2 6 4" xfId="37471"/>
    <cellStyle name="SAPBEXstdItem 2 7" xfId="17698"/>
    <cellStyle name="SAPBEXstdItem 2 7 2" xfId="37474"/>
    <cellStyle name="SAPBEXstdItem 2 8" xfId="17699"/>
    <cellStyle name="SAPBEXstdItem 2 8 2" xfId="37475"/>
    <cellStyle name="SAPBEXstdItem 2 9" xfId="19868"/>
    <cellStyle name="SAPBEXstdItem 3" xfId="4214"/>
    <cellStyle name="SAPBEXstdItem 3 2" xfId="17700"/>
    <cellStyle name="SAPBEXstdItem 3 2 2" xfId="17701"/>
    <cellStyle name="SAPBEXstdItem 3 2 2 2" xfId="37477"/>
    <cellStyle name="SAPBEXstdItem 3 2 3" xfId="17702"/>
    <cellStyle name="SAPBEXstdItem 3 2 3 2" xfId="37478"/>
    <cellStyle name="SAPBEXstdItem 3 2 4" xfId="37476"/>
    <cellStyle name="SAPBEXstdItem 3 3" xfId="17703"/>
    <cellStyle name="SAPBEXstdItem 3 3 2" xfId="17704"/>
    <cellStyle name="SAPBEXstdItem 3 3 2 2" xfId="37480"/>
    <cellStyle name="SAPBEXstdItem 3 3 3" xfId="17705"/>
    <cellStyle name="SAPBEXstdItem 3 3 3 2" xfId="37481"/>
    <cellStyle name="SAPBEXstdItem 3 3 4" xfId="37479"/>
    <cellStyle name="SAPBEXstdItem 3 4" xfId="17706"/>
    <cellStyle name="SAPBEXstdItem 3 4 2" xfId="17707"/>
    <cellStyle name="SAPBEXstdItem 3 4 2 2" xfId="37483"/>
    <cellStyle name="SAPBEXstdItem 3 4 3" xfId="17708"/>
    <cellStyle name="SAPBEXstdItem 3 4 3 2" xfId="37484"/>
    <cellStyle name="SAPBEXstdItem 3 4 4" xfId="37482"/>
    <cellStyle name="SAPBEXstdItem 3 5" xfId="17709"/>
    <cellStyle name="SAPBEXstdItem 3 5 2" xfId="17710"/>
    <cellStyle name="SAPBEXstdItem 3 5 2 2" xfId="37486"/>
    <cellStyle name="SAPBEXstdItem 3 5 3" xfId="17711"/>
    <cellStyle name="SAPBEXstdItem 3 5 3 2" xfId="37487"/>
    <cellStyle name="SAPBEXstdItem 3 5 4" xfId="37485"/>
    <cellStyle name="SAPBEXstdItem 3 6" xfId="17712"/>
    <cellStyle name="SAPBEXstdItem 3 6 2" xfId="17713"/>
    <cellStyle name="SAPBEXstdItem 3 6 2 2" xfId="37489"/>
    <cellStyle name="SAPBEXstdItem 3 6 3" xfId="17714"/>
    <cellStyle name="SAPBEXstdItem 3 6 3 2" xfId="37490"/>
    <cellStyle name="SAPBEXstdItem 3 6 4" xfId="37488"/>
    <cellStyle name="SAPBEXstdItem 3 7" xfId="17715"/>
    <cellStyle name="SAPBEXstdItem 3 7 2" xfId="37491"/>
    <cellStyle name="SAPBEXstdItem 3 8" xfId="17716"/>
    <cellStyle name="SAPBEXstdItem 3 8 2" xfId="37492"/>
    <cellStyle name="SAPBEXstdItem 3 9" xfId="27349"/>
    <cellStyle name="SAPBEXstdItem 4" xfId="5680"/>
    <cellStyle name="SAPBEXstdItem 4 2" xfId="17717"/>
    <cellStyle name="SAPBEXstdItem 4 2 2" xfId="17718"/>
    <cellStyle name="SAPBEXstdItem 4 2 2 2" xfId="37494"/>
    <cellStyle name="SAPBEXstdItem 4 2 3" xfId="17719"/>
    <cellStyle name="SAPBEXstdItem 4 2 3 2" xfId="37495"/>
    <cellStyle name="SAPBEXstdItem 4 2 4" xfId="37493"/>
    <cellStyle name="SAPBEXstdItem 4 3" xfId="17720"/>
    <cellStyle name="SAPBEXstdItem 4 3 2" xfId="17721"/>
    <cellStyle name="SAPBEXstdItem 4 3 2 2" xfId="37497"/>
    <cellStyle name="SAPBEXstdItem 4 3 3" xfId="17722"/>
    <cellStyle name="SAPBEXstdItem 4 3 3 2" xfId="37498"/>
    <cellStyle name="SAPBEXstdItem 4 3 4" xfId="37496"/>
    <cellStyle name="SAPBEXstdItem 4 4" xfId="17723"/>
    <cellStyle name="SAPBEXstdItem 4 4 2" xfId="17724"/>
    <cellStyle name="SAPBEXstdItem 4 4 2 2" xfId="37500"/>
    <cellStyle name="SAPBEXstdItem 4 4 3" xfId="17725"/>
    <cellStyle name="SAPBEXstdItem 4 4 3 2" xfId="37501"/>
    <cellStyle name="SAPBEXstdItem 4 4 4" xfId="37499"/>
    <cellStyle name="SAPBEXstdItem 4 5" xfId="17726"/>
    <cellStyle name="SAPBEXstdItem 4 5 2" xfId="17727"/>
    <cellStyle name="SAPBEXstdItem 4 5 2 2" xfId="37503"/>
    <cellStyle name="SAPBEXstdItem 4 5 3" xfId="17728"/>
    <cellStyle name="SAPBEXstdItem 4 5 3 2" xfId="37504"/>
    <cellStyle name="SAPBEXstdItem 4 5 4" xfId="37502"/>
    <cellStyle name="SAPBEXstdItem 4 6" xfId="17729"/>
    <cellStyle name="SAPBEXstdItem 4 6 2" xfId="17730"/>
    <cellStyle name="SAPBEXstdItem 4 6 2 2" xfId="37506"/>
    <cellStyle name="SAPBEXstdItem 4 6 3" xfId="17731"/>
    <cellStyle name="SAPBEXstdItem 4 6 3 2" xfId="37507"/>
    <cellStyle name="SAPBEXstdItem 4 6 4" xfId="37505"/>
    <cellStyle name="SAPBEXstdItem 4 7" xfId="17732"/>
    <cellStyle name="SAPBEXstdItem 4 7 2" xfId="37508"/>
    <cellStyle name="SAPBEXstdItem 4 8" xfId="17733"/>
    <cellStyle name="SAPBEXstdItem 4 8 2" xfId="37509"/>
    <cellStyle name="SAPBEXstdItem 4 9" xfId="19667"/>
    <cellStyle name="SAPBEXstdItem 5" xfId="17734"/>
    <cellStyle name="SAPBEXstdItem 5 2" xfId="17735"/>
    <cellStyle name="SAPBEXstdItem 5 2 2" xfId="37511"/>
    <cellStyle name="SAPBEXstdItem 5 3" xfId="17736"/>
    <cellStyle name="SAPBEXstdItem 5 3 2" xfId="37512"/>
    <cellStyle name="SAPBEXstdItem 5 4" xfId="37510"/>
    <cellStyle name="SAPBEXstdItem 6" xfId="17737"/>
    <cellStyle name="SAPBEXstdItem 6 2" xfId="17738"/>
    <cellStyle name="SAPBEXstdItem 6 2 2" xfId="37514"/>
    <cellStyle name="SAPBEXstdItem 6 3" xfId="17739"/>
    <cellStyle name="SAPBEXstdItem 6 3 2" xfId="37515"/>
    <cellStyle name="SAPBEXstdItem 6 4" xfId="37513"/>
    <cellStyle name="SAPBEXstdItem 7" xfId="17740"/>
    <cellStyle name="SAPBEXstdItem 7 2" xfId="17741"/>
    <cellStyle name="SAPBEXstdItem 7 2 2" xfId="37517"/>
    <cellStyle name="SAPBEXstdItem 7 3" xfId="17742"/>
    <cellStyle name="SAPBEXstdItem 7 3 2" xfId="37518"/>
    <cellStyle name="SAPBEXstdItem 7 4" xfId="37516"/>
    <cellStyle name="SAPBEXstdItem 8" xfId="17743"/>
    <cellStyle name="SAPBEXstdItem 8 2" xfId="37519"/>
    <cellStyle name="SAPBEXstdItem 9" xfId="17744"/>
    <cellStyle name="SAPBEXstdItem 9 2" xfId="37520"/>
    <cellStyle name="SAPBEXstdItemX" xfId="3890"/>
    <cellStyle name="SAPBEXstdItemX 2" xfId="5681"/>
    <cellStyle name="SAPBEXstdItemX 2 2" xfId="17745"/>
    <cellStyle name="SAPBEXstdItemX 2 2 2" xfId="17746"/>
    <cellStyle name="SAPBEXstdItemX 2 2 2 2" xfId="30704"/>
    <cellStyle name="SAPBEXstdItemX 2 2 2 3" xfId="37522"/>
    <cellStyle name="SAPBEXstdItemX 2 2 3" xfId="30703"/>
    <cellStyle name="SAPBEXstdItemX 2 2 4" xfId="37521"/>
    <cellStyle name="SAPBEXstdItemX 2 3" xfId="17747"/>
    <cellStyle name="SAPBEXstdItemX 2 3 2" xfId="30705"/>
    <cellStyle name="SAPBEXstdItemX 2 3 3" xfId="37523"/>
    <cellStyle name="SAPBEXstdItemX 2 4" xfId="21488"/>
    <cellStyle name="SAPBEXstdItemX 2 5" xfId="19666"/>
    <cellStyle name="SAPBEXstdItemX 3" xfId="5682"/>
    <cellStyle name="SAPBEXstdItemX 3 2" xfId="17748"/>
    <cellStyle name="SAPBEXstdItemX 3 2 2" xfId="17749"/>
    <cellStyle name="SAPBEXstdItemX 3 2 2 2" xfId="30707"/>
    <cellStyle name="SAPBEXstdItemX 3 2 2 3" xfId="37525"/>
    <cellStyle name="SAPBEXstdItemX 3 2 3" xfId="30706"/>
    <cellStyle name="SAPBEXstdItemX 3 2 4" xfId="37524"/>
    <cellStyle name="SAPBEXstdItemX 3 3" xfId="17750"/>
    <cellStyle name="SAPBEXstdItemX 3 3 2" xfId="30708"/>
    <cellStyle name="SAPBEXstdItemX 3 3 3" xfId="37526"/>
    <cellStyle name="SAPBEXstdItemX 3 4" xfId="21489"/>
    <cellStyle name="SAPBEXstdItemX 3 5" xfId="19665"/>
    <cellStyle name="SAPBEXstdItemX 4" xfId="5683"/>
    <cellStyle name="SAPBEXstdItemX 4 2" xfId="17751"/>
    <cellStyle name="SAPBEXstdItemX 4 2 2" xfId="17752"/>
    <cellStyle name="SAPBEXstdItemX 4 2 2 2" xfId="30710"/>
    <cellStyle name="SAPBEXstdItemX 4 2 2 3" xfId="37528"/>
    <cellStyle name="SAPBEXstdItemX 4 2 3" xfId="17753"/>
    <cellStyle name="SAPBEXstdItemX 4 2 3 2" xfId="30711"/>
    <cellStyle name="SAPBEXstdItemX 4 2 3 3" xfId="37529"/>
    <cellStyle name="SAPBEXstdItemX 4 2 4" xfId="30709"/>
    <cellStyle name="SAPBEXstdItemX 4 2 5" xfId="37527"/>
    <cellStyle name="SAPBEXstdItemX 4 3" xfId="17754"/>
    <cellStyle name="SAPBEXstdItemX 4 3 2" xfId="17755"/>
    <cellStyle name="SAPBEXstdItemX 4 3 2 2" xfId="30713"/>
    <cellStyle name="SAPBEXstdItemX 4 3 2 3" xfId="37531"/>
    <cellStyle name="SAPBEXstdItemX 4 3 3" xfId="30712"/>
    <cellStyle name="SAPBEXstdItemX 4 3 4" xfId="37530"/>
    <cellStyle name="SAPBEXstdItemX 4 4" xfId="17756"/>
    <cellStyle name="SAPBEXstdItemX 4 4 2" xfId="30714"/>
    <cellStyle name="SAPBEXstdItemX 4 4 3" xfId="37532"/>
    <cellStyle name="SAPBEXstdItemX 4 5" xfId="21490"/>
    <cellStyle name="SAPBEXstdItemX 4 6" xfId="19664"/>
    <cellStyle name="SAPBEXstdItemX 5" xfId="17757"/>
    <cellStyle name="SAPBEXstdItemX 5 2" xfId="17758"/>
    <cellStyle name="SAPBEXstdItemX 5 2 2" xfId="30716"/>
    <cellStyle name="SAPBEXstdItemX 5 2 3" xfId="37534"/>
    <cellStyle name="SAPBEXstdItemX 5 3" xfId="30715"/>
    <cellStyle name="SAPBEXstdItemX 5 4" xfId="37533"/>
    <cellStyle name="SAPBEXstdItemX 6" xfId="17759"/>
    <cellStyle name="SAPBEXstdItemX 6 2" xfId="30717"/>
    <cellStyle name="SAPBEXstdItemX 6 3" xfId="37535"/>
    <cellStyle name="SAPBEXstdItemX 7" xfId="20079"/>
    <cellStyle name="SAPBEXtitle" xfId="3891"/>
    <cellStyle name="SAPBEXundefined" xfId="3892"/>
    <cellStyle name="SAPBEXundefined 10" xfId="27398"/>
    <cellStyle name="SAPBEXundefined 2" xfId="4081"/>
    <cellStyle name="SAPBEXundefined 2 2" xfId="17760"/>
    <cellStyle name="SAPBEXundefined 2 2 2" xfId="17761"/>
    <cellStyle name="SAPBEXundefined 2 2 2 2" xfId="37537"/>
    <cellStyle name="SAPBEXundefined 2 2 3" xfId="17762"/>
    <cellStyle name="SAPBEXundefined 2 2 3 2" xfId="37538"/>
    <cellStyle name="SAPBEXundefined 2 2 4" xfId="37536"/>
    <cellStyle name="SAPBEXundefined 2 3" xfId="17763"/>
    <cellStyle name="SAPBEXundefined 2 3 2" xfId="17764"/>
    <cellStyle name="SAPBEXundefined 2 3 2 2" xfId="37540"/>
    <cellStyle name="SAPBEXundefined 2 3 3" xfId="17765"/>
    <cellStyle name="SAPBEXundefined 2 3 3 2" xfId="37541"/>
    <cellStyle name="SAPBEXundefined 2 3 4" xfId="37539"/>
    <cellStyle name="SAPBEXundefined 2 4" xfId="17766"/>
    <cellStyle name="SAPBEXundefined 2 4 2" xfId="17767"/>
    <cellStyle name="SAPBEXundefined 2 4 2 2" xfId="37543"/>
    <cellStyle name="SAPBEXundefined 2 4 3" xfId="17768"/>
    <cellStyle name="SAPBEXundefined 2 4 3 2" xfId="37544"/>
    <cellStyle name="SAPBEXundefined 2 4 4" xfId="37542"/>
    <cellStyle name="SAPBEXundefined 2 5" xfId="17769"/>
    <cellStyle name="SAPBEXundefined 2 5 2" xfId="17770"/>
    <cellStyle name="SAPBEXundefined 2 5 2 2" xfId="37546"/>
    <cellStyle name="SAPBEXundefined 2 5 3" xfId="17771"/>
    <cellStyle name="SAPBEXundefined 2 5 3 2" xfId="37547"/>
    <cellStyle name="SAPBEXundefined 2 5 4" xfId="37545"/>
    <cellStyle name="SAPBEXundefined 2 6" xfId="17772"/>
    <cellStyle name="SAPBEXundefined 2 6 2" xfId="17773"/>
    <cellStyle name="SAPBEXundefined 2 6 2 2" xfId="37549"/>
    <cellStyle name="SAPBEXundefined 2 6 3" xfId="17774"/>
    <cellStyle name="SAPBEXundefined 2 6 3 2" xfId="37550"/>
    <cellStyle name="SAPBEXundefined 2 6 4" xfId="37548"/>
    <cellStyle name="SAPBEXundefined 2 7" xfId="17775"/>
    <cellStyle name="SAPBEXundefined 2 7 2" xfId="37551"/>
    <cellStyle name="SAPBEXundefined 2 8" xfId="17776"/>
    <cellStyle name="SAPBEXundefined 2 8 2" xfId="37552"/>
    <cellStyle name="SAPBEXundefined 2 9" xfId="19862"/>
    <cellStyle name="SAPBEXundefined 3" xfId="4629"/>
    <cellStyle name="SAPBEXundefined 3 2" xfId="17777"/>
    <cellStyle name="SAPBEXundefined 3 2 2" xfId="17778"/>
    <cellStyle name="SAPBEXundefined 3 2 2 2" xfId="37554"/>
    <cellStyle name="SAPBEXundefined 3 2 3" xfId="17779"/>
    <cellStyle name="SAPBEXundefined 3 2 3 2" xfId="37555"/>
    <cellStyle name="SAPBEXundefined 3 2 4" xfId="37553"/>
    <cellStyle name="SAPBEXundefined 3 3" xfId="17780"/>
    <cellStyle name="SAPBEXundefined 3 3 2" xfId="17781"/>
    <cellStyle name="SAPBEXundefined 3 3 2 2" xfId="37557"/>
    <cellStyle name="SAPBEXundefined 3 3 3" xfId="17782"/>
    <cellStyle name="SAPBEXundefined 3 3 3 2" xfId="37558"/>
    <cellStyle name="SAPBEXundefined 3 3 4" xfId="37556"/>
    <cellStyle name="SAPBEXundefined 3 4" xfId="17783"/>
    <cellStyle name="SAPBEXundefined 3 4 2" xfId="17784"/>
    <cellStyle name="SAPBEXundefined 3 4 2 2" xfId="37560"/>
    <cellStyle name="SAPBEXundefined 3 4 3" xfId="17785"/>
    <cellStyle name="SAPBEXundefined 3 4 3 2" xfId="37561"/>
    <cellStyle name="SAPBEXundefined 3 4 4" xfId="37559"/>
    <cellStyle name="SAPBEXundefined 3 5" xfId="17786"/>
    <cellStyle name="SAPBEXundefined 3 5 2" xfId="17787"/>
    <cellStyle name="SAPBEXundefined 3 5 2 2" xfId="37563"/>
    <cellStyle name="SAPBEXundefined 3 5 3" xfId="17788"/>
    <cellStyle name="SAPBEXundefined 3 5 3 2" xfId="37564"/>
    <cellStyle name="SAPBEXundefined 3 5 4" xfId="37562"/>
    <cellStyle name="SAPBEXundefined 3 6" xfId="17789"/>
    <cellStyle name="SAPBEXundefined 3 6 2" xfId="17790"/>
    <cellStyle name="SAPBEXundefined 3 6 2 2" xfId="37566"/>
    <cellStyle name="SAPBEXundefined 3 6 3" xfId="17791"/>
    <cellStyle name="SAPBEXundefined 3 6 3 2" xfId="37567"/>
    <cellStyle name="SAPBEXundefined 3 6 4" xfId="37565"/>
    <cellStyle name="SAPBEXundefined 3 7" xfId="17792"/>
    <cellStyle name="SAPBEXundefined 3 7 2" xfId="37568"/>
    <cellStyle name="SAPBEXundefined 3 8" xfId="17793"/>
    <cellStyle name="SAPBEXundefined 3 8 2" xfId="37569"/>
    <cellStyle name="SAPBEXundefined 3 9" xfId="19827"/>
    <cellStyle name="SAPBEXundefined 4" xfId="5684"/>
    <cellStyle name="SAPBEXundefined 4 2" xfId="17794"/>
    <cellStyle name="SAPBEXundefined 4 2 2" xfId="17795"/>
    <cellStyle name="SAPBEXundefined 4 2 2 2" xfId="37571"/>
    <cellStyle name="SAPBEXundefined 4 2 3" xfId="17796"/>
    <cellStyle name="SAPBEXundefined 4 2 3 2" xfId="37572"/>
    <cellStyle name="SAPBEXundefined 4 2 4" xfId="37570"/>
    <cellStyle name="SAPBEXundefined 4 3" xfId="17797"/>
    <cellStyle name="SAPBEXundefined 4 3 2" xfId="17798"/>
    <cellStyle name="SAPBEXundefined 4 3 2 2" xfId="37574"/>
    <cellStyle name="SAPBEXundefined 4 3 3" xfId="17799"/>
    <cellStyle name="SAPBEXundefined 4 3 3 2" xfId="37575"/>
    <cellStyle name="SAPBEXundefined 4 3 4" xfId="37573"/>
    <cellStyle name="SAPBEXundefined 4 4" xfId="17800"/>
    <cellStyle name="SAPBEXundefined 4 4 2" xfId="17801"/>
    <cellStyle name="SAPBEXundefined 4 4 2 2" xfId="37577"/>
    <cellStyle name="SAPBEXundefined 4 4 3" xfId="17802"/>
    <cellStyle name="SAPBEXundefined 4 4 3 2" xfId="37578"/>
    <cellStyle name="SAPBEXundefined 4 4 4" xfId="37576"/>
    <cellStyle name="SAPBEXundefined 4 5" xfId="17803"/>
    <cellStyle name="SAPBEXundefined 4 5 2" xfId="17804"/>
    <cellStyle name="SAPBEXundefined 4 5 2 2" xfId="37580"/>
    <cellStyle name="SAPBEXundefined 4 5 3" xfId="17805"/>
    <cellStyle name="SAPBEXundefined 4 5 3 2" xfId="37581"/>
    <cellStyle name="SAPBEXundefined 4 5 4" xfId="37579"/>
    <cellStyle name="SAPBEXundefined 4 6" xfId="17806"/>
    <cellStyle name="SAPBEXundefined 4 6 2" xfId="17807"/>
    <cellStyle name="SAPBEXundefined 4 6 2 2" xfId="37583"/>
    <cellStyle name="SAPBEXundefined 4 6 3" xfId="17808"/>
    <cellStyle name="SAPBEXundefined 4 6 3 2" xfId="37584"/>
    <cellStyle name="SAPBEXundefined 4 6 4" xfId="37582"/>
    <cellStyle name="SAPBEXundefined 4 7" xfId="17809"/>
    <cellStyle name="SAPBEXundefined 4 7 2" xfId="37585"/>
    <cellStyle name="SAPBEXundefined 4 8" xfId="17810"/>
    <cellStyle name="SAPBEXundefined 4 8 2" xfId="37586"/>
    <cellStyle name="SAPBEXundefined 4 9" xfId="19663"/>
    <cellStyle name="SAPBEXundefined 5" xfId="17811"/>
    <cellStyle name="SAPBEXundefined 5 2" xfId="17812"/>
    <cellStyle name="SAPBEXundefined 5 2 2" xfId="37588"/>
    <cellStyle name="SAPBEXundefined 5 3" xfId="17813"/>
    <cellStyle name="SAPBEXundefined 5 3 2" xfId="37589"/>
    <cellStyle name="SAPBEXundefined 5 4" xfId="37587"/>
    <cellStyle name="SAPBEXundefined 6" xfId="17814"/>
    <cellStyle name="SAPBEXundefined 6 2" xfId="17815"/>
    <cellStyle name="SAPBEXundefined 6 2 2" xfId="37591"/>
    <cellStyle name="SAPBEXundefined 6 3" xfId="17816"/>
    <cellStyle name="SAPBEXundefined 6 3 2" xfId="37592"/>
    <cellStyle name="SAPBEXundefined 6 4" xfId="37590"/>
    <cellStyle name="SAPBEXundefined 7" xfId="17817"/>
    <cellStyle name="SAPBEXundefined 7 2" xfId="17818"/>
    <cellStyle name="SAPBEXundefined 7 2 2" xfId="37594"/>
    <cellStyle name="SAPBEXundefined 7 3" xfId="17819"/>
    <cellStyle name="SAPBEXundefined 7 3 2" xfId="37595"/>
    <cellStyle name="SAPBEXundefined 7 4" xfId="37593"/>
    <cellStyle name="SAPBEXundefined 8" xfId="17820"/>
    <cellStyle name="SAPBEXundefined 8 2" xfId="37596"/>
    <cellStyle name="SAPBEXundefined 9" xfId="17821"/>
    <cellStyle name="SAPBEXundefined 9 2" xfId="37597"/>
    <cellStyle name="Style 1" xfId="3893"/>
    <cellStyle name="Texto de advertencia" xfId="36" builtinId="11" customBuiltin="1"/>
    <cellStyle name="Texto de advertencia 2" xfId="3894"/>
    <cellStyle name="Texto de advertencia 3" xfId="3895"/>
    <cellStyle name="Texto explicativo" xfId="38" builtinId="53" customBuiltin="1"/>
    <cellStyle name="Texto explicativo 2" xfId="3896"/>
    <cellStyle name="Texto explicativo 3" xfId="3897"/>
    <cellStyle name="Título" xfId="23" builtinId="15" customBuiltin="1"/>
    <cellStyle name="Título 1" xfId="24" builtinId="16" customBuiltin="1"/>
    <cellStyle name="Título 1 2" xfId="3898"/>
    <cellStyle name="Título 1 3" xfId="3899"/>
    <cellStyle name="Título 2" xfId="25" builtinId="17" customBuiltin="1"/>
    <cellStyle name="Título 2 2" xfId="3900"/>
    <cellStyle name="Título 2 3" xfId="3901"/>
    <cellStyle name="Título 3" xfId="26" builtinId="18" customBuiltin="1"/>
    <cellStyle name="Título 3 2" xfId="3902"/>
    <cellStyle name="Título 3 3" xfId="3903"/>
    <cellStyle name="Título 4" xfId="3904"/>
    <cellStyle name="Título 5" xfId="3905"/>
    <cellStyle name="Título 6" xfId="37701"/>
    <cellStyle name="Titulos" xfId="3906"/>
    <cellStyle name="Titulos 2" xfId="3907"/>
    <cellStyle name="Titulos 2 2" xfId="5685"/>
    <cellStyle name="Titulos 2 2 2" xfId="5686"/>
    <cellStyle name="Titulos 2 2 2 2" xfId="17822"/>
    <cellStyle name="Titulos 2 2 2 2 2" xfId="17823"/>
    <cellStyle name="Titulos 2 2 2 2 2 2" xfId="30720"/>
    <cellStyle name="Titulos 2 2 2 2 2 3" xfId="37599"/>
    <cellStyle name="Titulos 2 2 2 2 3" xfId="17824"/>
    <cellStyle name="Titulos 2 2 2 2 3 2" xfId="30721"/>
    <cellStyle name="Titulos 2 2 2 2 3 3" xfId="37600"/>
    <cellStyle name="Titulos 2 2 2 2 4" xfId="30719"/>
    <cellStyle name="Titulos 2 2 2 2 5" xfId="37598"/>
    <cellStyle name="Titulos 2 2 2 3" xfId="17825"/>
    <cellStyle name="Titulos 2 2 2 3 2" xfId="17826"/>
    <cellStyle name="Titulos 2 2 2 3 2 2" xfId="30723"/>
    <cellStyle name="Titulos 2 2 2 3 2 3" xfId="37602"/>
    <cellStyle name="Titulos 2 2 2 3 3" xfId="17827"/>
    <cellStyle name="Titulos 2 2 2 3 3 2" xfId="30724"/>
    <cellStyle name="Titulos 2 2 2 3 3 3" xfId="37603"/>
    <cellStyle name="Titulos 2 2 2 3 4" xfId="30722"/>
    <cellStyle name="Titulos 2 2 2 3 5" xfId="37601"/>
    <cellStyle name="Titulos 2 2 2 4" xfId="17828"/>
    <cellStyle name="Titulos 2 2 2 4 2" xfId="17829"/>
    <cellStyle name="Titulos 2 2 2 4 2 2" xfId="30726"/>
    <cellStyle name="Titulos 2 2 2 4 2 3" xfId="37605"/>
    <cellStyle name="Titulos 2 2 2 4 3" xfId="17830"/>
    <cellStyle name="Titulos 2 2 2 4 3 2" xfId="30727"/>
    <cellStyle name="Titulos 2 2 2 4 3 3" xfId="37606"/>
    <cellStyle name="Titulos 2 2 2 4 4" xfId="30725"/>
    <cellStyle name="Titulos 2 2 2 4 5" xfId="37604"/>
    <cellStyle name="Titulos 2 2 2 5" xfId="17831"/>
    <cellStyle name="Titulos 2 2 2 5 2" xfId="30728"/>
    <cellStyle name="Titulos 2 2 2 5 3" xfId="37607"/>
    <cellStyle name="Titulos 2 2 2 6" xfId="17832"/>
    <cellStyle name="Titulos 2 2 2 6 2" xfId="30729"/>
    <cellStyle name="Titulos 2 2 2 6 3" xfId="37608"/>
    <cellStyle name="Titulos 2 2 3" xfId="5687"/>
    <cellStyle name="Titulos 2 2 3 2" xfId="17833"/>
    <cellStyle name="Titulos 2 2 3 2 2" xfId="17834"/>
    <cellStyle name="Titulos 2 2 3 2 2 2" xfId="30731"/>
    <cellStyle name="Titulos 2 2 3 2 2 3" xfId="37610"/>
    <cellStyle name="Titulos 2 2 3 2 3" xfId="17835"/>
    <cellStyle name="Titulos 2 2 3 2 3 2" xfId="30732"/>
    <cellStyle name="Titulos 2 2 3 2 3 3" xfId="37611"/>
    <cellStyle name="Titulos 2 2 3 2 4" xfId="30730"/>
    <cellStyle name="Titulos 2 2 3 2 5" xfId="37609"/>
    <cellStyle name="Titulos 2 2 3 3" xfId="17836"/>
    <cellStyle name="Titulos 2 2 3 3 2" xfId="17837"/>
    <cellStyle name="Titulos 2 2 3 3 2 2" xfId="30734"/>
    <cellStyle name="Titulos 2 2 3 3 2 3" xfId="37613"/>
    <cellStyle name="Titulos 2 2 3 3 3" xfId="17838"/>
    <cellStyle name="Titulos 2 2 3 3 3 2" xfId="30735"/>
    <cellStyle name="Titulos 2 2 3 3 3 3" xfId="37614"/>
    <cellStyle name="Titulos 2 2 3 3 4" xfId="30733"/>
    <cellStyle name="Titulos 2 2 3 3 5" xfId="37612"/>
    <cellStyle name="Titulos 2 2 3 4" xfId="17839"/>
    <cellStyle name="Titulos 2 2 3 4 2" xfId="17840"/>
    <cellStyle name="Titulos 2 2 3 4 2 2" xfId="30737"/>
    <cellStyle name="Titulos 2 2 3 4 2 3" xfId="37616"/>
    <cellStyle name="Titulos 2 2 3 4 3" xfId="17841"/>
    <cellStyle name="Titulos 2 2 3 4 3 2" xfId="30738"/>
    <cellStyle name="Titulos 2 2 3 4 3 3" xfId="37617"/>
    <cellStyle name="Titulos 2 2 3 4 4" xfId="30736"/>
    <cellStyle name="Titulos 2 2 3 4 5" xfId="37615"/>
    <cellStyle name="Titulos 2 2 3 5" xfId="17842"/>
    <cellStyle name="Titulos 2 2 3 5 2" xfId="30739"/>
    <cellStyle name="Titulos 2 2 3 5 3" xfId="37618"/>
    <cellStyle name="Titulos 2 2 3 6" xfId="17843"/>
    <cellStyle name="Titulos 2 2 3 6 2" xfId="30740"/>
    <cellStyle name="Titulos 2 2 3 6 3" xfId="37619"/>
    <cellStyle name="Titulos 2 2 4" xfId="5688"/>
    <cellStyle name="Titulos 2 2 4 2" xfId="17844"/>
    <cellStyle name="Titulos 2 2 4 2 2" xfId="17845"/>
    <cellStyle name="Titulos 2 2 4 2 2 2" xfId="30742"/>
    <cellStyle name="Titulos 2 2 4 2 2 3" xfId="37621"/>
    <cellStyle name="Titulos 2 2 4 2 3" xfId="17846"/>
    <cellStyle name="Titulos 2 2 4 2 3 2" xfId="30743"/>
    <cellStyle name="Titulos 2 2 4 2 3 3" xfId="37622"/>
    <cellStyle name="Titulos 2 2 4 2 4" xfId="30741"/>
    <cellStyle name="Titulos 2 2 4 2 5" xfId="37620"/>
    <cellStyle name="Titulos 2 2 4 3" xfId="17847"/>
    <cellStyle name="Titulos 2 2 4 3 2" xfId="17848"/>
    <cellStyle name="Titulos 2 2 4 3 2 2" xfId="30745"/>
    <cellStyle name="Titulos 2 2 4 3 2 3" xfId="37624"/>
    <cellStyle name="Titulos 2 2 4 3 3" xfId="17849"/>
    <cellStyle name="Titulos 2 2 4 3 3 2" xfId="30746"/>
    <cellStyle name="Titulos 2 2 4 3 3 3" xfId="37625"/>
    <cellStyle name="Titulos 2 2 4 3 4" xfId="30744"/>
    <cellStyle name="Titulos 2 2 4 3 5" xfId="37623"/>
    <cellStyle name="Titulos 2 2 4 4" xfId="17850"/>
    <cellStyle name="Titulos 2 2 4 4 2" xfId="17851"/>
    <cellStyle name="Titulos 2 2 4 4 2 2" xfId="30748"/>
    <cellStyle name="Titulos 2 2 4 4 2 3" xfId="37627"/>
    <cellStyle name="Titulos 2 2 4 4 3" xfId="17852"/>
    <cellStyle name="Titulos 2 2 4 4 3 2" xfId="30749"/>
    <cellStyle name="Titulos 2 2 4 4 3 3" xfId="37628"/>
    <cellStyle name="Titulos 2 2 4 4 4" xfId="30747"/>
    <cellStyle name="Titulos 2 2 4 4 5" xfId="37626"/>
    <cellStyle name="Titulos 2 2 4 5" xfId="17853"/>
    <cellStyle name="Titulos 2 2 4 5 2" xfId="30750"/>
    <cellStyle name="Titulos 2 2 4 5 3" xfId="37629"/>
    <cellStyle name="Titulos 2 2 4 6" xfId="17854"/>
    <cellStyle name="Titulos 2 2 4 6 2" xfId="30751"/>
    <cellStyle name="Titulos 2 2 4 6 3" xfId="37630"/>
    <cellStyle name="Titulos 2 2 5" xfId="17855"/>
    <cellStyle name="Titulos 2 2 5 2" xfId="17856"/>
    <cellStyle name="Titulos 2 2 5 2 2" xfId="30753"/>
    <cellStyle name="Titulos 2 2 5 2 3" xfId="37632"/>
    <cellStyle name="Titulos 2 2 5 3" xfId="17857"/>
    <cellStyle name="Titulos 2 2 5 3 2" xfId="30754"/>
    <cellStyle name="Titulos 2 2 5 3 3" xfId="37633"/>
    <cellStyle name="Titulos 2 2 5 4" xfId="30752"/>
    <cellStyle name="Titulos 2 2 5 5" xfId="37631"/>
    <cellStyle name="Titulos 2 2 6" xfId="17858"/>
    <cellStyle name="Titulos 2 2 6 2" xfId="17859"/>
    <cellStyle name="Titulos 2 2 6 2 2" xfId="30756"/>
    <cellStyle name="Titulos 2 2 6 2 3" xfId="37635"/>
    <cellStyle name="Titulos 2 2 6 3" xfId="17860"/>
    <cellStyle name="Titulos 2 2 6 3 2" xfId="30757"/>
    <cellStyle name="Titulos 2 2 6 3 3" xfId="37636"/>
    <cellStyle name="Titulos 2 2 6 4" xfId="30755"/>
    <cellStyle name="Titulos 2 2 6 5" xfId="37634"/>
    <cellStyle name="Titulos 2 2 7" xfId="17861"/>
    <cellStyle name="Titulos 2 2 7 2" xfId="30758"/>
    <cellStyle name="Titulos 2 2 7 3" xfId="37637"/>
    <cellStyle name="Titulos 2 2 8" xfId="17862"/>
    <cellStyle name="Titulos 2 2 8 2" xfId="30759"/>
    <cellStyle name="Titulos 2 2 8 3" xfId="37638"/>
    <cellStyle name="Titulos 2 3" xfId="17863"/>
    <cellStyle name="Titulos 2 3 2" xfId="17864"/>
    <cellStyle name="Titulos 2 3 2 2" xfId="30761"/>
    <cellStyle name="Titulos 2 3 2 3" xfId="37640"/>
    <cellStyle name="Titulos 2 3 3" xfId="17865"/>
    <cellStyle name="Titulos 2 3 3 2" xfId="30762"/>
    <cellStyle name="Titulos 2 3 3 3" xfId="37641"/>
    <cellStyle name="Titulos 2 3 4" xfId="30760"/>
    <cellStyle name="Titulos 2 3 5" xfId="37639"/>
    <cellStyle name="Titulos 2 4" xfId="17866"/>
    <cellStyle name="Titulos 2 4 2" xfId="17867"/>
    <cellStyle name="Titulos 2 4 2 2" xfId="30764"/>
    <cellStyle name="Titulos 2 4 2 3" xfId="37643"/>
    <cellStyle name="Titulos 2 4 3" xfId="17868"/>
    <cellStyle name="Titulos 2 4 3 2" xfId="30765"/>
    <cellStyle name="Titulos 2 4 3 3" xfId="37644"/>
    <cellStyle name="Titulos 2 4 4" xfId="30763"/>
    <cellStyle name="Titulos 2 4 5" xfId="37642"/>
    <cellStyle name="Titulos 2 5" xfId="17869"/>
    <cellStyle name="Titulos 2 5 2" xfId="30766"/>
    <cellStyle name="Titulos 2 5 3" xfId="37645"/>
    <cellStyle name="Titulos 2 6" xfId="17870"/>
    <cellStyle name="Titulos 2 6 2" xfId="30767"/>
    <cellStyle name="Titulos 2 6 3" xfId="37646"/>
    <cellStyle name="Titulos 3" xfId="5689"/>
    <cellStyle name="Titulos 3 2" xfId="5690"/>
    <cellStyle name="Titulos 3 2 2" xfId="17871"/>
    <cellStyle name="Titulos 3 2 2 2" xfId="17872"/>
    <cellStyle name="Titulos 3 2 2 2 2" xfId="30769"/>
    <cellStyle name="Titulos 3 2 2 2 3" xfId="37648"/>
    <cellStyle name="Titulos 3 2 2 3" xfId="17873"/>
    <cellStyle name="Titulos 3 2 2 3 2" xfId="30770"/>
    <cellStyle name="Titulos 3 2 2 3 3" xfId="37649"/>
    <cellStyle name="Titulos 3 2 2 4" xfId="30768"/>
    <cellStyle name="Titulos 3 2 2 5" xfId="37647"/>
    <cellStyle name="Titulos 3 2 3" xfId="17874"/>
    <cellStyle name="Titulos 3 2 3 2" xfId="17875"/>
    <cellStyle name="Titulos 3 2 3 2 2" xfId="30772"/>
    <cellStyle name="Titulos 3 2 3 2 3" xfId="37651"/>
    <cellStyle name="Titulos 3 2 3 3" xfId="17876"/>
    <cellStyle name="Titulos 3 2 3 3 2" xfId="30773"/>
    <cellStyle name="Titulos 3 2 3 3 3" xfId="37652"/>
    <cellStyle name="Titulos 3 2 3 4" xfId="30771"/>
    <cellStyle name="Titulos 3 2 3 5" xfId="37650"/>
    <cellStyle name="Titulos 3 2 4" xfId="17877"/>
    <cellStyle name="Titulos 3 2 4 2" xfId="17878"/>
    <cellStyle name="Titulos 3 2 4 2 2" xfId="30775"/>
    <cellStyle name="Titulos 3 2 4 2 3" xfId="37654"/>
    <cellStyle name="Titulos 3 2 4 3" xfId="17879"/>
    <cellStyle name="Titulos 3 2 4 3 2" xfId="30776"/>
    <cellStyle name="Titulos 3 2 4 3 3" xfId="37655"/>
    <cellStyle name="Titulos 3 2 4 4" xfId="30774"/>
    <cellStyle name="Titulos 3 2 4 5" xfId="37653"/>
    <cellStyle name="Titulos 3 2 5" xfId="17880"/>
    <cellStyle name="Titulos 3 2 5 2" xfId="30777"/>
    <cellStyle name="Titulos 3 2 5 3" xfId="37656"/>
    <cellStyle name="Titulos 3 2 6" xfId="17881"/>
    <cellStyle name="Titulos 3 2 6 2" xfId="30778"/>
    <cellStyle name="Titulos 3 2 6 3" xfId="37657"/>
    <cellStyle name="Titulos 3 3" xfId="5691"/>
    <cellStyle name="Titulos 3 3 2" xfId="17882"/>
    <cellStyle name="Titulos 3 3 2 2" xfId="17883"/>
    <cellStyle name="Titulos 3 3 2 2 2" xfId="30780"/>
    <cellStyle name="Titulos 3 3 2 2 3" xfId="37659"/>
    <cellStyle name="Titulos 3 3 2 3" xfId="17884"/>
    <cellStyle name="Titulos 3 3 2 3 2" xfId="30781"/>
    <cellStyle name="Titulos 3 3 2 3 3" xfId="37660"/>
    <cellStyle name="Titulos 3 3 2 4" xfId="30779"/>
    <cellStyle name="Titulos 3 3 2 5" xfId="37658"/>
    <cellStyle name="Titulos 3 3 3" xfId="17885"/>
    <cellStyle name="Titulos 3 3 3 2" xfId="17886"/>
    <cellStyle name="Titulos 3 3 3 2 2" xfId="30783"/>
    <cellStyle name="Titulos 3 3 3 2 3" xfId="37662"/>
    <cellStyle name="Titulos 3 3 3 3" xfId="17887"/>
    <cellStyle name="Titulos 3 3 3 3 2" xfId="30784"/>
    <cellStyle name="Titulos 3 3 3 3 3" xfId="37663"/>
    <cellStyle name="Titulos 3 3 3 4" xfId="30782"/>
    <cellStyle name="Titulos 3 3 3 5" xfId="37661"/>
    <cellStyle name="Titulos 3 3 4" xfId="17888"/>
    <cellStyle name="Titulos 3 3 4 2" xfId="17889"/>
    <cellStyle name="Titulos 3 3 4 2 2" xfId="30786"/>
    <cellStyle name="Titulos 3 3 4 2 3" xfId="37665"/>
    <cellStyle name="Titulos 3 3 4 3" xfId="17890"/>
    <cellStyle name="Titulos 3 3 4 3 2" xfId="30787"/>
    <cellStyle name="Titulos 3 3 4 3 3" xfId="37666"/>
    <cellStyle name="Titulos 3 3 4 4" xfId="30785"/>
    <cellStyle name="Titulos 3 3 4 5" xfId="37664"/>
    <cellStyle name="Titulos 3 3 5" xfId="17891"/>
    <cellStyle name="Titulos 3 3 5 2" xfId="30788"/>
    <cellStyle name="Titulos 3 3 5 3" xfId="37667"/>
    <cellStyle name="Titulos 3 3 6" xfId="17892"/>
    <cellStyle name="Titulos 3 3 6 2" xfId="30789"/>
    <cellStyle name="Titulos 3 3 6 3" xfId="37668"/>
    <cellStyle name="Titulos 3 4" xfId="5692"/>
    <cellStyle name="Titulos 3 4 2" xfId="17893"/>
    <cellStyle name="Titulos 3 4 2 2" xfId="17894"/>
    <cellStyle name="Titulos 3 4 2 2 2" xfId="30791"/>
    <cellStyle name="Titulos 3 4 2 2 3" xfId="37670"/>
    <cellStyle name="Titulos 3 4 2 3" xfId="17895"/>
    <cellStyle name="Titulos 3 4 2 3 2" xfId="30792"/>
    <cellStyle name="Titulos 3 4 2 3 3" xfId="37671"/>
    <cellStyle name="Titulos 3 4 2 4" xfId="30790"/>
    <cellStyle name="Titulos 3 4 2 5" xfId="37669"/>
    <cellStyle name="Titulos 3 4 3" xfId="17896"/>
    <cellStyle name="Titulos 3 4 3 2" xfId="17897"/>
    <cellStyle name="Titulos 3 4 3 2 2" xfId="30794"/>
    <cellStyle name="Titulos 3 4 3 2 3" xfId="37673"/>
    <cellStyle name="Titulos 3 4 3 3" xfId="17898"/>
    <cellStyle name="Titulos 3 4 3 3 2" xfId="30795"/>
    <cellStyle name="Titulos 3 4 3 3 3" xfId="37674"/>
    <cellStyle name="Titulos 3 4 3 4" xfId="30793"/>
    <cellStyle name="Titulos 3 4 3 5" xfId="37672"/>
    <cellStyle name="Titulos 3 4 4" xfId="17899"/>
    <cellStyle name="Titulos 3 4 4 2" xfId="17900"/>
    <cellStyle name="Titulos 3 4 4 2 2" xfId="30797"/>
    <cellStyle name="Titulos 3 4 4 2 3" xfId="37676"/>
    <cellStyle name="Titulos 3 4 4 3" xfId="17901"/>
    <cellStyle name="Titulos 3 4 4 3 2" xfId="30798"/>
    <cellStyle name="Titulos 3 4 4 3 3" xfId="37677"/>
    <cellStyle name="Titulos 3 4 4 4" xfId="30796"/>
    <cellStyle name="Titulos 3 4 4 5" xfId="37675"/>
    <cellStyle name="Titulos 3 4 5" xfId="17902"/>
    <cellStyle name="Titulos 3 4 5 2" xfId="30799"/>
    <cellStyle name="Titulos 3 4 5 3" xfId="37678"/>
    <cellStyle name="Titulos 3 4 6" xfId="17903"/>
    <cellStyle name="Titulos 3 4 6 2" xfId="30800"/>
    <cellStyle name="Titulos 3 4 6 3" xfId="37679"/>
    <cellStyle name="Titulos 3 5" xfId="17904"/>
    <cellStyle name="Titulos 3 5 2" xfId="17905"/>
    <cellStyle name="Titulos 3 5 2 2" xfId="30802"/>
    <cellStyle name="Titulos 3 5 2 3" xfId="37681"/>
    <cellStyle name="Titulos 3 5 3" xfId="17906"/>
    <cellStyle name="Titulos 3 5 3 2" xfId="30803"/>
    <cellStyle name="Titulos 3 5 3 3" xfId="37682"/>
    <cellStyle name="Titulos 3 5 4" xfId="30801"/>
    <cellStyle name="Titulos 3 5 5" xfId="37680"/>
    <cellStyle name="Titulos 3 6" xfId="17907"/>
    <cellStyle name="Titulos 3 6 2" xfId="17908"/>
    <cellStyle name="Titulos 3 6 2 2" xfId="30805"/>
    <cellStyle name="Titulos 3 6 2 3" xfId="37684"/>
    <cellStyle name="Titulos 3 6 3" xfId="17909"/>
    <cellStyle name="Titulos 3 6 3 2" xfId="30806"/>
    <cellStyle name="Titulos 3 6 3 3" xfId="37685"/>
    <cellStyle name="Titulos 3 6 4" xfId="30804"/>
    <cellStyle name="Titulos 3 6 5" xfId="37683"/>
    <cellStyle name="Titulos 3 7" xfId="17910"/>
    <cellStyle name="Titulos 3 7 2" xfId="30807"/>
    <cellStyle name="Titulos 3 7 3" xfId="37686"/>
    <cellStyle name="Titulos 3 8" xfId="17911"/>
    <cellStyle name="Titulos 3 8 2" xfId="30808"/>
    <cellStyle name="Titulos 3 8 3" xfId="37687"/>
    <cellStyle name="Titulos 4" xfId="17912"/>
    <cellStyle name="Titulos 4 2" xfId="17913"/>
    <cellStyle name="Titulos 4 2 2" xfId="30810"/>
    <cellStyle name="Titulos 4 2 3" xfId="37689"/>
    <cellStyle name="Titulos 4 3" xfId="17914"/>
    <cellStyle name="Titulos 4 3 2" xfId="30811"/>
    <cellStyle name="Titulos 4 3 3" xfId="37690"/>
    <cellStyle name="Titulos 4 4" xfId="30809"/>
    <cellStyle name="Titulos 4 5" xfId="37688"/>
    <cellStyle name="Titulos 5" xfId="17915"/>
    <cellStyle name="Titulos 5 2" xfId="17916"/>
    <cellStyle name="Titulos 5 2 2" xfId="30813"/>
    <cellStyle name="Titulos 5 2 3" xfId="37692"/>
    <cellStyle name="Titulos 5 3" xfId="17917"/>
    <cellStyle name="Titulos 5 3 2" xfId="30814"/>
    <cellStyle name="Titulos 5 3 3" xfId="37693"/>
    <cellStyle name="Titulos 5 4" xfId="30812"/>
    <cellStyle name="Titulos 5 5" xfId="37691"/>
    <cellStyle name="Titulos 6" xfId="17918"/>
    <cellStyle name="Titulos 6 2" xfId="30815"/>
    <cellStyle name="Titulos 6 3" xfId="37694"/>
    <cellStyle name="Titulos 7" xfId="17919"/>
    <cellStyle name="Titulos 7 2" xfId="30816"/>
    <cellStyle name="Titulos 7 3" xfId="37695"/>
    <cellStyle name="Total" xfId="39" builtinId="25" customBuiltin="1"/>
    <cellStyle name="Total 2" xfId="3908"/>
    <cellStyle name="Total 3" xfId="3909"/>
  </cellStyles>
  <dxfs count="405">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ont>
        <b/>
        <i val="0"/>
      </font>
      <fill>
        <patternFill>
          <bgColor theme="6" tint="0.39994506668294322"/>
        </patternFill>
      </fill>
      <border>
        <left style="thin">
          <color auto="1"/>
        </left>
        <right style="thin">
          <color auto="1"/>
        </right>
        <top style="hair">
          <color auto="1"/>
        </top>
        <bottom style="hair">
          <color auto="1"/>
        </bottom>
        <vertical/>
        <horizontal/>
      </border>
    </dxf>
    <dxf>
      <font>
        <b/>
        <i val="0"/>
      </font>
      <fill>
        <patternFill>
          <bgColor theme="5" tint="0.39994506668294322"/>
        </patternFill>
      </fill>
      <border>
        <left style="thin">
          <color auto="1"/>
        </left>
        <right style="thin">
          <color auto="1"/>
        </right>
        <top style="hair">
          <color auto="1"/>
        </top>
        <bottom style="hair">
          <color auto="1"/>
        </bottom>
        <vertical/>
        <horizontal/>
      </border>
    </dxf>
    <dxf>
      <font>
        <b/>
        <i val="0"/>
      </font>
      <fill>
        <patternFill>
          <bgColor theme="6" tint="0.39994506668294322"/>
        </patternFill>
      </fill>
      <border>
        <left style="thin">
          <color auto="1"/>
        </left>
        <right style="thin">
          <color auto="1"/>
        </right>
        <top style="hair">
          <color auto="1"/>
        </top>
        <bottom style="hair">
          <color auto="1"/>
        </bottom>
        <vertical/>
        <horizontal/>
      </border>
    </dxf>
    <dxf>
      <font>
        <b/>
        <i val="0"/>
      </font>
      <fill>
        <patternFill>
          <bgColor theme="5" tint="0.39994506668294322"/>
        </patternFill>
      </fill>
      <border>
        <left style="thin">
          <color auto="1"/>
        </left>
        <right style="thin">
          <color auto="1"/>
        </right>
        <top style="hair">
          <color auto="1"/>
        </top>
        <bottom style="hair">
          <color auto="1"/>
        </bottom>
        <vertical/>
        <horizontal/>
      </border>
    </dxf>
    <dxf>
      <font>
        <b/>
        <i val="0"/>
      </font>
      <fill>
        <patternFill>
          <bgColor theme="6" tint="0.39994506668294322"/>
        </patternFill>
      </fill>
      <border>
        <left style="thin">
          <color auto="1"/>
        </left>
        <right style="thin">
          <color auto="1"/>
        </right>
        <top style="hair">
          <color auto="1"/>
        </top>
        <bottom style="hair">
          <color auto="1"/>
        </bottom>
        <vertical/>
        <horizontal/>
      </border>
    </dxf>
    <dxf>
      <font>
        <b/>
        <i val="0"/>
      </font>
      <fill>
        <patternFill>
          <bgColor theme="5" tint="0.39994506668294322"/>
        </patternFill>
      </fill>
      <border>
        <left style="thin">
          <color auto="1"/>
        </left>
        <right style="thin">
          <color auto="1"/>
        </right>
        <top style="hair">
          <color auto="1"/>
        </top>
        <bottom style="hair">
          <color auto="1"/>
        </bottom>
        <vertical/>
        <horizontal/>
      </border>
    </dxf>
    <dxf>
      <font>
        <b/>
        <i val="0"/>
      </font>
      <fill>
        <patternFill>
          <bgColor theme="6" tint="0.39994506668294322"/>
        </patternFill>
      </fill>
      <border>
        <left style="thin">
          <color auto="1"/>
        </left>
        <right style="thin">
          <color auto="1"/>
        </right>
        <top style="hair">
          <color auto="1"/>
        </top>
        <bottom style="hair">
          <color auto="1"/>
        </bottom>
        <vertical/>
        <horizontal/>
      </border>
    </dxf>
    <dxf>
      <font>
        <b/>
        <i val="0"/>
      </font>
      <fill>
        <patternFill>
          <bgColor theme="5" tint="0.39994506668294322"/>
        </patternFill>
      </fill>
      <border>
        <left style="thin">
          <color auto="1"/>
        </left>
        <right style="thin">
          <color auto="1"/>
        </right>
        <top style="hair">
          <color auto="1"/>
        </top>
        <bottom style="hair">
          <color auto="1"/>
        </bottom>
        <vertical/>
        <horizontal/>
      </border>
    </dxf>
    <dxf>
      <font>
        <b/>
        <i val="0"/>
      </font>
      <numFmt numFmtId="30" formatCode="@"/>
      <fill>
        <patternFill>
          <bgColor theme="0" tint="-4.9989318521683403E-2"/>
        </patternFill>
      </fill>
      <border>
        <left style="thin">
          <color auto="1"/>
        </left>
        <right style="thin">
          <color auto="1"/>
        </right>
        <top style="hair">
          <color auto="1"/>
        </top>
        <bottom style="hair">
          <color auto="1"/>
        </bottom>
        <vertical/>
        <horizontal/>
      </border>
    </dxf>
    <dxf>
      <numFmt numFmtId="8" formatCode="#,##0.00;[Red]\-#,##0.00"/>
      <fill>
        <patternFill>
          <bgColor theme="0" tint="-4.9989318521683403E-2"/>
        </patternFill>
      </fill>
      <border>
        <left style="thin">
          <color auto="1"/>
        </left>
        <right style="thin">
          <color auto="1"/>
        </right>
        <top style="hair">
          <color auto="1"/>
        </top>
        <bottom style="hair">
          <color auto="1"/>
        </bottom>
        <vertical/>
        <horizontal/>
      </border>
    </dxf>
    <dxf>
      <font>
        <b/>
        <i val="0"/>
      </font>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ont>
        <color rgb="FF9C0006"/>
      </font>
    </dxf>
    <dxf>
      <font>
        <color rgb="FF9C0006"/>
      </font>
    </dxf>
    <dxf>
      <font>
        <b/>
        <i val="0"/>
      </font>
      <fill>
        <patternFill>
          <bgColor theme="6" tint="0.39994506668294322"/>
        </patternFill>
      </fill>
      <border>
        <left style="thin">
          <color auto="1"/>
        </left>
        <right style="thin">
          <color auto="1"/>
        </right>
        <top style="hair">
          <color auto="1"/>
        </top>
        <bottom style="hair">
          <color auto="1"/>
        </bottom>
        <vertical/>
        <horizontal/>
      </border>
    </dxf>
    <dxf>
      <font>
        <b/>
        <i val="0"/>
      </font>
      <fill>
        <patternFill>
          <bgColor theme="5" tint="0.39994506668294322"/>
        </patternFill>
      </fill>
      <border>
        <left style="thin">
          <color auto="1"/>
        </left>
        <right style="thin">
          <color auto="1"/>
        </right>
        <top style="hair">
          <color auto="1"/>
        </top>
        <bottom style="hair">
          <color auto="1"/>
        </bottom>
        <vertical/>
        <horizontal/>
      </border>
    </dxf>
    <dxf>
      <font>
        <b/>
        <i val="0"/>
      </font>
      <numFmt numFmtId="30" formatCode="@"/>
      <fill>
        <patternFill>
          <bgColor theme="0" tint="-4.9989318521683403E-2"/>
        </patternFill>
      </fill>
      <border>
        <left style="thin">
          <color auto="1"/>
        </left>
        <right style="thin">
          <color auto="1"/>
        </right>
        <top style="hair">
          <color auto="1"/>
        </top>
        <bottom style="hair">
          <color auto="1"/>
        </bottom>
        <vertical/>
        <horizontal/>
      </border>
    </dxf>
    <dxf>
      <numFmt numFmtId="8" formatCode="#,##0.00;[Red]\-#,##0.00"/>
      <fill>
        <patternFill>
          <bgColor theme="0" tint="-4.9989318521683403E-2"/>
        </patternFill>
      </fill>
      <border>
        <left style="thin">
          <color auto="1"/>
        </left>
        <right style="thin">
          <color auto="1"/>
        </right>
        <top style="hair">
          <color auto="1"/>
        </top>
        <bottom style="hair">
          <color auto="1"/>
        </bottom>
        <vertical/>
        <horizontal/>
      </border>
    </dxf>
    <dxf>
      <font>
        <b/>
        <i val="0"/>
      </font>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ont>
        <color rgb="FF9C0006"/>
      </font>
    </dxf>
    <dxf>
      <font>
        <color rgb="FF9C0006"/>
      </font>
    </dxf>
    <dxf>
      <font>
        <color rgb="FF9C0006"/>
      </font>
    </dxf>
    <dxf>
      <font>
        <color rgb="FF9C0006"/>
      </font>
    </dxf>
    <dxf>
      <font>
        <color rgb="FF9C0006"/>
      </font>
    </dxf>
    <dxf>
      <font>
        <color rgb="FF9C0006"/>
      </font>
    </dxf>
    <dxf>
      <font>
        <color rgb="FF9C0006"/>
      </font>
    </dxf>
    <dxf>
      <fill>
        <patternFill>
          <bgColor rgb="FFFF0000"/>
        </patternFill>
      </fill>
    </dxf>
    <dxf>
      <fill>
        <patternFill>
          <bgColor rgb="FFFF0000"/>
        </patternFill>
      </fill>
    </dxf>
    <dxf>
      <font>
        <color auto="1"/>
      </font>
      <fill>
        <patternFill patternType="solid">
          <fgColor indexed="64"/>
          <bgColor theme="6" tint="-0.249977111117893"/>
        </patternFill>
      </fill>
    </dxf>
    <dxf>
      <font>
        <color rgb="FF9C0006"/>
      </font>
    </dxf>
    <dxf>
      <font>
        <b/>
        <i val="0"/>
      </font>
      <fill>
        <patternFill>
          <bgColor theme="6" tint="0.39994506668294322"/>
        </patternFill>
      </fill>
      <border>
        <left style="thin">
          <color auto="1"/>
        </left>
        <right style="thin">
          <color auto="1"/>
        </right>
        <top style="hair">
          <color auto="1"/>
        </top>
        <bottom style="hair">
          <color auto="1"/>
        </bottom>
        <vertical/>
        <horizontal/>
      </border>
    </dxf>
    <dxf>
      <font>
        <b/>
        <i val="0"/>
      </font>
      <fill>
        <patternFill>
          <bgColor theme="5" tint="0.39994506668294322"/>
        </patternFill>
      </fill>
      <border>
        <left style="thin">
          <color auto="1"/>
        </left>
        <right style="thin">
          <color auto="1"/>
        </right>
        <top style="hair">
          <color auto="1"/>
        </top>
        <bottom style="hair">
          <color auto="1"/>
        </bottom>
        <vertical/>
        <horizontal/>
      </border>
    </dxf>
    <dxf>
      <font>
        <b/>
        <i val="0"/>
      </font>
      <numFmt numFmtId="30" formatCode="@"/>
      <fill>
        <patternFill>
          <bgColor theme="0" tint="-4.9989318521683403E-2"/>
        </patternFill>
      </fill>
      <border>
        <left style="thin">
          <color auto="1"/>
        </left>
        <right style="thin">
          <color auto="1"/>
        </right>
        <top style="hair">
          <color auto="1"/>
        </top>
        <bottom style="hair">
          <color auto="1"/>
        </bottom>
        <vertical/>
        <horizontal/>
      </border>
    </dxf>
    <dxf>
      <numFmt numFmtId="8" formatCode="#,##0.00;[Red]\-#,##0.00"/>
      <fill>
        <patternFill>
          <bgColor theme="0" tint="-4.9989318521683403E-2"/>
        </patternFill>
      </fill>
      <border>
        <left style="thin">
          <color auto="1"/>
        </left>
        <right style="thin">
          <color auto="1"/>
        </right>
        <top style="hair">
          <color auto="1"/>
        </top>
        <bottom style="hair">
          <color auto="1"/>
        </bottom>
        <vertical/>
        <horizontal/>
      </border>
    </dxf>
    <dxf>
      <font>
        <b/>
        <i val="0"/>
      </font>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ont>
        <color rgb="FF9C0006"/>
      </font>
    </dxf>
    <dxf>
      <font>
        <color rgb="FF9C0006"/>
      </font>
    </dxf>
    <dxf>
      <font>
        <color rgb="FF9C0006"/>
      </font>
    </dxf>
    <dxf>
      <font>
        <color rgb="FF9C0006"/>
      </font>
    </dxf>
    <dxf>
      <font>
        <color rgb="FF9C0006"/>
      </font>
    </dxf>
    <dxf>
      <font>
        <color rgb="FF9C0006"/>
      </font>
    </dxf>
    <dxf>
      <font>
        <color rgb="FF9C0006"/>
      </font>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ont>
        <color rgb="FF9C0006"/>
      </font>
    </dxf>
    <dxf>
      <font>
        <color rgb="FF9C0006"/>
      </font>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rgb="FFFF0000"/>
        </patternFill>
      </fill>
    </dxf>
    <dxf>
      <fill>
        <patternFill>
          <bgColor rgb="FFFF0000"/>
        </patternFill>
      </fill>
    </dxf>
    <dxf>
      <font>
        <color auto="1"/>
      </font>
      <fill>
        <patternFill patternType="solid">
          <fgColor indexed="64"/>
          <bgColor theme="6" tint="-0.249977111117893"/>
        </patternFill>
      </fill>
    </dxf>
    <dxf>
      <fill>
        <patternFill>
          <bgColor theme="6" tint="0.59996337778862885"/>
        </patternFill>
      </fill>
      <border>
        <left style="thin">
          <color auto="1"/>
        </left>
        <right style="thin">
          <color auto="1"/>
        </right>
        <top style="hair">
          <color auto="1"/>
        </top>
        <bottom style="hair">
          <color auto="1"/>
        </bottom>
        <vertical/>
        <horizontal/>
      </border>
    </dxf>
    <dxf>
      <fill>
        <patternFill>
          <bgColor theme="5" tint="0.59996337778862885"/>
        </patternFill>
      </fill>
      <border>
        <left style="thin">
          <color auto="1"/>
        </left>
        <right style="thin">
          <color auto="1"/>
        </right>
        <top style="hair">
          <color auto="1"/>
        </top>
        <bottom style="hair">
          <color auto="1"/>
        </bottom>
        <vertical/>
        <horizontal/>
      </border>
    </dxf>
    <dxf>
      <fill>
        <patternFill>
          <bgColor rgb="FFFF0000"/>
        </patternFill>
      </fill>
    </dxf>
    <dxf>
      <fill>
        <patternFill>
          <bgColor rgb="FFFF0000"/>
        </patternFill>
      </fill>
    </dxf>
    <dxf>
      <font>
        <color auto="1"/>
      </font>
      <fill>
        <patternFill patternType="solid">
          <fgColor indexed="64"/>
          <bgColor theme="6" tint="-0.249977111117893"/>
        </patternFill>
      </fill>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protection locked="0" hidden="0"/>
    </dxf>
    <dxf>
      <numFmt numFmtId="0" formatCode="General"/>
      <alignment horizontal="general" vertical="bottom" textRotation="0" wrapText="0" indent="0" justifyLastLine="0" shrinkToFit="0" readingOrder="0"/>
      <protection locked="0" hidden="0"/>
    </dxf>
    <dxf>
      <numFmt numFmtId="0" formatCode="General"/>
      <alignment horizontal="general" vertical="bottom" textRotation="0" wrapText="0" indent="0" justifyLastLine="0" shrinkToFit="0" readingOrder="0"/>
      <protection locked="0" hidden="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protection locked="0" hidden="0"/>
    </dxf>
    <dxf>
      <numFmt numFmtId="0" formatCode="General"/>
      <alignment horizontal="general" vertical="bottom" textRotation="0" wrapText="0" indent="0" justifyLastLine="0" shrinkToFit="0" readingOrder="0"/>
      <protection locked="0" hidden="0"/>
    </dxf>
    <dxf>
      <font>
        <b val="0"/>
        <i val="0"/>
        <strike val="0"/>
        <condense val="0"/>
        <extend val="0"/>
        <outline val="0"/>
        <shadow val="0"/>
        <u val="none"/>
        <vertAlign val="baseline"/>
        <sz val="10"/>
        <color theme="1"/>
        <name val="Arial"/>
        <scheme val="none"/>
      </font>
      <protection locked="1" hidden="1"/>
    </dxf>
  </dxfs>
  <tableStyles count="0" defaultTableStyle="TableStyleMedium2" defaultPivotStyle="PivotStyleLight16"/>
  <colors>
    <mruColors>
      <color rgb="FF213764"/>
      <color rgb="FFC6E0B4"/>
      <color rgb="FFFBD4B3"/>
      <color rgb="FFFFFFA7"/>
      <color rgb="FF806000"/>
      <color rgb="FF375623"/>
      <color rgb="FFEAF0F6"/>
      <color rgb="FFFFFFB7"/>
      <color rgb="FFFFFFDD"/>
      <color rgb="FFE6E6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8BD21D10-EC42-11CE-9E0D-00AA006002F3}" ax:persistence="persistStreamInit" r:id="rId1"/>
</file>

<file path=xl/activeX/activeX44.xml><?xml version="1.0" encoding="utf-8"?>
<ax:ocx xmlns:ax="http://schemas.microsoft.com/office/2006/activeX" xmlns:r="http://schemas.openxmlformats.org/officeDocument/2006/relationships" ax:classid="{8BD21D10-EC42-11CE-9E0D-00AA006002F3}" ax:persistence="persistStreamInit" r:id="rId1"/>
</file>

<file path=xl/activeX/activeX45.xml><?xml version="1.0" encoding="utf-8"?>
<ax:ocx xmlns:ax="http://schemas.microsoft.com/office/2006/activeX" xmlns:r="http://schemas.openxmlformats.org/officeDocument/2006/relationships" ax:classid="{8BD21D10-EC42-11CE-9E0D-00AA006002F3}" ax:persistence="persistStreamInit" r:id="rId1"/>
</file>

<file path=xl/activeX/activeX46.xml><?xml version="1.0" encoding="utf-8"?>
<ax:ocx xmlns:ax="http://schemas.microsoft.com/office/2006/activeX" xmlns:r="http://schemas.openxmlformats.org/officeDocument/2006/relationships" ax:classid="{8BD21D10-EC42-11CE-9E0D-00AA006002F3}" ax:persistence="persistStreamInit" r:id="rId1"/>
</file>

<file path=xl/activeX/activeX47.xml><?xml version="1.0" encoding="utf-8"?>
<ax:ocx xmlns:ax="http://schemas.microsoft.com/office/2006/activeX" xmlns:r="http://schemas.openxmlformats.org/officeDocument/2006/relationships" ax:classid="{8BD21D10-EC42-11CE-9E0D-00AA006002F3}" ax:persistence="persistStreamInit" r:id="rId1"/>
</file>

<file path=xl/activeX/activeX48.xml><?xml version="1.0" encoding="utf-8"?>
<ax:ocx xmlns:ax="http://schemas.microsoft.com/office/2006/activeX" xmlns:r="http://schemas.openxmlformats.org/officeDocument/2006/relationships" ax:classid="{8BD21D10-EC42-11CE-9E0D-00AA006002F3}" ax:persistence="persistStreamInit" r:id="rId1"/>
</file>

<file path=xl/activeX/activeX49.xml><?xml version="1.0" encoding="utf-8"?>
<ax:ocx xmlns:ax="http://schemas.microsoft.com/office/2006/activeX" xmlns:r="http://schemas.openxmlformats.org/officeDocument/2006/relationships" ax:classid="{8BD21D10-EC42-11CE-9E0D-00AA006002F3}" ax:persistence="persistStreamInit" r:id="rId1"/>
</file>

<file path=xl/activeX/activeX50.xml><?xml version="1.0" encoding="utf-8"?>
<ax:ocx xmlns:ax="http://schemas.microsoft.com/office/2006/activeX" xmlns:r="http://schemas.openxmlformats.org/officeDocument/2006/relationships" ax:classid="{8BD21D10-EC42-11CE-9E0D-00AA006002F3}" ax:persistence="persistStreamInit" r:id="rId1"/>
</file>

<file path=xl/activeX/activeX51.xml><?xml version="1.0" encoding="utf-8"?>
<ax:ocx xmlns:ax="http://schemas.microsoft.com/office/2006/activeX" xmlns:r="http://schemas.openxmlformats.org/officeDocument/2006/relationships" ax:classid="{8BD21D10-EC42-11CE-9E0D-00AA006002F3}" ax:persistence="persistStreamInit" r:id="rId1"/>
</file>

<file path=xl/activeX/activeX52.xml><?xml version="1.0" encoding="utf-8"?>
<ax:ocx xmlns:ax="http://schemas.microsoft.com/office/2006/activeX" xmlns:r="http://schemas.openxmlformats.org/officeDocument/2006/relationships" ax:classid="{8BD21D10-EC42-11CE-9E0D-00AA006002F3}" ax:persistence="persistStreamInit" r:id="rId1"/>
</file>

<file path=xl/activeX/activeX53.xml><?xml version="1.0" encoding="utf-8"?>
<ax:ocx xmlns:ax="http://schemas.microsoft.com/office/2006/activeX" xmlns:r="http://schemas.openxmlformats.org/officeDocument/2006/relationships" ax:classid="{8BD21D10-EC42-11CE-9E0D-00AA006002F3}"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8BD21D10-EC42-11CE-9E0D-00AA006002F3}" ax:persistence="persistStreamInit" r:id="rId1"/>
</file>

<file path=xl/activeX/activeX56.xml><?xml version="1.0" encoding="utf-8"?>
<ax:ocx xmlns:ax="http://schemas.microsoft.com/office/2006/activeX" xmlns:r="http://schemas.openxmlformats.org/officeDocument/2006/relationships" ax:classid="{8BD21D10-EC42-11CE-9E0D-00AA006002F3}"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8BD21D10-EC42-11CE-9E0D-00AA006002F3}"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8BD21D10-EC42-11CE-9E0D-00AA006002F3}" ax:persistence="persistStreamInit" r:id="rId1"/>
</file>

<file path=xl/activeX/activeX61.xml><?xml version="1.0" encoding="utf-8"?>
<ax:ocx xmlns:ax="http://schemas.microsoft.com/office/2006/activeX" xmlns:r="http://schemas.openxmlformats.org/officeDocument/2006/relationships" ax:classid="{8BD21D10-EC42-11CE-9E0D-00AA006002F3}" ax:persistence="persistStreamInit" r:id="rId1"/>
</file>

<file path=xl/activeX/activeX62.xml><?xml version="1.0" encoding="utf-8"?>
<ax:ocx xmlns:ax="http://schemas.microsoft.com/office/2006/activeX" xmlns:r="http://schemas.openxmlformats.org/officeDocument/2006/relationships" ax:classid="{8BD21D10-EC42-11CE-9E0D-00AA006002F3}" ax:persistence="persistStreamInit" r:id="rId1"/>
</file>

<file path=xl/activeX/activeX63.xml><?xml version="1.0" encoding="utf-8"?>
<ax:ocx xmlns:ax="http://schemas.microsoft.com/office/2006/activeX" xmlns:r="http://schemas.openxmlformats.org/officeDocument/2006/relationships" ax:classid="{8BD21D10-EC42-11CE-9E0D-00AA006002F3}" ax:persistence="persistStreamInit" r:id="rId1"/>
</file>

<file path=xl/activeX/activeX64.xml><?xml version="1.0" encoding="utf-8"?>
<ax:ocx xmlns:ax="http://schemas.microsoft.com/office/2006/activeX" xmlns:r="http://schemas.openxmlformats.org/officeDocument/2006/relationships" ax:classid="{8BD21D10-EC42-11CE-9E0D-00AA006002F3}" ax:persistence="persistStreamInit" r:id="rId1"/>
</file>

<file path=xl/activeX/activeX65.xml><?xml version="1.0" encoding="utf-8"?>
<ax:ocx xmlns:ax="http://schemas.microsoft.com/office/2006/activeX" xmlns:r="http://schemas.openxmlformats.org/officeDocument/2006/relationships" ax:classid="{8BD21D10-EC42-11CE-9E0D-00AA006002F3}" ax:persistence="persistStreamInit" r:id="rId1"/>
</file>

<file path=xl/activeX/activeX66.xml><?xml version="1.0" encoding="utf-8"?>
<ax:ocx xmlns:ax="http://schemas.microsoft.com/office/2006/activeX" xmlns:r="http://schemas.openxmlformats.org/officeDocument/2006/relationships" ax:classid="{8BD21D10-EC42-11CE-9E0D-00AA006002F3}" ax:persistence="persistStreamInit" r:id="rId1"/>
</file>

<file path=xl/activeX/activeX67.xml><?xml version="1.0" encoding="utf-8"?>
<ax:ocx xmlns:ax="http://schemas.microsoft.com/office/2006/activeX" xmlns:r="http://schemas.openxmlformats.org/officeDocument/2006/relationships" ax:classid="{8BD21D10-EC42-11CE-9E0D-00AA006002F3}" ax:persistence="persistStreamInit" r:id="rId1"/>
</file>

<file path=xl/activeX/activeX68.xml><?xml version="1.0" encoding="utf-8"?>
<ax:ocx xmlns:ax="http://schemas.microsoft.com/office/2006/activeX" xmlns:r="http://schemas.openxmlformats.org/officeDocument/2006/relationships" ax:classid="{8BD21D10-EC42-11CE-9E0D-00AA006002F3}" ax:persistence="persistStreamInit" r:id="rId1"/>
</file>

<file path=xl/activeX/activeX69.xml><?xml version="1.0" encoding="utf-8"?>
<ax:ocx xmlns:ax="http://schemas.microsoft.com/office/2006/activeX" xmlns:r="http://schemas.openxmlformats.org/officeDocument/2006/relationships" ax:classid="{8BD21D10-EC42-11CE-9E0D-00AA006002F3}" ax:persistence="persistStreamInit" r:id="rId1"/>
</file>

<file path=xl/activeX/activeX70.xml><?xml version="1.0" encoding="utf-8"?>
<ax:ocx xmlns:ax="http://schemas.microsoft.com/office/2006/activeX" xmlns:r="http://schemas.openxmlformats.org/officeDocument/2006/relationships" ax:classid="{8BD21D10-EC42-11CE-9E0D-00AA006002F3}"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8BD21D10-EC42-11CE-9E0D-00AA006002F3}" ax:persistence="persistStreamInit" r:id="rId1"/>
</file>

<file path=xl/activeX/activeX73.xml><?xml version="1.0" encoding="utf-8"?>
<ax:ocx xmlns:ax="http://schemas.microsoft.com/office/2006/activeX" xmlns:r="http://schemas.openxmlformats.org/officeDocument/2006/relationships" ax:classid="{8BD21D10-EC42-11CE-9E0D-00AA006002F3}" ax:persistence="persistStreamInit" r:id="rId1"/>
</file>

<file path=xl/activeX/activeX74.xml><?xml version="1.0" encoding="utf-8"?>
<ax:ocx xmlns:ax="http://schemas.microsoft.com/office/2006/activeX" xmlns:r="http://schemas.openxmlformats.org/officeDocument/2006/relationships" ax:classid="{8BD21D10-EC42-11CE-9E0D-00AA006002F3}" ax:persistence="persistStreamInit" r:id="rId1"/>
</file>

<file path=xl/activeX/activeX75.xml><?xml version="1.0" encoding="utf-8"?>
<ax:ocx xmlns:ax="http://schemas.microsoft.com/office/2006/activeX" xmlns:r="http://schemas.openxmlformats.org/officeDocument/2006/relationships" ax:classid="{8BD21D10-EC42-11CE-9E0D-00AA006002F3}" ax:persistence="persistStreamInit" r:id="rId1"/>
</file>

<file path=xl/activeX/activeX76.xml><?xml version="1.0" encoding="utf-8"?>
<ax:ocx xmlns:ax="http://schemas.microsoft.com/office/2006/activeX" xmlns:r="http://schemas.openxmlformats.org/officeDocument/2006/relationships" ax:classid="{8BD21D10-EC42-11CE-9E0D-00AA006002F3}" ax:persistence="persistStreamInit" r:id="rId1"/>
</file>

<file path=xl/activeX/activeX77.xml><?xml version="1.0" encoding="utf-8"?>
<ax:ocx xmlns:ax="http://schemas.microsoft.com/office/2006/activeX" xmlns:r="http://schemas.openxmlformats.org/officeDocument/2006/relationships" ax:classid="{8BD21D10-EC42-11CE-9E0D-00AA006002F3}" ax:persistence="persistStreamInit" r:id="rId1"/>
</file>

<file path=xl/activeX/activeX78.xml><?xml version="1.0" encoding="utf-8"?>
<ax:ocx xmlns:ax="http://schemas.microsoft.com/office/2006/activeX" xmlns:r="http://schemas.openxmlformats.org/officeDocument/2006/relationships" ax:classid="{8BD21D10-EC42-11CE-9E0D-00AA006002F3}" ax:persistence="persistStreamInit" r:id="rId1"/>
</file>

<file path=xl/activeX/activeX79.xml><?xml version="1.0" encoding="utf-8"?>
<ax:ocx xmlns:ax="http://schemas.microsoft.com/office/2006/activeX" xmlns:r="http://schemas.openxmlformats.org/officeDocument/2006/relationships" ax:classid="{8BD21D10-EC42-11CE-9E0D-00AA006002F3}" ax:persistence="persistStreamInit" r:id="rId1"/>
</file>

<file path=xl/activeX/activeX80.xml><?xml version="1.0" encoding="utf-8"?>
<ax:ocx xmlns:ax="http://schemas.microsoft.com/office/2006/activeX" xmlns:r="http://schemas.openxmlformats.org/officeDocument/2006/relationships" ax:classid="{8BD21D10-EC42-11CE-9E0D-00AA006002F3}" ax:persistence="persistStreamInit" r:id="rId1"/>
</file>

<file path=xl/activeX/activeX81.xml><?xml version="1.0" encoding="utf-8"?>
<ax:ocx xmlns:ax="http://schemas.microsoft.com/office/2006/activeX" xmlns:r="http://schemas.openxmlformats.org/officeDocument/2006/relationships" ax:classid="{8BD21D10-EC42-11CE-9E0D-00AA006002F3}" ax:persistence="persistStreamInit" r:id="rId1"/>
</file>

<file path=xl/activeX/activeX82.xml><?xml version="1.0" encoding="utf-8"?>
<ax:ocx xmlns:ax="http://schemas.microsoft.com/office/2006/activeX" xmlns:r="http://schemas.openxmlformats.org/officeDocument/2006/relationships" ax:classid="{8BD21D10-EC42-11CE-9E0D-00AA006002F3}" ax:persistence="persistStreamInit" r:id="rId1"/>
</file>

<file path=xl/activeX/activeX83.xml><?xml version="1.0" encoding="utf-8"?>
<ax:ocx xmlns:ax="http://schemas.microsoft.com/office/2006/activeX" xmlns:r="http://schemas.openxmlformats.org/officeDocument/2006/relationships" ax:classid="{8BD21D10-EC42-11CE-9E0D-00AA006002F3}" ax:persistence="persistStreamInit" r:id="rId1"/>
</file>

<file path=xl/activeX/activeX84.xml><?xml version="1.0" encoding="utf-8"?>
<ax:ocx xmlns:ax="http://schemas.microsoft.com/office/2006/activeX" xmlns:r="http://schemas.openxmlformats.org/officeDocument/2006/relationships" ax:classid="{8BD21D10-EC42-11CE-9E0D-00AA006002F3}" ax:persistence="persistStreamInit" r:id="rId1"/>
</file>

<file path=xl/activeX/activeX85.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jpeg"/></Relationships>
</file>

<file path=xl/drawings/_rels/drawing9.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7.emf"/><Relationship Id="rId7" Type="http://schemas.openxmlformats.org/officeDocument/2006/relationships/image" Target="../media/image10.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10" Type="http://schemas.openxmlformats.org/officeDocument/2006/relationships/image" Target="../media/image13.emf"/><Relationship Id="rId4" Type="http://schemas.openxmlformats.org/officeDocument/2006/relationships/image" Target="../media/image6.emf"/><Relationship Id="rId9"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6.emf"/><Relationship Id="rId7" Type="http://schemas.openxmlformats.org/officeDocument/2006/relationships/image" Target="../media/image20.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9.emf"/><Relationship Id="rId5" Type="http://schemas.openxmlformats.org/officeDocument/2006/relationships/image" Target="../media/image18.emf"/><Relationship Id="rId4"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image" Target="../media/image24.emf"/><Relationship Id="rId7" Type="http://schemas.openxmlformats.org/officeDocument/2006/relationships/image" Target="../media/image27.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31.emf"/><Relationship Id="rId5" Type="http://schemas.openxmlformats.org/officeDocument/2006/relationships/image" Target="../media/image22.emf"/><Relationship Id="rId10" Type="http://schemas.openxmlformats.org/officeDocument/2006/relationships/image" Target="../media/image30.emf"/><Relationship Id="rId4" Type="http://schemas.openxmlformats.org/officeDocument/2006/relationships/image" Target="../media/image23.emf"/><Relationship Id="rId9" Type="http://schemas.openxmlformats.org/officeDocument/2006/relationships/image" Target="../media/image2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9.emf"/><Relationship Id="rId3" Type="http://schemas.openxmlformats.org/officeDocument/2006/relationships/image" Target="../media/image34.emf"/><Relationship Id="rId7" Type="http://schemas.openxmlformats.org/officeDocument/2006/relationships/image" Target="../media/image38.emf"/><Relationship Id="rId2" Type="http://schemas.openxmlformats.org/officeDocument/2006/relationships/image" Target="../media/image33.emf"/><Relationship Id="rId1" Type="http://schemas.openxmlformats.org/officeDocument/2006/relationships/image" Target="../media/image32.emf"/><Relationship Id="rId6" Type="http://schemas.openxmlformats.org/officeDocument/2006/relationships/image" Target="../media/image37.emf"/><Relationship Id="rId11" Type="http://schemas.openxmlformats.org/officeDocument/2006/relationships/image" Target="../media/image42.emf"/><Relationship Id="rId5" Type="http://schemas.openxmlformats.org/officeDocument/2006/relationships/image" Target="../media/image36.emf"/><Relationship Id="rId10" Type="http://schemas.openxmlformats.org/officeDocument/2006/relationships/image" Target="../media/image41.emf"/><Relationship Id="rId4" Type="http://schemas.openxmlformats.org/officeDocument/2006/relationships/image" Target="../media/image35.emf"/><Relationship Id="rId9" Type="http://schemas.openxmlformats.org/officeDocument/2006/relationships/image" Target="../media/image4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 Id="rId6" Type="http://schemas.openxmlformats.org/officeDocument/2006/relationships/image" Target="../media/image48.emf"/><Relationship Id="rId5" Type="http://schemas.openxmlformats.org/officeDocument/2006/relationships/image" Target="../media/image47.emf"/><Relationship Id="rId4" Type="http://schemas.openxmlformats.org/officeDocument/2006/relationships/image" Target="../media/image46.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52.emf"/><Relationship Id="rId7" Type="http://schemas.openxmlformats.org/officeDocument/2006/relationships/image" Target="../media/image55.emf"/><Relationship Id="rId2" Type="http://schemas.openxmlformats.org/officeDocument/2006/relationships/image" Target="../media/image53.emf"/><Relationship Id="rId1" Type="http://schemas.openxmlformats.org/officeDocument/2006/relationships/image" Target="../media/image54.emf"/><Relationship Id="rId6" Type="http://schemas.openxmlformats.org/officeDocument/2006/relationships/image" Target="../media/image49.emf"/><Relationship Id="rId5" Type="http://schemas.openxmlformats.org/officeDocument/2006/relationships/image" Target="../media/image50.emf"/><Relationship Id="rId4" Type="http://schemas.openxmlformats.org/officeDocument/2006/relationships/image" Target="../media/image51.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60.emf"/><Relationship Id="rId7" Type="http://schemas.openxmlformats.org/officeDocument/2006/relationships/image" Target="../media/image56.emf"/><Relationship Id="rId2" Type="http://schemas.openxmlformats.org/officeDocument/2006/relationships/image" Target="../media/image61.emf"/><Relationship Id="rId1" Type="http://schemas.openxmlformats.org/officeDocument/2006/relationships/image" Target="../media/image62.emf"/><Relationship Id="rId6" Type="http://schemas.openxmlformats.org/officeDocument/2006/relationships/image" Target="../media/image57.emf"/><Relationship Id="rId5" Type="http://schemas.openxmlformats.org/officeDocument/2006/relationships/image" Target="../media/image58.emf"/><Relationship Id="rId4" Type="http://schemas.openxmlformats.org/officeDocument/2006/relationships/image" Target="../media/image5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70.emf"/><Relationship Id="rId3" Type="http://schemas.openxmlformats.org/officeDocument/2006/relationships/image" Target="../media/image65.emf"/><Relationship Id="rId7" Type="http://schemas.openxmlformats.org/officeDocument/2006/relationships/image" Target="../media/image69.emf"/><Relationship Id="rId2" Type="http://schemas.openxmlformats.org/officeDocument/2006/relationships/image" Target="../media/image64.emf"/><Relationship Id="rId1" Type="http://schemas.openxmlformats.org/officeDocument/2006/relationships/image" Target="../media/image63.emf"/><Relationship Id="rId6" Type="http://schemas.openxmlformats.org/officeDocument/2006/relationships/image" Target="../media/image68.emf"/><Relationship Id="rId5" Type="http://schemas.openxmlformats.org/officeDocument/2006/relationships/image" Target="../media/image67.emf"/><Relationship Id="rId4" Type="http://schemas.openxmlformats.org/officeDocument/2006/relationships/image" Target="../media/image66.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78.emf"/><Relationship Id="rId13" Type="http://schemas.openxmlformats.org/officeDocument/2006/relationships/image" Target="../media/image83.emf"/><Relationship Id="rId3" Type="http://schemas.openxmlformats.org/officeDocument/2006/relationships/image" Target="../media/image73.emf"/><Relationship Id="rId7" Type="http://schemas.openxmlformats.org/officeDocument/2006/relationships/image" Target="../media/image77.emf"/><Relationship Id="rId12" Type="http://schemas.openxmlformats.org/officeDocument/2006/relationships/image" Target="../media/image82.emf"/><Relationship Id="rId2" Type="http://schemas.openxmlformats.org/officeDocument/2006/relationships/image" Target="../media/image72.emf"/><Relationship Id="rId16" Type="http://schemas.openxmlformats.org/officeDocument/2006/relationships/image" Target="../media/image86.emf"/><Relationship Id="rId1" Type="http://schemas.openxmlformats.org/officeDocument/2006/relationships/image" Target="../media/image71.emf"/><Relationship Id="rId6" Type="http://schemas.openxmlformats.org/officeDocument/2006/relationships/image" Target="../media/image76.emf"/><Relationship Id="rId11" Type="http://schemas.openxmlformats.org/officeDocument/2006/relationships/image" Target="../media/image81.emf"/><Relationship Id="rId5" Type="http://schemas.openxmlformats.org/officeDocument/2006/relationships/image" Target="../media/image75.emf"/><Relationship Id="rId15" Type="http://schemas.openxmlformats.org/officeDocument/2006/relationships/image" Target="../media/image85.emf"/><Relationship Id="rId10" Type="http://schemas.openxmlformats.org/officeDocument/2006/relationships/image" Target="../media/image80.emf"/><Relationship Id="rId4" Type="http://schemas.openxmlformats.org/officeDocument/2006/relationships/image" Target="../media/image74.emf"/><Relationship Id="rId9" Type="http://schemas.openxmlformats.org/officeDocument/2006/relationships/image" Target="../media/image79.emf"/><Relationship Id="rId14" Type="http://schemas.openxmlformats.org/officeDocument/2006/relationships/image" Target="../media/image84.emf"/></Relationships>
</file>

<file path=xl/drawings/drawing1.xml><?xml version="1.0" encoding="utf-8"?>
<xdr:wsDr xmlns:xdr="http://schemas.openxmlformats.org/drawingml/2006/spreadsheetDrawing" xmlns:a="http://schemas.openxmlformats.org/drawingml/2006/main">
  <xdr:twoCellAnchor editAs="oneCell">
    <xdr:from>
      <xdr:col>1</xdr:col>
      <xdr:colOff>9503</xdr:colOff>
      <xdr:row>0</xdr:row>
      <xdr:rowOff>0</xdr:rowOff>
    </xdr:from>
    <xdr:to>
      <xdr:col>4</xdr:col>
      <xdr:colOff>998885</xdr:colOff>
      <xdr:row>1</xdr:row>
      <xdr:rowOff>34760</xdr:rowOff>
    </xdr:to>
    <xdr:pic>
      <xdr:nvPicPr>
        <xdr:cNvPr id="2" name="1 Imagen">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71503" y="0"/>
          <a:ext cx="9752382" cy="132063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9525</xdr:colOff>
          <xdr:row>0</xdr:row>
          <xdr:rowOff>0</xdr:rowOff>
        </xdr:to>
        <xdr:sp macro="" textlink="">
          <xdr:nvSpPr>
            <xdr:cNvPr id="111617" name="FPMExcelClientSheetOptionstb1" hidden="1">
              <a:extLst>
                <a:ext uri="{63B3BB69-23CF-44E3-9099-C40C66FF867C}">
                  <a14:compatExt spid="_x0000_s111617"/>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45394</xdr:colOff>
      <xdr:row>0</xdr:row>
      <xdr:rowOff>1178718</xdr:rowOff>
    </xdr:to>
    <xdr:pic>
      <xdr:nvPicPr>
        <xdr:cNvPr id="3" name="2 Imagen">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356378" cy="1178718"/>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39265" name="FPMExcelClientSheetOptionstb1" hidden="1">
              <a:extLst>
                <a:ext uri="{63B3BB69-23CF-44E3-9099-C40C66FF867C}">
                  <a14:compatExt spid="_x0000_s1392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1</xdr:row>
          <xdr:rowOff>219075</xdr:rowOff>
        </xdr:from>
        <xdr:to>
          <xdr:col>11</xdr:col>
          <xdr:colOff>219075</xdr:colOff>
          <xdr:row>2</xdr:row>
          <xdr:rowOff>171450</xdr:rowOff>
        </xdr:to>
        <xdr:sp macro="" textlink="">
          <xdr:nvSpPr>
            <xdr:cNvPr id="139267" name="Button 3" hidden="1">
              <a:extLst>
                <a:ext uri="{63B3BB69-23CF-44E3-9099-C40C66FF867C}">
                  <a14:compatExt spid="_x0000_s139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Consultar Informacion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180975</xdr:colOff>
          <xdr:row>3</xdr:row>
          <xdr:rowOff>57150</xdr:rowOff>
        </xdr:from>
        <xdr:to>
          <xdr:col>11</xdr:col>
          <xdr:colOff>200025</xdr:colOff>
          <xdr:row>4</xdr:row>
          <xdr:rowOff>76200</xdr:rowOff>
        </xdr:to>
        <xdr:sp macro="" textlink="">
          <xdr:nvSpPr>
            <xdr:cNvPr id="139268" name="Button 4" hidden="1">
              <a:extLst>
                <a:ext uri="{63B3BB69-23CF-44E3-9099-C40C66FF867C}">
                  <a14:compatExt spid="_x0000_s139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Diligenciar Informacion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8</xdr:row>
          <xdr:rowOff>161925</xdr:rowOff>
        </xdr:from>
        <xdr:to>
          <xdr:col>11</xdr:col>
          <xdr:colOff>209550</xdr:colOff>
          <xdr:row>10</xdr:row>
          <xdr:rowOff>104775</xdr:rowOff>
        </xdr:to>
        <xdr:sp macro="" textlink="">
          <xdr:nvSpPr>
            <xdr:cNvPr id="139270" name="Button 6" hidden="1">
              <a:extLst>
                <a:ext uri="{63B3BB69-23CF-44E3-9099-C40C66FF867C}">
                  <a14:compatExt spid="_x0000_s139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GENERAR COMPROBANTE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2</xdr:col>
      <xdr:colOff>1127650</xdr:colOff>
      <xdr:row>0</xdr:row>
      <xdr:rowOff>0</xdr:rowOff>
    </xdr:from>
    <xdr:to>
      <xdr:col>6</xdr:col>
      <xdr:colOff>671217</xdr:colOff>
      <xdr:row>0</xdr:row>
      <xdr:rowOff>483722</xdr:rowOff>
    </xdr:to>
    <xdr:sp macro="" textlink="">
      <xdr:nvSpPr>
        <xdr:cNvPr id="3" name="11 Rectángulo">
          <a:extLst>
            <a:ext uri="{FF2B5EF4-FFF2-40B4-BE49-F238E27FC236}">
              <a16:creationId xmlns:a16="http://schemas.microsoft.com/office/drawing/2014/main" xmlns="" id="{00000000-0008-0000-0200-000003000000}"/>
            </a:ext>
          </a:extLst>
        </xdr:cNvPr>
        <xdr:cNvSpPr/>
      </xdr:nvSpPr>
      <xdr:spPr>
        <a:xfrm>
          <a:off x="2061100" y="0"/>
          <a:ext cx="5996754" cy="483722"/>
        </a:xfrm>
        <a:prstGeom prst="rect">
          <a:avLst/>
        </a:prstGeom>
        <a:noFill/>
        <a:effectLst>
          <a:outerShdw blurRad="50800" dist="38100" dir="5400000" algn="t" rotWithShape="0">
            <a:prstClr val="black">
              <a:alpha val="40000"/>
            </a:prstClr>
          </a:outerShdw>
        </a:effectLst>
      </xdr:spPr>
      <xdr:txBody>
        <a:bodyPr wrap="square" lIns="91440" tIns="45720" rIns="91440" bIns="45720" anchor="t">
          <a:spAutoFit/>
        </a:bodyPr>
        <a:lstStyle/>
        <a:p>
          <a:pPr algn="ctr"/>
          <a:endParaRPr lang="es-ES" sz="25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9525</xdr:colOff>
          <xdr:row>0</xdr:row>
          <xdr:rowOff>0</xdr:rowOff>
        </xdr:to>
        <xdr:sp macro="" textlink="">
          <xdr:nvSpPr>
            <xdr:cNvPr id="302081" name="FPMExcelClientSheetOptionstb1" hidden="1">
              <a:extLst>
                <a:ext uri="{63B3BB69-23CF-44E3-9099-C40C66FF867C}">
                  <a14:compatExt spid="_x0000_s302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9525</xdr:colOff>
          <xdr:row>0</xdr:row>
          <xdr:rowOff>0</xdr:rowOff>
        </xdr:to>
        <xdr:sp macro="" textlink="">
          <xdr:nvSpPr>
            <xdr:cNvPr id="302082" name="ConnectionDescriptorsInfotb1" hidden="1">
              <a:extLst>
                <a:ext uri="{63B3BB69-23CF-44E3-9099-C40C66FF867C}">
                  <a14:compatExt spid="_x0000_s302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9525</xdr:colOff>
          <xdr:row>0</xdr:row>
          <xdr:rowOff>0</xdr:rowOff>
        </xdr:to>
        <xdr:sp macro="" textlink="">
          <xdr:nvSpPr>
            <xdr:cNvPr id="302083" name="MultipleReportManagerInfotb1" hidden="1">
              <a:extLst>
                <a:ext uri="{63B3BB69-23CF-44E3-9099-C40C66FF867C}">
                  <a14:compatExt spid="_x0000_s302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9525</xdr:colOff>
          <xdr:row>0</xdr:row>
          <xdr:rowOff>0</xdr:rowOff>
        </xdr:to>
        <xdr:sp macro="" textlink="">
          <xdr:nvSpPr>
            <xdr:cNvPr id="302084" name="AnalyzerDynReport000tb1" hidden="1">
              <a:extLst>
                <a:ext uri="{63B3BB69-23CF-44E3-9099-C40C66FF867C}">
                  <a14:compatExt spid="_x0000_s302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9525</xdr:colOff>
          <xdr:row>0</xdr:row>
          <xdr:rowOff>0</xdr:rowOff>
        </xdr:to>
        <xdr:sp macro="" textlink="">
          <xdr:nvSpPr>
            <xdr:cNvPr id="302085" name="ReportSubmitManagerControltb1" hidden="1">
              <a:extLst>
                <a:ext uri="{63B3BB69-23CF-44E3-9099-C40C66FF867C}">
                  <a14:compatExt spid="_x0000_s302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9525</xdr:colOff>
          <xdr:row>0</xdr:row>
          <xdr:rowOff>0</xdr:rowOff>
        </xdr:to>
        <xdr:sp macro="" textlink="">
          <xdr:nvSpPr>
            <xdr:cNvPr id="302086" name="ReportSubmitControl_1tb1" hidden="1">
              <a:extLst>
                <a:ext uri="{63B3BB69-23CF-44E3-9099-C40C66FF867C}">
                  <a14:compatExt spid="_x0000_s302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533400</xdr:colOff>
          <xdr:row>0</xdr:row>
          <xdr:rowOff>0</xdr:rowOff>
        </xdr:to>
        <xdr:sp macro="" textlink="">
          <xdr:nvSpPr>
            <xdr:cNvPr id="302087" name="ReportSubmitControl_2tb1" hidden="1">
              <a:extLst>
                <a:ext uri="{63B3BB69-23CF-44E3-9099-C40C66FF867C}">
                  <a14:compatExt spid="_x0000_s302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9525</xdr:rowOff>
        </xdr:to>
        <xdr:sp macro="" textlink="">
          <xdr:nvSpPr>
            <xdr:cNvPr id="302088" name="AnalyzerDynReport001tb1" hidden="1">
              <a:extLst>
                <a:ext uri="{63B3BB69-23CF-44E3-9099-C40C66FF867C}">
                  <a14:compatExt spid="_x0000_s302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9525</xdr:rowOff>
        </xdr:to>
        <xdr:sp macro="" textlink="">
          <xdr:nvSpPr>
            <xdr:cNvPr id="302092" name="ReportSubmitControl_3tb1" hidden="1">
              <a:extLst>
                <a:ext uri="{63B3BB69-23CF-44E3-9099-C40C66FF867C}">
                  <a14:compatExt spid="_x0000_s302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9525</xdr:rowOff>
        </xdr:to>
        <xdr:sp macro="" textlink="">
          <xdr:nvSpPr>
            <xdr:cNvPr id="302093" name="AnalyzerDynReport002tb1" hidden="1">
              <a:extLst>
                <a:ext uri="{63B3BB69-23CF-44E3-9099-C40C66FF867C}">
                  <a14:compatExt spid="_x0000_s302093"/>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9525</xdr:rowOff>
    </xdr:from>
    <xdr:to>
      <xdr:col>5</xdr:col>
      <xdr:colOff>288325</xdr:colOff>
      <xdr:row>0</xdr:row>
      <xdr:rowOff>1025525</xdr:rowOff>
    </xdr:to>
    <xdr:pic>
      <xdr:nvPicPr>
        <xdr:cNvPr id="17" name="Cuadro">
          <a:extLst>
            <a:ext uri="{FF2B5EF4-FFF2-40B4-BE49-F238E27FC236}">
              <a16:creationId xmlns:a16="http://schemas.microsoft.com/office/drawing/2014/main" xmlns="" id="{00000000-0008-0000-0200-000011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525"/>
          <a:ext cx="9499000" cy="1016000"/>
        </a:xfrm>
        <a:prstGeom prst="rect">
          <a:avLst/>
        </a:prstGeom>
      </xdr:spPr>
    </xdr:pic>
    <xdr:clientData/>
  </xdr:twoCellAnchor>
  <xdr:twoCellAnchor>
    <xdr:from>
      <xdr:col>2</xdr:col>
      <xdr:colOff>1023938</xdr:colOff>
      <xdr:row>0</xdr:row>
      <xdr:rowOff>9525</xdr:rowOff>
    </xdr:from>
    <xdr:to>
      <xdr:col>4</xdr:col>
      <xdr:colOff>733425</xdr:colOff>
      <xdr:row>0</xdr:row>
      <xdr:rowOff>493247</xdr:rowOff>
    </xdr:to>
    <xdr:sp macro="" textlink="Resultados!C13">
      <xdr:nvSpPr>
        <xdr:cNvPr id="18" name="LblGrupo">
          <a:extLst>
            <a:ext uri="{FF2B5EF4-FFF2-40B4-BE49-F238E27FC236}">
              <a16:creationId xmlns:a16="http://schemas.microsoft.com/office/drawing/2014/main" xmlns="" id="{00000000-0008-0000-0200-000012000000}"/>
            </a:ext>
          </a:extLst>
        </xdr:cNvPr>
        <xdr:cNvSpPr/>
      </xdr:nvSpPr>
      <xdr:spPr>
        <a:xfrm>
          <a:off x="1957388" y="9525"/>
          <a:ext cx="4586287" cy="483722"/>
        </a:xfrm>
        <a:prstGeom prst="rect">
          <a:avLst/>
        </a:prstGeom>
        <a:noFill/>
        <a:effectLst>
          <a:outerShdw blurRad="50800" dist="38100" dir="5400000" algn="t" rotWithShape="0">
            <a:prstClr val="black">
              <a:alpha val="40000"/>
            </a:prstClr>
          </a:outerShdw>
        </a:effectLst>
      </xdr:spPr>
      <xdr:txBody>
        <a:bodyPr wrap="square" lIns="91440" tIns="45720" rIns="91440" bIns="45720" anchor="t">
          <a:noAutofit/>
        </a:bodyPr>
        <a:lstStyle/>
        <a:p>
          <a:pPr algn="l"/>
          <a:fld id="{AF8F4D9B-7897-4DD4-BE1B-116EF1260F35}" type="TxLink">
            <a:rPr lang="en-US" sz="25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cs typeface="Arial" panose="020B0604020202020204" pitchFamily="34" charset="0"/>
            </a:rPr>
            <a:pPr algn="l"/>
            <a:t>GRUPO EMPRESARIAL INVERNAC</a:t>
          </a:fld>
          <a:endParaRPr lang="es-ES" sz="25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cs typeface="Arial" panose="020B0604020202020204" pitchFamily="34" charset="0"/>
          </a:endParaRPr>
        </a:p>
      </xdr:txBody>
    </xdr:sp>
    <xdr:clientData/>
  </xdr:twoCellAnchor>
  <xdr:twoCellAnchor>
    <xdr:from>
      <xdr:col>2</xdr:col>
      <xdr:colOff>1606550</xdr:colOff>
      <xdr:row>0</xdr:row>
      <xdr:rowOff>368300</xdr:rowOff>
    </xdr:from>
    <xdr:to>
      <xdr:col>2</xdr:col>
      <xdr:colOff>3673072</xdr:colOff>
      <xdr:row>0</xdr:row>
      <xdr:rowOff>785291</xdr:rowOff>
    </xdr:to>
    <xdr:sp macro="" textlink="C3">
      <xdr:nvSpPr>
        <xdr:cNvPr id="19" name="lblCompania">
          <a:extLst>
            <a:ext uri="{FF2B5EF4-FFF2-40B4-BE49-F238E27FC236}">
              <a16:creationId xmlns:a16="http://schemas.microsoft.com/office/drawing/2014/main" xmlns="" id="{00000000-0008-0000-0200-000013000000}"/>
            </a:ext>
          </a:extLst>
        </xdr:cNvPr>
        <xdr:cNvSpPr txBox="1">
          <a:spLocks noChangeAspect="1"/>
        </xdr:cNvSpPr>
      </xdr:nvSpPr>
      <xdr:spPr>
        <a:xfrm>
          <a:off x="3666331" y="368300"/>
          <a:ext cx="2066522" cy="416991"/>
        </a:xfrm>
        <a:prstGeom prst="rect">
          <a:avLst/>
        </a:prstGeom>
        <a:noFill/>
        <a:effectLst>
          <a:outerShdw blurRad="50800" dist="38100" dir="5400000" algn="t" rotWithShape="0">
            <a:prstClr val="black">
              <a:alpha val="40000"/>
            </a:prstClr>
          </a:outerShdw>
        </a:effectLst>
      </xdr:spPr>
      <xdr:txBody>
        <a:bodyPr wrap="none" lIns="91440" tIns="45720" rIns="91440" bIns="45720" anchor="t">
          <a:noAutofit/>
        </a:bodyPr>
        <a:lstStyle/>
        <a:p>
          <a:pPr marL="0" indent="0" algn="l"/>
          <a:fld id="{89EC303D-90F9-4120-9C44-22E2559BD742}" type="TxLink">
            <a:rPr lang="en-US" sz="18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Arial"/>
            </a:rPr>
            <a:pPr marL="0" indent="0" algn="l"/>
            <a:t> </a:t>
          </a:fld>
          <a:endParaRPr lang="es-CO" sz="18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endParaRPr>
        </a:p>
      </xdr:txBody>
    </xdr:sp>
    <xdr:clientData/>
  </xdr:twoCellAnchor>
  <xdr:twoCellAnchor>
    <xdr:from>
      <xdr:col>2</xdr:col>
      <xdr:colOff>1606550</xdr:colOff>
      <xdr:row>0</xdr:row>
      <xdr:rowOff>635000</xdr:rowOff>
    </xdr:from>
    <xdr:to>
      <xdr:col>2</xdr:col>
      <xdr:colOff>2488522</xdr:colOff>
      <xdr:row>0</xdr:row>
      <xdr:rowOff>974349</xdr:rowOff>
    </xdr:to>
    <xdr:sp macro="" textlink="C4">
      <xdr:nvSpPr>
        <xdr:cNvPr id="20" name="LblFecha">
          <a:extLst>
            <a:ext uri="{FF2B5EF4-FFF2-40B4-BE49-F238E27FC236}">
              <a16:creationId xmlns:a16="http://schemas.microsoft.com/office/drawing/2014/main" xmlns="" id="{00000000-0008-0000-0200-000014000000}"/>
            </a:ext>
          </a:extLst>
        </xdr:cNvPr>
        <xdr:cNvSpPr txBox="1"/>
      </xdr:nvSpPr>
      <xdr:spPr>
        <a:xfrm>
          <a:off x="2540000" y="635000"/>
          <a:ext cx="881972" cy="339349"/>
        </a:xfrm>
        <a:prstGeom prst="rect">
          <a:avLst/>
        </a:prstGeom>
        <a:noFill/>
        <a:effectLst>
          <a:outerShdw blurRad="50800" dist="38100" dir="5400000" algn="t" rotWithShape="0">
            <a:prstClr val="black">
              <a:alpha val="40000"/>
            </a:prstClr>
          </a:outerShdw>
        </a:effectLst>
      </xdr:spPr>
      <xdr:txBody>
        <a:bodyPr wrap="none" lIns="91440" tIns="45720" rIns="91440" bIns="45720" anchor="ctr" anchorCtr="0">
          <a:noAutofit/>
        </a:bodyPr>
        <a:lstStyle/>
        <a:p>
          <a:pPr marL="0" indent="0" algn="l"/>
          <a:fld id="{40626F42-AF11-4E3C-A7B1-A27D7C35BFEA}" type="TxLink">
            <a:rPr lang="en-US" sz="15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Arial"/>
            </a:rPr>
            <a:pPr marL="0" indent="0" algn="l"/>
            <a:t> </a:t>
          </a:fld>
          <a:endParaRPr lang="es-CO" sz="15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3</xdr:col>
          <xdr:colOff>238125</xdr:colOff>
          <xdr:row>1</xdr:row>
          <xdr:rowOff>161925</xdr:rowOff>
        </xdr:from>
        <xdr:to>
          <xdr:col>5</xdr:col>
          <xdr:colOff>628650</xdr:colOff>
          <xdr:row>3</xdr:row>
          <xdr:rowOff>0</xdr:rowOff>
        </xdr:to>
        <xdr:sp macro="" textlink="">
          <xdr:nvSpPr>
            <xdr:cNvPr id="302110" name="Button 30" hidden="1">
              <a:extLst>
                <a:ext uri="{63B3BB69-23CF-44E3-9099-C40C66FF867C}">
                  <a14:compatExt spid="_x0000_s30211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Consultar Informacion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609600</xdr:colOff>
          <xdr:row>0</xdr:row>
          <xdr:rowOff>114300</xdr:rowOff>
        </xdr:from>
        <xdr:to>
          <xdr:col>8</xdr:col>
          <xdr:colOff>628650</xdr:colOff>
          <xdr:row>0</xdr:row>
          <xdr:rowOff>314325</xdr:rowOff>
        </xdr:to>
        <xdr:sp macro="" textlink="">
          <xdr:nvSpPr>
            <xdr:cNvPr id="302127" name="Button 47" hidden="1">
              <a:extLst>
                <a:ext uri="{63B3BB69-23CF-44E3-9099-C40C66FF867C}">
                  <a14:compatExt spid="_x0000_s3021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Guardar Nota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88300</xdr:colOff>
      <xdr:row>0</xdr:row>
      <xdr:rowOff>1016000</xdr:rowOff>
    </xdr:to>
    <xdr:pic>
      <xdr:nvPicPr>
        <xdr:cNvPr id="2" name="Cuadro">
          <a:extLst>
            <a:ext uri="{FF2B5EF4-FFF2-40B4-BE49-F238E27FC236}">
              <a16:creationId xmlns:a16="http://schemas.microsoft.com/office/drawing/2014/main" xmlns="" id="{00000000-0008-0000-03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499000" cy="1016000"/>
        </a:xfrm>
        <a:prstGeom prst="rect">
          <a:avLst/>
        </a:prstGeom>
      </xdr:spPr>
    </xdr:pic>
    <xdr:clientData/>
  </xdr:twoCellAnchor>
  <xdr:twoCellAnchor>
    <xdr:from>
      <xdr:col>2</xdr:col>
      <xdr:colOff>1587500</xdr:colOff>
      <xdr:row>0</xdr:row>
      <xdr:rowOff>0</xdr:rowOff>
    </xdr:from>
    <xdr:to>
      <xdr:col>3</xdr:col>
      <xdr:colOff>222981</xdr:colOff>
      <xdr:row>0</xdr:row>
      <xdr:rowOff>575149</xdr:rowOff>
    </xdr:to>
    <xdr:sp macro="" textlink="Resultados!C13">
      <xdr:nvSpPr>
        <xdr:cNvPr id="3" name="LblGrupo">
          <a:extLst>
            <a:ext uri="{FF2B5EF4-FFF2-40B4-BE49-F238E27FC236}">
              <a16:creationId xmlns:a16="http://schemas.microsoft.com/office/drawing/2014/main" xmlns="" id="{00000000-0008-0000-0300-000003000000}"/>
            </a:ext>
          </a:extLst>
        </xdr:cNvPr>
        <xdr:cNvSpPr/>
      </xdr:nvSpPr>
      <xdr:spPr>
        <a:xfrm>
          <a:off x="2540000" y="0"/>
          <a:ext cx="4883881" cy="575149"/>
        </a:xfrm>
        <a:prstGeom prst="rect">
          <a:avLst/>
        </a:prstGeom>
        <a:noFill/>
        <a:effectLst>
          <a:outerShdw blurRad="50800" dist="38100" dir="5400000" algn="t" rotWithShape="0">
            <a:prstClr val="black">
              <a:alpha val="40000"/>
            </a:prstClr>
          </a:outerShdw>
        </a:effectLst>
      </xdr:spPr>
      <xdr:txBody>
        <a:bodyPr wrap="square" lIns="91440" tIns="45720" rIns="91440" bIns="45720" anchor="t">
          <a:noAutofit/>
        </a:bodyPr>
        <a:lstStyle/>
        <a:p>
          <a:pPr algn="l"/>
          <a:fld id="{AF8F4D9B-7897-4DD4-BE1B-116EF1260F35}" type="TxLink">
            <a:rPr lang="en-US" sz="25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cs typeface="Arial" panose="020B0604020202020204" pitchFamily="34" charset="0"/>
            </a:rPr>
            <a:pPr algn="l"/>
            <a:t>GRUPO EMPRESARIAL INVERNAC</a:t>
          </a:fld>
          <a:endParaRPr lang="es-ES" sz="25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cs typeface="Arial" panose="020B0604020202020204" pitchFamily="34" charset="0"/>
          </a:endParaRPr>
        </a:p>
      </xdr:txBody>
    </xdr:sp>
    <xdr:clientData/>
  </xdr:twoCellAnchor>
  <xdr:twoCellAnchor>
    <xdr:from>
      <xdr:col>2</xdr:col>
      <xdr:colOff>1587500</xdr:colOff>
      <xdr:row>0</xdr:row>
      <xdr:rowOff>368300</xdr:rowOff>
    </xdr:from>
    <xdr:to>
      <xdr:col>2</xdr:col>
      <xdr:colOff>6120506</xdr:colOff>
      <xdr:row>0</xdr:row>
      <xdr:rowOff>894278</xdr:rowOff>
    </xdr:to>
    <xdr:sp macro="" textlink="C3">
      <xdr:nvSpPr>
        <xdr:cNvPr id="4" name="lblCompania">
          <a:extLst>
            <a:ext uri="{FF2B5EF4-FFF2-40B4-BE49-F238E27FC236}">
              <a16:creationId xmlns:a16="http://schemas.microsoft.com/office/drawing/2014/main" xmlns="" id="{00000000-0008-0000-0300-000004000000}"/>
            </a:ext>
          </a:extLst>
        </xdr:cNvPr>
        <xdr:cNvSpPr txBox="1">
          <a:spLocks noChangeAspect="1"/>
        </xdr:cNvSpPr>
      </xdr:nvSpPr>
      <xdr:spPr>
        <a:xfrm>
          <a:off x="2540000" y="368300"/>
          <a:ext cx="4533006" cy="525978"/>
        </a:xfrm>
        <a:prstGeom prst="rect">
          <a:avLst/>
        </a:prstGeom>
        <a:noFill/>
        <a:effectLst>
          <a:outerShdw blurRad="50800" dist="38100" dir="5400000" algn="t" rotWithShape="0">
            <a:prstClr val="black">
              <a:alpha val="40000"/>
            </a:prstClr>
          </a:outerShdw>
        </a:effectLst>
      </xdr:spPr>
      <xdr:txBody>
        <a:bodyPr wrap="none" lIns="91440" tIns="45720" rIns="91440" bIns="45720" anchor="t">
          <a:noAutofit/>
        </a:bodyPr>
        <a:lstStyle/>
        <a:p>
          <a:pPr marL="0" indent="0" algn="l"/>
          <a:fld id="{44BCE906-A2FF-4A67-8D5E-E94A56A13D7E}" type="TxLink">
            <a:rPr lang="en-US" sz="18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Calibri"/>
            </a:rPr>
            <a:pPr marL="0" indent="0" algn="l"/>
            <a:t> </a:t>
          </a:fld>
          <a:endParaRPr lang="es-CO" sz="18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endParaRPr>
        </a:p>
      </xdr:txBody>
    </xdr:sp>
    <xdr:clientData/>
  </xdr:twoCellAnchor>
  <xdr:twoCellAnchor>
    <xdr:from>
      <xdr:col>2</xdr:col>
      <xdr:colOff>1587500</xdr:colOff>
      <xdr:row>0</xdr:row>
      <xdr:rowOff>635000</xdr:rowOff>
    </xdr:from>
    <xdr:to>
      <xdr:col>2</xdr:col>
      <xdr:colOff>2486846</xdr:colOff>
      <xdr:row>0</xdr:row>
      <xdr:rowOff>1063043</xdr:rowOff>
    </xdr:to>
    <xdr:sp macro="" textlink="C4">
      <xdr:nvSpPr>
        <xdr:cNvPr id="5" name="LblFecha">
          <a:extLst>
            <a:ext uri="{FF2B5EF4-FFF2-40B4-BE49-F238E27FC236}">
              <a16:creationId xmlns:a16="http://schemas.microsoft.com/office/drawing/2014/main" xmlns="" id="{00000000-0008-0000-0300-000005000000}"/>
            </a:ext>
          </a:extLst>
        </xdr:cNvPr>
        <xdr:cNvSpPr txBox="1"/>
      </xdr:nvSpPr>
      <xdr:spPr>
        <a:xfrm>
          <a:off x="2540000" y="635000"/>
          <a:ext cx="899346" cy="428043"/>
        </a:xfrm>
        <a:prstGeom prst="rect">
          <a:avLst/>
        </a:prstGeom>
        <a:noFill/>
        <a:effectLst>
          <a:outerShdw blurRad="50800" dist="38100" dir="5400000" algn="t" rotWithShape="0">
            <a:prstClr val="black">
              <a:alpha val="40000"/>
            </a:prstClr>
          </a:outerShdw>
        </a:effectLst>
      </xdr:spPr>
      <xdr:txBody>
        <a:bodyPr wrap="none" lIns="91440" tIns="45720" rIns="91440" bIns="45720" anchor="ctr" anchorCtr="0">
          <a:noAutofit/>
        </a:bodyPr>
        <a:lstStyle/>
        <a:p>
          <a:pPr marL="0" indent="0" algn="l"/>
          <a:fld id="{6F1911B4-A145-4C95-98DF-A21D413DD983}" type="TxLink">
            <a:rPr lang="en-US" sz="15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rPr>
            <a:pPr marL="0" indent="0" algn="l"/>
            <a:t> </a:t>
          </a:fld>
          <a:endParaRPr lang="es-CO" sz="15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9525</xdr:colOff>
          <xdr:row>0</xdr:row>
          <xdr:rowOff>0</xdr:rowOff>
        </xdr:to>
        <xdr:sp macro="" textlink="">
          <xdr:nvSpPr>
            <xdr:cNvPr id="268289" name="FPMExcelClientSheetOptionstb1" hidden="1">
              <a:extLst>
                <a:ext uri="{63B3BB69-23CF-44E3-9099-C40C66FF867C}">
                  <a14:compatExt spid="_x0000_s2682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9525</xdr:colOff>
          <xdr:row>0</xdr:row>
          <xdr:rowOff>0</xdr:rowOff>
        </xdr:to>
        <xdr:sp macro="" textlink="">
          <xdr:nvSpPr>
            <xdr:cNvPr id="268290" name="ConnectionDescriptorsInfotb1" hidden="1">
              <a:extLst>
                <a:ext uri="{63B3BB69-23CF-44E3-9099-C40C66FF867C}">
                  <a14:compatExt spid="_x0000_s2682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9525</xdr:colOff>
          <xdr:row>0</xdr:row>
          <xdr:rowOff>0</xdr:rowOff>
        </xdr:to>
        <xdr:sp macro="" textlink="">
          <xdr:nvSpPr>
            <xdr:cNvPr id="268291" name="MultipleReportManagerInfotb1" hidden="1">
              <a:extLst>
                <a:ext uri="{63B3BB69-23CF-44E3-9099-C40C66FF867C}">
                  <a14:compatExt spid="_x0000_s2682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9525</xdr:colOff>
          <xdr:row>0</xdr:row>
          <xdr:rowOff>0</xdr:rowOff>
        </xdr:to>
        <xdr:sp macro="" textlink="">
          <xdr:nvSpPr>
            <xdr:cNvPr id="268292" name="AnalyzerDynReport000tb1" hidden="1">
              <a:extLst>
                <a:ext uri="{63B3BB69-23CF-44E3-9099-C40C66FF867C}">
                  <a14:compatExt spid="_x0000_s2682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9525</xdr:colOff>
          <xdr:row>0</xdr:row>
          <xdr:rowOff>0</xdr:rowOff>
        </xdr:to>
        <xdr:sp macro="" textlink="">
          <xdr:nvSpPr>
            <xdr:cNvPr id="268293" name="ReportSubmitManagerControltb1" hidden="1">
              <a:extLst>
                <a:ext uri="{63B3BB69-23CF-44E3-9099-C40C66FF867C}">
                  <a14:compatExt spid="_x0000_s2682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9525</xdr:colOff>
          <xdr:row>0</xdr:row>
          <xdr:rowOff>0</xdr:rowOff>
        </xdr:to>
        <xdr:sp macro="" textlink="">
          <xdr:nvSpPr>
            <xdr:cNvPr id="268294" name="ReportSubmitControl_1tb1" hidden="1">
              <a:extLst>
                <a:ext uri="{63B3BB69-23CF-44E3-9099-C40C66FF867C}">
                  <a14:compatExt spid="_x0000_s2682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914400</xdr:colOff>
          <xdr:row>0</xdr:row>
          <xdr:rowOff>0</xdr:rowOff>
        </xdr:to>
        <xdr:sp macro="" textlink="">
          <xdr:nvSpPr>
            <xdr:cNvPr id="268296" name="ReportSubmitControl_2tb1" hidden="1">
              <a:extLst>
                <a:ext uri="{63B3BB69-23CF-44E3-9099-C40C66FF867C}">
                  <a14:compatExt spid="_x0000_s2682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285750</xdr:colOff>
          <xdr:row>1</xdr:row>
          <xdr:rowOff>171450</xdr:rowOff>
        </xdr:from>
        <xdr:to>
          <xdr:col>6</xdr:col>
          <xdr:colOff>438150</xdr:colOff>
          <xdr:row>3</xdr:row>
          <xdr:rowOff>9525</xdr:rowOff>
        </xdr:to>
        <xdr:sp macro="" textlink="">
          <xdr:nvSpPr>
            <xdr:cNvPr id="268298" name="Button 10" hidden="1">
              <a:extLst>
                <a:ext uri="{63B3BB69-23CF-44E3-9099-C40C66FF867C}">
                  <a14:compatExt spid="_x0000_s2682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Consultar Informacion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333375</xdr:colOff>
          <xdr:row>0</xdr:row>
          <xdr:rowOff>114300</xdr:rowOff>
        </xdr:from>
        <xdr:to>
          <xdr:col>16</xdr:col>
          <xdr:colOff>200025</xdr:colOff>
          <xdr:row>0</xdr:row>
          <xdr:rowOff>314325</xdr:rowOff>
        </xdr:to>
        <xdr:sp macro="" textlink="">
          <xdr:nvSpPr>
            <xdr:cNvPr id="268305" name="Button 17" hidden="1">
              <a:extLst>
                <a:ext uri="{63B3BB69-23CF-44E3-9099-C40C66FF867C}">
                  <a14:compatExt spid="_x0000_s2683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Guardar Nota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79553" name="FPMExcelClientSheetOptionstb1" hidden="1">
              <a:extLst>
                <a:ext uri="{63B3BB69-23CF-44E3-9099-C40C66FF867C}">
                  <a14:compatExt spid="_x0000_s2795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79554" name="ConnectionDescriptorsInfotb1" hidden="1">
              <a:extLst>
                <a:ext uri="{63B3BB69-23CF-44E3-9099-C40C66FF867C}">
                  <a14:compatExt spid="_x0000_s2795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79555" name="MultipleReportManagerInfotb1" hidden="1">
              <a:extLst>
                <a:ext uri="{63B3BB69-23CF-44E3-9099-C40C66FF867C}">
                  <a14:compatExt spid="_x0000_s2795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79556" name="AnalyzerDynReport000tb1" hidden="1">
              <a:extLst>
                <a:ext uri="{63B3BB69-23CF-44E3-9099-C40C66FF867C}">
                  <a14:compatExt spid="_x0000_s2795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79557" name="ReportSubmitManagerControltb1" hidden="1">
              <a:extLst>
                <a:ext uri="{63B3BB69-23CF-44E3-9099-C40C66FF867C}">
                  <a14:compatExt spid="_x0000_s2795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79558" name="ReportSubmitControl_1tb1" hidden="1">
              <a:extLst>
                <a:ext uri="{63B3BB69-23CF-44E3-9099-C40C66FF867C}">
                  <a14:compatExt spid="_x0000_s2795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342900</xdr:colOff>
          <xdr:row>0</xdr:row>
          <xdr:rowOff>0</xdr:rowOff>
        </xdr:to>
        <xdr:sp macro="" textlink="">
          <xdr:nvSpPr>
            <xdr:cNvPr id="279559" name="ReportSubmitControl_2tb1" hidden="1">
              <a:extLst>
                <a:ext uri="{63B3BB69-23CF-44E3-9099-C40C66FF867C}">
                  <a14:compatExt spid="_x0000_s2795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342900</xdr:colOff>
          <xdr:row>0</xdr:row>
          <xdr:rowOff>0</xdr:rowOff>
        </xdr:to>
        <xdr:sp macro="" textlink="">
          <xdr:nvSpPr>
            <xdr:cNvPr id="279560" name="AnalyzerDynReport001tb1" hidden="1">
              <a:extLst>
                <a:ext uri="{63B3BB69-23CF-44E3-9099-C40C66FF867C}">
                  <a14:compatExt spid="_x0000_s2795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200025</xdr:colOff>
          <xdr:row>0</xdr:row>
          <xdr:rowOff>0</xdr:rowOff>
        </xdr:to>
        <xdr:sp macro="" textlink="">
          <xdr:nvSpPr>
            <xdr:cNvPr id="279566" name="AnalyzerDynReport002tb1" hidden="1">
              <a:extLst>
                <a:ext uri="{63B3BB69-23CF-44E3-9099-C40C66FF867C}">
                  <a14:compatExt spid="_x0000_s2795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200025</xdr:colOff>
          <xdr:row>0</xdr:row>
          <xdr:rowOff>0</xdr:rowOff>
        </xdr:to>
        <xdr:sp macro="" textlink="">
          <xdr:nvSpPr>
            <xdr:cNvPr id="279567" name="ReportSubmitControl_3tb1" hidden="1">
              <a:extLst>
                <a:ext uri="{63B3BB69-23CF-44E3-9099-C40C66FF867C}">
                  <a14:compatExt spid="_x0000_s2795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200025</xdr:colOff>
          <xdr:row>0</xdr:row>
          <xdr:rowOff>0</xdr:rowOff>
        </xdr:to>
        <xdr:sp macro="" textlink="">
          <xdr:nvSpPr>
            <xdr:cNvPr id="279568" name="AnalyzerDynReport003tb1" hidden="1">
              <a:extLst>
                <a:ext uri="{63B3BB69-23CF-44E3-9099-C40C66FF867C}">
                  <a14:compatExt spid="_x0000_s279568"/>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0</xdr:rowOff>
    </xdr:from>
    <xdr:to>
      <xdr:col>5</xdr:col>
      <xdr:colOff>316900</xdr:colOff>
      <xdr:row>0</xdr:row>
      <xdr:rowOff>1016000</xdr:rowOff>
    </xdr:to>
    <xdr:pic>
      <xdr:nvPicPr>
        <xdr:cNvPr id="18" name="Cuadro">
          <a:extLst>
            <a:ext uri="{FF2B5EF4-FFF2-40B4-BE49-F238E27FC236}">
              <a16:creationId xmlns:a16="http://schemas.microsoft.com/office/drawing/2014/main" xmlns="" id="{00000000-0008-0000-0400-00001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499000" cy="1016000"/>
        </a:xfrm>
        <a:prstGeom prst="rect">
          <a:avLst/>
        </a:prstGeom>
      </xdr:spPr>
    </xdr:pic>
    <xdr:clientData/>
  </xdr:twoCellAnchor>
  <xdr:twoCellAnchor>
    <xdr:from>
      <xdr:col>2</xdr:col>
      <xdr:colOff>1587500</xdr:colOff>
      <xdr:row>0</xdr:row>
      <xdr:rowOff>0</xdr:rowOff>
    </xdr:from>
    <xdr:to>
      <xdr:col>3</xdr:col>
      <xdr:colOff>1136791</xdr:colOff>
      <xdr:row>0</xdr:row>
      <xdr:rowOff>483722</xdr:rowOff>
    </xdr:to>
    <xdr:sp macro="" textlink="Resultados!C13">
      <xdr:nvSpPr>
        <xdr:cNvPr id="19" name="LblGrupo">
          <a:extLst>
            <a:ext uri="{FF2B5EF4-FFF2-40B4-BE49-F238E27FC236}">
              <a16:creationId xmlns:a16="http://schemas.microsoft.com/office/drawing/2014/main" xmlns="" id="{00000000-0008-0000-0400-000013000000}"/>
            </a:ext>
          </a:extLst>
        </xdr:cNvPr>
        <xdr:cNvSpPr/>
      </xdr:nvSpPr>
      <xdr:spPr>
        <a:xfrm>
          <a:off x="2540000" y="0"/>
          <a:ext cx="4930916" cy="483722"/>
        </a:xfrm>
        <a:prstGeom prst="rect">
          <a:avLst/>
        </a:prstGeom>
        <a:noFill/>
        <a:effectLst>
          <a:outerShdw blurRad="50800" dist="38100" dir="5400000" algn="t" rotWithShape="0">
            <a:prstClr val="black">
              <a:alpha val="40000"/>
            </a:prstClr>
          </a:outerShdw>
        </a:effectLst>
      </xdr:spPr>
      <xdr:txBody>
        <a:bodyPr wrap="square" lIns="91440" tIns="45720" rIns="91440" bIns="45720" anchor="t">
          <a:noAutofit/>
        </a:bodyPr>
        <a:lstStyle/>
        <a:p>
          <a:pPr algn="l"/>
          <a:fld id="{AF8F4D9B-7897-4DD4-BE1B-116EF1260F35}" type="TxLink">
            <a:rPr lang="en-US" sz="25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cs typeface="Arial" panose="020B0604020202020204" pitchFamily="34" charset="0"/>
            </a:rPr>
            <a:pPr algn="l"/>
            <a:t>GRUPO EMPRESARIAL INVERNAC</a:t>
          </a:fld>
          <a:endParaRPr lang="es-ES" sz="25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cs typeface="Arial" panose="020B0604020202020204" pitchFamily="34" charset="0"/>
          </a:endParaRPr>
        </a:p>
      </xdr:txBody>
    </xdr:sp>
    <xdr:clientData/>
  </xdr:twoCellAnchor>
  <xdr:twoCellAnchor>
    <xdr:from>
      <xdr:col>2</xdr:col>
      <xdr:colOff>1587500</xdr:colOff>
      <xdr:row>0</xdr:row>
      <xdr:rowOff>368300</xdr:rowOff>
    </xdr:from>
    <xdr:to>
      <xdr:col>3</xdr:col>
      <xdr:colOff>784991</xdr:colOff>
      <xdr:row>0</xdr:row>
      <xdr:rowOff>785291</xdr:rowOff>
    </xdr:to>
    <xdr:sp macro="" textlink="C3">
      <xdr:nvSpPr>
        <xdr:cNvPr id="20" name="lblCompania">
          <a:extLst>
            <a:ext uri="{FF2B5EF4-FFF2-40B4-BE49-F238E27FC236}">
              <a16:creationId xmlns:a16="http://schemas.microsoft.com/office/drawing/2014/main" xmlns="" id="{00000000-0008-0000-0400-000014000000}"/>
            </a:ext>
          </a:extLst>
        </xdr:cNvPr>
        <xdr:cNvSpPr txBox="1">
          <a:spLocks noChangeAspect="1"/>
        </xdr:cNvSpPr>
      </xdr:nvSpPr>
      <xdr:spPr>
        <a:xfrm>
          <a:off x="2540000" y="368300"/>
          <a:ext cx="4579116" cy="416991"/>
        </a:xfrm>
        <a:prstGeom prst="rect">
          <a:avLst/>
        </a:prstGeom>
        <a:noFill/>
        <a:effectLst>
          <a:outerShdw blurRad="50800" dist="38100" dir="5400000" algn="t" rotWithShape="0">
            <a:prstClr val="black">
              <a:alpha val="40000"/>
            </a:prstClr>
          </a:outerShdw>
        </a:effectLst>
      </xdr:spPr>
      <xdr:txBody>
        <a:bodyPr wrap="none" lIns="91440" tIns="45720" rIns="91440" bIns="45720" anchor="t">
          <a:noAutofit/>
        </a:bodyPr>
        <a:lstStyle/>
        <a:p>
          <a:pPr marL="0" indent="0" algn="l"/>
          <a:fld id="{44BCE906-A2FF-4A67-8D5E-E94A56A13D7E}" type="TxLink">
            <a:rPr lang="en-US" sz="18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Calibri"/>
            </a:rPr>
            <a:pPr marL="0" indent="0" algn="l"/>
            <a:t> </a:t>
          </a:fld>
          <a:endParaRPr lang="es-CO" sz="18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endParaRPr>
        </a:p>
      </xdr:txBody>
    </xdr:sp>
    <xdr:clientData/>
  </xdr:twoCellAnchor>
  <xdr:twoCellAnchor>
    <xdr:from>
      <xdr:col>2</xdr:col>
      <xdr:colOff>1587500</xdr:colOff>
      <xdr:row>0</xdr:row>
      <xdr:rowOff>635000</xdr:rowOff>
    </xdr:from>
    <xdr:to>
      <xdr:col>2</xdr:col>
      <xdr:colOff>2494961</xdr:colOff>
      <xdr:row>0</xdr:row>
      <xdr:rowOff>974349</xdr:rowOff>
    </xdr:to>
    <xdr:sp macro="" textlink="C4">
      <xdr:nvSpPr>
        <xdr:cNvPr id="21" name="LblFecha">
          <a:extLst>
            <a:ext uri="{FF2B5EF4-FFF2-40B4-BE49-F238E27FC236}">
              <a16:creationId xmlns:a16="http://schemas.microsoft.com/office/drawing/2014/main" xmlns="" id="{00000000-0008-0000-0400-000015000000}"/>
            </a:ext>
          </a:extLst>
        </xdr:cNvPr>
        <xdr:cNvSpPr txBox="1"/>
      </xdr:nvSpPr>
      <xdr:spPr>
        <a:xfrm>
          <a:off x="2540000" y="635000"/>
          <a:ext cx="907461" cy="339349"/>
        </a:xfrm>
        <a:prstGeom prst="rect">
          <a:avLst/>
        </a:prstGeom>
        <a:noFill/>
        <a:effectLst>
          <a:outerShdw blurRad="50800" dist="38100" dir="5400000" algn="t" rotWithShape="0">
            <a:prstClr val="black">
              <a:alpha val="40000"/>
            </a:prstClr>
          </a:outerShdw>
        </a:effectLst>
      </xdr:spPr>
      <xdr:txBody>
        <a:bodyPr wrap="none" lIns="91440" tIns="45720" rIns="91440" bIns="45720" anchor="ctr" anchorCtr="0">
          <a:noAutofit/>
        </a:bodyPr>
        <a:lstStyle/>
        <a:p>
          <a:pPr marL="0" indent="0" algn="l"/>
          <a:fld id="{6F1911B4-A145-4C95-98DF-A21D413DD983}" type="TxLink">
            <a:rPr lang="en-US" sz="15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rPr>
            <a:pPr marL="0" indent="0" algn="l"/>
            <a:t> </a:t>
          </a:fld>
          <a:endParaRPr lang="es-CO" sz="15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3</xdr:col>
          <xdr:colOff>352425</xdr:colOff>
          <xdr:row>2</xdr:row>
          <xdr:rowOff>0</xdr:rowOff>
        </xdr:from>
        <xdr:to>
          <xdr:col>4</xdr:col>
          <xdr:colOff>1114425</xdr:colOff>
          <xdr:row>3</xdr:row>
          <xdr:rowOff>9525</xdr:rowOff>
        </xdr:to>
        <xdr:sp macro="" textlink="">
          <xdr:nvSpPr>
            <xdr:cNvPr id="279570" name="Button 18" hidden="1">
              <a:extLst>
                <a:ext uri="{63B3BB69-23CF-44E3-9099-C40C66FF867C}">
                  <a14:compatExt spid="_x0000_s2795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Consultar Informacion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123825</xdr:rowOff>
        </xdr:from>
        <xdr:to>
          <xdr:col>7</xdr:col>
          <xdr:colOff>447675</xdr:colOff>
          <xdr:row>0</xdr:row>
          <xdr:rowOff>323850</xdr:rowOff>
        </xdr:to>
        <xdr:sp macro="" textlink="">
          <xdr:nvSpPr>
            <xdr:cNvPr id="279577" name="Button 25" hidden="1">
              <a:extLst>
                <a:ext uri="{63B3BB69-23CF-44E3-9099-C40C66FF867C}">
                  <a14:compatExt spid="_x0000_s2795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Guardar Nota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90817" name="FPMExcelClientSheetOptionstb1" hidden="1">
              <a:extLst>
                <a:ext uri="{63B3BB69-23CF-44E3-9099-C40C66FF867C}">
                  <a14:compatExt spid="_x0000_s2908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90818" name="ConnectionDescriptorsInfotb1" hidden="1">
              <a:extLst>
                <a:ext uri="{63B3BB69-23CF-44E3-9099-C40C66FF867C}">
                  <a14:compatExt spid="_x0000_s2908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90819" name="MultipleReportManagerInfotb1" hidden="1">
              <a:extLst>
                <a:ext uri="{63B3BB69-23CF-44E3-9099-C40C66FF867C}">
                  <a14:compatExt spid="_x0000_s2908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90820" name="AnalyzerDynReport000tb1" hidden="1">
              <a:extLst>
                <a:ext uri="{63B3BB69-23CF-44E3-9099-C40C66FF867C}">
                  <a14:compatExt spid="_x0000_s2908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90821" name="ReportSubmitManagerControltb1" hidden="1">
              <a:extLst>
                <a:ext uri="{63B3BB69-23CF-44E3-9099-C40C66FF867C}">
                  <a14:compatExt spid="_x0000_s2908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90822" name="ReportSubmitControl_1tb1" hidden="1">
              <a:extLst>
                <a:ext uri="{63B3BB69-23CF-44E3-9099-C40C66FF867C}">
                  <a14:compatExt spid="_x0000_s2908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19050</xdr:colOff>
          <xdr:row>0</xdr:row>
          <xdr:rowOff>0</xdr:rowOff>
        </xdr:to>
        <xdr:sp macro="" textlink="">
          <xdr:nvSpPr>
            <xdr:cNvPr id="290823" name="ReportSubmitControl_2tb1" hidden="1">
              <a:extLst>
                <a:ext uri="{63B3BB69-23CF-44E3-9099-C40C66FF867C}">
                  <a14:compatExt spid="_x0000_s2908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676275</xdr:colOff>
          <xdr:row>0</xdr:row>
          <xdr:rowOff>0</xdr:rowOff>
        </xdr:to>
        <xdr:sp macro="" textlink="">
          <xdr:nvSpPr>
            <xdr:cNvPr id="290828" name="ReportSubmitControl_3tb1" hidden="1">
              <a:extLst>
                <a:ext uri="{63B3BB69-23CF-44E3-9099-C40C66FF867C}">
                  <a14:compatExt spid="_x0000_s2908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9525</xdr:rowOff>
        </xdr:to>
        <xdr:sp macro="" textlink="">
          <xdr:nvSpPr>
            <xdr:cNvPr id="290830" name="ReportSubmitControl_4tb1" hidden="1">
              <a:extLst>
                <a:ext uri="{63B3BB69-23CF-44E3-9099-C40C66FF867C}">
                  <a14:compatExt spid="_x0000_s2908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9525</xdr:rowOff>
        </xdr:to>
        <xdr:sp macro="" textlink="">
          <xdr:nvSpPr>
            <xdr:cNvPr id="290832" name="ReportSubmitControl_5tb1" hidden="1">
              <a:extLst>
                <a:ext uri="{63B3BB69-23CF-44E3-9099-C40C66FF867C}">
                  <a14:compatExt spid="_x0000_s2908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9525</xdr:rowOff>
        </xdr:to>
        <xdr:sp macro="" textlink="">
          <xdr:nvSpPr>
            <xdr:cNvPr id="290834" name="ReportSubmitControl_6tb1" hidden="1">
              <a:extLst>
                <a:ext uri="{63B3BB69-23CF-44E3-9099-C40C66FF867C}">
                  <a14:compatExt spid="_x0000_s290834"/>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0</xdr:rowOff>
    </xdr:from>
    <xdr:to>
      <xdr:col>7</xdr:col>
      <xdr:colOff>240700</xdr:colOff>
      <xdr:row>0</xdr:row>
      <xdr:rowOff>1016000</xdr:rowOff>
    </xdr:to>
    <xdr:pic>
      <xdr:nvPicPr>
        <xdr:cNvPr id="18" name="Cuadro">
          <a:extLst>
            <a:ext uri="{FF2B5EF4-FFF2-40B4-BE49-F238E27FC236}">
              <a16:creationId xmlns:a16="http://schemas.microsoft.com/office/drawing/2014/main" xmlns="" id="{00000000-0008-0000-0500-00001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499000" cy="1016000"/>
        </a:xfrm>
        <a:prstGeom prst="rect">
          <a:avLst/>
        </a:prstGeom>
      </xdr:spPr>
    </xdr:pic>
    <xdr:clientData/>
  </xdr:twoCellAnchor>
  <xdr:twoCellAnchor>
    <xdr:from>
      <xdr:col>2</xdr:col>
      <xdr:colOff>1587500</xdr:colOff>
      <xdr:row>0</xdr:row>
      <xdr:rowOff>0</xdr:rowOff>
    </xdr:from>
    <xdr:to>
      <xdr:col>5</xdr:col>
      <xdr:colOff>704560</xdr:colOff>
      <xdr:row>0</xdr:row>
      <xdr:rowOff>483722</xdr:rowOff>
    </xdr:to>
    <xdr:sp macro="" textlink="Resultados!C13">
      <xdr:nvSpPr>
        <xdr:cNvPr id="19" name="LblGrupo">
          <a:extLst>
            <a:ext uri="{FF2B5EF4-FFF2-40B4-BE49-F238E27FC236}">
              <a16:creationId xmlns:a16="http://schemas.microsoft.com/office/drawing/2014/main" xmlns="" id="{00000000-0008-0000-0500-000013000000}"/>
            </a:ext>
          </a:extLst>
        </xdr:cNvPr>
        <xdr:cNvSpPr/>
      </xdr:nvSpPr>
      <xdr:spPr>
        <a:xfrm>
          <a:off x="2540000" y="0"/>
          <a:ext cx="4927310" cy="483722"/>
        </a:xfrm>
        <a:prstGeom prst="rect">
          <a:avLst/>
        </a:prstGeom>
        <a:noFill/>
        <a:effectLst>
          <a:outerShdw blurRad="50800" dist="38100" dir="5400000" algn="t" rotWithShape="0">
            <a:prstClr val="black">
              <a:alpha val="40000"/>
            </a:prstClr>
          </a:outerShdw>
        </a:effectLst>
      </xdr:spPr>
      <xdr:txBody>
        <a:bodyPr wrap="square" lIns="91440" tIns="45720" rIns="91440" bIns="45720" anchor="t">
          <a:noAutofit/>
        </a:bodyPr>
        <a:lstStyle/>
        <a:p>
          <a:pPr algn="l"/>
          <a:fld id="{AF8F4D9B-7897-4DD4-BE1B-116EF1260F35}" type="TxLink">
            <a:rPr lang="en-US" sz="25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cs typeface="Arial" panose="020B0604020202020204" pitchFamily="34" charset="0"/>
            </a:rPr>
            <a:pPr algn="l"/>
            <a:t>GRUPO EMPRESARIAL INVERNAC</a:t>
          </a:fld>
          <a:endParaRPr lang="es-ES" sz="25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cs typeface="Arial" panose="020B0604020202020204" pitchFamily="34" charset="0"/>
          </a:endParaRPr>
        </a:p>
      </xdr:txBody>
    </xdr:sp>
    <xdr:clientData/>
  </xdr:twoCellAnchor>
  <xdr:twoCellAnchor>
    <xdr:from>
      <xdr:col>2</xdr:col>
      <xdr:colOff>1587500</xdr:colOff>
      <xdr:row>0</xdr:row>
      <xdr:rowOff>368300</xdr:rowOff>
    </xdr:from>
    <xdr:to>
      <xdr:col>5</xdr:col>
      <xdr:colOff>356439</xdr:colOff>
      <xdr:row>0</xdr:row>
      <xdr:rowOff>785291</xdr:rowOff>
    </xdr:to>
    <xdr:sp macro="" textlink="C3">
      <xdr:nvSpPr>
        <xdr:cNvPr id="20" name="lblCompania">
          <a:extLst>
            <a:ext uri="{FF2B5EF4-FFF2-40B4-BE49-F238E27FC236}">
              <a16:creationId xmlns:a16="http://schemas.microsoft.com/office/drawing/2014/main" xmlns="" id="{00000000-0008-0000-0500-000014000000}"/>
            </a:ext>
          </a:extLst>
        </xdr:cNvPr>
        <xdr:cNvSpPr txBox="1">
          <a:spLocks noChangeAspect="1"/>
        </xdr:cNvSpPr>
      </xdr:nvSpPr>
      <xdr:spPr>
        <a:xfrm>
          <a:off x="2540000" y="368300"/>
          <a:ext cx="4579189" cy="416991"/>
        </a:xfrm>
        <a:prstGeom prst="rect">
          <a:avLst/>
        </a:prstGeom>
        <a:noFill/>
        <a:effectLst>
          <a:outerShdw blurRad="50800" dist="38100" dir="5400000" algn="t" rotWithShape="0">
            <a:prstClr val="black">
              <a:alpha val="40000"/>
            </a:prstClr>
          </a:outerShdw>
        </a:effectLst>
      </xdr:spPr>
      <xdr:txBody>
        <a:bodyPr wrap="none" lIns="91440" tIns="45720" rIns="91440" bIns="45720" anchor="t">
          <a:noAutofit/>
        </a:bodyPr>
        <a:lstStyle/>
        <a:p>
          <a:pPr marL="0" indent="0" algn="l"/>
          <a:fld id="{44BCE906-A2FF-4A67-8D5E-E94A56A13D7E}" type="TxLink">
            <a:rPr lang="en-US" sz="18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Calibri"/>
            </a:rPr>
            <a:pPr marL="0" indent="0" algn="l"/>
            <a:t> </a:t>
          </a:fld>
          <a:endParaRPr lang="es-CO" sz="18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endParaRPr>
        </a:p>
      </xdr:txBody>
    </xdr:sp>
    <xdr:clientData/>
  </xdr:twoCellAnchor>
  <xdr:twoCellAnchor>
    <xdr:from>
      <xdr:col>2</xdr:col>
      <xdr:colOff>1587500</xdr:colOff>
      <xdr:row>0</xdr:row>
      <xdr:rowOff>635000</xdr:rowOff>
    </xdr:from>
    <xdr:to>
      <xdr:col>2</xdr:col>
      <xdr:colOff>2494420</xdr:colOff>
      <xdr:row>0</xdr:row>
      <xdr:rowOff>974349</xdr:rowOff>
    </xdr:to>
    <xdr:sp macro="" textlink="C4">
      <xdr:nvSpPr>
        <xdr:cNvPr id="21" name="LblFecha">
          <a:extLst>
            <a:ext uri="{FF2B5EF4-FFF2-40B4-BE49-F238E27FC236}">
              <a16:creationId xmlns:a16="http://schemas.microsoft.com/office/drawing/2014/main" xmlns="" id="{00000000-0008-0000-0500-000015000000}"/>
            </a:ext>
          </a:extLst>
        </xdr:cNvPr>
        <xdr:cNvSpPr txBox="1"/>
      </xdr:nvSpPr>
      <xdr:spPr>
        <a:xfrm>
          <a:off x="2540000" y="635000"/>
          <a:ext cx="906920" cy="339349"/>
        </a:xfrm>
        <a:prstGeom prst="rect">
          <a:avLst/>
        </a:prstGeom>
        <a:noFill/>
        <a:effectLst>
          <a:outerShdw blurRad="50800" dist="38100" dir="5400000" algn="t" rotWithShape="0">
            <a:prstClr val="black">
              <a:alpha val="40000"/>
            </a:prstClr>
          </a:outerShdw>
        </a:effectLst>
      </xdr:spPr>
      <xdr:txBody>
        <a:bodyPr wrap="none" lIns="91440" tIns="45720" rIns="91440" bIns="45720" anchor="ctr" anchorCtr="0">
          <a:noAutofit/>
        </a:bodyPr>
        <a:lstStyle/>
        <a:p>
          <a:pPr marL="0" indent="0" algn="l"/>
          <a:fld id="{6F1911B4-A145-4C95-98DF-A21D413DD983}" type="TxLink">
            <a:rPr lang="en-US" sz="15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rPr>
            <a:pPr marL="0" indent="0" algn="l"/>
            <a:t> </a:t>
          </a:fld>
          <a:endParaRPr lang="es-CO" sz="15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3</xdr:col>
          <xdr:colOff>352425</xdr:colOff>
          <xdr:row>1</xdr:row>
          <xdr:rowOff>180975</xdr:rowOff>
        </xdr:from>
        <xdr:to>
          <xdr:col>4</xdr:col>
          <xdr:colOff>1333500</xdr:colOff>
          <xdr:row>3</xdr:row>
          <xdr:rowOff>0</xdr:rowOff>
        </xdr:to>
        <xdr:sp macro="" textlink="">
          <xdr:nvSpPr>
            <xdr:cNvPr id="290836" name="Button 20" hidden="1">
              <a:extLst>
                <a:ext uri="{63B3BB69-23CF-44E3-9099-C40C66FF867C}">
                  <a14:compatExt spid="_x0000_s2908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Consultar Informacion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466725</xdr:colOff>
          <xdr:row>0</xdr:row>
          <xdr:rowOff>114300</xdr:rowOff>
        </xdr:from>
        <xdr:to>
          <xdr:col>13</xdr:col>
          <xdr:colOff>571500</xdr:colOff>
          <xdr:row>0</xdr:row>
          <xdr:rowOff>314325</xdr:rowOff>
        </xdr:to>
        <xdr:sp macro="" textlink="">
          <xdr:nvSpPr>
            <xdr:cNvPr id="290843" name="Button 27" hidden="1">
              <a:extLst>
                <a:ext uri="{63B3BB69-23CF-44E3-9099-C40C66FF867C}">
                  <a14:compatExt spid="_x0000_s2908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Guardar Nota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58049" name="FPMExcelClientSheetOptionstb1" hidden="1">
              <a:extLst>
                <a:ext uri="{63B3BB69-23CF-44E3-9099-C40C66FF867C}">
                  <a14:compatExt spid="_x0000_s258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58050" name="ConnectionDescriptorsInfotb1" hidden="1">
              <a:extLst>
                <a:ext uri="{63B3BB69-23CF-44E3-9099-C40C66FF867C}">
                  <a14:compatExt spid="_x0000_s258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58051" name="MultipleReportManagerInfotb1" hidden="1">
              <a:extLst>
                <a:ext uri="{63B3BB69-23CF-44E3-9099-C40C66FF867C}">
                  <a14:compatExt spid="_x0000_s258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58052" name="AnalyzerDynReport000tb1" hidden="1">
              <a:extLst>
                <a:ext uri="{63B3BB69-23CF-44E3-9099-C40C66FF867C}">
                  <a14:compatExt spid="_x0000_s258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58053" name="ReportSubmitManagerControltb1" hidden="1">
              <a:extLst>
                <a:ext uri="{63B3BB69-23CF-44E3-9099-C40C66FF867C}">
                  <a14:compatExt spid="_x0000_s258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58054" name="ReportSubmitControl_1tb1" hidden="1">
              <a:extLst>
                <a:ext uri="{63B3BB69-23CF-44E3-9099-C40C66FF867C}">
                  <a14:compatExt spid="_x0000_s258054"/>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0</xdr:rowOff>
    </xdr:from>
    <xdr:to>
      <xdr:col>5</xdr:col>
      <xdr:colOff>193075</xdr:colOff>
      <xdr:row>0</xdr:row>
      <xdr:rowOff>1016000</xdr:rowOff>
    </xdr:to>
    <xdr:pic>
      <xdr:nvPicPr>
        <xdr:cNvPr id="13" name="Cuadro">
          <a:extLst>
            <a:ext uri="{FF2B5EF4-FFF2-40B4-BE49-F238E27FC236}">
              <a16:creationId xmlns:a16="http://schemas.microsoft.com/office/drawing/2014/main" xmlns="" id="{00000000-0008-0000-0600-00000D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499000" cy="1016000"/>
        </a:xfrm>
        <a:prstGeom prst="rect">
          <a:avLst/>
        </a:prstGeom>
      </xdr:spPr>
    </xdr:pic>
    <xdr:clientData/>
  </xdr:twoCellAnchor>
  <xdr:twoCellAnchor>
    <xdr:from>
      <xdr:col>2</xdr:col>
      <xdr:colOff>1377950</xdr:colOff>
      <xdr:row>0</xdr:row>
      <xdr:rowOff>0</xdr:rowOff>
    </xdr:from>
    <xdr:to>
      <xdr:col>3</xdr:col>
      <xdr:colOff>929437</xdr:colOff>
      <xdr:row>0</xdr:row>
      <xdr:rowOff>483722</xdr:rowOff>
    </xdr:to>
    <xdr:sp macro="" textlink="Resultados!C13">
      <xdr:nvSpPr>
        <xdr:cNvPr id="14" name="LblGrupo">
          <a:extLst>
            <a:ext uri="{FF2B5EF4-FFF2-40B4-BE49-F238E27FC236}">
              <a16:creationId xmlns:a16="http://schemas.microsoft.com/office/drawing/2014/main" xmlns="" id="{00000000-0008-0000-0600-00000E000000}"/>
            </a:ext>
          </a:extLst>
        </xdr:cNvPr>
        <xdr:cNvSpPr/>
      </xdr:nvSpPr>
      <xdr:spPr>
        <a:xfrm>
          <a:off x="2540000" y="0"/>
          <a:ext cx="4933112" cy="483722"/>
        </a:xfrm>
        <a:prstGeom prst="rect">
          <a:avLst/>
        </a:prstGeom>
        <a:noFill/>
        <a:effectLst>
          <a:outerShdw blurRad="50800" dist="38100" dir="5400000" algn="t" rotWithShape="0">
            <a:prstClr val="black">
              <a:alpha val="40000"/>
            </a:prstClr>
          </a:outerShdw>
        </a:effectLst>
      </xdr:spPr>
      <xdr:txBody>
        <a:bodyPr wrap="square" lIns="91440" tIns="45720" rIns="91440" bIns="45720" anchor="t">
          <a:noAutofit/>
        </a:bodyPr>
        <a:lstStyle/>
        <a:p>
          <a:pPr algn="l"/>
          <a:fld id="{AF8F4D9B-7897-4DD4-BE1B-116EF1260F35}" type="TxLink">
            <a:rPr lang="en-US" sz="25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cs typeface="Arial" panose="020B0604020202020204" pitchFamily="34" charset="0"/>
            </a:rPr>
            <a:pPr algn="l"/>
            <a:t>GRUPO EMPRESARIAL INVERNAC</a:t>
          </a:fld>
          <a:endParaRPr lang="es-ES" sz="25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cs typeface="Arial" panose="020B0604020202020204" pitchFamily="34" charset="0"/>
          </a:endParaRPr>
        </a:p>
      </xdr:txBody>
    </xdr:sp>
    <xdr:clientData/>
  </xdr:twoCellAnchor>
  <xdr:twoCellAnchor>
    <xdr:from>
      <xdr:col>2</xdr:col>
      <xdr:colOff>1377950</xdr:colOff>
      <xdr:row>0</xdr:row>
      <xdr:rowOff>368300</xdr:rowOff>
    </xdr:from>
    <xdr:to>
      <xdr:col>3</xdr:col>
      <xdr:colOff>585828</xdr:colOff>
      <xdr:row>0</xdr:row>
      <xdr:rowOff>785291</xdr:rowOff>
    </xdr:to>
    <xdr:sp macro="" textlink="C3">
      <xdr:nvSpPr>
        <xdr:cNvPr id="15" name="lblCompania">
          <a:extLst>
            <a:ext uri="{FF2B5EF4-FFF2-40B4-BE49-F238E27FC236}">
              <a16:creationId xmlns:a16="http://schemas.microsoft.com/office/drawing/2014/main" xmlns="" id="{00000000-0008-0000-0600-00000F000000}"/>
            </a:ext>
          </a:extLst>
        </xdr:cNvPr>
        <xdr:cNvSpPr txBox="1">
          <a:spLocks noChangeAspect="1"/>
        </xdr:cNvSpPr>
      </xdr:nvSpPr>
      <xdr:spPr>
        <a:xfrm>
          <a:off x="2540000" y="368300"/>
          <a:ext cx="4589503" cy="416991"/>
        </a:xfrm>
        <a:prstGeom prst="rect">
          <a:avLst/>
        </a:prstGeom>
        <a:noFill/>
        <a:effectLst>
          <a:outerShdw blurRad="50800" dist="38100" dir="5400000" algn="t" rotWithShape="0">
            <a:prstClr val="black">
              <a:alpha val="40000"/>
            </a:prstClr>
          </a:outerShdw>
        </a:effectLst>
      </xdr:spPr>
      <xdr:txBody>
        <a:bodyPr wrap="none" lIns="91440" tIns="45720" rIns="91440" bIns="45720" anchor="t">
          <a:noAutofit/>
        </a:bodyPr>
        <a:lstStyle/>
        <a:p>
          <a:pPr marL="0" indent="0" algn="l"/>
          <a:fld id="{44BCE906-A2FF-4A67-8D5E-E94A56A13D7E}" type="TxLink">
            <a:rPr lang="en-US" sz="18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Calibri"/>
            </a:rPr>
            <a:pPr marL="0" indent="0" algn="l"/>
            <a:t> </a:t>
          </a:fld>
          <a:endParaRPr lang="es-CO" sz="18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endParaRPr>
        </a:p>
      </xdr:txBody>
    </xdr:sp>
    <xdr:clientData/>
  </xdr:twoCellAnchor>
  <xdr:twoCellAnchor>
    <xdr:from>
      <xdr:col>2</xdr:col>
      <xdr:colOff>1377950</xdr:colOff>
      <xdr:row>0</xdr:row>
      <xdr:rowOff>635000</xdr:rowOff>
    </xdr:from>
    <xdr:to>
      <xdr:col>2</xdr:col>
      <xdr:colOff>2288027</xdr:colOff>
      <xdr:row>0</xdr:row>
      <xdr:rowOff>974349</xdr:rowOff>
    </xdr:to>
    <xdr:sp macro="" textlink="C4">
      <xdr:nvSpPr>
        <xdr:cNvPr id="16" name="LblFecha">
          <a:extLst>
            <a:ext uri="{FF2B5EF4-FFF2-40B4-BE49-F238E27FC236}">
              <a16:creationId xmlns:a16="http://schemas.microsoft.com/office/drawing/2014/main" xmlns="" id="{00000000-0008-0000-0600-000010000000}"/>
            </a:ext>
          </a:extLst>
        </xdr:cNvPr>
        <xdr:cNvSpPr txBox="1"/>
      </xdr:nvSpPr>
      <xdr:spPr>
        <a:xfrm>
          <a:off x="2540000" y="635000"/>
          <a:ext cx="910077" cy="339349"/>
        </a:xfrm>
        <a:prstGeom prst="rect">
          <a:avLst/>
        </a:prstGeom>
        <a:noFill/>
        <a:effectLst>
          <a:outerShdw blurRad="50800" dist="38100" dir="5400000" algn="t" rotWithShape="0">
            <a:prstClr val="black">
              <a:alpha val="40000"/>
            </a:prstClr>
          </a:outerShdw>
        </a:effectLst>
      </xdr:spPr>
      <xdr:txBody>
        <a:bodyPr wrap="none" lIns="91440" tIns="45720" rIns="91440" bIns="45720" anchor="ctr" anchorCtr="0">
          <a:noAutofit/>
        </a:bodyPr>
        <a:lstStyle/>
        <a:p>
          <a:pPr marL="0" indent="0" algn="l"/>
          <a:fld id="{6F1911B4-A145-4C95-98DF-A21D413DD983}" type="TxLink">
            <a:rPr lang="en-US" sz="15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rPr>
            <a:pPr marL="0" indent="0" algn="l"/>
            <a:t> </a:t>
          </a:fld>
          <a:endParaRPr lang="es-CO" sz="15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3</xdr:col>
          <xdr:colOff>352425</xdr:colOff>
          <xdr:row>2</xdr:row>
          <xdr:rowOff>0</xdr:rowOff>
        </xdr:from>
        <xdr:to>
          <xdr:col>4</xdr:col>
          <xdr:colOff>1333500</xdr:colOff>
          <xdr:row>3</xdr:row>
          <xdr:rowOff>38100</xdr:rowOff>
        </xdr:to>
        <xdr:sp macro="" textlink="">
          <xdr:nvSpPr>
            <xdr:cNvPr id="258069" name="Button 21" hidden="1">
              <a:extLst>
                <a:ext uri="{63B3BB69-23CF-44E3-9099-C40C66FF867C}">
                  <a14:compatExt spid="_x0000_s2580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Consultar Informacion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0</xdr:row>
          <xdr:rowOff>142875</xdr:rowOff>
        </xdr:from>
        <xdr:to>
          <xdr:col>6</xdr:col>
          <xdr:colOff>1428750</xdr:colOff>
          <xdr:row>0</xdr:row>
          <xdr:rowOff>342900</xdr:rowOff>
        </xdr:to>
        <xdr:sp macro="" textlink="">
          <xdr:nvSpPr>
            <xdr:cNvPr id="258074" name="Button 26" hidden="1">
              <a:extLst>
                <a:ext uri="{63B3BB69-23CF-44E3-9099-C40C66FF867C}">
                  <a14:compatExt spid="_x0000_s258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Guardar Nota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34849" name="FPMExcelClientSheetOptionstb1" hidden="1">
              <a:extLst>
                <a:ext uri="{63B3BB69-23CF-44E3-9099-C40C66FF867C}">
                  <a14:compatExt spid="_x0000_s3348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34850" name="ConnectionDescriptorsInfotb1" hidden="1">
              <a:extLst>
                <a:ext uri="{63B3BB69-23CF-44E3-9099-C40C66FF867C}">
                  <a14:compatExt spid="_x0000_s3348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34851" name="MultipleReportManagerInfotb1" hidden="1">
              <a:extLst>
                <a:ext uri="{63B3BB69-23CF-44E3-9099-C40C66FF867C}">
                  <a14:compatExt spid="_x0000_s3348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34852" name="AnalyzerDynReport000tb1" hidden="1">
              <a:extLst>
                <a:ext uri="{63B3BB69-23CF-44E3-9099-C40C66FF867C}">
                  <a14:compatExt spid="_x0000_s3348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34853" name="ReportSubmitManagerControltb1" hidden="1">
              <a:extLst>
                <a:ext uri="{63B3BB69-23CF-44E3-9099-C40C66FF867C}">
                  <a14:compatExt spid="_x0000_s3348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34854" name="ReportSubmitControl_1tb1" hidden="1">
              <a:extLst>
                <a:ext uri="{63B3BB69-23CF-44E3-9099-C40C66FF867C}">
                  <a14:compatExt spid="_x0000_s3348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9525</xdr:rowOff>
        </xdr:to>
        <xdr:sp macro="" textlink="">
          <xdr:nvSpPr>
            <xdr:cNvPr id="334859" name="AnalyzerDynReport001tb1" hidden="1">
              <a:extLst>
                <a:ext uri="{63B3BB69-23CF-44E3-9099-C40C66FF867C}">
                  <a14:compatExt spid="_x0000_s334859"/>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0</xdr:rowOff>
    </xdr:from>
    <xdr:to>
      <xdr:col>4</xdr:col>
      <xdr:colOff>212125</xdr:colOff>
      <xdr:row>0</xdr:row>
      <xdr:rowOff>1016000</xdr:rowOff>
    </xdr:to>
    <xdr:pic>
      <xdr:nvPicPr>
        <xdr:cNvPr id="15" name="Cuadro">
          <a:extLst>
            <a:ext uri="{FF2B5EF4-FFF2-40B4-BE49-F238E27FC236}">
              <a16:creationId xmlns:a16="http://schemas.microsoft.com/office/drawing/2014/main" xmlns="" id="{00000000-0008-0000-0700-00000F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499000" cy="1016000"/>
        </a:xfrm>
        <a:prstGeom prst="rect">
          <a:avLst/>
        </a:prstGeom>
      </xdr:spPr>
    </xdr:pic>
    <xdr:clientData/>
  </xdr:twoCellAnchor>
  <xdr:twoCellAnchor>
    <xdr:from>
      <xdr:col>2</xdr:col>
      <xdr:colOff>1349375</xdr:colOff>
      <xdr:row>0</xdr:row>
      <xdr:rowOff>0</xdr:rowOff>
    </xdr:from>
    <xdr:to>
      <xdr:col>2</xdr:col>
      <xdr:colOff>6243095</xdr:colOff>
      <xdr:row>0</xdr:row>
      <xdr:rowOff>483722</xdr:rowOff>
    </xdr:to>
    <xdr:sp macro="" textlink="Resultados!C13">
      <xdr:nvSpPr>
        <xdr:cNvPr id="16" name="LblGrupo">
          <a:extLst>
            <a:ext uri="{FF2B5EF4-FFF2-40B4-BE49-F238E27FC236}">
              <a16:creationId xmlns:a16="http://schemas.microsoft.com/office/drawing/2014/main" xmlns="" id="{00000000-0008-0000-0700-000010000000}"/>
            </a:ext>
          </a:extLst>
        </xdr:cNvPr>
        <xdr:cNvSpPr/>
      </xdr:nvSpPr>
      <xdr:spPr>
        <a:xfrm>
          <a:off x="2540000" y="0"/>
          <a:ext cx="4893720" cy="483722"/>
        </a:xfrm>
        <a:prstGeom prst="rect">
          <a:avLst/>
        </a:prstGeom>
        <a:noFill/>
        <a:effectLst>
          <a:outerShdw blurRad="50800" dist="38100" dir="5400000" algn="t" rotWithShape="0">
            <a:prstClr val="black">
              <a:alpha val="40000"/>
            </a:prstClr>
          </a:outerShdw>
        </a:effectLst>
      </xdr:spPr>
      <xdr:txBody>
        <a:bodyPr wrap="square" lIns="91440" tIns="45720" rIns="91440" bIns="45720" anchor="t">
          <a:noAutofit/>
        </a:bodyPr>
        <a:lstStyle/>
        <a:p>
          <a:pPr algn="l"/>
          <a:fld id="{AF8F4D9B-7897-4DD4-BE1B-116EF1260F35}" type="TxLink">
            <a:rPr lang="en-US" sz="25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cs typeface="Arial" panose="020B0604020202020204" pitchFamily="34" charset="0"/>
            </a:rPr>
            <a:pPr algn="l"/>
            <a:t>GRUPO EMPRESARIAL INVERNAC</a:t>
          </a:fld>
          <a:endParaRPr lang="es-ES" sz="25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cs typeface="Arial" panose="020B0604020202020204" pitchFamily="34" charset="0"/>
          </a:endParaRPr>
        </a:p>
      </xdr:txBody>
    </xdr:sp>
    <xdr:clientData/>
  </xdr:twoCellAnchor>
  <xdr:twoCellAnchor>
    <xdr:from>
      <xdr:col>2</xdr:col>
      <xdr:colOff>1349375</xdr:colOff>
      <xdr:row>0</xdr:row>
      <xdr:rowOff>368300</xdr:rowOff>
    </xdr:from>
    <xdr:to>
      <xdr:col>2</xdr:col>
      <xdr:colOff>5907835</xdr:colOff>
      <xdr:row>0</xdr:row>
      <xdr:rowOff>785291</xdr:rowOff>
    </xdr:to>
    <xdr:sp macro="" textlink="C3">
      <xdr:nvSpPr>
        <xdr:cNvPr id="17" name="lblCompania">
          <a:extLst>
            <a:ext uri="{FF2B5EF4-FFF2-40B4-BE49-F238E27FC236}">
              <a16:creationId xmlns:a16="http://schemas.microsoft.com/office/drawing/2014/main" xmlns="" id="{00000000-0008-0000-0700-000011000000}"/>
            </a:ext>
          </a:extLst>
        </xdr:cNvPr>
        <xdr:cNvSpPr txBox="1">
          <a:spLocks noChangeAspect="1"/>
        </xdr:cNvSpPr>
      </xdr:nvSpPr>
      <xdr:spPr>
        <a:xfrm>
          <a:off x="2540000" y="368300"/>
          <a:ext cx="4558460" cy="416991"/>
        </a:xfrm>
        <a:prstGeom prst="rect">
          <a:avLst/>
        </a:prstGeom>
        <a:noFill/>
        <a:effectLst>
          <a:outerShdw blurRad="50800" dist="38100" dir="5400000" algn="t" rotWithShape="0">
            <a:prstClr val="black">
              <a:alpha val="40000"/>
            </a:prstClr>
          </a:outerShdw>
        </a:effectLst>
      </xdr:spPr>
      <xdr:txBody>
        <a:bodyPr wrap="none" lIns="91440" tIns="45720" rIns="91440" bIns="45720" anchor="t">
          <a:noAutofit/>
        </a:bodyPr>
        <a:lstStyle/>
        <a:p>
          <a:pPr marL="0" indent="0" algn="l"/>
          <a:fld id="{44BCE906-A2FF-4A67-8D5E-E94A56A13D7E}" type="TxLink">
            <a:rPr lang="en-US" sz="18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Calibri"/>
            </a:rPr>
            <a:pPr marL="0" indent="0" algn="l"/>
            <a:t> </a:t>
          </a:fld>
          <a:endParaRPr lang="es-CO" sz="18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endParaRPr>
        </a:p>
      </xdr:txBody>
    </xdr:sp>
    <xdr:clientData/>
  </xdr:twoCellAnchor>
  <xdr:twoCellAnchor>
    <xdr:from>
      <xdr:col>2</xdr:col>
      <xdr:colOff>1349375</xdr:colOff>
      <xdr:row>0</xdr:row>
      <xdr:rowOff>635000</xdr:rowOff>
    </xdr:from>
    <xdr:to>
      <xdr:col>2</xdr:col>
      <xdr:colOff>2253296</xdr:colOff>
      <xdr:row>0</xdr:row>
      <xdr:rowOff>974349</xdr:rowOff>
    </xdr:to>
    <xdr:sp macro="" textlink="C4">
      <xdr:nvSpPr>
        <xdr:cNvPr id="18" name="LblFecha">
          <a:extLst>
            <a:ext uri="{FF2B5EF4-FFF2-40B4-BE49-F238E27FC236}">
              <a16:creationId xmlns:a16="http://schemas.microsoft.com/office/drawing/2014/main" xmlns="" id="{00000000-0008-0000-0700-000012000000}"/>
            </a:ext>
          </a:extLst>
        </xdr:cNvPr>
        <xdr:cNvSpPr txBox="1"/>
      </xdr:nvSpPr>
      <xdr:spPr>
        <a:xfrm>
          <a:off x="2540000" y="635000"/>
          <a:ext cx="903921" cy="339349"/>
        </a:xfrm>
        <a:prstGeom prst="rect">
          <a:avLst/>
        </a:prstGeom>
        <a:noFill/>
        <a:effectLst>
          <a:outerShdw blurRad="50800" dist="38100" dir="5400000" algn="t" rotWithShape="0">
            <a:prstClr val="black">
              <a:alpha val="40000"/>
            </a:prstClr>
          </a:outerShdw>
        </a:effectLst>
      </xdr:spPr>
      <xdr:txBody>
        <a:bodyPr wrap="none" lIns="91440" tIns="45720" rIns="91440" bIns="45720" anchor="ctr" anchorCtr="0">
          <a:noAutofit/>
        </a:bodyPr>
        <a:lstStyle/>
        <a:p>
          <a:pPr marL="0" indent="0" algn="l"/>
          <a:fld id="{6F1911B4-A145-4C95-98DF-A21D413DD983}" type="TxLink">
            <a:rPr lang="en-US" sz="15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rPr>
            <a:pPr marL="0" indent="0" algn="l"/>
            <a:t> </a:t>
          </a:fld>
          <a:endParaRPr lang="es-CO" sz="15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3</xdr:col>
          <xdr:colOff>323850</xdr:colOff>
          <xdr:row>1</xdr:row>
          <xdr:rowOff>171450</xdr:rowOff>
        </xdr:from>
        <xdr:to>
          <xdr:col>4</xdr:col>
          <xdr:colOff>1304925</xdr:colOff>
          <xdr:row>2</xdr:row>
          <xdr:rowOff>180975</xdr:rowOff>
        </xdr:to>
        <xdr:sp macro="" textlink="">
          <xdr:nvSpPr>
            <xdr:cNvPr id="334861" name="Button 13" hidden="1">
              <a:extLst>
                <a:ext uri="{63B3BB69-23CF-44E3-9099-C40C66FF867C}">
                  <a14:compatExt spid="_x0000_s3348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Consultar Informacion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6</xdr:col>
          <xdr:colOff>85725</xdr:colOff>
          <xdr:row>0</xdr:row>
          <xdr:rowOff>342900</xdr:rowOff>
        </xdr:to>
        <xdr:sp macro="" textlink="">
          <xdr:nvSpPr>
            <xdr:cNvPr id="334867" name="Button 19" hidden="1">
              <a:extLst>
                <a:ext uri="{63B3BB69-23CF-44E3-9099-C40C66FF867C}">
                  <a14:compatExt spid="_x0000_s3348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Guardar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1190625</xdr:colOff>
          <xdr:row>15</xdr:row>
          <xdr:rowOff>171450</xdr:rowOff>
        </xdr:from>
        <xdr:to>
          <xdr:col>2</xdr:col>
          <xdr:colOff>2419350</xdr:colOff>
          <xdr:row>16</xdr:row>
          <xdr:rowOff>180975</xdr:rowOff>
        </xdr:to>
        <xdr:sp macro="" textlink="">
          <xdr:nvSpPr>
            <xdr:cNvPr id="334869" name="Button 21" hidden="1">
              <a:extLst>
                <a:ext uri="{63B3BB69-23CF-44E3-9099-C40C66FF867C}">
                  <a14:compatExt spid="_x0000_s3348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Actualizar Empresa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16417" name="FPMExcelClientSheetOptionstb1" hidden="1">
              <a:extLst>
                <a:ext uri="{63B3BB69-23CF-44E3-9099-C40C66FF867C}">
                  <a14:compatExt spid="_x0000_s3164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16418" name="ConnectionDescriptorsInfotb1" hidden="1">
              <a:extLst>
                <a:ext uri="{63B3BB69-23CF-44E3-9099-C40C66FF867C}">
                  <a14:compatExt spid="_x0000_s3164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16419" name="MultipleReportManagerInfotb1" hidden="1">
              <a:extLst>
                <a:ext uri="{63B3BB69-23CF-44E3-9099-C40C66FF867C}">
                  <a14:compatExt spid="_x0000_s3164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16420" name="AnalyzerDynReport000tb1" hidden="1">
              <a:extLst>
                <a:ext uri="{63B3BB69-23CF-44E3-9099-C40C66FF867C}">
                  <a14:compatExt spid="_x0000_s3164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16421" name="ReportSubmitManagerControltb1" hidden="1">
              <a:extLst>
                <a:ext uri="{63B3BB69-23CF-44E3-9099-C40C66FF867C}">
                  <a14:compatExt spid="_x0000_s3164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16422" name="ReportSubmitControl_1tb1" hidden="1">
              <a:extLst>
                <a:ext uri="{63B3BB69-23CF-44E3-9099-C40C66FF867C}">
                  <a14:compatExt spid="_x0000_s3164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57150</xdr:colOff>
          <xdr:row>0</xdr:row>
          <xdr:rowOff>0</xdr:rowOff>
        </xdr:to>
        <xdr:sp macro="" textlink="">
          <xdr:nvSpPr>
            <xdr:cNvPr id="316424" name="ReportSubmitControl_2tb1" hidden="1">
              <a:extLst>
                <a:ext uri="{63B3BB69-23CF-44E3-9099-C40C66FF867C}">
                  <a14:compatExt spid="_x0000_s316424"/>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0</xdr:rowOff>
    </xdr:from>
    <xdr:to>
      <xdr:col>4</xdr:col>
      <xdr:colOff>3250600</xdr:colOff>
      <xdr:row>0</xdr:row>
      <xdr:rowOff>1016000</xdr:rowOff>
    </xdr:to>
    <xdr:pic>
      <xdr:nvPicPr>
        <xdr:cNvPr id="14" name="Cuadro">
          <a:extLst>
            <a:ext uri="{FF2B5EF4-FFF2-40B4-BE49-F238E27FC236}">
              <a16:creationId xmlns:a16="http://schemas.microsoft.com/office/drawing/2014/main" xmlns="" id="{00000000-0008-0000-0800-00000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499000" cy="1016000"/>
        </a:xfrm>
        <a:prstGeom prst="rect">
          <a:avLst/>
        </a:prstGeom>
      </xdr:spPr>
    </xdr:pic>
    <xdr:clientData/>
  </xdr:twoCellAnchor>
  <xdr:twoCellAnchor>
    <xdr:from>
      <xdr:col>2</xdr:col>
      <xdr:colOff>1587500</xdr:colOff>
      <xdr:row>0</xdr:row>
      <xdr:rowOff>0</xdr:rowOff>
    </xdr:from>
    <xdr:to>
      <xdr:col>4</xdr:col>
      <xdr:colOff>870613</xdr:colOff>
      <xdr:row>0</xdr:row>
      <xdr:rowOff>483722</xdr:rowOff>
    </xdr:to>
    <xdr:sp macro="" textlink="Resultados!C13">
      <xdr:nvSpPr>
        <xdr:cNvPr id="15" name="LblGrupo">
          <a:extLst>
            <a:ext uri="{FF2B5EF4-FFF2-40B4-BE49-F238E27FC236}">
              <a16:creationId xmlns:a16="http://schemas.microsoft.com/office/drawing/2014/main" xmlns="" id="{00000000-0008-0000-0800-00000F000000}"/>
            </a:ext>
          </a:extLst>
        </xdr:cNvPr>
        <xdr:cNvSpPr/>
      </xdr:nvSpPr>
      <xdr:spPr>
        <a:xfrm>
          <a:off x="2540000" y="0"/>
          <a:ext cx="4579013" cy="483722"/>
        </a:xfrm>
        <a:prstGeom prst="rect">
          <a:avLst/>
        </a:prstGeom>
        <a:noFill/>
        <a:effectLst>
          <a:outerShdw blurRad="50800" dist="38100" dir="5400000" algn="t" rotWithShape="0">
            <a:prstClr val="black">
              <a:alpha val="40000"/>
            </a:prstClr>
          </a:outerShdw>
        </a:effectLst>
      </xdr:spPr>
      <xdr:txBody>
        <a:bodyPr wrap="square" lIns="91440" tIns="45720" rIns="91440" bIns="45720" anchor="t">
          <a:noAutofit/>
        </a:bodyPr>
        <a:lstStyle/>
        <a:p>
          <a:pPr algn="l"/>
          <a:fld id="{AF8F4D9B-7897-4DD4-BE1B-116EF1260F35}" type="TxLink">
            <a:rPr lang="en-US" sz="25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cs typeface="Arial" panose="020B0604020202020204" pitchFamily="34" charset="0"/>
            </a:rPr>
            <a:pPr algn="l"/>
            <a:t>GRUPO EMPRESARIAL INVERNAC</a:t>
          </a:fld>
          <a:endParaRPr lang="es-ES" sz="25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cs typeface="Arial" panose="020B0604020202020204" pitchFamily="34" charset="0"/>
          </a:endParaRPr>
        </a:p>
      </xdr:txBody>
    </xdr:sp>
    <xdr:clientData/>
  </xdr:twoCellAnchor>
  <xdr:twoCellAnchor>
    <xdr:from>
      <xdr:col>2</xdr:col>
      <xdr:colOff>1587500</xdr:colOff>
      <xdr:row>0</xdr:row>
      <xdr:rowOff>368300</xdr:rowOff>
    </xdr:from>
    <xdr:to>
      <xdr:col>4</xdr:col>
      <xdr:colOff>568341</xdr:colOff>
      <xdr:row>0</xdr:row>
      <xdr:rowOff>785291</xdr:rowOff>
    </xdr:to>
    <xdr:sp macro="" textlink="C3">
      <xdr:nvSpPr>
        <xdr:cNvPr id="16" name="lblCompania">
          <a:extLst>
            <a:ext uri="{FF2B5EF4-FFF2-40B4-BE49-F238E27FC236}">
              <a16:creationId xmlns:a16="http://schemas.microsoft.com/office/drawing/2014/main" xmlns="" id="{00000000-0008-0000-0800-000010000000}"/>
            </a:ext>
          </a:extLst>
        </xdr:cNvPr>
        <xdr:cNvSpPr txBox="1">
          <a:spLocks noChangeAspect="1"/>
        </xdr:cNvSpPr>
      </xdr:nvSpPr>
      <xdr:spPr>
        <a:xfrm>
          <a:off x="2540000" y="368300"/>
          <a:ext cx="4276741" cy="416991"/>
        </a:xfrm>
        <a:prstGeom prst="rect">
          <a:avLst/>
        </a:prstGeom>
        <a:noFill/>
        <a:effectLst>
          <a:outerShdw blurRad="50800" dist="38100" dir="5400000" algn="t" rotWithShape="0">
            <a:prstClr val="black">
              <a:alpha val="40000"/>
            </a:prstClr>
          </a:outerShdw>
        </a:effectLst>
      </xdr:spPr>
      <xdr:txBody>
        <a:bodyPr wrap="none" lIns="91440" tIns="45720" rIns="91440" bIns="45720" anchor="t">
          <a:noAutofit/>
        </a:bodyPr>
        <a:lstStyle/>
        <a:p>
          <a:pPr marL="0" indent="0" algn="l"/>
          <a:fld id="{C235DEAD-5B1F-48D7-8ABF-323796B6D8DB}" type="TxLink">
            <a:rPr lang="en-US" sz="18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Calibri"/>
            </a:rPr>
            <a:pPr marL="0" indent="0" algn="l"/>
            <a:t> </a:t>
          </a:fld>
          <a:endParaRPr lang="es-CO" sz="18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endParaRPr>
        </a:p>
      </xdr:txBody>
    </xdr:sp>
    <xdr:clientData/>
  </xdr:twoCellAnchor>
  <xdr:twoCellAnchor>
    <xdr:from>
      <xdr:col>2</xdr:col>
      <xdr:colOff>1587500</xdr:colOff>
      <xdr:row>0</xdr:row>
      <xdr:rowOff>635000</xdr:rowOff>
    </xdr:from>
    <xdr:to>
      <xdr:col>2</xdr:col>
      <xdr:colOff>2435557</xdr:colOff>
      <xdr:row>0</xdr:row>
      <xdr:rowOff>974349</xdr:rowOff>
    </xdr:to>
    <xdr:sp macro="" textlink="C4">
      <xdr:nvSpPr>
        <xdr:cNvPr id="17" name="LblFecha">
          <a:extLst>
            <a:ext uri="{FF2B5EF4-FFF2-40B4-BE49-F238E27FC236}">
              <a16:creationId xmlns:a16="http://schemas.microsoft.com/office/drawing/2014/main" xmlns="" id="{00000000-0008-0000-0800-000011000000}"/>
            </a:ext>
          </a:extLst>
        </xdr:cNvPr>
        <xdr:cNvSpPr txBox="1"/>
      </xdr:nvSpPr>
      <xdr:spPr>
        <a:xfrm>
          <a:off x="2540000" y="635000"/>
          <a:ext cx="848057" cy="339349"/>
        </a:xfrm>
        <a:prstGeom prst="rect">
          <a:avLst/>
        </a:prstGeom>
        <a:noFill/>
        <a:effectLst>
          <a:outerShdw blurRad="50800" dist="38100" dir="5400000" algn="t" rotWithShape="0">
            <a:prstClr val="black">
              <a:alpha val="40000"/>
            </a:prstClr>
          </a:outerShdw>
        </a:effectLst>
      </xdr:spPr>
      <xdr:txBody>
        <a:bodyPr wrap="none" lIns="91440" tIns="45720" rIns="91440" bIns="45720" anchor="ctr" anchorCtr="0">
          <a:noAutofit/>
        </a:bodyPr>
        <a:lstStyle/>
        <a:p>
          <a:pPr marL="0" indent="0" algn="l"/>
          <a:fld id="{6F1911B4-A145-4C95-98DF-A21D413DD983}" type="TxLink">
            <a:rPr lang="en-US" sz="15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rPr>
            <a:pPr marL="0" indent="0" algn="l"/>
            <a:t> </a:t>
          </a:fld>
          <a:endParaRPr lang="es-CO" sz="15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3</xdr:col>
          <xdr:colOff>257175</xdr:colOff>
          <xdr:row>1</xdr:row>
          <xdr:rowOff>171450</xdr:rowOff>
        </xdr:from>
        <xdr:to>
          <xdr:col>4</xdr:col>
          <xdr:colOff>1371600</xdr:colOff>
          <xdr:row>2</xdr:row>
          <xdr:rowOff>180975</xdr:rowOff>
        </xdr:to>
        <xdr:sp macro="" textlink="">
          <xdr:nvSpPr>
            <xdr:cNvPr id="316431" name="Button 15" hidden="1">
              <a:extLst>
                <a:ext uri="{63B3BB69-23CF-44E3-9099-C40C66FF867C}">
                  <a14:compatExt spid="_x0000_s3164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Consultar Informacion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3514725</xdr:colOff>
          <xdr:row>0</xdr:row>
          <xdr:rowOff>104775</xdr:rowOff>
        </xdr:from>
        <xdr:to>
          <xdr:col>9</xdr:col>
          <xdr:colOff>190500</xdr:colOff>
          <xdr:row>0</xdr:row>
          <xdr:rowOff>304800</xdr:rowOff>
        </xdr:to>
        <xdr:sp macro="" textlink="">
          <xdr:nvSpPr>
            <xdr:cNvPr id="316435" name="Button 19" hidden="1">
              <a:extLst>
                <a:ext uri="{63B3BB69-23CF-44E3-9099-C40C66FF867C}">
                  <a14:compatExt spid="_x0000_s3164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Guardar Nota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9525</xdr:colOff>
          <xdr:row>0</xdr:row>
          <xdr:rowOff>0</xdr:rowOff>
        </xdr:to>
        <xdr:sp macro="" textlink="">
          <xdr:nvSpPr>
            <xdr:cNvPr id="443393" name="FPMExcelClientSheetOptionstb1" hidden="1">
              <a:extLst>
                <a:ext uri="{63B3BB69-23CF-44E3-9099-C40C66FF867C}">
                  <a14:compatExt spid="_x0000_s4433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9525</xdr:colOff>
          <xdr:row>0</xdr:row>
          <xdr:rowOff>0</xdr:rowOff>
        </xdr:to>
        <xdr:sp macro="" textlink="">
          <xdr:nvSpPr>
            <xdr:cNvPr id="443394" name="ConnectionDescriptorsInfotb1" hidden="1">
              <a:extLst>
                <a:ext uri="{63B3BB69-23CF-44E3-9099-C40C66FF867C}">
                  <a14:compatExt spid="_x0000_s4433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9525</xdr:colOff>
          <xdr:row>0</xdr:row>
          <xdr:rowOff>0</xdr:rowOff>
        </xdr:to>
        <xdr:sp macro="" textlink="">
          <xdr:nvSpPr>
            <xdr:cNvPr id="443395" name="MultipleReportManagerInfotb1" hidden="1">
              <a:extLst>
                <a:ext uri="{63B3BB69-23CF-44E3-9099-C40C66FF867C}">
                  <a14:compatExt spid="_x0000_s4433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9525</xdr:colOff>
          <xdr:row>0</xdr:row>
          <xdr:rowOff>0</xdr:rowOff>
        </xdr:to>
        <xdr:sp macro="" textlink="">
          <xdr:nvSpPr>
            <xdr:cNvPr id="443396" name="AnalyzerDynReport000tb1" hidden="1">
              <a:extLst>
                <a:ext uri="{63B3BB69-23CF-44E3-9099-C40C66FF867C}">
                  <a14:compatExt spid="_x0000_s4433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9525</xdr:colOff>
          <xdr:row>0</xdr:row>
          <xdr:rowOff>0</xdr:rowOff>
        </xdr:to>
        <xdr:sp macro="" textlink="">
          <xdr:nvSpPr>
            <xdr:cNvPr id="443397" name="ReportSubmitManagerControltb1" hidden="1">
              <a:extLst>
                <a:ext uri="{63B3BB69-23CF-44E3-9099-C40C66FF867C}">
                  <a14:compatExt spid="_x0000_s4433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9525</xdr:colOff>
          <xdr:row>0</xdr:row>
          <xdr:rowOff>0</xdr:rowOff>
        </xdr:to>
        <xdr:sp macro="" textlink="">
          <xdr:nvSpPr>
            <xdr:cNvPr id="443398" name="ReportSubmitControl_1tb1" hidden="1">
              <a:extLst>
                <a:ext uri="{63B3BB69-23CF-44E3-9099-C40C66FF867C}">
                  <a14:compatExt spid="_x0000_s4433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133350</xdr:colOff>
          <xdr:row>0</xdr:row>
          <xdr:rowOff>0</xdr:rowOff>
        </xdr:to>
        <xdr:sp macro="" textlink="">
          <xdr:nvSpPr>
            <xdr:cNvPr id="443399" name="ReportSubmitControl_2tb1" hidden="1">
              <a:extLst>
                <a:ext uri="{63B3BB69-23CF-44E3-9099-C40C66FF867C}">
                  <a14:compatExt spid="_x0000_s4433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133350</xdr:colOff>
          <xdr:row>0</xdr:row>
          <xdr:rowOff>0</xdr:rowOff>
        </xdr:to>
        <xdr:sp macro="" textlink="">
          <xdr:nvSpPr>
            <xdr:cNvPr id="443401" name="AnalyzerDynReport001tb1" hidden="1">
              <a:extLst>
                <a:ext uri="{63B3BB69-23CF-44E3-9099-C40C66FF867C}">
                  <a14:compatExt spid="_x0000_s443401"/>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0</xdr:rowOff>
    </xdr:from>
    <xdr:to>
      <xdr:col>6</xdr:col>
      <xdr:colOff>355000</xdr:colOff>
      <xdr:row>0</xdr:row>
      <xdr:rowOff>1016000</xdr:rowOff>
    </xdr:to>
    <xdr:pic>
      <xdr:nvPicPr>
        <xdr:cNvPr id="20" name="Cuadro">
          <a:extLst>
            <a:ext uri="{FF2B5EF4-FFF2-40B4-BE49-F238E27FC236}">
              <a16:creationId xmlns:a16="http://schemas.microsoft.com/office/drawing/2014/main" xmlns="" id="{00000000-0008-0000-0900-000014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499000" cy="1016000"/>
        </a:xfrm>
        <a:prstGeom prst="rect">
          <a:avLst/>
        </a:prstGeom>
      </xdr:spPr>
    </xdr:pic>
    <xdr:clientData/>
  </xdr:twoCellAnchor>
  <xdr:twoCellAnchor>
    <xdr:from>
      <xdr:col>2</xdr:col>
      <xdr:colOff>1587500</xdr:colOff>
      <xdr:row>0</xdr:row>
      <xdr:rowOff>0</xdr:rowOff>
    </xdr:from>
    <xdr:to>
      <xdr:col>4</xdr:col>
      <xdr:colOff>914863</xdr:colOff>
      <xdr:row>0</xdr:row>
      <xdr:rowOff>483722</xdr:rowOff>
    </xdr:to>
    <xdr:sp macro="" textlink="Resultados!C13">
      <xdr:nvSpPr>
        <xdr:cNvPr id="21" name="LblGrupo">
          <a:extLst>
            <a:ext uri="{FF2B5EF4-FFF2-40B4-BE49-F238E27FC236}">
              <a16:creationId xmlns:a16="http://schemas.microsoft.com/office/drawing/2014/main" xmlns="" id="{00000000-0008-0000-0900-000015000000}"/>
            </a:ext>
          </a:extLst>
        </xdr:cNvPr>
        <xdr:cNvSpPr/>
      </xdr:nvSpPr>
      <xdr:spPr>
        <a:xfrm>
          <a:off x="2540000" y="0"/>
          <a:ext cx="4756613" cy="483722"/>
        </a:xfrm>
        <a:prstGeom prst="rect">
          <a:avLst/>
        </a:prstGeom>
        <a:noFill/>
        <a:effectLst>
          <a:outerShdw blurRad="50800" dist="38100" dir="5400000" algn="t" rotWithShape="0">
            <a:prstClr val="black">
              <a:alpha val="40000"/>
            </a:prstClr>
          </a:outerShdw>
        </a:effectLst>
      </xdr:spPr>
      <xdr:txBody>
        <a:bodyPr wrap="square" lIns="91440" tIns="45720" rIns="91440" bIns="45720" anchor="t">
          <a:noAutofit/>
        </a:bodyPr>
        <a:lstStyle/>
        <a:p>
          <a:pPr algn="l"/>
          <a:fld id="{AF8F4D9B-7897-4DD4-BE1B-116EF1260F35}" type="TxLink">
            <a:rPr lang="en-US" sz="25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cs typeface="Arial" panose="020B0604020202020204" pitchFamily="34" charset="0"/>
            </a:rPr>
            <a:pPr algn="l"/>
            <a:t>GRUPO EMPRESARIAL INVERNAC</a:t>
          </a:fld>
          <a:endParaRPr lang="es-ES" sz="25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cs typeface="Arial" panose="020B0604020202020204" pitchFamily="34" charset="0"/>
          </a:endParaRPr>
        </a:p>
      </xdr:txBody>
    </xdr:sp>
    <xdr:clientData/>
  </xdr:twoCellAnchor>
  <xdr:twoCellAnchor>
    <xdr:from>
      <xdr:col>2</xdr:col>
      <xdr:colOff>1587500</xdr:colOff>
      <xdr:row>0</xdr:row>
      <xdr:rowOff>368300</xdr:rowOff>
    </xdr:from>
    <xdr:to>
      <xdr:col>4</xdr:col>
      <xdr:colOff>434991</xdr:colOff>
      <xdr:row>0</xdr:row>
      <xdr:rowOff>785291</xdr:rowOff>
    </xdr:to>
    <xdr:sp macro="" textlink="C3">
      <xdr:nvSpPr>
        <xdr:cNvPr id="22" name="lblCompania">
          <a:extLst>
            <a:ext uri="{FF2B5EF4-FFF2-40B4-BE49-F238E27FC236}">
              <a16:creationId xmlns:a16="http://schemas.microsoft.com/office/drawing/2014/main" xmlns="" id="{00000000-0008-0000-0900-000016000000}"/>
            </a:ext>
          </a:extLst>
        </xdr:cNvPr>
        <xdr:cNvSpPr txBox="1">
          <a:spLocks noChangeAspect="1"/>
        </xdr:cNvSpPr>
      </xdr:nvSpPr>
      <xdr:spPr>
        <a:xfrm>
          <a:off x="2540000" y="368300"/>
          <a:ext cx="4276741" cy="416991"/>
        </a:xfrm>
        <a:prstGeom prst="rect">
          <a:avLst/>
        </a:prstGeom>
        <a:noFill/>
        <a:effectLst>
          <a:outerShdw blurRad="50800" dist="38100" dir="5400000" algn="t" rotWithShape="0">
            <a:prstClr val="black">
              <a:alpha val="40000"/>
            </a:prstClr>
          </a:outerShdw>
        </a:effectLst>
      </xdr:spPr>
      <xdr:txBody>
        <a:bodyPr wrap="none" lIns="91440" tIns="45720" rIns="91440" bIns="45720" anchor="t">
          <a:noAutofit/>
        </a:bodyPr>
        <a:lstStyle/>
        <a:p>
          <a:pPr marL="0" indent="0" algn="l"/>
          <a:fld id="{DE306CB5-CC75-45E6-9478-21339BBD7658}" type="TxLink">
            <a:rPr lang="en-US" sz="18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Calibri"/>
            </a:rPr>
            <a:pPr marL="0" indent="0" algn="l"/>
            <a:t> </a:t>
          </a:fld>
          <a:endParaRPr lang="es-CO" sz="18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endParaRPr>
        </a:p>
      </xdr:txBody>
    </xdr:sp>
    <xdr:clientData/>
  </xdr:twoCellAnchor>
  <xdr:twoCellAnchor>
    <xdr:from>
      <xdr:col>2</xdr:col>
      <xdr:colOff>1587500</xdr:colOff>
      <xdr:row>0</xdr:row>
      <xdr:rowOff>635000</xdr:rowOff>
    </xdr:from>
    <xdr:to>
      <xdr:col>2</xdr:col>
      <xdr:colOff>2435557</xdr:colOff>
      <xdr:row>0</xdr:row>
      <xdr:rowOff>974349</xdr:rowOff>
    </xdr:to>
    <xdr:sp macro="" textlink="C4">
      <xdr:nvSpPr>
        <xdr:cNvPr id="23" name="LblFecha">
          <a:extLst>
            <a:ext uri="{FF2B5EF4-FFF2-40B4-BE49-F238E27FC236}">
              <a16:creationId xmlns:a16="http://schemas.microsoft.com/office/drawing/2014/main" xmlns="" id="{00000000-0008-0000-0900-000017000000}"/>
            </a:ext>
          </a:extLst>
        </xdr:cNvPr>
        <xdr:cNvSpPr txBox="1"/>
      </xdr:nvSpPr>
      <xdr:spPr>
        <a:xfrm>
          <a:off x="2540000" y="635000"/>
          <a:ext cx="848057" cy="339349"/>
        </a:xfrm>
        <a:prstGeom prst="rect">
          <a:avLst/>
        </a:prstGeom>
        <a:noFill/>
        <a:effectLst>
          <a:outerShdw blurRad="50800" dist="38100" dir="5400000" algn="t" rotWithShape="0">
            <a:prstClr val="black">
              <a:alpha val="40000"/>
            </a:prstClr>
          </a:outerShdw>
        </a:effectLst>
      </xdr:spPr>
      <xdr:txBody>
        <a:bodyPr wrap="none" lIns="91440" tIns="45720" rIns="91440" bIns="45720" anchor="ctr" anchorCtr="0">
          <a:noAutofit/>
        </a:bodyPr>
        <a:lstStyle/>
        <a:p>
          <a:pPr marL="0" indent="0" algn="l"/>
          <a:fld id="{6F1911B4-A145-4C95-98DF-A21D413DD983}" type="TxLink">
            <a:rPr lang="en-US" sz="15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rPr>
            <a:pPr marL="0" indent="0" algn="l"/>
            <a:t> </a:t>
          </a:fld>
          <a:endParaRPr lang="es-CO" sz="15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3</xdr:col>
          <xdr:colOff>295275</xdr:colOff>
          <xdr:row>1</xdr:row>
          <xdr:rowOff>171450</xdr:rowOff>
        </xdr:from>
        <xdr:to>
          <xdr:col>4</xdr:col>
          <xdr:colOff>1276350</xdr:colOff>
          <xdr:row>2</xdr:row>
          <xdr:rowOff>180975</xdr:rowOff>
        </xdr:to>
        <xdr:sp macro="" textlink="">
          <xdr:nvSpPr>
            <xdr:cNvPr id="443403" name="Button 11" hidden="1">
              <a:extLst>
                <a:ext uri="{63B3BB69-23CF-44E3-9099-C40C66FF867C}">
                  <a14:compatExt spid="_x0000_s44340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Consultar Informacion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523875</xdr:colOff>
          <xdr:row>0</xdr:row>
          <xdr:rowOff>104775</xdr:rowOff>
        </xdr:from>
        <xdr:to>
          <xdr:col>6</xdr:col>
          <xdr:colOff>2886075</xdr:colOff>
          <xdr:row>0</xdr:row>
          <xdr:rowOff>304800</xdr:rowOff>
        </xdr:to>
        <xdr:sp macro="" textlink="">
          <xdr:nvSpPr>
            <xdr:cNvPr id="443407" name="Button 15" hidden="1">
              <a:extLst>
                <a:ext uri="{63B3BB69-23CF-44E3-9099-C40C66FF867C}">
                  <a14:compatExt spid="_x0000_s4434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Guardar Nota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25633" name="FPMExcelClientSheetOptionstb1" hidden="1">
              <a:extLst>
                <a:ext uri="{63B3BB69-23CF-44E3-9099-C40C66FF867C}">
                  <a14:compatExt spid="_x0000_s3256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25634" name="ConnectionDescriptorsInfotb1" hidden="1">
              <a:extLst>
                <a:ext uri="{63B3BB69-23CF-44E3-9099-C40C66FF867C}">
                  <a14:compatExt spid="_x0000_s3256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25635" name="MultipleReportManagerInfotb1" hidden="1">
              <a:extLst>
                <a:ext uri="{63B3BB69-23CF-44E3-9099-C40C66FF867C}">
                  <a14:compatExt spid="_x0000_s3256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25636" name="AnalyzerDynReport000tb1" hidden="1">
              <a:extLst>
                <a:ext uri="{63B3BB69-23CF-44E3-9099-C40C66FF867C}">
                  <a14:compatExt spid="_x0000_s3256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25637" name="ReportSubmitManagerControltb1" hidden="1">
              <a:extLst>
                <a:ext uri="{63B3BB69-23CF-44E3-9099-C40C66FF867C}">
                  <a14:compatExt spid="_x0000_s3256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25638" name="ReportSubmitControl_1tb1" hidden="1">
              <a:extLst>
                <a:ext uri="{63B3BB69-23CF-44E3-9099-C40C66FF867C}">
                  <a14:compatExt spid="_x0000_s3256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733425</xdr:colOff>
          <xdr:row>0</xdr:row>
          <xdr:rowOff>0</xdr:rowOff>
        </xdr:to>
        <xdr:sp macro="" textlink="">
          <xdr:nvSpPr>
            <xdr:cNvPr id="325639" name="ReportSubmitControl_2tb1" hidden="1">
              <a:extLst>
                <a:ext uri="{63B3BB69-23CF-44E3-9099-C40C66FF867C}">
                  <a14:compatExt spid="_x0000_s3256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733425</xdr:colOff>
          <xdr:row>0</xdr:row>
          <xdr:rowOff>0</xdr:rowOff>
        </xdr:to>
        <xdr:sp macro="" textlink="">
          <xdr:nvSpPr>
            <xdr:cNvPr id="325641" name="AnalyzerDynReport001tb1" hidden="1">
              <a:extLst>
                <a:ext uri="{63B3BB69-23CF-44E3-9099-C40C66FF867C}">
                  <a14:compatExt spid="_x0000_s3256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733425</xdr:colOff>
          <xdr:row>0</xdr:row>
          <xdr:rowOff>0</xdr:rowOff>
        </xdr:to>
        <xdr:sp macro="" textlink="">
          <xdr:nvSpPr>
            <xdr:cNvPr id="325644" name="ReportSubmitControl_4tb1" hidden="1">
              <a:extLst>
                <a:ext uri="{63B3BB69-23CF-44E3-9099-C40C66FF867C}">
                  <a14:compatExt spid="_x0000_s3256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733425</xdr:colOff>
          <xdr:row>0</xdr:row>
          <xdr:rowOff>0</xdr:rowOff>
        </xdr:to>
        <xdr:sp macro="" textlink="">
          <xdr:nvSpPr>
            <xdr:cNvPr id="325645" name="AnalyzerDynReport003tb1" hidden="1">
              <a:extLst>
                <a:ext uri="{63B3BB69-23CF-44E3-9099-C40C66FF867C}">
                  <a14:compatExt spid="_x0000_s3256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733425</xdr:colOff>
          <xdr:row>0</xdr:row>
          <xdr:rowOff>0</xdr:rowOff>
        </xdr:to>
        <xdr:sp macro="" textlink="">
          <xdr:nvSpPr>
            <xdr:cNvPr id="325648" name="ReportSubmitControl_5tb1" hidden="1">
              <a:extLst>
                <a:ext uri="{63B3BB69-23CF-44E3-9099-C40C66FF867C}">
                  <a14:compatExt spid="_x0000_s3256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733425</xdr:colOff>
          <xdr:row>0</xdr:row>
          <xdr:rowOff>0</xdr:rowOff>
        </xdr:to>
        <xdr:sp macro="" textlink="">
          <xdr:nvSpPr>
            <xdr:cNvPr id="325649" name="AnalyzerDynReport004tb1" hidden="1">
              <a:extLst>
                <a:ext uri="{63B3BB69-23CF-44E3-9099-C40C66FF867C}">
                  <a14:compatExt spid="_x0000_s3256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733425</xdr:colOff>
          <xdr:row>0</xdr:row>
          <xdr:rowOff>0</xdr:rowOff>
        </xdr:to>
        <xdr:sp macro="" textlink="">
          <xdr:nvSpPr>
            <xdr:cNvPr id="325651" name="AnalyzerDynReport005tb1" hidden="1">
              <a:extLst>
                <a:ext uri="{63B3BB69-23CF-44E3-9099-C40C66FF867C}">
                  <a14:compatExt spid="_x0000_s325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914400</xdr:colOff>
          <xdr:row>0</xdr:row>
          <xdr:rowOff>0</xdr:rowOff>
        </xdr:to>
        <xdr:sp macro="" textlink="">
          <xdr:nvSpPr>
            <xdr:cNvPr id="325667" name="AnalyzerDynReport006tb1" hidden="1">
              <a:extLst>
                <a:ext uri="{63B3BB69-23CF-44E3-9099-C40C66FF867C}">
                  <a14:compatExt spid="_x0000_s3256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914400</xdr:colOff>
          <xdr:row>0</xdr:row>
          <xdr:rowOff>0</xdr:rowOff>
        </xdr:to>
        <xdr:sp macro="" textlink="">
          <xdr:nvSpPr>
            <xdr:cNvPr id="325669" name="AnalyzerDynReport008tb1" hidden="1">
              <a:extLst>
                <a:ext uri="{63B3BB69-23CF-44E3-9099-C40C66FF867C}">
                  <a14:compatExt spid="_x0000_s3256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914400</xdr:colOff>
          <xdr:row>0</xdr:row>
          <xdr:rowOff>0</xdr:rowOff>
        </xdr:to>
        <xdr:sp macro="" textlink="">
          <xdr:nvSpPr>
            <xdr:cNvPr id="325671" name="AnalyzerDynReport009tb1" hidden="1">
              <a:extLst>
                <a:ext uri="{63B3BB69-23CF-44E3-9099-C40C66FF867C}">
                  <a14:compatExt spid="_x0000_s325671"/>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0</xdr:rowOff>
    </xdr:from>
    <xdr:to>
      <xdr:col>7</xdr:col>
      <xdr:colOff>145450</xdr:colOff>
      <xdr:row>0</xdr:row>
      <xdr:rowOff>1016000</xdr:rowOff>
    </xdr:to>
    <xdr:pic>
      <xdr:nvPicPr>
        <xdr:cNvPr id="22" name="Cuadro">
          <a:extLst>
            <a:ext uri="{FF2B5EF4-FFF2-40B4-BE49-F238E27FC236}">
              <a16:creationId xmlns:a16="http://schemas.microsoft.com/office/drawing/2014/main" xmlns="" id="{00000000-0008-0000-0A00-00001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499000" cy="1016000"/>
        </a:xfrm>
        <a:prstGeom prst="rect">
          <a:avLst/>
        </a:prstGeom>
      </xdr:spPr>
    </xdr:pic>
    <xdr:clientData/>
  </xdr:twoCellAnchor>
  <xdr:twoCellAnchor>
    <xdr:from>
      <xdr:col>3</xdr:col>
      <xdr:colOff>244475</xdr:colOff>
      <xdr:row>0</xdr:row>
      <xdr:rowOff>0</xdr:rowOff>
    </xdr:from>
    <xdr:to>
      <xdr:col>5</xdr:col>
      <xdr:colOff>857713</xdr:colOff>
      <xdr:row>0</xdr:row>
      <xdr:rowOff>483722</xdr:rowOff>
    </xdr:to>
    <xdr:sp macro="" textlink="Resultados!C13">
      <xdr:nvSpPr>
        <xdr:cNvPr id="23" name="LblGrupo">
          <a:extLst>
            <a:ext uri="{FF2B5EF4-FFF2-40B4-BE49-F238E27FC236}">
              <a16:creationId xmlns:a16="http://schemas.microsoft.com/office/drawing/2014/main" xmlns="" id="{00000000-0008-0000-0A00-000017000000}"/>
            </a:ext>
          </a:extLst>
        </xdr:cNvPr>
        <xdr:cNvSpPr/>
      </xdr:nvSpPr>
      <xdr:spPr>
        <a:xfrm>
          <a:off x="2540000" y="0"/>
          <a:ext cx="4756613" cy="483722"/>
        </a:xfrm>
        <a:prstGeom prst="rect">
          <a:avLst/>
        </a:prstGeom>
        <a:noFill/>
        <a:effectLst>
          <a:outerShdw blurRad="50800" dist="38100" dir="5400000" algn="t" rotWithShape="0">
            <a:prstClr val="black">
              <a:alpha val="40000"/>
            </a:prstClr>
          </a:outerShdw>
        </a:effectLst>
      </xdr:spPr>
      <xdr:txBody>
        <a:bodyPr wrap="square" lIns="91440" tIns="45720" rIns="91440" bIns="45720" anchor="t">
          <a:noAutofit/>
        </a:bodyPr>
        <a:lstStyle/>
        <a:p>
          <a:pPr algn="l"/>
          <a:fld id="{AF8F4D9B-7897-4DD4-BE1B-116EF1260F35}" type="TxLink">
            <a:rPr lang="en-US" sz="25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cs typeface="Arial" panose="020B0604020202020204" pitchFamily="34" charset="0"/>
            </a:rPr>
            <a:pPr algn="l"/>
            <a:t>GRUPO EMPRESARIAL INVERNAC</a:t>
          </a:fld>
          <a:endParaRPr lang="es-ES" sz="25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cs typeface="Arial" panose="020B0604020202020204" pitchFamily="34" charset="0"/>
          </a:endParaRPr>
        </a:p>
      </xdr:txBody>
    </xdr:sp>
    <xdr:clientData/>
  </xdr:twoCellAnchor>
  <xdr:twoCellAnchor>
    <xdr:from>
      <xdr:col>3</xdr:col>
      <xdr:colOff>244475</xdr:colOff>
      <xdr:row>0</xdr:row>
      <xdr:rowOff>368300</xdr:rowOff>
    </xdr:from>
    <xdr:to>
      <xdr:col>5</xdr:col>
      <xdr:colOff>377841</xdr:colOff>
      <xdr:row>0</xdr:row>
      <xdr:rowOff>785291</xdr:rowOff>
    </xdr:to>
    <xdr:sp macro="" textlink="C3">
      <xdr:nvSpPr>
        <xdr:cNvPr id="24" name="lblCompania">
          <a:extLst>
            <a:ext uri="{FF2B5EF4-FFF2-40B4-BE49-F238E27FC236}">
              <a16:creationId xmlns:a16="http://schemas.microsoft.com/office/drawing/2014/main" xmlns="" id="{00000000-0008-0000-0A00-000018000000}"/>
            </a:ext>
          </a:extLst>
        </xdr:cNvPr>
        <xdr:cNvSpPr txBox="1">
          <a:spLocks noChangeAspect="1"/>
        </xdr:cNvSpPr>
      </xdr:nvSpPr>
      <xdr:spPr>
        <a:xfrm>
          <a:off x="2540000" y="368300"/>
          <a:ext cx="4276741" cy="416991"/>
        </a:xfrm>
        <a:prstGeom prst="rect">
          <a:avLst/>
        </a:prstGeom>
        <a:noFill/>
        <a:effectLst>
          <a:outerShdw blurRad="50800" dist="38100" dir="5400000" algn="t" rotWithShape="0">
            <a:prstClr val="black">
              <a:alpha val="40000"/>
            </a:prstClr>
          </a:outerShdw>
        </a:effectLst>
      </xdr:spPr>
      <xdr:txBody>
        <a:bodyPr wrap="none" lIns="91440" tIns="45720" rIns="91440" bIns="45720" anchor="t">
          <a:noAutofit/>
        </a:bodyPr>
        <a:lstStyle/>
        <a:p>
          <a:pPr marL="0" indent="0" algn="l"/>
          <a:fld id="{DE306CB5-CC75-45E6-9478-21339BBD7658}" type="TxLink">
            <a:rPr lang="en-US" sz="18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Calibri"/>
            </a:rPr>
            <a:pPr marL="0" indent="0" algn="l"/>
            <a:t> </a:t>
          </a:fld>
          <a:endParaRPr lang="es-CO" sz="18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endParaRPr>
        </a:p>
      </xdr:txBody>
    </xdr:sp>
    <xdr:clientData/>
  </xdr:twoCellAnchor>
  <xdr:twoCellAnchor>
    <xdr:from>
      <xdr:col>3</xdr:col>
      <xdr:colOff>244475</xdr:colOff>
      <xdr:row>0</xdr:row>
      <xdr:rowOff>635000</xdr:rowOff>
    </xdr:from>
    <xdr:to>
      <xdr:col>3</xdr:col>
      <xdr:colOff>1092532</xdr:colOff>
      <xdr:row>0</xdr:row>
      <xdr:rowOff>974349</xdr:rowOff>
    </xdr:to>
    <xdr:sp macro="" textlink="C4">
      <xdr:nvSpPr>
        <xdr:cNvPr id="25" name="LblFecha">
          <a:extLst>
            <a:ext uri="{FF2B5EF4-FFF2-40B4-BE49-F238E27FC236}">
              <a16:creationId xmlns:a16="http://schemas.microsoft.com/office/drawing/2014/main" xmlns="" id="{00000000-0008-0000-0A00-000019000000}"/>
            </a:ext>
          </a:extLst>
        </xdr:cNvPr>
        <xdr:cNvSpPr txBox="1"/>
      </xdr:nvSpPr>
      <xdr:spPr>
        <a:xfrm>
          <a:off x="2540000" y="635000"/>
          <a:ext cx="848057" cy="339349"/>
        </a:xfrm>
        <a:prstGeom prst="rect">
          <a:avLst/>
        </a:prstGeom>
        <a:noFill/>
        <a:effectLst>
          <a:outerShdw blurRad="50800" dist="38100" dir="5400000" algn="t" rotWithShape="0">
            <a:prstClr val="black">
              <a:alpha val="40000"/>
            </a:prstClr>
          </a:outerShdw>
        </a:effectLst>
      </xdr:spPr>
      <xdr:txBody>
        <a:bodyPr wrap="none" lIns="91440" tIns="45720" rIns="91440" bIns="45720" anchor="ctr" anchorCtr="0">
          <a:noAutofit/>
        </a:bodyPr>
        <a:lstStyle/>
        <a:p>
          <a:pPr marL="0" indent="0" algn="l"/>
          <a:fld id="{6F1911B4-A145-4C95-98DF-A21D413DD983}" type="TxLink">
            <a:rPr lang="en-US" sz="1500" b="0" i="0" u="none" strike="noStrike"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rPr>
            <a:pPr marL="0" indent="0" algn="l"/>
            <a:t> </a:t>
          </a:fld>
          <a:endParaRPr lang="es-CO" sz="15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Calibri"/>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4</xdr:col>
          <xdr:colOff>314325</xdr:colOff>
          <xdr:row>1</xdr:row>
          <xdr:rowOff>171450</xdr:rowOff>
        </xdr:from>
        <xdr:to>
          <xdr:col>5</xdr:col>
          <xdr:colOff>1257300</xdr:colOff>
          <xdr:row>2</xdr:row>
          <xdr:rowOff>180975</xdr:rowOff>
        </xdr:to>
        <xdr:sp macro="" textlink="">
          <xdr:nvSpPr>
            <xdr:cNvPr id="325673" name="Button 41" hidden="1">
              <a:extLst>
                <a:ext uri="{63B3BB69-23CF-44E3-9099-C40C66FF867C}">
                  <a14:compatExt spid="_x0000_s3256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Consultar Informacion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323850</xdr:colOff>
          <xdr:row>0</xdr:row>
          <xdr:rowOff>133350</xdr:rowOff>
        </xdr:from>
        <xdr:to>
          <xdr:col>7</xdr:col>
          <xdr:colOff>2686050</xdr:colOff>
          <xdr:row>0</xdr:row>
          <xdr:rowOff>333375</xdr:rowOff>
        </xdr:to>
        <xdr:sp macro="" textlink="">
          <xdr:nvSpPr>
            <xdr:cNvPr id="325680" name="Button 48" hidden="1">
              <a:extLst>
                <a:ext uri="{63B3BB69-23CF-44E3-9099-C40C66FF867C}">
                  <a14:compatExt spid="_x0000_s32568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Guardar Nota</a:t>
              </a:r>
            </a:p>
          </xdr:txBody>
        </xdr:sp>
        <xdr:clientData fPrintsWithSheet="0"/>
      </xdr:twoCellAnchor>
    </mc:Choice>
    <mc:Fallback/>
  </mc:AlternateContent>
</xdr:wsDr>
</file>

<file path=xl/queryTables/queryTable1.xml><?xml version="1.0" encoding="utf-8"?>
<queryTable xmlns="http://schemas.openxmlformats.org/spreadsheetml/2006/main" name="DatosExternos_1" backgroundRefresh="0" connectionId="8" autoFormatId="0" applyNumberFormats="0" applyBorderFormats="0" applyFontFormats="1" applyPatternFormats="1" applyAlignmentFormats="0" applyWidthHeightFormats="0">
  <queryTableRefresh preserveSortFilterLayout="0" nextId="4">
    <queryTableFields count="3">
      <queryTableField id="1" name="Concatenacion" tableColumnId="1"/>
      <queryTableField id="2" name="MONEDA_T" tableColumnId="2"/>
      <queryTableField id="3" name="MONEDA" tableColumnId="3"/>
    </queryTableFields>
  </queryTableRefresh>
</queryTable>
</file>

<file path=xl/queryTables/queryTable2.xml><?xml version="1.0" encoding="utf-8"?>
<queryTable xmlns="http://schemas.openxmlformats.org/spreadsheetml/2006/main" name="DatosExternos_2" backgroundRefresh="0" connectionId="9" autoFormatId="0" applyNumberFormats="0" applyBorderFormats="0" applyFontFormats="1" applyPatternFormats="1" applyAlignmentFormats="0" applyWidthHeightFormats="0">
  <queryTableRefresh preserveSortFilterLayout="0" nextId="2">
    <queryTableFields count="1">
      <queryTableField id="1" name="Concatenacion" tableColumnId="1"/>
    </queryTableFields>
  </queryTableRefresh>
</queryTable>
</file>

<file path=xl/queryTables/queryTable3.xml><?xml version="1.0" encoding="utf-8"?>
<queryTable xmlns="http://schemas.openxmlformats.org/spreadsheetml/2006/main" name="DatosExternos_3" backgroundRefresh="0" connectionId="10" autoFormatId="0" applyNumberFormats="0" applyBorderFormats="0" applyFontFormats="1" applyPatternFormats="1" applyAlignmentFormats="0" applyWidthHeightFormats="0">
  <queryTableRefresh preserveSortFilterLayout="0" nextId="3">
    <queryTableFields count="2">
      <queryTableField id="1" name="GRUPO_T" tableColumnId="1"/>
      <queryTableField id="2" name="GRUPO" tableColumnId="2"/>
    </queryTableFields>
  </queryTableRefresh>
</queryTable>
</file>

<file path=xl/queryTables/queryTable4.xml><?xml version="1.0" encoding="utf-8"?>
<queryTable xmlns="http://schemas.openxmlformats.org/spreadsheetml/2006/main" name="DatosExternos_4" backgroundRefresh="0" connectionId="21" autoFormatId="0" applyNumberFormats="0" applyBorderFormats="0" applyFontFormats="1" applyPatternFormats="1" applyAlignmentFormats="0" applyWidthHeightFormats="0">
  <queryTableRefresh preserveSortFilterLayout="0" nextId="3">
    <queryTableFields count="2">
      <queryTableField id="1" name="VERSION" tableColumnId="1"/>
      <queryTableField id="2" name="CD_VERSION" tableColumnId="2"/>
    </queryTableFields>
  </queryTableRefresh>
</queryTable>
</file>

<file path=xl/queryTables/queryTable5.xml><?xml version="1.0" encoding="utf-8"?>
<queryTable xmlns="http://schemas.openxmlformats.org/spreadsheetml/2006/main" name="DatosExternos_1" connectionId="5" autoFormatId="0" applyNumberFormats="0" applyBorderFormats="0" applyFontFormats="1" applyPatternFormats="1" applyAlignmentFormats="0" applyWidthHeightFormats="0">
  <queryTableRefresh preserveSortFilterLayout="0" nextId="4">
    <queryTableFields count="3">
      <queryTableField id="1" name="FILA_COLUMNA" tableColumnId="22"/>
      <queryTableField id="2" name="VALOR" tableColumnId="23"/>
      <queryTableField id="3" name="ORIGEN" tableColumnId="24"/>
    </queryTableFields>
  </queryTableRefresh>
</queryTable>
</file>

<file path=xl/queryTables/queryTable6.xml><?xml version="1.0" encoding="utf-8"?>
<queryTable xmlns="http://schemas.openxmlformats.org/spreadsheetml/2006/main" name="DatosExternos_1" connectionId="6" autoFormatId="0" applyNumberFormats="0" applyBorderFormats="0" applyFontFormats="1" applyPatternFormats="1" applyAlignmentFormats="0" applyWidthHeightFormats="0">
  <queryTableRefresh preserveSortFilterLayout="0" nextId="4">
    <queryTableFields count="3">
      <queryTableField id="1" name="FILA_COLUMNA" tableColumnId="22"/>
      <queryTableField id="2" name="VALOR" tableColumnId="23"/>
      <queryTableField id="3" name="ORIGEN" tableColumnId="24"/>
    </queryTableFields>
  </queryTableRefresh>
</queryTable>
</file>

<file path=xl/queryTables/queryTable7.xml><?xml version="1.0" encoding="utf-8"?>
<queryTable xmlns="http://schemas.openxmlformats.org/spreadsheetml/2006/main" name="DatosExternos_1" connectionId="4" autoFormatId="0" applyNumberFormats="0" applyBorderFormats="0" applyFontFormats="1" applyPatternFormats="1" applyAlignmentFormats="0" applyWidthHeightFormats="0">
  <queryTableRefresh preserveSortFilterLayout="0" nextId="3">
    <queryTableFields count="2">
      <queryTableField id="1" name="ID" tableColumnId="1"/>
      <queryTableField id="2" name="DESCRIPCION_LARGA" tableColumnId="2"/>
    </queryTableFields>
  </queryTableRefresh>
</queryTable>
</file>

<file path=xl/queryTables/queryTable8.xml><?xml version="1.0" encoding="utf-8"?>
<queryTable xmlns="http://schemas.openxmlformats.org/spreadsheetml/2006/main" name="DatosExternos_1" connectionId="1" autoFormatId="0" applyNumberFormats="0" applyBorderFormats="0" applyFontFormats="1" applyPatternFormats="1" applyAlignmentFormats="0" applyWidthHeightFormats="0">
  <queryTableRefresh preserveSortFilterLayout="0" nextId="3">
    <queryTableFields count="2">
      <queryTableField id="1" name="CD_COLUMNA" tableColumnId="1"/>
      <queryTableField id="2" name="DESCRIPCION_LARGA" tableColumnId="2"/>
    </queryTableFields>
  </queryTableRefresh>
</queryTable>
</file>

<file path=xl/queryTables/queryTable9.xml><?xml version="1.0" encoding="utf-8"?>
<queryTable xmlns="http://schemas.openxmlformats.org/spreadsheetml/2006/main" name="DatosExternos_1" connectionId="2" autoFormatId="0" applyNumberFormats="0" applyBorderFormats="0" applyFontFormats="1" applyPatternFormats="1" applyAlignmentFormats="0" applyWidthHeightFormats="0">
  <queryTableRefresh preserveSortFilterLayout="0" nextId="3">
    <queryTableFields count="2">
      <queryTableField id="1" name="FILA_COLUMNA" tableColumnId="15"/>
      <queryTableField id="2" name="COMENTARIO" tableColumnId="16"/>
    </queryTableFields>
  </queryTableRefresh>
</queryTable>
</file>

<file path=xl/queryTables/queryTable10.xml><?xml version="1.0" encoding="utf-8"?>
<queryTable xmlns="http://schemas.openxmlformats.org/spreadsheetml/2006/main" name="DatosExternos_1" connectionId="3" autoFormatId="0" applyNumberFormats="0" applyBorderFormats="0" applyFontFormats="1" applyPatternFormats="1" applyAlignmentFormats="0" applyWidthHeightFormats="0">
  <queryTableRefresh preserveSortFilterLayout="0" nextId="3">
    <queryTableFields count="2">
      <queryTableField id="1" name="FILA_COLUMNA" tableColumnId="15"/>
      <queryTableField id="2" name="COMENTARIO" tableColumnId="16"/>
    </queryTableFields>
  </queryTableRefresh>
</queryTable>
</file>

<file path=xl/queryTables/queryTable11.xml><?xml version="1.0" encoding="utf-8"?>
<queryTable xmlns="http://schemas.openxmlformats.org/spreadsheetml/2006/main" name="DatosExternos_1" connectionId="7" autoFormatId="0" applyNumberFormats="0" applyBorderFormats="0" applyFontFormats="1" applyPatternFormats="1" applyAlignmentFormats="0" applyWidthHeightFormats="0">
  <queryTableRefresh preserveSortFilterLayout="0" nextId="4">
    <queryTableFields count="3">
      <queryTableField id="1" name="Concatenacion" tableColumnId="22"/>
      <queryTableField id="2" name="TASA_AVG" tableColumnId="23"/>
      <queryTableField id="3" name="TASA_END" tableColumnId="24"/>
    </queryTableFields>
  </queryTableRefresh>
</queryTable>
</file>

<file path=xl/queryTables/queryTable12.xml><?xml version="1.0" encoding="utf-8"?>
<queryTable xmlns="http://schemas.openxmlformats.org/spreadsheetml/2006/main" name="DatosExternos_1" connectionId="12" autoFormatId="0" applyNumberFormats="0" applyBorderFormats="0" applyFontFormats="1" applyPatternFormats="1" applyAlignmentFormats="0" applyWidthHeightFormats="0">
  <queryTableRefresh preserveSortFilterLayout="0" nextId="5">
    <queryTableFields count="4">
      <queryTableField id="1" name="ENTIDAD" tableColumnId="5"/>
      <queryTableField id="2" name="FILA_NOTA" tableColumnId="6"/>
      <queryTableField id="3" name="PAIS" tableColumnId="7"/>
      <queryTableField id="4" name="SUBGRUPO" tableColumnId="8"/>
    </queryTableFields>
  </queryTableRefresh>
</queryTable>
</file>

<file path=xl/queryTables/queryTable13.xml><?xml version="1.0" encoding="utf-8"?>
<queryTable xmlns="http://schemas.openxmlformats.org/spreadsheetml/2006/main" name="DatosExternos_2" connectionId="13" autoFormatId="0" applyNumberFormats="0" applyBorderFormats="0" applyFontFormats="1" applyPatternFormats="1" applyAlignmentFormats="0" applyWidthHeightFormats="0">
  <queryTableRefresh preserveSortFilterLayout="0" nextId="5">
    <queryTableFields count="4">
      <queryTableField id="1" name="ENTIDAD" tableColumnId="5"/>
      <queryTableField id="2" name="FILA_NOTA" tableColumnId="6"/>
      <queryTableField id="3" name="PAIS" tableColumnId="7"/>
      <queryTableField id="4" name="SUBGRUPO" tableColumnId="8"/>
    </queryTableFields>
  </queryTableRefresh>
</queryTable>
</file>

<file path=xl/queryTables/queryTable14.xml><?xml version="1.0" encoding="utf-8"?>
<queryTable xmlns="http://schemas.openxmlformats.org/spreadsheetml/2006/main" name="DatosExternos_3" connectionId="14" autoFormatId="0" applyNumberFormats="0" applyBorderFormats="0" applyFontFormats="1" applyPatternFormats="1" applyAlignmentFormats="0" applyWidthHeightFormats="0">
  <queryTableRefresh preserveSortFilterLayout="0" nextId="5">
    <queryTableFields count="4">
      <queryTableField id="1" name="ENTIDAD" tableColumnId="5"/>
      <queryTableField id="2" name="FILA_NOTA" tableColumnId="6"/>
      <queryTableField id="3" name="PAIS" tableColumnId="7"/>
      <queryTableField id="4" name="SUBGRUPO" tableColumnId="8"/>
    </queryTableFields>
  </queryTableRefresh>
</queryTable>
</file>

<file path=xl/queryTables/queryTable15.xml><?xml version="1.0" encoding="utf-8"?>
<queryTable xmlns="http://schemas.openxmlformats.org/spreadsheetml/2006/main" name="DatosExternos_4" connectionId="15" autoFormatId="0" applyNumberFormats="0" applyBorderFormats="0" applyFontFormats="1" applyPatternFormats="1" applyAlignmentFormats="0" applyWidthHeightFormats="0">
  <queryTableRefresh preserveSortFilterLayout="0" nextId="5">
    <queryTableFields count="4">
      <queryTableField id="1" name="ENTIDAD" tableColumnId="5"/>
      <queryTableField id="2" name="FILA_NOTA" tableColumnId="6"/>
      <queryTableField id="3" name="PAIS" tableColumnId="7"/>
      <queryTableField id="4" name="SUBGRUPO" tableColumnId="8"/>
    </queryTableFields>
  </queryTableRefresh>
</queryTable>
</file>

<file path=xl/queryTables/queryTable16.xml><?xml version="1.0" encoding="utf-8"?>
<queryTable xmlns="http://schemas.openxmlformats.org/spreadsheetml/2006/main" name="DatosExternos_5" connectionId="16" autoFormatId="0" applyNumberFormats="0" applyBorderFormats="0" applyFontFormats="1" applyPatternFormats="1" applyAlignmentFormats="0" applyWidthHeightFormats="0">
  <queryTableRefresh preserveSortFilterLayout="0" nextId="5">
    <queryTableFields count="4">
      <queryTableField id="1" name="ENTIDAD" tableColumnId="5"/>
      <queryTableField id="2" name="FILA_NOTA" tableColumnId="6"/>
      <queryTableField id="3" name="PAIS" tableColumnId="7"/>
      <queryTableField id="4" name="SUBGRUPO" tableColumnId="8"/>
    </queryTableFields>
  </queryTableRefresh>
</queryTable>
</file>

<file path=xl/queryTables/queryTable17.xml><?xml version="1.0" encoding="utf-8"?>
<queryTable xmlns="http://schemas.openxmlformats.org/spreadsheetml/2006/main" name="DatosExternos_6" connectionId="17" autoFormatId="0" applyNumberFormats="0" applyBorderFormats="0" applyFontFormats="1" applyPatternFormats="1" applyAlignmentFormats="0" applyWidthHeightFormats="0">
  <queryTableRefresh preserveSortFilterLayout="0" nextId="5">
    <queryTableFields count="4">
      <queryTableField id="1" name="ENTIDAD" tableColumnId="5"/>
      <queryTableField id="2" name="FILA_NOTA" tableColumnId="6"/>
      <queryTableField id="3" name="PAIS" tableColumnId="7"/>
      <queryTableField id="4" name="SUBGRUPO" tableColumnId="8"/>
    </queryTableFields>
  </queryTableRefresh>
</queryTable>
</file>

<file path=xl/queryTables/queryTable18.xml><?xml version="1.0" encoding="utf-8"?>
<queryTable xmlns="http://schemas.openxmlformats.org/spreadsheetml/2006/main" name="DatosExternos_7" connectionId="18" autoFormatId="0" applyNumberFormats="0" applyBorderFormats="0" applyFontFormats="1" applyPatternFormats="1" applyAlignmentFormats="0" applyWidthHeightFormats="0">
  <queryTableRefresh preserveSortFilterLayout="0" nextId="5">
    <queryTableFields count="4">
      <queryTableField id="1" name="ENTIDAD" tableColumnId="5"/>
      <queryTableField id="2" name="FILA_NOTA" tableColumnId="6"/>
      <queryTableField id="3" name="PAIS" tableColumnId="7"/>
      <queryTableField id="4" name="SUBGRUPO" tableColumnId="8"/>
    </queryTableFields>
  </queryTableRefresh>
</queryTable>
</file>

<file path=xl/queryTables/queryTable19.xml><?xml version="1.0" encoding="utf-8"?>
<queryTable xmlns="http://schemas.openxmlformats.org/spreadsheetml/2006/main" name="DatosExternos_8" connectionId="19" autoFormatId="0" applyNumberFormats="0" applyBorderFormats="0" applyFontFormats="1" applyPatternFormats="1" applyAlignmentFormats="0" applyWidthHeightFormats="0">
  <queryTableRefresh preserveSortFilterLayout="0" nextId="5">
    <queryTableFields count="4">
      <queryTableField id="1" name="ENTIDAD" tableColumnId="5"/>
      <queryTableField id="2" name="FILA_NOTA" tableColumnId="6"/>
      <queryTableField id="3" name="PAIS" tableColumnId="7"/>
      <queryTableField id="4" name="SUBGRUPO" tableColumnId="8"/>
    </queryTableFields>
  </queryTableRefresh>
</queryTable>
</file>

<file path=xl/queryTables/queryTable20.xml><?xml version="1.0" encoding="utf-8"?>
<queryTable xmlns="http://schemas.openxmlformats.org/spreadsheetml/2006/main" name="DatosExternos_9" connectionId="11" autoFormatId="0" applyNumberFormats="0" applyBorderFormats="0" applyFontFormats="1" applyPatternFormats="1" applyAlignmentFormats="0" applyWidthHeightFormats="0">
  <queryTableRefresh preserveSortFilterLayout="0" nextId="5">
    <queryTableFields count="4">
      <queryTableField id="1" name="ENTIDAD" tableColumnId="5"/>
      <queryTableField id="2" name="FILA_NOTA" tableColumnId="6"/>
      <queryTableField id="3" name="PAIS" tableColumnId="7"/>
      <queryTableField id="4" name="SUBGRUPO" tableColumnId="8"/>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table1.xml><?xml version="1.0" encoding="utf-8"?>
<table xmlns="http://schemas.openxmlformats.org/spreadsheetml/2006/main" id="4" name="tblParam" displayName="tblParam" ref="J2:K8" totalsRowShown="0" headerRowDxfId="404">
  <autoFilter ref="J2:K8"/>
  <tableColumns count="2">
    <tableColumn id="1" name="FILTROS"/>
    <tableColumn id="2" name="VALOR"/>
  </tableColumns>
  <tableStyleInfo name="TableStyleMedium2" showFirstColumn="0" showLastColumn="0" showRowStripes="1" showColumnStripes="0"/>
</table>
</file>

<file path=xl/tables/table2.xml><?xml version="1.0" encoding="utf-8"?>
<table xmlns="http://schemas.openxmlformats.org/spreadsheetml/2006/main" id="10" name="ENTIDADES" displayName="ENTIDADES" ref="BA5:BC77" tableType="queryTable" totalsRowShown="0" headerRowDxfId="403" dataDxfId="402">
  <autoFilter ref="BA5:BC77"/>
  <sortState ref="BA6:BA142">
    <sortCondition ref="BA5:BA142"/>
  </sortState>
  <tableColumns count="3">
    <tableColumn id="1" uniqueName="1" name="Concatenacion" queryTableFieldId="1" dataDxfId="329"/>
    <tableColumn id="2" uniqueName="2" name="MONEDA_T" queryTableFieldId="2" dataDxfId="328"/>
    <tableColumn id="3" uniqueName="3" name="MONEDA" queryTableFieldId="3" dataDxfId="327"/>
  </tableColumns>
  <tableStyleInfo name="TableStyleMedium2" showFirstColumn="0" showLastColumn="0" showRowStripes="1" showColumnStripes="0"/>
</table>
</file>

<file path=xl/tables/table3.xml><?xml version="1.0" encoding="utf-8"?>
<table xmlns="http://schemas.openxmlformats.org/spreadsheetml/2006/main" id="11" name="FECHAS" displayName="FECHAS" ref="BG5:BG37" tableType="queryTable" totalsRowShown="0" headerRowDxfId="325" dataDxfId="324">
  <autoFilter ref="BG5:BG37"/>
  <tableColumns count="1">
    <tableColumn id="1" uniqueName="1" name="Concatenacion" queryTableFieldId="1" dataDxfId="326"/>
  </tableColumns>
  <tableStyleInfo name="TableStyleMedium2" showFirstColumn="0" showLastColumn="0" showRowStripes="1" showColumnStripes="0"/>
</table>
</file>

<file path=xl/tables/table4.xml><?xml version="1.0" encoding="utf-8"?>
<table xmlns="http://schemas.openxmlformats.org/spreadsheetml/2006/main" id="12" name="GRUPO" displayName="GRUPO" ref="BI5:BJ18" tableType="queryTable" totalsRowShown="0" headerRowDxfId="401" dataDxfId="400">
  <autoFilter ref="BI5:BJ18"/>
  <tableColumns count="2">
    <tableColumn id="1" uniqueName="1" name="GRUPO_T" queryTableFieldId="1" dataDxfId="323"/>
    <tableColumn id="2" uniqueName="2" name="GRUPO" queryTableFieldId="2" dataDxfId="322"/>
  </tableColumns>
  <tableStyleInfo name="TableStyleMedium2" showFirstColumn="0" showLastColumn="0" showRowStripes="1" showColumnStripes="0"/>
</table>
</file>

<file path=xl/tables/table5.xml><?xml version="1.0" encoding="utf-8"?>
<table xmlns="http://schemas.openxmlformats.org/spreadsheetml/2006/main" id="9" name="VERSION" displayName="VERSION" ref="BL5:BM11" tableType="queryTable" totalsRowShown="0" headerRowDxfId="399" dataDxfId="398">
  <autoFilter ref="BL5:BM11"/>
  <tableColumns count="2">
    <tableColumn id="1" uniqueName="1" name="VERSION" queryTableFieldId="1" dataDxfId="321"/>
    <tableColumn id="2" uniqueName="2" name="CD_VERSION" queryTableFieldId="2" dataDxfId="320"/>
  </tableColumns>
  <tableStyleInfo name="TableStyleMedium2" showFirstColumn="0" showLastColumn="0" showRowStripes="1" showColumnStripes="0"/>
</table>
</file>

<file path=xl/tables/table6.xml><?xml version="1.0" encoding="utf-8"?>
<table xmlns="http://schemas.openxmlformats.org/spreadsheetml/2006/main" id="3" name="BPC_NOTAS" displayName="BPC_NOTAS" ref="A1:C1120" tableType="queryTable" totalsRowShown="0" headerRowDxfId="397" dataDxfId="396">
  <autoFilter ref="A1:C1120"/>
  <sortState ref="A2:G750">
    <sortCondition ref="A750"/>
    <sortCondition ref="D750"/>
  </sortState>
  <tableColumns count="3">
    <tableColumn id="22" uniqueName="22" name="FILA_COLUMNA" queryTableFieldId="1" dataDxfId="315"/>
    <tableColumn id="23" uniqueName="23" name="VALOR" queryTableFieldId="2" dataDxfId="314"/>
    <tableColumn id="24" uniqueName="24" name="ORIGEN" queryTableFieldId="3" dataDxfId="313"/>
  </tableColumns>
  <tableStyleInfo name="TableStyleMedium2" showFirstColumn="0" showLastColumn="0" showRowStripes="1" showColumnStripes="0"/>
</table>
</file>

<file path=xl/tables/table7.xml><?xml version="1.0" encoding="utf-8"?>
<table xmlns="http://schemas.openxmlformats.org/spreadsheetml/2006/main" id="5" name="BPC_NOTAS2" displayName="BPC_NOTAS2" ref="A1:C1124" tableType="queryTable" totalsRowShown="0" headerRowDxfId="395" dataDxfId="394">
  <autoFilter ref="A1:C1124"/>
  <tableColumns count="3">
    <tableColumn id="22" uniqueName="22" name="FILA_COLUMNA" queryTableFieldId="1" dataDxfId="312"/>
    <tableColumn id="23" uniqueName="23" name="VALOR" queryTableFieldId="2" dataDxfId="311"/>
    <tableColumn id="24" uniqueName="24" name="ORIGEN" queryTableFieldId="3" dataDxfId="310"/>
  </tableColumns>
  <tableStyleInfo name="TableStyleMedium2" showFirstColumn="0" showLastColumn="0" showRowStripes="1" showColumnStripes="0"/>
</table>
</file>

<file path=xl/tables/table8.xml><?xml version="1.0" encoding="utf-8"?>
<table xmlns="http://schemas.openxmlformats.org/spreadsheetml/2006/main" id="7" name="BPC_FILA_NOTA" displayName="BPC_FILA_NOTA" ref="A1:B9669" tableType="queryTable" totalsRowShown="0" headerRowDxfId="393" dataDxfId="392">
  <tableColumns count="2">
    <tableColumn id="1" uniqueName="1" name="ID" queryTableFieldId="1" dataDxfId="319"/>
    <tableColumn id="2" uniqueName="2" name="DESCRIPCION_LARGA" queryTableFieldId="2" dataDxfId="318"/>
  </tableColumns>
  <tableStyleInfo name="TableStyleMedium2" showFirstColumn="0" showLastColumn="0" showRowStripes="1" showColumnStripes="0"/>
</table>
</file>

<file path=xl/tables/table9.xml><?xml version="1.0" encoding="utf-8"?>
<table xmlns="http://schemas.openxmlformats.org/spreadsheetml/2006/main" id="1" name="BPC_COLUMNA_NOTA" displayName="BPC_COLUMNA_NOTA" ref="A1:B2605" tableType="queryTable" totalsRowShown="0" headerRowDxfId="391" dataDxfId="390">
  <autoFilter ref="A1:B2605"/>
  <tableColumns count="2">
    <tableColumn id="1" uniqueName="1" name="CD_COLUMNA" queryTableFieldId="1" dataDxfId="317"/>
    <tableColumn id="2" uniqueName="2" name="DESCRIPCION_LARGA" queryTableFieldId="2" dataDxfId="316"/>
  </tableColumns>
  <tableStyleInfo name="TableStyleMedium2" showFirstColumn="0" showLastColumn="0" showRowStripes="1" showColumnStripes="0"/>
</table>
</file>

<file path=xl/tables/table10.xml><?xml version="1.0" encoding="utf-8"?>
<table xmlns="http://schemas.openxmlformats.org/spreadsheetml/2006/main" id="2" name="BPC_COMENTARIOS" displayName="BPC_COMENTARIOS" ref="A1:B274" tableType="queryTable" totalsRowShown="0" headerRowDxfId="389" dataDxfId="388">
  <autoFilter ref="A1:B274"/>
  <tableColumns count="2">
    <tableColumn id="15" uniqueName="15" name="FILA_COLUMNA" queryTableFieldId="1" dataDxfId="3"/>
    <tableColumn id="16" uniqueName="16" name="COMENTARIO" queryTableFieldId="2" dataDxfId="2"/>
  </tableColumns>
  <tableStyleInfo name="TableStyleMedium2" showFirstColumn="0" showLastColumn="0" showRowStripes="1" showColumnStripes="0"/>
</table>
</file>

<file path=xl/tables/table11.xml><?xml version="1.0" encoding="utf-8"?>
<table xmlns="http://schemas.openxmlformats.org/spreadsheetml/2006/main" id="6" name="BPC_COMENTARIOS2" displayName="BPC_COMENTARIOS2" ref="A1:B2" tableType="queryTable" insertRow="1" totalsRowShown="0" headerRowDxfId="387" dataDxfId="386">
  <autoFilter ref="A1:B2"/>
  <tableColumns count="2">
    <tableColumn id="15" uniqueName="15" name="FILA_COLUMNA" queryTableFieldId="1" dataDxfId="1"/>
    <tableColumn id="16" uniqueName="16" name="COMENTARIO" queryTableFieldId="2" dataDxfId="0"/>
  </tableColumns>
  <tableStyleInfo name="TableStyleMedium2" showFirstColumn="0" showLastColumn="0" showRowStripes="1" showColumnStripes="0"/>
</table>
</file>

<file path=xl/tables/table12.xml><?xml version="1.0" encoding="utf-8"?>
<table xmlns="http://schemas.openxmlformats.org/spreadsheetml/2006/main" id="8" name="BPC_TASAS" displayName="BPC_TASAS" ref="A1:C2" tableType="queryTable" insertRow="1" totalsRowShown="0" headerRowDxfId="385" dataDxfId="384">
  <autoFilter ref="A1:C2"/>
  <tableColumns count="3">
    <tableColumn id="22" uniqueName="22" name="Concatenacion" queryTableFieldId="1" dataDxfId="6"/>
    <tableColumn id="23" uniqueName="23" name="TASA_AVG" queryTableFieldId="2" dataDxfId="5"/>
    <tableColumn id="24" uniqueName="24" name="TASA_END" queryTableFieldId="3" dataDxfId="4"/>
  </tableColumns>
  <tableStyleInfo name="TableStyleMedium2" showFirstColumn="0" showLastColumn="0" showRowStripes="1" showColumnStripes="0"/>
</table>
</file>

<file path=xl/tables/table13.xml><?xml version="1.0" encoding="utf-8"?>
<table xmlns="http://schemas.openxmlformats.org/spreadsheetml/2006/main" id="14" name="ORGANIZACION_1" displayName="ORGANIZACION_1" ref="A1:D37" tableType="queryTable" insertRowShift="1" totalsRowShown="0" headerRowDxfId="383" dataDxfId="382">
  <autoFilter ref="A1:D37"/>
  <tableColumns count="4">
    <tableColumn id="5" uniqueName="5" name="ENTIDAD" queryTableFieldId="1" dataDxfId="381"/>
    <tableColumn id="6" uniqueName="6" name="FILA_NOTA" queryTableFieldId="2" dataDxfId="380"/>
    <tableColumn id="7" uniqueName="7" name="PAIS" queryTableFieldId="3" dataDxfId="379"/>
    <tableColumn id="8" uniqueName="8" name="SUBGRUPO" queryTableFieldId="4" dataDxfId="378"/>
  </tableColumns>
  <tableStyleInfo name="TableStyleMedium2" showFirstColumn="0" showLastColumn="0" showRowStripes="1" showColumnStripes="0"/>
</table>
</file>

<file path=xl/tables/table14.xml><?xml version="1.0" encoding="utf-8"?>
<table xmlns="http://schemas.openxmlformats.org/spreadsheetml/2006/main" id="15" name="ORGANIZACION_2" displayName="ORGANIZACION_2" ref="F1:I12" tableType="queryTable" totalsRowShown="0" headerRowDxfId="377" dataDxfId="376">
  <autoFilter ref="F1:I12"/>
  <tableColumns count="4">
    <tableColumn id="5" uniqueName="5" name="ENTIDAD" queryTableFieldId="1" dataDxfId="375"/>
    <tableColumn id="6" uniqueName="6" name="FILA_NOTA" queryTableFieldId="2" dataDxfId="374"/>
    <tableColumn id="7" uniqueName="7" name="PAIS" queryTableFieldId="3" dataDxfId="373"/>
    <tableColumn id="8" uniqueName="8" name="SUBGRUPO" queryTableFieldId="4" dataDxfId="372"/>
  </tableColumns>
  <tableStyleInfo name="TableStyleMedium2" showFirstColumn="0" showLastColumn="0" showRowStripes="1" showColumnStripes="0"/>
</table>
</file>

<file path=xl/tables/table15.xml><?xml version="1.0" encoding="utf-8"?>
<table xmlns="http://schemas.openxmlformats.org/spreadsheetml/2006/main" id="16" name="ORGANIZACION_3" displayName="ORGANIZACION_3" ref="K1:N8" tableType="queryTable" totalsRowShown="0" headerRowDxfId="371" dataDxfId="370">
  <autoFilter ref="K1:N8"/>
  <tableColumns count="4">
    <tableColumn id="5" uniqueName="5" name="ENTIDAD" queryTableFieldId="1" dataDxfId="369"/>
    <tableColumn id="6" uniqueName="6" name="FILA_NOTA" queryTableFieldId="2" dataDxfId="368"/>
    <tableColumn id="7" uniqueName="7" name="PAIS" queryTableFieldId="3" dataDxfId="367"/>
    <tableColumn id="8" uniqueName="8" name="SUBGRUPO" queryTableFieldId="4" dataDxfId="366"/>
  </tableColumns>
  <tableStyleInfo name="TableStyleMedium2" showFirstColumn="0" showLastColumn="0" showRowStripes="1" showColumnStripes="0"/>
</table>
</file>

<file path=xl/tables/table16.xml><?xml version="1.0" encoding="utf-8"?>
<table xmlns="http://schemas.openxmlformats.org/spreadsheetml/2006/main" id="17" name="ORGANIZACION_4" displayName="ORGANIZACION_4" ref="P1:S7" tableType="queryTable" totalsRowShown="0" headerRowDxfId="365" dataDxfId="364">
  <autoFilter ref="P1:S7"/>
  <tableColumns count="4">
    <tableColumn id="5" uniqueName="5" name="ENTIDAD" queryTableFieldId="1" dataDxfId="363"/>
    <tableColumn id="6" uniqueName="6" name="FILA_NOTA" queryTableFieldId="2" dataDxfId="362"/>
    <tableColumn id="7" uniqueName="7" name="PAIS" queryTableFieldId="3" dataDxfId="361"/>
    <tableColumn id="8" uniqueName="8" name="SUBGRUPO" queryTableFieldId="4" dataDxfId="360"/>
  </tableColumns>
  <tableStyleInfo name="TableStyleMedium2" showFirstColumn="0" showLastColumn="0" showRowStripes="1" showColumnStripes="0"/>
</table>
</file>

<file path=xl/tables/table17.xml><?xml version="1.0" encoding="utf-8"?>
<table xmlns="http://schemas.openxmlformats.org/spreadsheetml/2006/main" id="18" name="ORGANIZACION_5" displayName="ORGANIZACION_5" ref="U1:X2" tableType="queryTable" totalsRowShown="0" headerRowDxfId="359" dataDxfId="358">
  <autoFilter ref="U1:X2"/>
  <tableColumns count="4">
    <tableColumn id="5" uniqueName="5" name="ENTIDAD" queryTableFieldId="1" dataDxfId="357"/>
    <tableColumn id="6" uniqueName="6" name="FILA_NOTA" queryTableFieldId="2" dataDxfId="356"/>
    <tableColumn id="7" uniqueName="7" name="PAIS" queryTableFieldId="3" dataDxfId="355"/>
    <tableColumn id="8" uniqueName="8" name="SUBGRUPO" queryTableFieldId="4" dataDxfId="354"/>
  </tableColumns>
  <tableStyleInfo name="TableStyleMedium2" showFirstColumn="0" showLastColumn="0" showRowStripes="1" showColumnStripes="0"/>
</table>
</file>

<file path=xl/tables/table18.xml><?xml version="1.0" encoding="utf-8"?>
<table xmlns="http://schemas.openxmlformats.org/spreadsheetml/2006/main" id="19" name="ORGANIZACION_6" displayName="ORGANIZACION_6" ref="Z1:AC3" tableType="queryTable" totalsRowShown="0" headerRowDxfId="353" dataDxfId="352">
  <autoFilter ref="Z1:AC3"/>
  <tableColumns count="4">
    <tableColumn id="5" uniqueName="5" name="ENTIDAD" queryTableFieldId="1" dataDxfId="351"/>
    <tableColumn id="6" uniqueName="6" name="FILA_NOTA" queryTableFieldId="2" dataDxfId="350"/>
    <tableColumn id="7" uniqueName="7" name="PAIS" queryTableFieldId="3" dataDxfId="349"/>
    <tableColumn id="8" uniqueName="8" name="SUBGRUPO" queryTableFieldId="4" dataDxfId="348"/>
  </tableColumns>
  <tableStyleInfo name="TableStyleMedium2" showFirstColumn="0" showLastColumn="0" showRowStripes="1" showColumnStripes="0"/>
</table>
</file>

<file path=xl/tables/table19.xml><?xml version="1.0" encoding="utf-8"?>
<table xmlns="http://schemas.openxmlformats.org/spreadsheetml/2006/main" id="20" name="ORGANIZACION_7" displayName="ORGANIZACION_7" ref="AE1:AH4" tableType="queryTable" totalsRowShown="0" headerRowDxfId="347" dataDxfId="346">
  <autoFilter ref="AE1:AH4"/>
  <tableColumns count="4">
    <tableColumn id="5" uniqueName="5" name="ENTIDAD" queryTableFieldId="1" dataDxfId="345"/>
    <tableColumn id="6" uniqueName="6" name="FILA_NOTA" queryTableFieldId="2" dataDxfId="344"/>
    <tableColumn id="7" uniqueName="7" name="PAIS" queryTableFieldId="3" dataDxfId="343"/>
    <tableColumn id="8" uniqueName="8" name="SUBGRUPO" queryTableFieldId="4" dataDxfId="342"/>
  </tableColumns>
  <tableStyleInfo name="TableStyleMedium2" showFirstColumn="0" showLastColumn="0" showRowStripes="1" showColumnStripes="0"/>
</table>
</file>

<file path=xl/tables/table20.xml><?xml version="1.0" encoding="utf-8"?>
<table xmlns="http://schemas.openxmlformats.org/spreadsheetml/2006/main" id="21" name="ORGANIZACION_8" displayName="ORGANIZACION_8" ref="AJ1:AM5" tableType="queryTable" totalsRowShown="0" headerRowDxfId="341" dataDxfId="340">
  <autoFilter ref="AJ1:AM5"/>
  <tableColumns count="4">
    <tableColumn id="5" uniqueName="5" name="ENTIDAD" queryTableFieldId="1" dataDxfId="339"/>
    <tableColumn id="6" uniqueName="6" name="FILA_NOTA" queryTableFieldId="2" dataDxfId="338"/>
    <tableColumn id="7" uniqueName="7" name="PAIS" queryTableFieldId="3" dataDxfId="337"/>
    <tableColumn id="8" uniqueName="8" name="SUBGRUPO" queryTableFieldId="4" dataDxfId="336"/>
  </tableColumns>
  <tableStyleInfo name="TableStyleMedium2" showFirstColumn="0" showLastColumn="0" showRowStripes="1" showColumnStripes="0"/>
</table>
</file>

<file path=xl/tables/table21.xml><?xml version="1.0" encoding="utf-8"?>
<table xmlns="http://schemas.openxmlformats.org/spreadsheetml/2006/main" id="23" name="ORGANIZACION" displayName="ORGANIZACION" ref="AO1:AR71" tableType="queryTable" totalsRowShown="0" headerRowDxfId="335" dataDxfId="334">
  <autoFilter ref="AO1:AR71"/>
  <tableColumns count="4">
    <tableColumn id="5" uniqueName="5" name="ENTIDAD" queryTableFieldId="1" dataDxfId="333"/>
    <tableColumn id="6" uniqueName="6" name="FILA_NOTA" queryTableFieldId="2" dataDxfId="332"/>
    <tableColumn id="7" uniqueName="7" name="PAIS" queryTableFieldId="3" dataDxfId="331"/>
    <tableColumn id="8" uniqueName="8" name="SUBGRUPO" queryTableFieldId="4" dataDxfId="33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3" Type="http://schemas.openxmlformats.org/officeDocument/2006/relationships/customProperty" Target="../customProperty2.bin"/><Relationship Id="rId7" Type="http://schemas.openxmlformats.org/officeDocument/2006/relationships/vmlDrawing" Target="../drawings/vmlDrawing1.v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drawing" Target="../drawings/drawing1.xml"/><Relationship Id="rId5" Type="http://schemas.openxmlformats.org/officeDocument/2006/relationships/customProperty" Target="../customProperty4.bin"/><Relationship Id="rId4" Type="http://schemas.openxmlformats.org/officeDocument/2006/relationships/customProperty" Target="../customProperty3.bin"/><Relationship Id="rId9" Type="http://schemas.openxmlformats.org/officeDocument/2006/relationships/image" Target="../media/image1.emf"/></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13" Type="http://schemas.openxmlformats.org/officeDocument/2006/relationships/ctrlProp" Target="../ctrlProps/ctrlProp3.xml"/><Relationship Id="rId18" Type="http://schemas.openxmlformats.org/officeDocument/2006/relationships/table" Target="../tables/table5.xml"/><Relationship Id="rId3" Type="http://schemas.openxmlformats.org/officeDocument/2006/relationships/customProperty" Target="../customProperty6.bin"/><Relationship Id="rId7" Type="http://schemas.openxmlformats.org/officeDocument/2006/relationships/drawing" Target="../drawings/drawing2.xml"/><Relationship Id="rId12" Type="http://schemas.openxmlformats.org/officeDocument/2006/relationships/ctrlProp" Target="../ctrlProps/ctrlProp2.xml"/><Relationship Id="rId17" Type="http://schemas.openxmlformats.org/officeDocument/2006/relationships/table" Target="../tables/table4.xml"/><Relationship Id="rId2" Type="http://schemas.openxmlformats.org/officeDocument/2006/relationships/customProperty" Target="../customProperty5.bin"/><Relationship Id="rId16"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customProperty" Target="../customProperty9.bin"/><Relationship Id="rId11" Type="http://schemas.openxmlformats.org/officeDocument/2006/relationships/ctrlProp" Target="../ctrlProps/ctrlProp1.xml"/><Relationship Id="rId5" Type="http://schemas.openxmlformats.org/officeDocument/2006/relationships/customProperty" Target="../customProperty8.bin"/><Relationship Id="rId15" Type="http://schemas.openxmlformats.org/officeDocument/2006/relationships/table" Target="../tables/table2.xml"/><Relationship Id="rId10" Type="http://schemas.openxmlformats.org/officeDocument/2006/relationships/image" Target="../media/image3.emf"/><Relationship Id="rId4" Type="http://schemas.openxmlformats.org/officeDocument/2006/relationships/customProperty" Target="../customProperty7.bin"/><Relationship Id="rId9" Type="http://schemas.openxmlformats.org/officeDocument/2006/relationships/control" Target="../activeX/activeX2.xml"/><Relationship Id="rId1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3.vml"/><Relationship Id="rId13" Type="http://schemas.openxmlformats.org/officeDocument/2006/relationships/control" Target="../activeX/activeX5.xml"/><Relationship Id="rId18" Type="http://schemas.openxmlformats.org/officeDocument/2006/relationships/image" Target="../media/image8.emf"/><Relationship Id="rId26" Type="http://schemas.openxmlformats.org/officeDocument/2006/relationships/image" Target="../media/image12.emf"/><Relationship Id="rId3" Type="http://schemas.openxmlformats.org/officeDocument/2006/relationships/customProperty" Target="../customProperty11.bin"/><Relationship Id="rId21" Type="http://schemas.openxmlformats.org/officeDocument/2006/relationships/control" Target="../activeX/activeX9.xml"/><Relationship Id="rId7" Type="http://schemas.openxmlformats.org/officeDocument/2006/relationships/drawing" Target="../drawings/drawing3.xml"/><Relationship Id="rId12" Type="http://schemas.openxmlformats.org/officeDocument/2006/relationships/image" Target="../media/image5.emf"/><Relationship Id="rId17" Type="http://schemas.openxmlformats.org/officeDocument/2006/relationships/control" Target="../activeX/activeX7.xml"/><Relationship Id="rId25" Type="http://schemas.openxmlformats.org/officeDocument/2006/relationships/control" Target="../activeX/activeX11.xml"/><Relationship Id="rId2" Type="http://schemas.openxmlformats.org/officeDocument/2006/relationships/customProperty" Target="../customProperty10.bin"/><Relationship Id="rId16" Type="http://schemas.openxmlformats.org/officeDocument/2006/relationships/image" Target="../media/image7.emf"/><Relationship Id="rId20" Type="http://schemas.openxmlformats.org/officeDocument/2006/relationships/image" Target="../media/image9.emf"/><Relationship Id="rId29" Type="http://schemas.openxmlformats.org/officeDocument/2006/relationships/ctrlProp" Target="../ctrlProps/ctrlProp4.xml"/><Relationship Id="rId1" Type="http://schemas.openxmlformats.org/officeDocument/2006/relationships/printerSettings" Target="../printerSettings/printerSettings3.bin"/><Relationship Id="rId6" Type="http://schemas.openxmlformats.org/officeDocument/2006/relationships/customProperty" Target="../customProperty14.bin"/><Relationship Id="rId11" Type="http://schemas.openxmlformats.org/officeDocument/2006/relationships/control" Target="../activeX/activeX4.xml"/><Relationship Id="rId24" Type="http://schemas.openxmlformats.org/officeDocument/2006/relationships/image" Target="../media/image11.emf"/><Relationship Id="rId5" Type="http://schemas.openxmlformats.org/officeDocument/2006/relationships/customProperty" Target="../customProperty13.bin"/><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3.emf"/><Relationship Id="rId10" Type="http://schemas.openxmlformats.org/officeDocument/2006/relationships/image" Target="../media/image4.emf"/><Relationship Id="rId19" Type="http://schemas.openxmlformats.org/officeDocument/2006/relationships/control" Target="../activeX/activeX8.xml"/><Relationship Id="rId31" Type="http://schemas.openxmlformats.org/officeDocument/2006/relationships/comments" Target="../comments1.xml"/><Relationship Id="rId4" Type="http://schemas.openxmlformats.org/officeDocument/2006/relationships/customProperty" Target="../customProperty12.bin"/><Relationship Id="rId9" Type="http://schemas.openxmlformats.org/officeDocument/2006/relationships/control" Target="../activeX/activeX3.xml"/><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control" Target="../activeX/activeX12.xml"/><Relationship Id="rId30"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4.vml"/><Relationship Id="rId13" Type="http://schemas.openxmlformats.org/officeDocument/2006/relationships/control" Target="../activeX/activeX15.xml"/><Relationship Id="rId18" Type="http://schemas.openxmlformats.org/officeDocument/2006/relationships/image" Target="../media/image18.emf"/><Relationship Id="rId3" Type="http://schemas.openxmlformats.org/officeDocument/2006/relationships/customProperty" Target="../customProperty16.bin"/><Relationship Id="rId21" Type="http://schemas.openxmlformats.org/officeDocument/2006/relationships/control" Target="../activeX/activeX19.xml"/><Relationship Id="rId7" Type="http://schemas.openxmlformats.org/officeDocument/2006/relationships/drawing" Target="../drawings/drawing4.xml"/><Relationship Id="rId12" Type="http://schemas.openxmlformats.org/officeDocument/2006/relationships/image" Target="../media/image15.emf"/><Relationship Id="rId17" Type="http://schemas.openxmlformats.org/officeDocument/2006/relationships/control" Target="../activeX/activeX17.xml"/><Relationship Id="rId2" Type="http://schemas.openxmlformats.org/officeDocument/2006/relationships/customProperty" Target="../customProperty15.bin"/><Relationship Id="rId16" Type="http://schemas.openxmlformats.org/officeDocument/2006/relationships/image" Target="../media/image17.emf"/><Relationship Id="rId20" Type="http://schemas.openxmlformats.org/officeDocument/2006/relationships/image" Target="../media/image19.emf"/><Relationship Id="rId1" Type="http://schemas.openxmlformats.org/officeDocument/2006/relationships/printerSettings" Target="../printerSettings/printerSettings4.bin"/><Relationship Id="rId6" Type="http://schemas.openxmlformats.org/officeDocument/2006/relationships/customProperty" Target="../customProperty19.bin"/><Relationship Id="rId11" Type="http://schemas.openxmlformats.org/officeDocument/2006/relationships/control" Target="../activeX/activeX14.xml"/><Relationship Id="rId24" Type="http://schemas.openxmlformats.org/officeDocument/2006/relationships/ctrlProp" Target="../ctrlProps/ctrlProp7.xml"/><Relationship Id="rId5" Type="http://schemas.openxmlformats.org/officeDocument/2006/relationships/customProperty" Target="../customProperty18.bin"/><Relationship Id="rId15" Type="http://schemas.openxmlformats.org/officeDocument/2006/relationships/control" Target="../activeX/activeX16.xml"/><Relationship Id="rId23" Type="http://schemas.openxmlformats.org/officeDocument/2006/relationships/ctrlProp" Target="../ctrlProps/ctrlProp6.xml"/><Relationship Id="rId10" Type="http://schemas.openxmlformats.org/officeDocument/2006/relationships/image" Target="../media/image14.emf"/><Relationship Id="rId19" Type="http://schemas.openxmlformats.org/officeDocument/2006/relationships/control" Target="../activeX/activeX18.xml"/><Relationship Id="rId4" Type="http://schemas.openxmlformats.org/officeDocument/2006/relationships/customProperty" Target="../customProperty17.bin"/><Relationship Id="rId9" Type="http://schemas.openxmlformats.org/officeDocument/2006/relationships/control" Target="../activeX/activeX13.xml"/><Relationship Id="rId14" Type="http://schemas.openxmlformats.org/officeDocument/2006/relationships/image" Target="../media/image16.emf"/><Relationship Id="rId22" Type="http://schemas.openxmlformats.org/officeDocument/2006/relationships/image" Target="../media/image20.emf"/></Relationships>
</file>

<file path=xl/worksheets/_rels/sheet5.xml.rels><?xml version="1.0" encoding="UTF-8" standalone="yes"?>
<Relationships xmlns="http://schemas.openxmlformats.org/package/2006/relationships"><Relationship Id="rId8" Type="http://schemas.openxmlformats.org/officeDocument/2006/relationships/vmlDrawing" Target="../drawings/vmlDrawing5.vml"/><Relationship Id="rId13" Type="http://schemas.openxmlformats.org/officeDocument/2006/relationships/control" Target="../activeX/activeX22.xml"/><Relationship Id="rId18" Type="http://schemas.openxmlformats.org/officeDocument/2006/relationships/image" Target="../media/image25.emf"/><Relationship Id="rId26" Type="http://schemas.openxmlformats.org/officeDocument/2006/relationships/image" Target="../media/image29.emf"/><Relationship Id="rId3" Type="http://schemas.openxmlformats.org/officeDocument/2006/relationships/customProperty" Target="../customProperty21.bin"/><Relationship Id="rId21" Type="http://schemas.openxmlformats.org/officeDocument/2006/relationships/control" Target="../activeX/activeX26.xml"/><Relationship Id="rId7" Type="http://schemas.openxmlformats.org/officeDocument/2006/relationships/drawing" Target="../drawings/drawing5.xml"/><Relationship Id="rId12" Type="http://schemas.openxmlformats.org/officeDocument/2006/relationships/image" Target="../media/image22.emf"/><Relationship Id="rId17" Type="http://schemas.openxmlformats.org/officeDocument/2006/relationships/control" Target="../activeX/activeX24.xml"/><Relationship Id="rId25" Type="http://schemas.openxmlformats.org/officeDocument/2006/relationships/control" Target="../activeX/activeX28.xml"/><Relationship Id="rId2" Type="http://schemas.openxmlformats.org/officeDocument/2006/relationships/customProperty" Target="../customProperty20.bin"/><Relationship Id="rId16" Type="http://schemas.openxmlformats.org/officeDocument/2006/relationships/image" Target="../media/image24.emf"/><Relationship Id="rId20" Type="http://schemas.openxmlformats.org/officeDocument/2006/relationships/image" Target="../media/image26.emf"/><Relationship Id="rId29" Type="http://schemas.openxmlformats.org/officeDocument/2006/relationships/control" Target="../activeX/activeX30.xml"/><Relationship Id="rId1" Type="http://schemas.openxmlformats.org/officeDocument/2006/relationships/printerSettings" Target="../printerSettings/printerSettings5.bin"/><Relationship Id="rId6" Type="http://schemas.openxmlformats.org/officeDocument/2006/relationships/customProperty" Target="../customProperty24.bin"/><Relationship Id="rId11" Type="http://schemas.openxmlformats.org/officeDocument/2006/relationships/control" Target="../activeX/activeX21.xml"/><Relationship Id="rId24" Type="http://schemas.openxmlformats.org/officeDocument/2006/relationships/image" Target="../media/image28.emf"/><Relationship Id="rId32" Type="http://schemas.openxmlformats.org/officeDocument/2006/relationships/ctrlProp" Target="../ctrlProps/ctrlProp9.xml"/><Relationship Id="rId5" Type="http://schemas.openxmlformats.org/officeDocument/2006/relationships/customProperty" Target="../customProperty23.bin"/><Relationship Id="rId15" Type="http://schemas.openxmlformats.org/officeDocument/2006/relationships/control" Target="../activeX/activeX23.xml"/><Relationship Id="rId23" Type="http://schemas.openxmlformats.org/officeDocument/2006/relationships/control" Target="../activeX/activeX27.xml"/><Relationship Id="rId28" Type="http://schemas.openxmlformats.org/officeDocument/2006/relationships/image" Target="../media/image30.emf"/><Relationship Id="rId10" Type="http://schemas.openxmlformats.org/officeDocument/2006/relationships/image" Target="../media/image21.emf"/><Relationship Id="rId19" Type="http://schemas.openxmlformats.org/officeDocument/2006/relationships/control" Target="../activeX/activeX25.xml"/><Relationship Id="rId31" Type="http://schemas.openxmlformats.org/officeDocument/2006/relationships/ctrlProp" Target="../ctrlProps/ctrlProp8.xml"/><Relationship Id="rId4" Type="http://schemas.openxmlformats.org/officeDocument/2006/relationships/customProperty" Target="../customProperty22.bin"/><Relationship Id="rId9" Type="http://schemas.openxmlformats.org/officeDocument/2006/relationships/control" Target="../activeX/activeX20.xml"/><Relationship Id="rId14" Type="http://schemas.openxmlformats.org/officeDocument/2006/relationships/image" Target="../media/image23.emf"/><Relationship Id="rId22" Type="http://schemas.openxmlformats.org/officeDocument/2006/relationships/image" Target="../media/image27.emf"/><Relationship Id="rId27" Type="http://schemas.openxmlformats.org/officeDocument/2006/relationships/control" Target="../activeX/activeX29.xml"/><Relationship Id="rId30" Type="http://schemas.openxmlformats.org/officeDocument/2006/relationships/image" Target="../media/image31.emf"/></Relationships>
</file>

<file path=xl/worksheets/_rels/sheet6.x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control" Target="../activeX/activeX35.xml"/><Relationship Id="rId26" Type="http://schemas.openxmlformats.org/officeDocument/2006/relationships/control" Target="../activeX/activeX39.xml"/><Relationship Id="rId3" Type="http://schemas.openxmlformats.org/officeDocument/2006/relationships/customProperty" Target="../customProperty26.bin"/><Relationship Id="rId21" Type="http://schemas.openxmlformats.org/officeDocument/2006/relationships/image" Target="../media/image37.emf"/><Relationship Id="rId7" Type="http://schemas.openxmlformats.org/officeDocument/2006/relationships/customProperty" Target="../customProperty30.bin"/><Relationship Id="rId12" Type="http://schemas.openxmlformats.org/officeDocument/2006/relationships/control" Target="../activeX/activeX32.xml"/><Relationship Id="rId17" Type="http://schemas.openxmlformats.org/officeDocument/2006/relationships/image" Target="../media/image35.emf"/><Relationship Id="rId25" Type="http://schemas.openxmlformats.org/officeDocument/2006/relationships/image" Target="../media/image39.emf"/><Relationship Id="rId33" Type="http://schemas.openxmlformats.org/officeDocument/2006/relationships/ctrlProp" Target="../ctrlProps/ctrlProp11.xml"/><Relationship Id="rId2" Type="http://schemas.openxmlformats.org/officeDocument/2006/relationships/customProperty" Target="../customProperty25.bin"/><Relationship Id="rId16" Type="http://schemas.openxmlformats.org/officeDocument/2006/relationships/control" Target="../activeX/activeX34.xml"/><Relationship Id="rId20" Type="http://schemas.openxmlformats.org/officeDocument/2006/relationships/control" Target="../activeX/activeX36.xml"/><Relationship Id="rId29" Type="http://schemas.openxmlformats.org/officeDocument/2006/relationships/image" Target="../media/image41.emf"/><Relationship Id="rId1" Type="http://schemas.openxmlformats.org/officeDocument/2006/relationships/printerSettings" Target="../printerSettings/printerSettings6.bin"/><Relationship Id="rId6" Type="http://schemas.openxmlformats.org/officeDocument/2006/relationships/customProperty" Target="../customProperty29.bin"/><Relationship Id="rId11" Type="http://schemas.openxmlformats.org/officeDocument/2006/relationships/image" Target="../media/image32.emf"/><Relationship Id="rId24" Type="http://schemas.openxmlformats.org/officeDocument/2006/relationships/control" Target="../activeX/activeX38.xml"/><Relationship Id="rId32" Type="http://schemas.openxmlformats.org/officeDocument/2006/relationships/ctrlProp" Target="../ctrlProps/ctrlProp10.xml"/><Relationship Id="rId5" Type="http://schemas.openxmlformats.org/officeDocument/2006/relationships/customProperty" Target="../customProperty28.bin"/><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ntrol" Target="../activeX/activeX40.xml"/><Relationship Id="rId10" Type="http://schemas.openxmlformats.org/officeDocument/2006/relationships/control" Target="../activeX/activeX31.xml"/><Relationship Id="rId19" Type="http://schemas.openxmlformats.org/officeDocument/2006/relationships/image" Target="../media/image36.emf"/><Relationship Id="rId31" Type="http://schemas.openxmlformats.org/officeDocument/2006/relationships/image" Target="../media/image42.emf"/><Relationship Id="rId4" Type="http://schemas.openxmlformats.org/officeDocument/2006/relationships/customProperty" Target="../customProperty27.bin"/><Relationship Id="rId9" Type="http://schemas.openxmlformats.org/officeDocument/2006/relationships/vmlDrawing" Target="../drawings/vmlDrawing6.vml"/><Relationship Id="rId14" Type="http://schemas.openxmlformats.org/officeDocument/2006/relationships/control" Target="../activeX/activeX33.xml"/><Relationship Id="rId22" Type="http://schemas.openxmlformats.org/officeDocument/2006/relationships/control" Target="../activeX/activeX37.xml"/><Relationship Id="rId27" Type="http://schemas.openxmlformats.org/officeDocument/2006/relationships/image" Target="../media/image40.emf"/><Relationship Id="rId30" Type="http://schemas.openxmlformats.org/officeDocument/2006/relationships/control" Target="../activeX/activeX41.xml"/><Relationship Id="rId8"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7.vml"/><Relationship Id="rId13" Type="http://schemas.openxmlformats.org/officeDocument/2006/relationships/control" Target="../activeX/activeX44.xml"/><Relationship Id="rId18" Type="http://schemas.openxmlformats.org/officeDocument/2006/relationships/image" Target="../media/image47.emf"/><Relationship Id="rId3" Type="http://schemas.openxmlformats.org/officeDocument/2006/relationships/customProperty" Target="../customProperty32.bin"/><Relationship Id="rId21" Type="http://schemas.openxmlformats.org/officeDocument/2006/relationships/ctrlProp" Target="../ctrlProps/ctrlProp12.xml"/><Relationship Id="rId7" Type="http://schemas.openxmlformats.org/officeDocument/2006/relationships/drawing" Target="../drawings/drawing7.xml"/><Relationship Id="rId12" Type="http://schemas.openxmlformats.org/officeDocument/2006/relationships/image" Target="../media/image44.emf"/><Relationship Id="rId17" Type="http://schemas.openxmlformats.org/officeDocument/2006/relationships/control" Target="../activeX/activeX46.xml"/><Relationship Id="rId2" Type="http://schemas.openxmlformats.org/officeDocument/2006/relationships/customProperty" Target="../customProperty31.bin"/><Relationship Id="rId16" Type="http://schemas.openxmlformats.org/officeDocument/2006/relationships/image" Target="../media/image46.emf"/><Relationship Id="rId20" Type="http://schemas.openxmlformats.org/officeDocument/2006/relationships/image" Target="../media/image48.emf"/><Relationship Id="rId1" Type="http://schemas.openxmlformats.org/officeDocument/2006/relationships/printerSettings" Target="../printerSettings/printerSettings7.bin"/><Relationship Id="rId6" Type="http://schemas.openxmlformats.org/officeDocument/2006/relationships/customProperty" Target="../customProperty35.bin"/><Relationship Id="rId11" Type="http://schemas.openxmlformats.org/officeDocument/2006/relationships/control" Target="../activeX/activeX43.xml"/><Relationship Id="rId5" Type="http://schemas.openxmlformats.org/officeDocument/2006/relationships/customProperty" Target="../customProperty34.bin"/><Relationship Id="rId15" Type="http://schemas.openxmlformats.org/officeDocument/2006/relationships/control" Target="../activeX/activeX45.xml"/><Relationship Id="rId23" Type="http://schemas.openxmlformats.org/officeDocument/2006/relationships/comments" Target="../comments2.xml"/><Relationship Id="rId10" Type="http://schemas.openxmlformats.org/officeDocument/2006/relationships/image" Target="../media/image43.emf"/><Relationship Id="rId19" Type="http://schemas.openxmlformats.org/officeDocument/2006/relationships/control" Target="../activeX/activeX47.xml"/><Relationship Id="rId4" Type="http://schemas.openxmlformats.org/officeDocument/2006/relationships/customProperty" Target="../customProperty33.bin"/><Relationship Id="rId9" Type="http://schemas.openxmlformats.org/officeDocument/2006/relationships/control" Target="../activeX/activeX42.xml"/><Relationship Id="rId14" Type="http://schemas.openxmlformats.org/officeDocument/2006/relationships/image" Target="../media/image45.emf"/><Relationship Id="rId22"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8.vml"/><Relationship Id="rId13" Type="http://schemas.openxmlformats.org/officeDocument/2006/relationships/control" Target="../activeX/activeX50.xml"/><Relationship Id="rId18" Type="http://schemas.openxmlformats.org/officeDocument/2006/relationships/image" Target="../media/image53.emf"/><Relationship Id="rId26" Type="http://schemas.openxmlformats.org/officeDocument/2006/relationships/comments" Target="../comments3.xml"/><Relationship Id="rId3" Type="http://schemas.openxmlformats.org/officeDocument/2006/relationships/customProperty" Target="../customProperty37.bin"/><Relationship Id="rId21" Type="http://schemas.openxmlformats.org/officeDocument/2006/relationships/control" Target="../activeX/activeX54.xml"/><Relationship Id="rId7" Type="http://schemas.openxmlformats.org/officeDocument/2006/relationships/drawing" Target="../drawings/drawing8.xml"/><Relationship Id="rId12" Type="http://schemas.openxmlformats.org/officeDocument/2006/relationships/image" Target="../media/image50.emf"/><Relationship Id="rId17" Type="http://schemas.openxmlformats.org/officeDocument/2006/relationships/control" Target="../activeX/activeX52.xml"/><Relationship Id="rId25" Type="http://schemas.openxmlformats.org/officeDocument/2006/relationships/ctrlProp" Target="../ctrlProps/ctrlProp16.xml"/><Relationship Id="rId2" Type="http://schemas.openxmlformats.org/officeDocument/2006/relationships/customProperty" Target="../customProperty36.bin"/><Relationship Id="rId16" Type="http://schemas.openxmlformats.org/officeDocument/2006/relationships/image" Target="../media/image52.emf"/><Relationship Id="rId20" Type="http://schemas.openxmlformats.org/officeDocument/2006/relationships/image" Target="../media/image54.emf"/><Relationship Id="rId1" Type="http://schemas.openxmlformats.org/officeDocument/2006/relationships/printerSettings" Target="../printerSettings/printerSettings8.bin"/><Relationship Id="rId6" Type="http://schemas.openxmlformats.org/officeDocument/2006/relationships/customProperty" Target="../customProperty40.bin"/><Relationship Id="rId11" Type="http://schemas.openxmlformats.org/officeDocument/2006/relationships/control" Target="../activeX/activeX49.xml"/><Relationship Id="rId24" Type="http://schemas.openxmlformats.org/officeDocument/2006/relationships/ctrlProp" Target="../ctrlProps/ctrlProp15.xml"/><Relationship Id="rId5" Type="http://schemas.openxmlformats.org/officeDocument/2006/relationships/customProperty" Target="../customProperty39.bin"/><Relationship Id="rId15" Type="http://schemas.openxmlformats.org/officeDocument/2006/relationships/control" Target="../activeX/activeX51.xml"/><Relationship Id="rId23" Type="http://schemas.openxmlformats.org/officeDocument/2006/relationships/ctrlProp" Target="../ctrlProps/ctrlProp14.xml"/><Relationship Id="rId10" Type="http://schemas.openxmlformats.org/officeDocument/2006/relationships/image" Target="../media/image49.emf"/><Relationship Id="rId19" Type="http://schemas.openxmlformats.org/officeDocument/2006/relationships/control" Target="../activeX/activeX53.xml"/><Relationship Id="rId4" Type="http://schemas.openxmlformats.org/officeDocument/2006/relationships/customProperty" Target="../customProperty38.bin"/><Relationship Id="rId9" Type="http://schemas.openxmlformats.org/officeDocument/2006/relationships/control" Target="../activeX/activeX48.xml"/><Relationship Id="rId14" Type="http://schemas.openxmlformats.org/officeDocument/2006/relationships/image" Target="../media/image51.emf"/><Relationship Id="rId22" Type="http://schemas.openxmlformats.org/officeDocument/2006/relationships/image" Target="../media/image55.emf"/></Relationships>
</file>

<file path=xl/worksheets/_rels/sheet9.xml.rels><?xml version="1.0" encoding="UTF-8" standalone="yes"?>
<Relationships xmlns="http://schemas.openxmlformats.org/package/2006/relationships"><Relationship Id="rId8" Type="http://schemas.openxmlformats.org/officeDocument/2006/relationships/vmlDrawing" Target="../drawings/vmlDrawing9.vml"/><Relationship Id="rId13" Type="http://schemas.openxmlformats.org/officeDocument/2006/relationships/control" Target="../activeX/activeX57.xml"/><Relationship Id="rId18" Type="http://schemas.openxmlformats.org/officeDocument/2006/relationships/image" Target="../media/image60.emf"/><Relationship Id="rId3" Type="http://schemas.openxmlformats.org/officeDocument/2006/relationships/customProperty" Target="../customProperty42.bin"/><Relationship Id="rId21" Type="http://schemas.openxmlformats.org/officeDocument/2006/relationships/control" Target="../activeX/activeX61.xml"/><Relationship Id="rId7" Type="http://schemas.openxmlformats.org/officeDocument/2006/relationships/drawing" Target="../drawings/drawing9.xml"/><Relationship Id="rId12" Type="http://schemas.openxmlformats.org/officeDocument/2006/relationships/image" Target="../media/image57.emf"/><Relationship Id="rId17" Type="http://schemas.openxmlformats.org/officeDocument/2006/relationships/control" Target="../activeX/activeX59.xml"/><Relationship Id="rId25" Type="http://schemas.openxmlformats.org/officeDocument/2006/relationships/comments" Target="../comments4.xml"/><Relationship Id="rId2" Type="http://schemas.openxmlformats.org/officeDocument/2006/relationships/customProperty" Target="../customProperty41.bin"/><Relationship Id="rId16" Type="http://schemas.openxmlformats.org/officeDocument/2006/relationships/image" Target="../media/image59.emf"/><Relationship Id="rId20" Type="http://schemas.openxmlformats.org/officeDocument/2006/relationships/image" Target="../media/image61.emf"/><Relationship Id="rId1" Type="http://schemas.openxmlformats.org/officeDocument/2006/relationships/printerSettings" Target="../printerSettings/printerSettings9.bin"/><Relationship Id="rId6" Type="http://schemas.openxmlformats.org/officeDocument/2006/relationships/customProperty" Target="../customProperty45.bin"/><Relationship Id="rId11" Type="http://schemas.openxmlformats.org/officeDocument/2006/relationships/control" Target="../activeX/activeX56.xml"/><Relationship Id="rId24" Type="http://schemas.openxmlformats.org/officeDocument/2006/relationships/ctrlProp" Target="../ctrlProps/ctrlProp18.xml"/><Relationship Id="rId5" Type="http://schemas.openxmlformats.org/officeDocument/2006/relationships/customProperty" Target="../customProperty44.bin"/><Relationship Id="rId15" Type="http://schemas.openxmlformats.org/officeDocument/2006/relationships/control" Target="../activeX/activeX58.xml"/><Relationship Id="rId23" Type="http://schemas.openxmlformats.org/officeDocument/2006/relationships/ctrlProp" Target="../ctrlProps/ctrlProp17.xml"/><Relationship Id="rId10" Type="http://schemas.openxmlformats.org/officeDocument/2006/relationships/image" Target="../media/image56.emf"/><Relationship Id="rId19" Type="http://schemas.openxmlformats.org/officeDocument/2006/relationships/control" Target="../activeX/activeX60.xml"/><Relationship Id="rId4" Type="http://schemas.openxmlformats.org/officeDocument/2006/relationships/customProperty" Target="../customProperty43.bin"/><Relationship Id="rId9" Type="http://schemas.openxmlformats.org/officeDocument/2006/relationships/control" Target="../activeX/activeX55.xml"/><Relationship Id="rId14" Type="http://schemas.openxmlformats.org/officeDocument/2006/relationships/image" Target="../media/image58.emf"/><Relationship Id="rId22" Type="http://schemas.openxmlformats.org/officeDocument/2006/relationships/image" Target="../media/image62.emf"/></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10.vml"/><Relationship Id="rId13" Type="http://schemas.openxmlformats.org/officeDocument/2006/relationships/control" Target="../activeX/activeX64.xml"/><Relationship Id="rId18" Type="http://schemas.openxmlformats.org/officeDocument/2006/relationships/image" Target="../media/image67.emf"/><Relationship Id="rId26" Type="http://schemas.openxmlformats.org/officeDocument/2006/relationships/ctrlProp" Target="../ctrlProps/ctrlProp20.xml"/><Relationship Id="rId3" Type="http://schemas.openxmlformats.org/officeDocument/2006/relationships/customProperty" Target="../customProperty47.bin"/><Relationship Id="rId21" Type="http://schemas.openxmlformats.org/officeDocument/2006/relationships/control" Target="../activeX/activeX68.xml"/><Relationship Id="rId7" Type="http://schemas.openxmlformats.org/officeDocument/2006/relationships/drawing" Target="../drawings/drawing10.xml"/><Relationship Id="rId12" Type="http://schemas.openxmlformats.org/officeDocument/2006/relationships/image" Target="../media/image64.emf"/><Relationship Id="rId17" Type="http://schemas.openxmlformats.org/officeDocument/2006/relationships/control" Target="../activeX/activeX66.xml"/><Relationship Id="rId25" Type="http://schemas.openxmlformats.org/officeDocument/2006/relationships/ctrlProp" Target="../ctrlProps/ctrlProp19.xml"/><Relationship Id="rId2" Type="http://schemas.openxmlformats.org/officeDocument/2006/relationships/customProperty" Target="../customProperty46.bin"/><Relationship Id="rId16" Type="http://schemas.openxmlformats.org/officeDocument/2006/relationships/image" Target="../media/image66.emf"/><Relationship Id="rId20" Type="http://schemas.openxmlformats.org/officeDocument/2006/relationships/image" Target="../media/image68.emf"/><Relationship Id="rId1" Type="http://schemas.openxmlformats.org/officeDocument/2006/relationships/printerSettings" Target="../printerSettings/printerSettings10.bin"/><Relationship Id="rId6" Type="http://schemas.openxmlformats.org/officeDocument/2006/relationships/customProperty" Target="../customProperty50.bin"/><Relationship Id="rId11" Type="http://schemas.openxmlformats.org/officeDocument/2006/relationships/control" Target="../activeX/activeX63.xml"/><Relationship Id="rId24" Type="http://schemas.openxmlformats.org/officeDocument/2006/relationships/image" Target="../media/image70.emf"/><Relationship Id="rId5" Type="http://schemas.openxmlformats.org/officeDocument/2006/relationships/customProperty" Target="../customProperty49.bin"/><Relationship Id="rId15" Type="http://schemas.openxmlformats.org/officeDocument/2006/relationships/control" Target="../activeX/activeX65.xml"/><Relationship Id="rId23" Type="http://schemas.openxmlformats.org/officeDocument/2006/relationships/control" Target="../activeX/activeX69.xml"/><Relationship Id="rId10" Type="http://schemas.openxmlformats.org/officeDocument/2006/relationships/image" Target="../media/image63.emf"/><Relationship Id="rId19" Type="http://schemas.openxmlformats.org/officeDocument/2006/relationships/control" Target="../activeX/activeX67.xml"/><Relationship Id="rId4" Type="http://schemas.openxmlformats.org/officeDocument/2006/relationships/customProperty" Target="../customProperty48.bin"/><Relationship Id="rId9" Type="http://schemas.openxmlformats.org/officeDocument/2006/relationships/control" Target="../activeX/activeX62.xml"/><Relationship Id="rId14" Type="http://schemas.openxmlformats.org/officeDocument/2006/relationships/image" Target="../media/image65.emf"/><Relationship Id="rId22" Type="http://schemas.openxmlformats.org/officeDocument/2006/relationships/image" Target="../media/image69.emf"/></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72.xml"/><Relationship Id="rId18" Type="http://schemas.openxmlformats.org/officeDocument/2006/relationships/image" Target="../media/image75.emf"/><Relationship Id="rId26" Type="http://schemas.openxmlformats.org/officeDocument/2006/relationships/image" Target="../media/image79.emf"/><Relationship Id="rId39" Type="http://schemas.openxmlformats.org/officeDocument/2006/relationships/control" Target="../activeX/activeX85.xml"/><Relationship Id="rId21" Type="http://schemas.openxmlformats.org/officeDocument/2006/relationships/control" Target="../activeX/activeX76.xml"/><Relationship Id="rId34" Type="http://schemas.openxmlformats.org/officeDocument/2006/relationships/image" Target="../media/image83.emf"/><Relationship Id="rId42" Type="http://schemas.openxmlformats.org/officeDocument/2006/relationships/ctrlProp" Target="../ctrlProps/ctrlProp22.xml"/><Relationship Id="rId7" Type="http://schemas.openxmlformats.org/officeDocument/2006/relationships/drawing" Target="../drawings/drawing11.xml"/><Relationship Id="rId2" Type="http://schemas.openxmlformats.org/officeDocument/2006/relationships/customProperty" Target="../customProperty51.bin"/><Relationship Id="rId16" Type="http://schemas.openxmlformats.org/officeDocument/2006/relationships/image" Target="../media/image74.emf"/><Relationship Id="rId20" Type="http://schemas.openxmlformats.org/officeDocument/2006/relationships/image" Target="../media/image76.emf"/><Relationship Id="rId29" Type="http://schemas.openxmlformats.org/officeDocument/2006/relationships/control" Target="../activeX/activeX80.xml"/><Relationship Id="rId41" Type="http://schemas.openxmlformats.org/officeDocument/2006/relationships/ctrlProp" Target="../ctrlProps/ctrlProp21.xml"/><Relationship Id="rId1" Type="http://schemas.openxmlformats.org/officeDocument/2006/relationships/printerSettings" Target="../printerSettings/printerSettings11.bin"/><Relationship Id="rId6" Type="http://schemas.openxmlformats.org/officeDocument/2006/relationships/customProperty" Target="../customProperty55.bin"/><Relationship Id="rId11" Type="http://schemas.openxmlformats.org/officeDocument/2006/relationships/control" Target="../activeX/activeX71.xml"/><Relationship Id="rId24" Type="http://schemas.openxmlformats.org/officeDocument/2006/relationships/image" Target="../media/image78.emf"/><Relationship Id="rId32" Type="http://schemas.openxmlformats.org/officeDocument/2006/relationships/image" Target="../media/image82.emf"/><Relationship Id="rId37" Type="http://schemas.openxmlformats.org/officeDocument/2006/relationships/control" Target="../activeX/activeX84.xml"/><Relationship Id="rId40" Type="http://schemas.openxmlformats.org/officeDocument/2006/relationships/image" Target="../media/image86.emf"/><Relationship Id="rId5" Type="http://schemas.openxmlformats.org/officeDocument/2006/relationships/customProperty" Target="../customProperty54.bin"/><Relationship Id="rId15" Type="http://schemas.openxmlformats.org/officeDocument/2006/relationships/control" Target="../activeX/activeX73.xml"/><Relationship Id="rId23" Type="http://schemas.openxmlformats.org/officeDocument/2006/relationships/control" Target="../activeX/activeX77.xml"/><Relationship Id="rId28" Type="http://schemas.openxmlformats.org/officeDocument/2006/relationships/image" Target="../media/image80.emf"/><Relationship Id="rId36" Type="http://schemas.openxmlformats.org/officeDocument/2006/relationships/image" Target="../media/image84.emf"/><Relationship Id="rId10" Type="http://schemas.openxmlformats.org/officeDocument/2006/relationships/image" Target="../media/image71.emf"/><Relationship Id="rId19" Type="http://schemas.openxmlformats.org/officeDocument/2006/relationships/control" Target="../activeX/activeX75.xml"/><Relationship Id="rId31" Type="http://schemas.openxmlformats.org/officeDocument/2006/relationships/control" Target="../activeX/activeX81.xml"/><Relationship Id="rId4" Type="http://schemas.openxmlformats.org/officeDocument/2006/relationships/customProperty" Target="../customProperty53.bin"/><Relationship Id="rId9" Type="http://schemas.openxmlformats.org/officeDocument/2006/relationships/control" Target="../activeX/activeX70.xml"/><Relationship Id="rId14" Type="http://schemas.openxmlformats.org/officeDocument/2006/relationships/image" Target="../media/image73.emf"/><Relationship Id="rId22" Type="http://schemas.openxmlformats.org/officeDocument/2006/relationships/image" Target="../media/image77.emf"/><Relationship Id="rId27" Type="http://schemas.openxmlformats.org/officeDocument/2006/relationships/control" Target="../activeX/activeX79.xml"/><Relationship Id="rId30" Type="http://schemas.openxmlformats.org/officeDocument/2006/relationships/image" Target="../media/image81.emf"/><Relationship Id="rId35" Type="http://schemas.openxmlformats.org/officeDocument/2006/relationships/control" Target="../activeX/activeX83.xml"/><Relationship Id="rId8" Type="http://schemas.openxmlformats.org/officeDocument/2006/relationships/vmlDrawing" Target="../drawings/vmlDrawing11.vml"/><Relationship Id="rId3" Type="http://schemas.openxmlformats.org/officeDocument/2006/relationships/customProperty" Target="../customProperty52.bin"/><Relationship Id="rId12" Type="http://schemas.openxmlformats.org/officeDocument/2006/relationships/image" Target="../media/image72.emf"/><Relationship Id="rId17" Type="http://schemas.openxmlformats.org/officeDocument/2006/relationships/control" Target="../activeX/activeX74.xml"/><Relationship Id="rId25" Type="http://schemas.openxmlformats.org/officeDocument/2006/relationships/control" Target="../activeX/activeX78.xml"/><Relationship Id="rId33" Type="http://schemas.openxmlformats.org/officeDocument/2006/relationships/control" Target="../activeX/activeX82.xml"/><Relationship Id="rId38" Type="http://schemas.openxmlformats.org/officeDocument/2006/relationships/image" Target="../media/image85.emf"/></Relationships>
</file>

<file path=xl/worksheets/_rels/sheet1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table" Target="../tables/table15.xml"/><Relationship Id="rId7" Type="http://schemas.openxmlformats.org/officeDocument/2006/relationships/table" Target="../tables/table19.xml"/><Relationship Id="rId2" Type="http://schemas.openxmlformats.org/officeDocument/2006/relationships/table" Target="../tables/table14.xml"/><Relationship Id="rId1" Type="http://schemas.openxmlformats.org/officeDocument/2006/relationships/table" Target="../tables/table13.xml"/><Relationship Id="rId6" Type="http://schemas.openxmlformats.org/officeDocument/2006/relationships/table" Target="../tables/table18.xml"/><Relationship Id="rId5" Type="http://schemas.openxmlformats.org/officeDocument/2006/relationships/table" Target="../tables/table17.xml"/><Relationship Id="rId4" Type="http://schemas.openxmlformats.org/officeDocument/2006/relationships/table" Target="../tables/table16.xml"/><Relationship Id="rId9"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rgb="FFFFFFDD"/>
  </sheetPr>
  <dimension ref="A1:H31"/>
  <sheetViews>
    <sheetView showGridLines="0" showRowColHeaders="0" topLeftCell="A10" zoomScale="80" zoomScaleNormal="80" workbookViewId="0">
      <selection activeCell="C9" sqref="C9"/>
    </sheetView>
  </sheetViews>
  <sheetFormatPr baseColWidth="10" defaultColWidth="0" defaultRowHeight="15"/>
  <cols>
    <col min="1" max="1" width="11.42578125" style="5" customWidth="1"/>
    <col min="2" max="2" width="12.85546875" style="5" customWidth="1"/>
    <col min="3" max="3" width="52.5703125" style="5" customWidth="1"/>
    <col min="4" max="4" width="66" style="5" bestFit="1" customWidth="1"/>
    <col min="5" max="5" width="15.28515625" style="5" customWidth="1"/>
    <col min="6" max="6" width="1.7109375" style="5" customWidth="1"/>
    <col min="7" max="8" width="9.85546875" style="5" hidden="1" customWidth="1"/>
    <col min="9" max="16384" width="11.42578125" style="5" hidden="1"/>
  </cols>
  <sheetData>
    <row r="1" spans="2:5" ht="101.25" customHeight="1">
      <c r="B1" s="3" t="s">
        <v>1</v>
      </c>
      <c r="C1" s="4"/>
      <c r="D1" s="4"/>
      <c r="E1" s="4"/>
    </row>
    <row r="3" spans="2:5">
      <c r="B3" s="6"/>
      <c r="C3" s="6"/>
      <c r="D3" s="6"/>
    </row>
    <row r="4" spans="2:5" ht="15.75" thickBot="1">
      <c r="B4" s="7"/>
      <c r="C4" s="7"/>
      <c r="D4" s="7"/>
    </row>
    <row r="5" spans="2:5" ht="15.75" thickTop="1">
      <c r="B5" s="689"/>
      <c r="C5" s="689"/>
      <c r="D5" s="689"/>
    </row>
    <row r="6" spans="2:5">
      <c r="B6" s="8" t="s">
        <v>2</v>
      </c>
      <c r="C6" s="8" t="s">
        <v>3</v>
      </c>
      <c r="D6" s="8" t="s">
        <v>4</v>
      </c>
    </row>
    <row r="7" spans="2:5">
      <c r="B7" s="9">
        <v>1</v>
      </c>
      <c r="C7" s="10"/>
      <c r="D7" s="11" t="s">
        <v>5</v>
      </c>
    </row>
    <row r="8" spans="2:5">
      <c r="B8" s="9">
        <v>2</v>
      </c>
      <c r="C8" s="12">
        <v>0</v>
      </c>
      <c r="D8" s="11" t="s">
        <v>22</v>
      </c>
    </row>
    <row r="9" spans="2:5">
      <c r="B9" s="9">
        <v>3</v>
      </c>
      <c r="C9" s="13"/>
      <c r="D9" s="11" t="s">
        <v>6</v>
      </c>
    </row>
    <row r="10" spans="2:5">
      <c r="B10" s="9">
        <v>4</v>
      </c>
      <c r="C10" s="13" t="s">
        <v>7</v>
      </c>
      <c r="D10" s="11" t="s">
        <v>8</v>
      </c>
    </row>
    <row r="11" spans="2:5">
      <c r="B11" s="9">
        <v>5</v>
      </c>
      <c r="C11" s="14">
        <v>36556</v>
      </c>
      <c r="D11" s="11" t="s">
        <v>23</v>
      </c>
    </row>
    <row r="12" spans="2:5">
      <c r="B12" s="9">
        <v>6</v>
      </c>
      <c r="C12" s="2"/>
      <c r="D12" s="11" t="s">
        <v>9</v>
      </c>
    </row>
    <row r="13" spans="2:5">
      <c r="B13" s="9">
        <v>7</v>
      </c>
      <c r="C13" s="15"/>
      <c r="D13" s="11" t="s">
        <v>15</v>
      </c>
    </row>
    <row r="14" spans="2:5">
      <c r="B14" s="9">
        <v>8</v>
      </c>
      <c r="C14" s="16"/>
      <c r="D14" s="11" t="s">
        <v>16</v>
      </c>
    </row>
    <row r="15" spans="2:5">
      <c r="B15" s="9">
        <v>9</v>
      </c>
      <c r="C15" s="17"/>
      <c r="D15" s="11" t="s">
        <v>10</v>
      </c>
    </row>
    <row r="19" spans="2:4">
      <c r="B19" s="8" t="s">
        <v>2</v>
      </c>
      <c r="C19" s="8" t="s">
        <v>11</v>
      </c>
      <c r="D19" s="8" t="s">
        <v>4</v>
      </c>
    </row>
    <row r="20" spans="2:4">
      <c r="B20" s="9">
        <v>3</v>
      </c>
      <c r="C20" s="18" t="s">
        <v>0</v>
      </c>
      <c r="D20" s="11" t="s">
        <v>12</v>
      </c>
    </row>
    <row r="21" spans="2:4">
      <c r="B21" s="9">
        <v>4</v>
      </c>
      <c r="C21" s="18" t="s">
        <v>13</v>
      </c>
      <c r="D21" s="11" t="s">
        <v>14</v>
      </c>
    </row>
    <row r="27" spans="2:4">
      <c r="B27" s="8"/>
      <c r="C27" s="8" t="s">
        <v>224</v>
      </c>
      <c r="D27" s="8"/>
    </row>
    <row r="28" spans="2:4">
      <c r="B28" s="8" t="s">
        <v>225</v>
      </c>
      <c r="C28" s="8" t="s">
        <v>50</v>
      </c>
      <c r="D28" s="8"/>
    </row>
    <row r="29" spans="2:4">
      <c r="B29" s="8"/>
      <c r="C29" s="8" t="s">
        <v>2</v>
      </c>
      <c r="D29" s="8"/>
    </row>
    <row r="30" spans="2:4">
      <c r="B30" s="8"/>
      <c r="C30" s="8" t="s">
        <v>52</v>
      </c>
      <c r="D30" s="8"/>
    </row>
    <row r="31" spans="2:4">
      <c r="B31" s="8"/>
      <c r="C31" s="8"/>
      <c r="D31" s="8"/>
    </row>
  </sheetData>
  <mergeCells count="1">
    <mergeCell ref="B5:D5"/>
  </mergeCells>
  <conditionalFormatting sqref="C20:C21">
    <cfRule type="containsText" dxfId="309" priority="1" operator="containsText" text="OK">
      <formula>NOT(ISERROR(SEARCH("OK",C20)))</formula>
    </cfRule>
    <cfRule type="containsText" dxfId="308" priority="2" operator="containsText" text="ERROR">
      <formula>NOT(ISERROR(SEARCH("ERROR",C20)))</formula>
    </cfRule>
    <cfRule type="expression" dxfId="307" priority="3">
      <formula>"ERROR"</formula>
    </cfRule>
    <cfRule type="colorScale" priority="4">
      <colorScale>
        <cfvo type="min"/>
        <cfvo type="max"/>
        <color rgb="FFFF0000"/>
        <color rgb="FFFFEF9C"/>
      </colorScale>
    </cfRule>
  </conditionalFormatting>
  <pageMargins left="0.7" right="0.7" top="0.75" bottom="0.75" header="0.3" footer="0.3"/>
  <pageSetup paperSize="9" orientation="portrait" r:id="rId1"/>
  <customProperties>
    <customPr name="CofWorksheetType" r:id="rId2"/>
    <customPr name="EpmWorksheetKeyString_GUID" r:id="rId3"/>
    <customPr name="FPMExcelClientCellBasedFunctionStatus" r:id="rId4"/>
    <customPr name="FPMExcelClientRefreshTime" r:id="rId5"/>
  </customProperties>
  <drawing r:id="rId6"/>
  <legacyDrawing r:id="rId7"/>
  <controls>
    <mc:AlternateContent xmlns:mc="http://schemas.openxmlformats.org/markup-compatibility/2006">
      <mc:Choice Requires="x14">
        <control shapeId="111617" r:id="rId8" name="FPMExcelClientSheetOptionstb1">
          <controlPr defaultSize="0" autoLine="0" r:id="rId9">
            <anchor moveWithCells="1" sizeWithCells="1">
              <from>
                <xdr:col>0</xdr:col>
                <xdr:colOff>0</xdr:colOff>
                <xdr:row>0</xdr:row>
                <xdr:rowOff>0</xdr:rowOff>
              </from>
              <to>
                <xdr:col>0</xdr:col>
                <xdr:colOff>9525</xdr:colOff>
                <xdr:row>0</xdr:row>
                <xdr:rowOff>0</xdr:rowOff>
              </to>
            </anchor>
          </controlPr>
        </control>
      </mc:Choice>
      <mc:Fallback>
        <control shapeId="111617" r:id="rId8"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M129"/>
  <sheetViews>
    <sheetView showGridLines="0" tabSelected="1" topLeftCell="B1" zoomScale="85" zoomScaleNormal="85" workbookViewId="0">
      <selection activeCell="D7" sqref="D7:F7"/>
    </sheetView>
  </sheetViews>
  <sheetFormatPr baseColWidth="10" defaultColWidth="11.42578125" defaultRowHeight="15"/>
  <cols>
    <col min="1" max="1" width="13" style="152" hidden="1" customWidth="1"/>
    <col min="2" max="2" width="11.42578125" style="152" customWidth="1"/>
    <col min="3" max="3" width="16.28515625" customWidth="1"/>
    <col min="4" max="4" width="32" customWidth="1"/>
    <col min="5" max="5" width="12.140625" hidden="1" customWidth="1"/>
    <col min="6" max="6" width="53.5703125" customWidth="1"/>
    <col min="10" max="10" width="12.7109375" hidden="1" customWidth="1"/>
    <col min="11" max="11" width="22.85546875" hidden="1" customWidth="1"/>
    <col min="12" max="12" width="23.28515625" customWidth="1"/>
    <col min="13" max="13" width="12.85546875" bestFit="1" customWidth="1"/>
    <col min="14" max="14" width="12.85546875" style="152" bestFit="1" customWidth="1"/>
    <col min="53" max="53" width="52.7109375" style="27" bestFit="1" customWidth="1"/>
    <col min="54" max="54" width="22.140625" style="27" bestFit="1" customWidth="1"/>
    <col min="55" max="55" width="11.7109375" style="27" bestFit="1" customWidth="1"/>
    <col min="56" max="56" width="9.85546875" hidden="1" customWidth="1"/>
    <col min="57" max="57" width="9.85546875" style="27" hidden="1" customWidth="1"/>
    <col min="58" max="58" width="47" hidden="1" customWidth="1"/>
    <col min="59" max="59" width="18.28515625" customWidth="1"/>
    <col min="60" max="60" width="11.42578125" hidden="1" customWidth="1"/>
    <col min="61" max="61" width="51.5703125" style="27" bestFit="1" customWidth="1"/>
    <col min="62" max="62" width="19" bestFit="1" customWidth="1"/>
    <col min="63" max="63" width="18.7109375" hidden="1" customWidth="1"/>
    <col min="64" max="64" width="16.42578125" bestFit="1" customWidth="1"/>
    <col min="65" max="65" width="14.7109375" style="27" bestFit="1" customWidth="1"/>
  </cols>
  <sheetData>
    <row r="1" spans="1:65" ht="101.25" customHeight="1"/>
    <row r="2" spans="1:65" ht="18.75">
      <c r="A2" s="153" t="str">
        <f ca="1">IF(SUM($E$17:$E$25)=E16,"Notas Condensadas ANUALES I - "&amp;YEAR(NOW())&amp;"/"&amp;MONTH(NOW())&amp;"/"&amp;DAY(NOW())&amp;" - "&amp;HOUR(NOW())&amp;":"&amp;MINUTE(NOW())&amp;":"&amp;SECOND(NOW())&amp;" - "&amp;INT(RANDBETWEEN(10000000,99999999)),"ERROR")</f>
        <v>ERROR</v>
      </c>
      <c r="C2" s="23" t="s">
        <v>27</v>
      </c>
      <c r="J2" s="165" t="s">
        <v>698</v>
      </c>
      <c r="K2" s="165" t="s">
        <v>701</v>
      </c>
      <c r="M2" s="152"/>
      <c r="N2"/>
    </row>
    <row r="3" spans="1:65">
      <c r="A3" s="154" t="e">
        <f ca="1">_xll.EPMSaveComment($A$2,"ANEXO_NOTAS_XBRL","FILA_NOTA:VAL_FINAL_COND_ANU","COLUMNA_NOTA:NA_COL","TIEMPO:"&amp;_xll.EPMMemberProperty("ANEXO_NOTAS_XBRL",$D$6,"ID"), "ENTIDAD:"&amp;_xll.EPMMemberProperty("ANEXO_NOTAS_XBRL",$D$5,"ID"), "VERSION:REAL")</f>
        <v>#NAME?</v>
      </c>
      <c r="C3" s="567" t="s">
        <v>15363</v>
      </c>
      <c r="D3" s="701"/>
      <c r="E3" s="702"/>
      <c r="F3" s="703"/>
      <c r="G3" s="264"/>
      <c r="J3" s="165" t="s">
        <v>699</v>
      </c>
      <c r="K3" s="165" t="str">
        <f>+LEFT(D5,4)</f>
        <v/>
      </c>
      <c r="M3" s="152"/>
      <c r="N3"/>
    </row>
    <row r="4" spans="1:65">
      <c r="A4" s="154" t="e">
        <f ca="1">IF(OR(A3="Error",A3="#RFR"),"",A3)</f>
        <v>#NAME?</v>
      </c>
      <c r="C4" s="567" t="s">
        <v>15364</v>
      </c>
      <c r="D4" s="704"/>
      <c r="E4" s="705"/>
      <c r="F4" s="706"/>
      <c r="G4" s="264"/>
      <c r="J4" s="133" t="s">
        <v>1588</v>
      </c>
      <c r="K4" s="165" t="str">
        <f>+RIGHT(D6,7)</f>
        <v/>
      </c>
      <c r="M4" s="152"/>
      <c r="N4"/>
    </row>
    <row r="5" spans="1:65">
      <c r="A5" s="152" t="str">
        <f ca="1">IF(OR(A2="Error",A2="#RFR"),"",A2)</f>
        <v/>
      </c>
      <c r="C5" s="263" t="s">
        <v>623</v>
      </c>
      <c r="D5" s="701"/>
      <c r="E5" s="702"/>
      <c r="F5" s="703"/>
      <c r="J5" s="133" t="s">
        <v>1589</v>
      </c>
      <c r="K5" s="165" t="str">
        <f>+RIGHT(D7,7)</f>
        <v/>
      </c>
      <c r="M5" s="152"/>
      <c r="N5"/>
      <c r="BA5" s="607" t="s">
        <v>14812</v>
      </c>
      <c r="BB5" s="607" t="s">
        <v>15358</v>
      </c>
      <c r="BC5" s="607" t="s">
        <v>15360</v>
      </c>
      <c r="BE5"/>
      <c r="BG5" s="512" t="s">
        <v>14812</v>
      </c>
      <c r="BI5" s="513" t="s">
        <v>15375</v>
      </c>
      <c r="BJ5" s="512" t="s">
        <v>1614</v>
      </c>
      <c r="BL5" s="512" t="s">
        <v>700</v>
      </c>
      <c r="BM5" s="512" t="s">
        <v>19094</v>
      </c>
    </row>
    <row r="6" spans="1:65" ht="29.25" customHeight="1">
      <c r="C6" s="688" t="s">
        <v>624</v>
      </c>
      <c r="D6" s="701"/>
      <c r="E6" s="702"/>
      <c r="F6" s="703"/>
      <c r="G6" s="27"/>
      <c r="J6" s="133" t="s">
        <v>700</v>
      </c>
      <c r="K6" s="133">
        <f>$D$8</f>
        <v>0</v>
      </c>
      <c r="BA6" s="607" t="s">
        <v>19619</v>
      </c>
      <c r="BB6" s="607" t="s">
        <v>15359</v>
      </c>
      <c r="BC6" s="607" t="s">
        <v>14859</v>
      </c>
      <c r="BE6"/>
      <c r="BG6" s="512" t="s">
        <v>14820</v>
      </c>
      <c r="BI6" s="513" t="s">
        <v>19056</v>
      </c>
      <c r="BJ6" s="512" t="s">
        <v>19057</v>
      </c>
      <c r="BL6" s="512" t="s">
        <v>702</v>
      </c>
      <c r="BM6" s="512">
        <v>0</v>
      </c>
    </row>
    <row r="7" spans="1:65" ht="29.25" customHeight="1">
      <c r="C7" s="688" t="s">
        <v>14865</v>
      </c>
      <c r="D7" s="698"/>
      <c r="E7" s="699"/>
      <c r="F7" s="700"/>
      <c r="G7" s="27"/>
      <c r="H7" s="27"/>
      <c r="I7" s="27"/>
      <c r="J7" s="27" t="s">
        <v>1614</v>
      </c>
      <c r="K7" s="27" t="str">
        <f>INDEX(GRUPO[#All],MATCH($C$13,GRUPO[[#All],[GRUPO_T]],0),2)</f>
        <v>GINVERVAC</v>
      </c>
      <c r="BA7" s="607" t="s">
        <v>19620</v>
      </c>
      <c r="BB7" s="607" t="s">
        <v>19621</v>
      </c>
      <c r="BC7" s="607" t="s">
        <v>697</v>
      </c>
      <c r="BE7"/>
      <c r="BG7" s="512" t="s">
        <v>14821</v>
      </c>
      <c r="BI7" s="513" t="s">
        <v>19058</v>
      </c>
      <c r="BJ7" s="512" t="s">
        <v>19059</v>
      </c>
      <c r="BL7" s="512" t="s">
        <v>19051</v>
      </c>
      <c r="BM7" s="512">
        <v>3</v>
      </c>
    </row>
    <row r="8" spans="1:65">
      <c r="C8" s="567" t="s">
        <v>19050</v>
      </c>
      <c r="D8" s="698"/>
      <c r="E8" s="699"/>
      <c r="F8" s="700"/>
      <c r="G8" s="27"/>
      <c r="H8" s="27"/>
      <c r="I8" s="27"/>
      <c r="J8" s="27" t="s">
        <v>15360</v>
      </c>
      <c r="K8" s="27" t="e">
        <f>INDEX(ENTIDADES[#All],MATCH($D$5,ENTIDADES[[#All],[Concatenacion]],0),3)</f>
        <v>#N/A</v>
      </c>
      <c r="BA8" s="607" t="s">
        <v>19622</v>
      </c>
      <c r="BB8" s="607" t="s">
        <v>15359</v>
      </c>
      <c r="BC8" s="607" t="s">
        <v>14859</v>
      </c>
      <c r="BE8"/>
      <c r="BG8" s="512" t="s">
        <v>14822</v>
      </c>
      <c r="BI8" s="513" t="s">
        <v>19060</v>
      </c>
      <c r="BJ8" s="512" t="s">
        <v>19061</v>
      </c>
      <c r="BL8" s="512" t="s">
        <v>19052</v>
      </c>
      <c r="BM8" s="512">
        <v>4</v>
      </c>
    </row>
    <row r="9" spans="1:65" ht="18.75">
      <c r="C9" s="23" t="s">
        <v>28</v>
      </c>
      <c r="D9" s="27"/>
      <c r="E9" s="27"/>
      <c r="F9" s="27"/>
      <c r="G9" s="27"/>
      <c r="H9" s="27"/>
      <c r="I9" s="27"/>
      <c r="J9" s="27"/>
      <c r="K9" s="27"/>
      <c r="BA9" s="607" t="s">
        <v>19623</v>
      </c>
      <c r="BB9" s="607" t="s">
        <v>19621</v>
      </c>
      <c r="BC9" s="607" t="s">
        <v>697</v>
      </c>
      <c r="BE9"/>
      <c r="BG9" s="512" t="s">
        <v>14823</v>
      </c>
      <c r="BI9" s="513" t="s">
        <v>15376</v>
      </c>
      <c r="BJ9" s="512" t="s">
        <v>14854</v>
      </c>
      <c r="BL9" s="512" t="s">
        <v>19053</v>
      </c>
      <c r="BM9" s="512">
        <v>1</v>
      </c>
    </row>
    <row r="10" spans="1:65">
      <c r="A10" s="152">
        <v>5</v>
      </c>
      <c r="C10" s="315" t="str">
        <f ca="1">$A$5</f>
        <v/>
      </c>
      <c r="D10" s="316"/>
      <c r="E10" s="316"/>
      <c r="F10" s="313"/>
      <c r="G10" s="27"/>
      <c r="H10" s="27"/>
      <c r="I10" s="27"/>
      <c r="J10" s="27"/>
      <c r="K10" s="27"/>
      <c r="BA10" s="607" t="s">
        <v>19624</v>
      </c>
      <c r="BB10" s="607" t="s">
        <v>19621</v>
      </c>
      <c r="BC10" s="607" t="s">
        <v>697</v>
      </c>
      <c r="BE10"/>
      <c r="BG10" s="512" t="s">
        <v>14824</v>
      </c>
      <c r="BI10" s="513" t="s">
        <v>14852</v>
      </c>
      <c r="BJ10" s="512" t="s">
        <v>14853</v>
      </c>
      <c r="BL10" s="512" t="s">
        <v>19054</v>
      </c>
      <c r="BM10" s="512">
        <v>2</v>
      </c>
    </row>
    <row r="11" spans="1:65" s="27" customFormat="1">
      <c r="A11" s="152"/>
      <c r="B11" s="152"/>
      <c r="N11" s="152"/>
      <c r="BA11" s="607" t="s">
        <v>14813</v>
      </c>
      <c r="BB11" s="607" t="s">
        <v>15359</v>
      </c>
      <c r="BC11" s="607" t="s">
        <v>14859</v>
      </c>
      <c r="BD11"/>
      <c r="BE11"/>
      <c r="BF11"/>
      <c r="BG11" s="512" t="s">
        <v>14825</v>
      </c>
      <c r="BI11" s="513" t="s">
        <v>15377</v>
      </c>
      <c r="BJ11" s="512" t="s">
        <v>1615</v>
      </c>
      <c r="BK11"/>
      <c r="BL11" s="512" t="s">
        <v>19055</v>
      </c>
      <c r="BM11" s="512">
        <v>5</v>
      </c>
    </row>
    <row r="12" spans="1:65">
      <c r="C12" s="164" t="s">
        <v>621</v>
      </c>
      <c r="D12" s="27"/>
      <c r="E12" s="27"/>
      <c r="F12" s="27"/>
      <c r="G12" s="27"/>
      <c r="H12" s="27"/>
      <c r="I12" s="27"/>
      <c r="J12" s="27"/>
      <c r="K12" s="27"/>
      <c r="BA12" s="607" t="s">
        <v>19625</v>
      </c>
      <c r="BB12" s="607" t="s">
        <v>19621</v>
      </c>
      <c r="BC12" s="607" t="s">
        <v>697</v>
      </c>
      <c r="BE12"/>
      <c r="BG12" s="512" t="s">
        <v>14826</v>
      </c>
      <c r="BI12" s="513" t="s">
        <v>14857</v>
      </c>
      <c r="BJ12" s="513" t="s">
        <v>14858</v>
      </c>
    </row>
    <row r="13" spans="1:65" s="27" customFormat="1" ht="18.75">
      <c r="A13" s="152"/>
      <c r="B13" s="152"/>
      <c r="C13" s="691" t="s">
        <v>15377</v>
      </c>
      <c r="D13" s="692"/>
      <c r="E13" s="692"/>
      <c r="F13" s="693"/>
      <c r="N13" s="152"/>
      <c r="BA13" s="607" t="s">
        <v>14814</v>
      </c>
      <c r="BB13" s="607" t="s">
        <v>15359</v>
      </c>
      <c r="BC13" s="607" t="s">
        <v>14859</v>
      </c>
      <c r="BD13"/>
      <c r="BE13"/>
      <c r="BF13"/>
      <c r="BG13" s="512" t="s">
        <v>14827</v>
      </c>
      <c r="BI13" s="513" t="s">
        <v>14855</v>
      </c>
      <c r="BJ13" s="513" t="s">
        <v>14856</v>
      </c>
      <c r="BK13"/>
    </row>
    <row r="14" spans="1:65">
      <c r="C14" s="27"/>
      <c r="D14" s="27"/>
      <c r="E14" s="27"/>
      <c r="F14" s="27"/>
      <c r="G14" s="27"/>
      <c r="H14" s="27"/>
      <c r="I14" s="27"/>
      <c r="J14" s="27"/>
      <c r="K14" s="27"/>
      <c r="BA14" s="607" t="s">
        <v>19626</v>
      </c>
      <c r="BB14" s="607" t="s">
        <v>15359</v>
      </c>
      <c r="BC14" s="607" t="s">
        <v>14859</v>
      </c>
      <c r="BE14"/>
      <c r="BG14" s="512" t="s">
        <v>14828</v>
      </c>
      <c r="BI14" s="513" t="s">
        <v>15378</v>
      </c>
      <c r="BJ14" s="513" t="s">
        <v>15379</v>
      </c>
    </row>
    <row r="15" spans="1:65" s="27" customFormat="1">
      <c r="A15" s="152"/>
      <c r="B15" s="152"/>
      <c r="C15"/>
      <c r="D15"/>
      <c r="E15" s="22"/>
      <c r="F15"/>
      <c r="N15" s="152"/>
      <c r="BA15" s="607" t="s">
        <v>14815</v>
      </c>
      <c r="BB15" s="607" t="s">
        <v>15359</v>
      </c>
      <c r="BC15" s="607" t="s">
        <v>14859</v>
      </c>
      <c r="BD15"/>
      <c r="BE15"/>
      <c r="BF15"/>
      <c r="BG15" s="512" t="s">
        <v>14829</v>
      </c>
      <c r="BI15" s="513" t="s">
        <v>19062</v>
      </c>
      <c r="BJ15" s="513" t="s">
        <v>19063</v>
      </c>
    </row>
    <row r="16" spans="1:65" ht="18.75">
      <c r="A16" s="27" t="s">
        <v>19093</v>
      </c>
      <c r="C16" s="312" t="s">
        <v>24</v>
      </c>
      <c r="D16" s="313"/>
      <c r="E16" s="22">
        <v>9</v>
      </c>
      <c r="F16" s="314" t="s">
        <v>26</v>
      </c>
      <c r="G16" s="27"/>
      <c r="H16" s="27"/>
      <c r="I16" s="27"/>
      <c r="J16" s="27"/>
      <c r="K16" s="27"/>
      <c r="BA16" s="607" t="s">
        <v>19627</v>
      </c>
      <c r="BB16" s="607" t="s">
        <v>15359</v>
      </c>
      <c r="BC16" s="607" t="s">
        <v>14859</v>
      </c>
      <c r="BE16"/>
      <c r="BG16" s="512" t="s">
        <v>14830</v>
      </c>
      <c r="BI16" s="513" t="s">
        <v>19064</v>
      </c>
      <c r="BJ16" s="513" t="s">
        <v>19065</v>
      </c>
    </row>
    <row r="17" spans="1:62">
      <c r="A17" s="27">
        <v>9</v>
      </c>
      <c r="C17" s="694" t="s">
        <v>651</v>
      </c>
      <c r="D17" s="695"/>
      <c r="E17" s="152">
        <f>IFERROR('900000'!$A$3,0)</f>
        <v>1</v>
      </c>
      <c r="F17" s="27" t="str">
        <f t="shared" ref="F17:F25" si="0">IF($E17=0,"Error en validador de cruce",IF($E17="0T","Error de texto o fecha","OK"))</f>
        <v>OK</v>
      </c>
      <c r="G17" s="27"/>
      <c r="H17" s="27"/>
      <c r="I17" s="27"/>
      <c r="J17" s="27"/>
      <c r="K17" s="27"/>
      <c r="BA17" s="607" t="s">
        <v>19628</v>
      </c>
      <c r="BB17" s="607" t="s">
        <v>15359</v>
      </c>
      <c r="BC17" s="607" t="s">
        <v>14859</v>
      </c>
      <c r="BE17"/>
      <c r="BG17" s="512" t="s">
        <v>14831</v>
      </c>
      <c r="BI17" s="513" t="s">
        <v>19066</v>
      </c>
      <c r="BJ17" s="513" t="s">
        <v>19067</v>
      </c>
    </row>
    <row r="18" spans="1:62">
      <c r="C18" s="694" t="s">
        <v>652</v>
      </c>
      <c r="D18" s="695"/>
      <c r="E18" s="152">
        <f>'900001'!$A$3</f>
        <v>0</v>
      </c>
      <c r="F18" s="27" t="str">
        <f t="shared" si="0"/>
        <v>Error en validador de cruce</v>
      </c>
      <c r="G18" s="27"/>
      <c r="H18" s="27"/>
      <c r="I18" s="27"/>
      <c r="J18" s="27"/>
      <c r="K18" s="27"/>
      <c r="BA18" s="607" t="s">
        <v>19629</v>
      </c>
      <c r="BB18" s="607" t="s">
        <v>15359</v>
      </c>
      <c r="BC18" s="607" t="s">
        <v>14859</v>
      </c>
      <c r="BE18"/>
      <c r="BG18" s="512" t="s">
        <v>14832</v>
      </c>
      <c r="BI18" s="513" t="s">
        <v>19068</v>
      </c>
      <c r="BJ18" s="513" t="s">
        <v>19069</v>
      </c>
    </row>
    <row r="19" spans="1:62">
      <c r="C19" s="694" t="s">
        <v>653</v>
      </c>
      <c r="D19" s="695"/>
      <c r="E19" s="152">
        <f>IFERROR('900002'!$A$3,0)</f>
        <v>0</v>
      </c>
      <c r="F19" s="27" t="str">
        <f t="shared" si="0"/>
        <v>Error en validador de cruce</v>
      </c>
      <c r="G19" s="27"/>
      <c r="H19" s="27"/>
      <c r="I19" s="27"/>
      <c r="J19" s="27"/>
      <c r="K19" s="27"/>
      <c r="BA19" s="607" t="s">
        <v>19630</v>
      </c>
      <c r="BB19" s="607" t="s">
        <v>15359</v>
      </c>
      <c r="BC19" s="607" t="s">
        <v>14859</v>
      </c>
      <c r="BE19"/>
      <c r="BG19" s="512" t="s">
        <v>14833</v>
      </c>
      <c r="BJ19" s="27"/>
    </row>
    <row r="20" spans="1:62">
      <c r="C20" s="694" t="s">
        <v>654</v>
      </c>
      <c r="D20" s="695"/>
      <c r="E20" s="152">
        <f>IFERROR('900003'!$A$3,0)</f>
        <v>0</v>
      </c>
      <c r="F20" s="27" t="str">
        <f t="shared" si="0"/>
        <v>Error en validador de cruce</v>
      </c>
      <c r="G20" s="27"/>
      <c r="H20" s="27"/>
      <c r="I20" s="27"/>
      <c r="J20" s="27"/>
      <c r="K20" s="27"/>
      <c r="BA20" s="607" t="s">
        <v>19631</v>
      </c>
      <c r="BB20" s="607" t="s">
        <v>15359</v>
      </c>
      <c r="BC20" s="607" t="s">
        <v>14859</v>
      </c>
      <c r="BE20"/>
      <c r="BG20" s="512" t="s">
        <v>14834</v>
      </c>
    </row>
    <row r="21" spans="1:62">
      <c r="C21" s="694" t="s">
        <v>655</v>
      </c>
      <c r="D21" s="695"/>
      <c r="E21" s="152">
        <f>IFERROR('900004'!$A$3,0)</f>
        <v>0</v>
      </c>
      <c r="F21" s="27" t="str">
        <f t="shared" si="0"/>
        <v>Error en validador de cruce</v>
      </c>
      <c r="G21" s="27"/>
      <c r="H21" s="27"/>
      <c r="I21" s="27"/>
      <c r="J21" s="27"/>
      <c r="K21" s="27"/>
      <c r="BA21" s="607" t="s">
        <v>19632</v>
      </c>
      <c r="BB21" s="607" t="s">
        <v>15359</v>
      </c>
      <c r="BC21" s="607" t="s">
        <v>14859</v>
      </c>
      <c r="BE21"/>
      <c r="BG21" s="512" t="s">
        <v>14835</v>
      </c>
    </row>
    <row r="22" spans="1:62">
      <c r="C22" s="694" t="s">
        <v>656</v>
      </c>
      <c r="D22" s="695"/>
      <c r="E22" s="152">
        <f>'900005'!$A$3</f>
        <v>0</v>
      </c>
      <c r="F22" s="27" t="str">
        <f t="shared" si="0"/>
        <v>Error en validador de cruce</v>
      </c>
      <c r="G22" s="152"/>
      <c r="H22" s="27"/>
      <c r="I22" s="27"/>
      <c r="J22" s="27"/>
      <c r="K22" s="27"/>
      <c r="BA22" s="607" t="s">
        <v>19633</v>
      </c>
      <c r="BB22" s="607" t="s">
        <v>19621</v>
      </c>
      <c r="BC22" s="607" t="s">
        <v>697</v>
      </c>
      <c r="BE22"/>
      <c r="BG22" s="512" t="s">
        <v>14836</v>
      </c>
    </row>
    <row r="23" spans="1:62">
      <c r="C23" s="694" t="s">
        <v>657</v>
      </c>
      <c r="D23" s="695"/>
      <c r="E23" s="152">
        <f>'900006'!$A$3</f>
        <v>0</v>
      </c>
      <c r="F23" s="27" t="str">
        <f t="shared" si="0"/>
        <v>Error en validador de cruce</v>
      </c>
      <c r="G23" s="27"/>
      <c r="H23" s="27"/>
      <c r="I23" s="27"/>
      <c r="J23" s="27"/>
      <c r="K23" s="27"/>
      <c r="BA23" s="607" t="s">
        <v>19634</v>
      </c>
      <c r="BB23" s="607" t="s">
        <v>15359</v>
      </c>
      <c r="BC23" s="607" t="s">
        <v>14859</v>
      </c>
      <c r="BE23"/>
      <c r="BG23" s="512" t="s">
        <v>14837</v>
      </c>
    </row>
    <row r="24" spans="1:62">
      <c r="C24" s="694" t="s">
        <v>658</v>
      </c>
      <c r="D24" s="695"/>
      <c r="E24" s="152">
        <f>'900007'!$A$3</f>
        <v>0</v>
      </c>
      <c r="F24" s="27" t="str">
        <f t="shared" si="0"/>
        <v>Error en validador de cruce</v>
      </c>
      <c r="G24" s="27"/>
      <c r="H24" s="27"/>
      <c r="I24" s="27"/>
      <c r="J24" s="27"/>
      <c r="K24" s="27"/>
      <c r="BA24" s="607" t="s">
        <v>14816</v>
      </c>
      <c r="BB24" s="607" t="s">
        <v>15359</v>
      </c>
      <c r="BC24" s="607" t="s">
        <v>14859</v>
      </c>
      <c r="BE24"/>
      <c r="BG24" s="512" t="s">
        <v>14838</v>
      </c>
    </row>
    <row r="25" spans="1:62">
      <c r="A25" s="152" t="s">
        <v>57</v>
      </c>
      <c r="C25" s="696" t="s">
        <v>659</v>
      </c>
      <c r="D25" s="697"/>
      <c r="E25" s="152">
        <f>IFERROR('900008'!$A$3,0)</f>
        <v>0</v>
      </c>
      <c r="F25" s="27" t="str">
        <f t="shared" si="0"/>
        <v>Error en validador de cruce</v>
      </c>
      <c r="G25" s="27"/>
      <c r="H25" s="27"/>
      <c r="I25" s="27"/>
      <c r="J25" s="27"/>
      <c r="K25" s="27"/>
      <c r="BA25" s="607" t="s">
        <v>19635</v>
      </c>
      <c r="BB25" s="607" t="s">
        <v>15359</v>
      </c>
      <c r="BC25" s="607" t="s">
        <v>14859</v>
      </c>
      <c r="BE25"/>
      <c r="BG25" s="512" t="s">
        <v>14839</v>
      </c>
    </row>
    <row r="26" spans="1:62">
      <c r="A26" s="152" t="s">
        <v>58</v>
      </c>
      <c r="C26" s="27"/>
      <c r="D26" s="27"/>
      <c r="E26" s="27"/>
      <c r="F26" s="27"/>
      <c r="G26" s="27"/>
      <c r="H26" s="27"/>
      <c r="I26" s="27"/>
      <c r="J26" s="27"/>
      <c r="K26" s="27"/>
      <c r="BA26" s="607" t="s">
        <v>19636</v>
      </c>
      <c r="BB26" s="607" t="s">
        <v>15359</v>
      </c>
      <c r="BC26" s="607" t="s">
        <v>14859</v>
      </c>
      <c r="BE26"/>
      <c r="BG26" s="512" t="s">
        <v>14840</v>
      </c>
    </row>
    <row r="27" spans="1:62" ht="18.75">
      <c r="A27" s="152" t="s">
        <v>59</v>
      </c>
      <c r="C27" s="23"/>
      <c r="D27" s="27"/>
      <c r="E27" s="27"/>
      <c r="F27" s="27"/>
      <c r="G27" s="27"/>
      <c r="H27" s="27"/>
      <c r="I27" s="27"/>
      <c r="J27" s="27"/>
      <c r="K27" s="27"/>
      <c r="BA27" s="607" t="s">
        <v>19637</v>
      </c>
      <c r="BB27" s="607" t="s">
        <v>15359</v>
      </c>
      <c r="BC27" s="607" t="s">
        <v>14859</v>
      </c>
      <c r="BE27"/>
      <c r="BG27" s="512" t="s">
        <v>14841</v>
      </c>
    </row>
    <row r="28" spans="1:62">
      <c r="A28" s="152" t="s">
        <v>60</v>
      </c>
      <c r="C28" s="27"/>
      <c r="D28" s="27"/>
      <c r="E28" s="27"/>
      <c r="F28" s="27"/>
      <c r="G28" s="27"/>
      <c r="H28" s="27"/>
      <c r="I28" s="27"/>
      <c r="J28" s="27"/>
      <c r="K28" s="27"/>
      <c r="BA28" s="607" t="s">
        <v>19638</v>
      </c>
      <c r="BB28" s="607" t="s">
        <v>15359</v>
      </c>
      <c r="BC28" s="607" t="s">
        <v>14859</v>
      </c>
      <c r="BE28"/>
      <c r="BG28" s="512" t="s">
        <v>14842</v>
      </c>
    </row>
    <row r="29" spans="1:62">
      <c r="A29" s="152" t="s">
        <v>21</v>
      </c>
      <c r="C29" s="27"/>
      <c r="D29" s="27"/>
      <c r="E29" s="27"/>
      <c r="F29" s="27"/>
      <c r="G29" s="27"/>
      <c r="BA29" s="607" t="s">
        <v>19639</v>
      </c>
      <c r="BB29" s="607" t="s">
        <v>15359</v>
      </c>
      <c r="BC29" s="607" t="s">
        <v>14859</v>
      </c>
      <c r="BE29"/>
      <c r="BG29" s="512" t="s">
        <v>14843</v>
      </c>
    </row>
    <row r="30" spans="1:62">
      <c r="A30" s="152" t="s">
        <v>72</v>
      </c>
      <c r="C30" s="27"/>
      <c r="D30" s="27"/>
      <c r="E30" s="27"/>
      <c r="F30" s="27"/>
      <c r="G30" s="27"/>
      <c r="BA30" s="607" t="s">
        <v>19640</v>
      </c>
      <c r="BB30" s="607" t="s">
        <v>19621</v>
      </c>
      <c r="BC30" s="607" t="s">
        <v>697</v>
      </c>
      <c r="BE30"/>
      <c r="BG30" s="512" t="s">
        <v>14844</v>
      </c>
    </row>
    <row r="31" spans="1:62">
      <c r="C31" s="27"/>
      <c r="D31" s="27"/>
      <c r="E31" s="27"/>
      <c r="F31" s="27"/>
      <c r="G31" s="27"/>
      <c r="BA31" s="607" t="s">
        <v>19641</v>
      </c>
      <c r="BB31" s="607" t="s">
        <v>15359</v>
      </c>
      <c r="BC31" s="607" t="s">
        <v>14859</v>
      </c>
      <c r="BE31"/>
      <c r="BG31" s="512" t="s">
        <v>14845</v>
      </c>
    </row>
    <row r="32" spans="1:62">
      <c r="C32" s="27"/>
      <c r="D32" s="27"/>
      <c r="E32" s="27"/>
      <c r="F32" s="27"/>
      <c r="G32" s="27"/>
      <c r="BA32" s="607" t="s">
        <v>19642</v>
      </c>
      <c r="BB32" s="607" t="s">
        <v>15359</v>
      </c>
      <c r="BC32" s="607" t="s">
        <v>14859</v>
      </c>
      <c r="BE32"/>
      <c r="BG32" s="512" t="s">
        <v>14846</v>
      </c>
    </row>
    <row r="33" spans="1:59">
      <c r="C33" s="27"/>
      <c r="D33" s="27"/>
      <c r="E33" s="27"/>
      <c r="F33" s="27"/>
      <c r="G33" s="27"/>
      <c r="BA33" s="607" t="s">
        <v>19643</v>
      </c>
      <c r="BB33" s="607" t="s">
        <v>19644</v>
      </c>
      <c r="BC33" s="607" t="s">
        <v>19645</v>
      </c>
      <c r="BE33"/>
      <c r="BG33" s="512" t="s">
        <v>14847</v>
      </c>
    </row>
    <row r="34" spans="1:59">
      <c r="C34" s="27"/>
      <c r="D34" s="27"/>
      <c r="E34" s="27"/>
      <c r="F34" s="27"/>
      <c r="BA34" s="607" t="s">
        <v>19646</v>
      </c>
      <c r="BB34" s="607" t="s">
        <v>19621</v>
      </c>
      <c r="BC34" s="607" t="s">
        <v>697</v>
      </c>
      <c r="BE34"/>
      <c r="BG34" s="512" t="s">
        <v>14848</v>
      </c>
    </row>
    <row r="35" spans="1:59">
      <c r="C35" s="27"/>
      <c r="D35" s="27"/>
      <c r="E35" s="27"/>
      <c r="F35" s="27"/>
      <c r="BA35" s="607" t="s">
        <v>14817</v>
      </c>
      <c r="BB35" s="607" t="s">
        <v>15359</v>
      </c>
      <c r="BC35" s="607" t="s">
        <v>14859</v>
      </c>
      <c r="BE35"/>
      <c r="BG35" s="512" t="s">
        <v>14849</v>
      </c>
    </row>
    <row r="36" spans="1:59">
      <c r="C36" s="27"/>
      <c r="D36" s="27"/>
      <c r="E36" s="27"/>
      <c r="F36" s="27"/>
      <c r="BA36" s="607" t="s">
        <v>19647</v>
      </c>
      <c r="BB36" s="607" t="s">
        <v>19621</v>
      </c>
      <c r="BC36" s="607" t="s">
        <v>697</v>
      </c>
      <c r="BE36"/>
      <c r="BG36" s="512" t="s">
        <v>14850</v>
      </c>
    </row>
    <row r="37" spans="1:59">
      <c r="A37" s="152" t="s">
        <v>621</v>
      </c>
      <c r="BA37" s="607" t="s">
        <v>19648</v>
      </c>
      <c r="BB37" s="607" t="s">
        <v>15359</v>
      </c>
      <c r="BC37" s="607" t="s">
        <v>14859</v>
      </c>
      <c r="BE37"/>
      <c r="BG37" s="512" t="s">
        <v>14851</v>
      </c>
    </row>
    <row r="38" spans="1:59">
      <c r="A38" s="407" t="s">
        <v>627</v>
      </c>
      <c r="BA38" s="607" t="s">
        <v>19649</v>
      </c>
      <c r="BB38" s="607" t="s">
        <v>19621</v>
      </c>
      <c r="BC38" s="607" t="s">
        <v>697</v>
      </c>
      <c r="BE38"/>
    </row>
    <row r="39" spans="1:59">
      <c r="A39" s="407" t="s">
        <v>628</v>
      </c>
      <c r="BA39" s="607" t="s">
        <v>19650</v>
      </c>
      <c r="BB39" s="607" t="s">
        <v>15359</v>
      </c>
      <c r="BC39" s="607" t="s">
        <v>14859</v>
      </c>
      <c r="BE39"/>
    </row>
    <row r="40" spans="1:59">
      <c r="A40" s="407" t="s">
        <v>629</v>
      </c>
      <c r="BA40" s="607" t="s">
        <v>19651</v>
      </c>
      <c r="BB40" s="607" t="s">
        <v>15359</v>
      </c>
      <c r="BC40" s="607" t="s">
        <v>14859</v>
      </c>
      <c r="BE40"/>
    </row>
    <row r="41" spans="1:59">
      <c r="A41" s="407" t="s">
        <v>630</v>
      </c>
      <c r="D41" s="152"/>
      <c r="E41" s="152"/>
      <c r="F41" s="152"/>
      <c r="BA41" s="607" t="s">
        <v>19652</v>
      </c>
      <c r="BB41" s="607" t="s">
        <v>15359</v>
      </c>
      <c r="BC41" s="607" t="s">
        <v>14859</v>
      </c>
      <c r="BE41"/>
    </row>
    <row r="42" spans="1:59" ht="15.75" thickBot="1">
      <c r="A42" s="408" t="s">
        <v>631</v>
      </c>
      <c r="D42" s="152"/>
      <c r="E42" s="152"/>
      <c r="F42" s="152"/>
      <c r="BA42" s="607" t="s">
        <v>19653</v>
      </c>
      <c r="BB42" s="607" t="s">
        <v>15359</v>
      </c>
      <c r="BC42" s="607" t="s">
        <v>14859</v>
      </c>
      <c r="BE42"/>
    </row>
    <row r="43" spans="1:59">
      <c r="D43" s="152"/>
      <c r="E43" s="152"/>
      <c r="F43" s="152"/>
      <c r="BA43" s="607" t="s">
        <v>14819</v>
      </c>
      <c r="BB43" s="607" t="s">
        <v>15359</v>
      </c>
      <c r="BC43" s="607" t="s">
        <v>14859</v>
      </c>
      <c r="BE43"/>
    </row>
    <row r="44" spans="1:59">
      <c r="D44" s="152"/>
      <c r="E44" s="152"/>
      <c r="F44" s="152"/>
      <c r="BA44" s="607" t="s">
        <v>19654</v>
      </c>
      <c r="BB44" s="607" t="s">
        <v>15359</v>
      </c>
      <c r="BC44" s="607" t="s">
        <v>14859</v>
      </c>
      <c r="BE44"/>
    </row>
    <row r="45" spans="1:59">
      <c r="D45" s="152"/>
      <c r="E45" s="152"/>
      <c r="F45" s="152"/>
      <c r="BA45" s="607" t="s">
        <v>19655</v>
      </c>
      <c r="BB45" s="607" t="s">
        <v>15359</v>
      </c>
      <c r="BC45" s="607" t="s">
        <v>14859</v>
      </c>
      <c r="BE45"/>
    </row>
    <row r="46" spans="1:59">
      <c r="D46" s="152"/>
      <c r="E46" s="152"/>
      <c r="F46" s="152"/>
      <c r="BA46" s="607" t="s">
        <v>19656</v>
      </c>
      <c r="BB46" s="607" t="s">
        <v>15359</v>
      </c>
      <c r="BC46" s="607" t="s">
        <v>14859</v>
      </c>
      <c r="BE46"/>
    </row>
    <row r="47" spans="1:59">
      <c r="C47" s="152"/>
      <c r="D47" s="152"/>
      <c r="E47" s="152"/>
      <c r="F47" s="152"/>
      <c r="BA47" s="607" t="s">
        <v>19657</v>
      </c>
      <c r="BB47" s="607" t="s">
        <v>19621</v>
      </c>
      <c r="BC47" s="607" t="s">
        <v>697</v>
      </c>
      <c r="BE47"/>
    </row>
    <row r="48" spans="1:59">
      <c r="C48" s="152"/>
      <c r="D48" s="152"/>
      <c r="E48" s="152"/>
      <c r="F48" s="152"/>
      <c r="BA48" s="607" t="s">
        <v>14818</v>
      </c>
      <c r="BB48" s="607" t="s">
        <v>15359</v>
      </c>
      <c r="BC48" s="607" t="s">
        <v>14859</v>
      </c>
      <c r="BE48"/>
    </row>
    <row r="49" spans="1:62">
      <c r="C49" s="152"/>
      <c r="D49" s="152"/>
      <c r="E49" s="152"/>
      <c r="F49" s="152"/>
      <c r="BA49" s="607" t="s">
        <v>19658</v>
      </c>
      <c r="BB49" s="607" t="s">
        <v>15359</v>
      </c>
      <c r="BC49" s="607" t="s">
        <v>14859</v>
      </c>
      <c r="BE49"/>
    </row>
    <row r="50" spans="1:62">
      <c r="C50" s="152"/>
      <c r="D50" s="152"/>
      <c r="E50" s="152"/>
      <c r="F50" s="152"/>
      <c r="BA50" s="607" t="s">
        <v>19659</v>
      </c>
      <c r="BB50" s="607" t="s">
        <v>15359</v>
      </c>
      <c r="BC50" s="607" t="s">
        <v>14859</v>
      </c>
      <c r="BE50"/>
    </row>
    <row r="51" spans="1:62">
      <c r="C51" s="152"/>
      <c r="D51" s="152"/>
      <c r="E51" s="152"/>
      <c r="F51" s="152"/>
      <c r="BA51" s="607" t="s">
        <v>19660</v>
      </c>
      <c r="BB51" s="607" t="s">
        <v>15359</v>
      </c>
      <c r="BC51" s="607" t="s">
        <v>14859</v>
      </c>
      <c r="BE51"/>
    </row>
    <row r="52" spans="1:62">
      <c r="C52" s="152"/>
      <c r="D52" s="152"/>
      <c r="E52" s="152"/>
      <c r="F52" s="152"/>
      <c r="BA52" s="607" t="s">
        <v>19661</v>
      </c>
      <c r="BB52" s="607" t="s">
        <v>15359</v>
      </c>
      <c r="BC52" s="607" t="s">
        <v>14859</v>
      </c>
      <c r="BE52"/>
    </row>
    <row r="53" spans="1:62">
      <c r="BA53" s="607" t="s">
        <v>19662</v>
      </c>
      <c r="BB53" s="607" t="s">
        <v>15359</v>
      </c>
      <c r="BC53" s="607" t="s">
        <v>14859</v>
      </c>
      <c r="BE53"/>
    </row>
    <row r="54" spans="1:62">
      <c r="BA54" s="607" t="s">
        <v>19663</v>
      </c>
      <c r="BB54" s="607" t="s">
        <v>15359</v>
      </c>
      <c r="BC54" s="607" t="s">
        <v>14859</v>
      </c>
      <c r="BE54"/>
    </row>
    <row r="55" spans="1:62">
      <c r="B55" s="22"/>
      <c r="G55" s="22"/>
      <c r="H55" s="22"/>
      <c r="I55" s="22"/>
      <c r="J55" s="22"/>
      <c r="K55" s="22"/>
      <c r="L55" s="22"/>
      <c r="M55" s="22"/>
      <c r="N55" s="22"/>
      <c r="O55" s="22"/>
      <c r="P55" s="22"/>
      <c r="Q55" s="22"/>
      <c r="R55" s="22"/>
      <c r="S55" s="22"/>
      <c r="T55" s="22"/>
      <c r="U55" s="22"/>
      <c r="V55" s="22"/>
      <c r="BA55" s="607" t="s">
        <v>19664</v>
      </c>
      <c r="BB55" s="607" t="s">
        <v>15359</v>
      </c>
      <c r="BC55" s="607" t="s">
        <v>14859</v>
      </c>
      <c r="BE55"/>
    </row>
    <row r="56" spans="1:62">
      <c r="B56" s="22"/>
      <c r="G56" s="22"/>
      <c r="H56" s="22"/>
      <c r="I56" s="22"/>
      <c r="J56" s="22"/>
      <c r="K56" s="22"/>
      <c r="L56" s="22"/>
      <c r="M56" s="22"/>
      <c r="N56" s="22"/>
      <c r="O56" s="22"/>
      <c r="P56" s="22"/>
      <c r="Q56" s="22"/>
      <c r="R56" s="22"/>
      <c r="S56" s="22"/>
      <c r="T56" s="22"/>
      <c r="U56" s="22"/>
      <c r="V56" s="22"/>
      <c r="BA56" s="607" t="s">
        <v>19665</v>
      </c>
      <c r="BB56" s="607" t="s">
        <v>15359</v>
      </c>
      <c r="BC56" s="607" t="s">
        <v>14859</v>
      </c>
      <c r="BE56"/>
    </row>
    <row r="57" spans="1:62">
      <c r="B57" s="22"/>
      <c r="G57" s="22"/>
      <c r="H57" s="22"/>
      <c r="I57" s="22"/>
      <c r="J57" s="156" t="s">
        <v>433</v>
      </c>
      <c r="K57" s="22"/>
      <c r="L57" s="22"/>
      <c r="M57" s="22"/>
      <c r="N57" s="22"/>
      <c r="O57" s="22"/>
      <c r="P57" s="22"/>
      <c r="Q57" s="22"/>
      <c r="R57" s="22"/>
      <c r="S57" s="22"/>
      <c r="T57" s="22"/>
      <c r="U57" s="22"/>
      <c r="V57" s="22"/>
      <c r="BA57" s="607" t="s">
        <v>19666</v>
      </c>
      <c r="BB57" s="607" t="s">
        <v>15359</v>
      </c>
      <c r="BC57" s="607" t="s">
        <v>14859</v>
      </c>
      <c r="BE57"/>
    </row>
    <row r="58" spans="1:62">
      <c r="B58" s="22"/>
      <c r="C58" s="22"/>
      <c r="D58" s="22"/>
      <c r="E58" s="22"/>
      <c r="F58" s="22"/>
      <c r="G58" s="22"/>
      <c r="H58" s="22"/>
      <c r="I58" s="22"/>
      <c r="J58" s="156" t="s">
        <v>434</v>
      </c>
      <c r="K58" s="22"/>
      <c r="L58" s="22"/>
      <c r="M58" s="22"/>
      <c r="N58" s="22"/>
      <c r="O58" s="22"/>
      <c r="P58" s="22"/>
      <c r="Q58" s="22"/>
      <c r="R58" s="22"/>
      <c r="S58" s="22"/>
      <c r="T58" s="22"/>
      <c r="U58" s="22"/>
      <c r="V58" s="22"/>
      <c r="BA58" s="607" t="s">
        <v>19667</v>
      </c>
      <c r="BB58" s="607" t="s">
        <v>15359</v>
      </c>
      <c r="BC58" s="607" t="s">
        <v>14859</v>
      </c>
      <c r="BE58"/>
    </row>
    <row r="59" spans="1:62">
      <c r="B59" s="22"/>
      <c r="C59" s="22"/>
      <c r="D59" s="22"/>
      <c r="E59" s="22"/>
      <c r="F59" s="22"/>
      <c r="G59" s="22"/>
      <c r="H59" s="22"/>
      <c r="I59" s="22"/>
      <c r="J59" s="156" t="s">
        <v>435</v>
      </c>
      <c r="K59" s="22"/>
      <c r="L59" s="22"/>
      <c r="M59" s="22"/>
      <c r="N59" s="22"/>
      <c r="O59" s="22"/>
      <c r="P59" s="22"/>
      <c r="Q59" s="22"/>
      <c r="R59" s="22"/>
      <c r="S59" s="22"/>
      <c r="T59" s="22"/>
      <c r="U59" s="22"/>
      <c r="V59" s="22"/>
      <c r="BA59" s="607" t="s">
        <v>19668</v>
      </c>
      <c r="BB59" s="607" t="s">
        <v>15359</v>
      </c>
      <c r="BC59" s="607" t="s">
        <v>14859</v>
      </c>
      <c r="BE59"/>
    </row>
    <row r="60" spans="1:62">
      <c r="B60" s="22"/>
      <c r="C60" s="22"/>
      <c r="D60" s="22"/>
      <c r="E60" s="22"/>
      <c r="F60" s="22"/>
      <c r="G60" s="22"/>
      <c r="H60" s="22"/>
      <c r="I60" s="22"/>
      <c r="J60" s="156" t="s">
        <v>436</v>
      </c>
      <c r="K60" s="22"/>
      <c r="L60" s="22"/>
      <c r="M60" s="22"/>
      <c r="N60" s="22"/>
      <c r="O60" s="22"/>
      <c r="P60" s="22"/>
      <c r="Q60" s="22"/>
      <c r="R60" s="22"/>
      <c r="S60" s="22"/>
      <c r="T60" s="22"/>
      <c r="U60" s="22"/>
      <c r="V60" s="22"/>
      <c r="BA60" s="607" t="s">
        <v>19669</v>
      </c>
      <c r="BB60" s="607" t="s">
        <v>15359</v>
      </c>
      <c r="BC60" s="607" t="s">
        <v>14859</v>
      </c>
      <c r="BE60"/>
    </row>
    <row r="61" spans="1:62">
      <c r="B61" s="22"/>
      <c r="C61" s="22"/>
      <c r="D61" s="22"/>
      <c r="E61" s="22"/>
      <c r="F61" s="22"/>
      <c r="G61" s="22"/>
      <c r="H61" s="22"/>
      <c r="I61" s="22"/>
      <c r="J61" s="156" t="s">
        <v>445</v>
      </c>
      <c r="K61" s="22"/>
      <c r="L61" s="22"/>
      <c r="M61" s="22"/>
      <c r="N61" s="22"/>
      <c r="O61" s="22"/>
      <c r="P61" s="22"/>
      <c r="Q61" s="22"/>
      <c r="R61" s="22"/>
      <c r="S61" s="22"/>
      <c r="T61" s="22"/>
      <c r="U61" s="22"/>
      <c r="V61" s="22"/>
      <c r="BA61" s="607" t="s">
        <v>19670</v>
      </c>
      <c r="BB61" s="607" t="s">
        <v>15359</v>
      </c>
      <c r="BC61" s="607" t="s">
        <v>14859</v>
      </c>
      <c r="BE61"/>
    </row>
    <row r="62" spans="1:62">
      <c r="B62" s="22"/>
      <c r="C62" s="22"/>
      <c r="D62" s="22"/>
      <c r="E62" s="22"/>
      <c r="F62" s="22"/>
      <c r="G62" s="22"/>
      <c r="H62" s="22"/>
      <c r="I62" s="22"/>
      <c r="J62" s="22"/>
      <c r="K62" s="22"/>
      <c r="L62" s="22"/>
      <c r="M62" s="22"/>
      <c r="N62" s="22"/>
      <c r="O62" s="22"/>
      <c r="P62" s="22"/>
      <c r="Q62" s="22"/>
      <c r="R62" s="22"/>
      <c r="S62" s="22"/>
      <c r="T62" s="22"/>
      <c r="U62" s="22"/>
      <c r="V62" s="22"/>
      <c r="BA62" s="607" t="s">
        <v>19671</v>
      </c>
      <c r="BB62" s="607" t="s">
        <v>19621</v>
      </c>
      <c r="BC62" s="607" t="s">
        <v>697</v>
      </c>
      <c r="BE62"/>
    </row>
    <row r="63" spans="1:62">
      <c r="B63" s="22"/>
      <c r="C63" s="22"/>
      <c r="D63" s="22"/>
      <c r="E63" s="22"/>
      <c r="F63" s="22"/>
      <c r="G63" s="22"/>
      <c r="H63" s="22"/>
      <c r="I63" s="22"/>
      <c r="J63" s="22"/>
      <c r="K63" s="22"/>
      <c r="L63" s="22"/>
      <c r="M63" s="22"/>
      <c r="N63" s="22"/>
      <c r="O63" s="22"/>
      <c r="P63" s="22"/>
      <c r="Q63" s="22"/>
      <c r="R63" s="22"/>
      <c r="S63" s="22"/>
      <c r="T63" s="22"/>
      <c r="U63" s="22"/>
      <c r="V63" s="22"/>
      <c r="BA63" s="607" t="s">
        <v>19672</v>
      </c>
      <c r="BB63" s="607" t="s">
        <v>19621</v>
      </c>
      <c r="BC63" s="607" t="s">
        <v>697</v>
      </c>
      <c r="BE63"/>
    </row>
    <row r="64" spans="1:62" s="22" customFormat="1">
      <c r="A64" s="152"/>
      <c r="BA64" s="607" t="s">
        <v>19673</v>
      </c>
      <c r="BB64" s="607" t="s">
        <v>19621</v>
      </c>
      <c r="BC64" s="607" t="s">
        <v>697</v>
      </c>
      <c r="BD64"/>
      <c r="BE64"/>
      <c r="BF64"/>
      <c r="BI64" s="27"/>
      <c r="BJ64"/>
    </row>
    <row r="65" spans="1:62" s="22" customFormat="1">
      <c r="A65" s="152" t="s">
        <v>400</v>
      </c>
      <c r="BA65" s="607" t="s">
        <v>19674</v>
      </c>
      <c r="BB65" s="607" t="s">
        <v>19621</v>
      </c>
      <c r="BC65" s="607" t="s">
        <v>697</v>
      </c>
      <c r="BD65"/>
      <c r="BE65"/>
      <c r="BF65"/>
      <c r="BI65" s="27"/>
      <c r="BJ65"/>
    </row>
    <row r="66" spans="1:62" s="22" customFormat="1">
      <c r="A66" s="152"/>
      <c r="K66" s="690"/>
      <c r="L66" s="690"/>
      <c r="M66" s="690"/>
      <c r="BA66" s="607" t="s">
        <v>19675</v>
      </c>
      <c r="BB66" s="607" t="s">
        <v>19621</v>
      </c>
      <c r="BC66" s="607" t="s">
        <v>697</v>
      </c>
      <c r="BD66"/>
      <c r="BE66"/>
      <c r="BF66"/>
      <c r="BI66" s="27"/>
      <c r="BJ66"/>
    </row>
    <row r="67" spans="1:62" s="22" customFormat="1">
      <c r="A67" s="152" t="s">
        <v>50</v>
      </c>
      <c r="B67" s="22" t="s">
        <v>52</v>
      </c>
      <c r="K67" s="22" t="s">
        <v>537</v>
      </c>
      <c r="L67" s="22" t="s">
        <v>538</v>
      </c>
      <c r="M67" s="22" t="s">
        <v>543</v>
      </c>
      <c r="N67" s="22" t="s">
        <v>614</v>
      </c>
      <c r="BA67" s="607" t="s">
        <v>19676</v>
      </c>
      <c r="BB67" s="607" t="s">
        <v>19621</v>
      </c>
      <c r="BC67" s="607" t="s">
        <v>697</v>
      </c>
      <c r="BD67"/>
      <c r="BE67"/>
      <c r="BF67"/>
      <c r="BI67" s="27"/>
      <c r="BJ67"/>
    </row>
    <row r="68" spans="1:62" s="22" customFormat="1">
      <c r="A68" s="152" t="s">
        <v>2</v>
      </c>
      <c r="F68" s="155" t="s">
        <v>175</v>
      </c>
      <c r="K68" s="22" t="s">
        <v>545</v>
      </c>
      <c r="L68" s="22" t="s">
        <v>463</v>
      </c>
      <c r="M68" s="22" t="s">
        <v>500</v>
      </c>
      <c r="N68" s="22" t="s">
        <v>544</v>
      </c>
      <c r="BA68" s="607" t="s">
        <v>19677</v>
      </c>
      <c r="BB68" s="607" t="s">
        <v>19621</v>
      </c>
      <c r="BC68" s="607" t="s">
        <v>697</v>
      </c>
      <c r="BD68"/>
      <c r="BE68"/>
      <c r="BF68"/>
    </row>
    <row r="69" spans="1:62" s="22" customFormat="1">
      <c r="A69" s="152"/>
      <c r="K69" s="22" t="s">
        <v>587</v>
      </c>
      <c r="L69" s="22" t="s">
        <v>464</v>
      </c>
      <c r="M69" s="22" t="s">
        <v>501</v>
      </c>
      <c r="N69" s="22" t="s">
        <v>586</v>
      </c>
      <c r="BA69" s="607" t="s">
        <v>19678</v>
      </c>
      <c r="BB69" s="607" t="s">
        <v>19621</v>
      </c>
      <c r="BC69" s="607" t="s">
        <v>697</v>
      </c>
      <c r="BD69"/>
      <c r="BE69"/>
      <c r="BF69"/>
    </row>
    <row r="70" spans="1:62" s="22" customFormat="1">
      <c r="A70" s="152"/>
      <c r="K70" s="22" t="s">
        <v>591</v>
      </c>
      <c r="L70" s="22" t="s">
        <v>465</v>
      </c>
      <c r="M70" s="22" t="s">
        <v>502</v>
      </c>
      <c r="N70" s="22" t="s">
        <v>590</v>
      </c>
      <c r="BA70" s="607" t="s">
        <v>19679</v>
      </c>
      <c r="BB70" s="607" t="s">
        <v>19621</v>
      </c>
      <c r="BC70" s="607" t="s">
        <v>697</v>
      </c>
      <c r="BD70"/>
      <c r="BE70"/>
      <c r="BF70"/>
    </row>
    <row r="71" spans="1:62" s="22" customFormat="1">
      <c r="A71" s="152"/>
      <c r="F71" s="151" t="s">
        <v>393</v>
      </c>
      <c r="K71" s="22" t="s">
        <v>547</v>
      </c>
      <c r="L71" s="22" t="s">
        <v>466</v>
      </c>
      <c r="M71" s="22" t="s">
        <v>503</v>
      </c>
      <c r="N71" s="22" t="s">
        <v>546</v>
      </c>
      <c r="BA71" s="607" t="s">
        <v>19680</v>
      </c>
      <c r="BB71" s="607" t="s">
        <v>19621</v>
      </c>
      <c r="BC71" s="607" t="s">
        <v>697</v>
      </c>
      <c r="BD71"/>
      <c r="BE71"/>
      <c r="BF71"/>
    </row>
    <row r="72" spans="1:62" s="22" customFormat="1">
      <c r="A72" s="409" t="s">
        <v>449</v>
      </c>
      <c r="F72" s="151" t="s">
        <v>394</v>
      </c>
      <c r="K72" s="22" t="s">
        <v>589</v>
      </c>
      <c r="L72" s="22" t="s">
        <v>467</v>
      </c>
      <c r="M72" s="22" t="s">
        <v>504</v>
      </c>
      <c r="N72" s="22" t="s">
        <v>588</v>
      </c>
      <c r="BA72" s="607" t="s">
        <v>19681</v>
      </c>
      <c r="BB72" s="607" t="s">
        <v>15359</v>
      </c>
      <c r="BC72" s="607" t="s">
        <v>14859</v>
      </c>
      <c r="BD72"/>
      <c r="BE72"/>
      <c r="BF72"/>
    </row>
    <row r="73" spans="1:62" s="22" customFormat="1">
      <c r="A73" s="152" t="s">
        <v>446</v>
      </c>
      <c r="F73" s="151" t="s">
        <v>389</v>
      </c>
      <c r="K73" s="22" t="s">
        <v>593</v>
      </c>
      <c r="L73" s="22" t="s">
        <v>489</v>
      </c>
      <c r="M73" s="22" t="s">
        <v>526</v>
      </c>
      <c r="N73" s="22" t="s">
        <v>592</v>
      </c>
      <c r="BA73" s="607" t="s">
        <v>19682</v>
      </c>
      <c r="BB73" s="607" t="s">
        <v>15359</v>
      </c>
      <c r="BC73" s="607" t="s">
        <v>14859</v>
      </c>
      <c r="BD73"/>
      <c r="BE73"/>
      <c r="BF73"/>
    </row>
    <row r="74" spans="1:62" s="22" customFormat="1">
      <c r="A74" s="152" t="s">
        <v>447</v>
      </c>
      <c r="F74" s="151" t="s">
        <v>392</v>
      </c>
      <c r="K74" s="22" t="s">
        <v>549</v>
      </c>
      <c r="L74" s="22" t="s">
        <v>468</v>
      </c>
      <c r="M74" s="22" t="s">
        <v>505</v>
      </c>
      <c r="N74" s="22" t="s">
        <v>548</v>
      </c>
      <c r="BA74" s="607" t="s">
        <v>19683</v>
      </c>
      <c r="BB74" s="607" t="s">
        <v>15359</v>
      </c>
      <c r="BC74" s="607" t="s">
        <v>14859</v>
      </c>
      <c r="BD74"/>
      <c r="BE74"/>
      <c r="BF74"/>
    </row>
    <row r="75" spans="1:62" s="22" customFormat="1">
      <c r="A75" s="152" t="s">
        <v>448</v>
      </c>
      <c r="F75" s="151" t="s">
        <v>387</v>
      </c>
      <c r="K75" s="22" t="s">
        <v>595</v>
      </c>
      <c r="L75" s="22" t="s">
        <v>490</v>
      </c>
      <c r="M75" s="22" t="s">
        <v>527</v>
      </c>
      <c r="N75" s="22" t="s">
        <v>594</v>
      </c>
      <c r="BA75" s="607" t="s">
        <v>19684</v>
      </c>
      <c r="BB75" s="607" t="s">
        <v>15359</v>
      </c>
      <c r="BC75" s="607" t="s">
        <v>14859</v>
      </c>
      <c r="BD75"/>
      <c r="BE75"/>
      <c r="BF75"/>
    </row>
    <row r="76" spans="1:62" s="22" customFormat="1">
      <c r="A76" s="409" t="s">
        <v>410</v>
      </c>
      <c r="F76" s="151" t="s">
        <v>384</v>
      </c>
      <c r="K76" s="22" t="s">
        <v>540</v>
      </c>
      <c r="L76" s="22" t="s">
        <v>470</v>
      </c>
      <c r="M76" s="22" t="s">
        <v>507</v>
      </c>
      <c r="N76" s="22" t="s">
        <v>550</v>
      </c>
      <c r="BA76" s="607" t="s">
        <v>19685</v>
      </c>
      <c r="BB76" s="607" t="s">
        <v>15359</v>
      </c>
      <c r="BC76" s="607" t="s">
        <v>14859</v>
      </c>
      <c r="BD76"/>
      <c r="BE76"/>
      <c r="BF76"/>
    </row>
    <row r="77" spans="1:62" s="22" customFormat="1">
      <c r="A77" s="245" t="s">
        <v>457</v>
      </c>
      <c r="F77" s="151" t="s">
        <v>399</v>
      </c>
      <c r="K77" s="22" t="s">
        <v>552</v>
      </c>
      <c r="L77" s="22" t="s">
        <v>469</v>
      </c>
      <c r="M77" s="22" t="s">
        <v>506</v>
      </c>
      <c r="N77" s="22" t="s">
        <v>551</v>
      </c>
      <c r="BA77" s="607" t="s">
        <v>19686</v>
      </c>
      <c r="BB77" s="607" t="s">
        <v>15359</v>
      </c>
      <c r="BC77" s="607" t="s">
        <v>14859</v>
      </c>
      <c r="BD77"/>
      <c r="BE77"/>
      <c r="BF77"/>
    </row>
    <row r="78" spans="1:62" s="22" customFormat="1">
      <c r="A78" s="245" t="s">
        <v>458</v>
      </c>
      <c r="F78" s="151" t="s">
        <v>14862</v>
      </c>
      <c r="K78" s="22" t="s">
        <v>554</v>
      </c>
      <c r="L78" s="22" t="s">
        <v>499</v>
      </c>
      <c r="M78" s="22" t="s">
        <v>536</v>
      </c>
      <c r="N78" s="22" t="s">
        <v>553</v>
      </c>
    </row>
    <row r="79" spans="1:62" s="22" customFormat="1">
      <c r="A79" s="245" t="s">
        <v>459</v>
      </c>
      <c r="F79" s="151" t="s">
        <v>385</v>
      </c>
      <c r="K79" s="22" t="s">
        <v>597</v>
      </c>
      <c r="L79" s="22" t="s">
        <v>491</v>
      </c>
      <c r="M79" s="22" t="s">
        <v>528</v>
      </c>
      <c r="N79" s="22" t="s">
        <v>596</v>
      </c>
    </row>
    <row r="80" spans="1:62" s="22" customFormat="1">
      <c r="A80" s="245" t="s">
        <v>460</v>
      </c>
      <c r="F80" s="151" t="s">
        <v>376</v>
      </c>
      <c r="K80" s="22" t="s">
        <v>556</v>
      </c>
      <c r="L80" s="22" t="s">
        <v>471</v>
      </c>
      <c r="M80" s="22" t="s">
        <v>508</v>
      </c>
      <c r="N80" s="22" t="s">
        <v>555</v>
      </c>
    </row>
    <row r="81" spans="1:14" s="22" customFormat="1">
      <c r="A81" s="245" t="s">
        <v>461</v>
      </c>
      <c r="F81" s="151" t="s">
        <v>391</v>
      </c>
      <c r="K81" s="22" t="s">
        <v>599</v>
      </c>
      <c r="L81" s="22" t="s">
        <v>482</v>
      </c>
      <c r="M81" s="22" t="s">
        <v>519</v>
      </c>
      <c r="N81" s="22" t="s">
        <v>598</v>
      </c>
    </row>
    <row r="82" spans="1:14" s="22" customFormat="1">
      <c r="A82" s="245" t="s">
        <v>462</v>
      </c>
      <c r="F82" s="151" t="s">
        <v>398</v>
      </c>
      <c r="K82" s="22" t="s">
        <v>558</v>
      </c>
      <c r="L82" s="22" t="s">
        <v>480</v>
      </c>
      <c r="M82" s="22" t="s">
        <v>517</v>
      </c>
      <c r="N82" s="22" t="s">
        <v>557</v>
      </c>
    </row>
    <row r="83" spans="1:14" s="22" customFormat="1">
      <c r="A83" s="152" t="s">
        <v>625</v>
      </c>
      <c r="F83" s="151" t="s">
        <v>381</v>
      </c>
      <c r="K83" s="22" t="s">
        <v>560</v>
      </c>
      <c r="L83" s="22" t="s">
        <v>472</v>
      </c>
      <c r="M83" s="22" t="s">
        <v>509</v>
      </c>
      <c r="N83" s="22" t="s">
        <v>559</v>
      </c>
    </row>
    <row r="84" spans="1:14" s="22" customFormat="1">
      <c r="A84" s="152" t="s">
        <v>683</v>
      </c>
      <c r="F84" s="151" t="s">
        <v>388</v>
      </c>
      <c r="K84" s="22" t="s">
        <v>542</v>
      </c>
      <c r="L84" s="22" t="s">
        <v>483</v>
      </c>
      <c r="M84" s="22" t="s">
        <v>520</v>
      </c>
      <c r="N84" s="22" t="s">
        <v>561</v>
      </c>
    </row>
    <row r="85" spans="1:14" s="22" customFormat="1">
      <c r="A85" s="410" t="s">
        <v>619</v>
      </c>
      <c r="F85" s="151" t="s">
        <v>386</v>
      </c>
      <c r="K85" s="22" t="s">
        <v>563</v>
      </c>
      <c r="L85" s="22" t="s">
        <v>486</v>
      </c>
      <c r="M85" s="22" t="s">
        <v>523</v>
      </c>
      <c r="N85" s="22" t="s">
        <v>562</v>
      </c>
    </row>
    <row r="86" spans="1:14" s="22" customFormat="1">
      <c r="A86" s="152" t="s">
        <v>616</v>
      </c>
      <c r="F86" s="151" t="s">
        <v>382</v>
      </c>
      <c r="K86" s="22" t="s">
        <v>601</v>
      </c>
      <c r="L86" s="22" t="s">
        <v>492</v>
      </c>
      <c r="M86" s="22" t="s">
        <v>529</v>
      </c>
      <c r="N86" s="22" t="s">
        <v>600</v>
      </c>
    </row>
    <row r="87" spans="1:14" s="22" customFormat="1">
      <c r="A87" s="152" t="s">
        <v>615</v>
      </c>
      <c r="F87" s="151" t="s">
        <v>396</v>
      </c>
      <c r="K87" s="22" t="s">
        <v>603</v>
      </c>
      <c r="L87" s="22" t="s">
        <v>493</v>
      </c>
      <c r="M87" s="22" t="s">
        <v>530</v>
      </c>
      <c r="N87" s="22" t="s">
        <v>602</v>
      </c>
    </row>
    <row r="88" spans="1:14" s="22" customFormat="1">
      <c r="A88" s="152" t="s">
        <v>617</v>
      </c>
      <c r="F88" s="151" t="s">
        <v>200</v>
      </c>
      <c r="K88" s="22" t="s">
        <v>605</v>
      </c>
      <c r="L88" s="22" t="s">
        <v>494</v>
      </c>
      <c r="M88" s="22" t="s">
        <v>531</v>
      </c>
      <c r="N88" s="22" t="s">
        <v>604</v>
      </c>
    </row>
    <row r="89" spans="1:14" s="22" customFormat="1">
      <c r="A89" s="152" t="s">
        <v>618</v>
      </c>
      <c r="F89" s="151" t="s">
        <v>395</v>
      </c>
      <c r="K89" s="22" t="s">
        <v>565</v>
      </c>
      <c r="L89" s="22" t="s">
        <v>473</v>
      </c>
      <c r="M89" s="22" t="s">
        <v>510</v>
      </c>
      <c r="N89" s="22" t="s">
        <v>564</v>
      </c>
    </row>
    <row r="90" spans="1:14" s="22" customFormat="1">
      <c r="A90" s="152"/>
      <c r="F90" s="151" t="s">
        <v>383</v>
      </c>
      <c r="K90" s="22" t="s">
        <v>567</v>
      </c>
      <c r="L90" s="22" t="s">
        <v>479</v>
      </c>
      <c r="M90" s="22" t="s">
        <v>516</v>
      </c>
      <c r="N90" s="22" t="s">
        <v>566</v>
      </c>
    </row>
    <row r="91" spans="1:14" s="22" customFormat="1">
      <c r="A91" s="152"/>
      <c r="F91" s="22" t="s">
        <v>673</v>
      </c>
      <c r="K91" s="22" t="s">
        <v>569</v>
      </c>
      <c r="L91" s="22" t="s">
        <v>477</v>
      </c>
      <c r="M91" s="22" t="s">
        <v>514</v>
      </c>
      <c r="N91" s="22" t="s">
        <v>568</v>
      </c>
    </row>
    <row r="92" spans="1:14" s="22" customFormat="1">
      <c r="A92" s="152"/>
      <c r="F92" s="151" t="s">
        <v>380</v>
      </c>
      <c r="K92" s="22" t="s">
        <v>571</v>
      </c>
      <c r="L92" s="22" t="s">
        <v>478</v>
      </c>
      <c r="M92" s="22" t="s">
        <v>515</v>
      </c>
      <c r="N92" s="22" t="s">
        <v>570</v>
      </c>
    </row>
    <row r="93" spans="1:14" s="22" customFormat="1">
      <c r="A93" s="152"/>
      <c r="F93" s="151" t="s">
        <v>377</v>
      </c>
      <c r="K93" s="22" t="s">
        <v>573</v>
      </c>
      <c r="L93" s="22" t="s">
        <v>485</v>
      </c>
      <c r="M93" s="22" t="s">
        <v>522</v>
      </c>
      <c r="N93" s="22" t="s">
        <v>572</v>
      </c>
    </row>
    <row r="94" spans="1:14" s="22" customFormat="1">
      <c r="A94" s="152"/>
      <c r="F94" s="151" t="s">
        <v>107</v>
      </c>
      <c r="K94" s="22" t="s">
        <v>575</v>
      </c>
      <c r="L94" s="22" t="s">
        <v>474</v>
      </c>
      <c r="M94" s="22" t="s">
        <v>511</v>
      </c>
      <c r="N94" s="22" t="s">
        <v>574</v>
      </c>
    </row>
    <row r="95" spans="1:14" s="22" customFormat="1">
      <c r="A95" s="152"/>
      <c r="F95" s="151" t="s">
        <v>397</v>
      </c>
      <c r="K95" s="22" t="s">
        <v>577</v>
      </c>
      <c r="L95" s="22" t="s">
        <v>484</v>
      </c>
      <c r="M95" s="22" t="s">
        <v>521</v>
      </c>
      <c r="N95" s="22" t="s">
        <v>576</v>
      </c>
    </row>
    <row r="96" spans="1:14" s="22" customFormat="1">
      <c r="A96" s="152"/>
      <c r="F96" s="151" t="s">
        <v>379</v>
      </c>
      <c r="K96" s="22" t="s">
        <v>539</v>
      </c>
      <c r="L96" s="22" t="s">
        <v>481</v>
      </c>
      <c r="M96" s="22" t="s">
        <v>518</v>
      </c>
      <c r="N96" s="22" t="s">
        <v>578</v>
      </c>
    </row>
    <row r="97" spans="1:14" s="22" customFormat="1">
      <c r="A97" s="152"/>
      <c r="F97" s="151" t="s">
        <v>378</v>
      </c>
      <c r="K97" s="22" t="s">
        <v>580</v>
      </c>
      <c r="L97" s="22" t="s">
        <v>488</v>
      </c>
      <c r="M97" s="22" t="s">
        <v>525</v>
      </c>
      <c r="N97" s="22" t="s">
        <v>579</v>
      </c>
    </row>
    <row r="98" spans="1:14" s="22" customFormat="1">
      <c r="A98" s="152"/>
      <c r="F98" s="151" t="s">
        <v>694</v>
      </c>
      <c r="K98" s="22" t="s">
        <v>582</v>
      </c>
      <c r="L98" s="22" t="s">
        <v>475</v>
      </c>
      <c r="M98" s="22" t="s">
        <v>512</v>
      </c>
      <c r="N98" s="22" t="s">
        <v>581</v>
      </c>
    </row>
    <row r="99" spans="1:14" s="22" customFormat="1">
      <c r="A99" s="152"/>
      <c r="F99" s="151" t="s">
        <v>671</v>
      </c>
      <c r="K99" s="22" t="s">
        <v>541</v>
      </c>
      <c r="L99" s="22" t="s">
        <v>476</v>
      </c>
      <c r="M99" s="22" t="s">
        <v>513</v>
      </c>
      <c r="N99" s="22" t="s">
        <v>583</v>
      </c>
    </row>
    <row r="100" spans="1:14" s="22" customFormat="1">
      <c r="A100" s="152"/>
      <c r="F100" s="151" t="s">
        <v>672</v>
      </c>
      <c r="K100" s="22" t="s">
        <v>607</v>
      </c>
      <c r="L100" s="22" t="s">
        <v>495</v>
      </c>
      <c r="M100" s="22" t="s">
        <v>532</v>
      </c>
      <c r="N100" s="22" t="s">
        <v>606</v>
      </c>
    </row>
    <row r="101" spans="1:14" s="22" customFormat="1">
      <c r="A101" s="152"/>
      <c r="F101" s="151" t="s">
        <v>670</v>
      </c>
      <c r="K101" s="22" t="s">
        <v>609</v>
      </c>
      <c r="L101" s="22" t="s">
        <v>496</v>
      </c>
      <c r="M101" s="22" t="s">
        <v>533</v>
      </c>
      <c r="N101" s="22" t="s">
        <v>608</v>
      </c>
    </row>
    <row r="102" spans="1:14" s="22" customFormat="1">
      <c r="A102" s="152"/>
      <c r="F102" s="151" t="s">
        <v>669</v>
      </c>
      <c r="K102" s="22" t="s">
        <v>611</v>
      </c>
      <c r="L102" s="22" t="s">
        <v>497</v>
      </c>
      <c r="M102" s="22" t="s">
        <v>534</v>
      </c>
      <c r="N102" s="22" t="s">
        <v>610</v>
      </c>
    </row>
    <row r="103" spans="1:14" s="22" customFormat="1">
      <c r="A103" s="152"/>
      <c r="F103" s="151" t="s">
        <v>390</v>
      </c>
      <c r="K103" s="22" t="s">
        <v>613</v>
      </c>
      <c r="L103" s="22" t="s">
        <v>498</v>
      </c>
      <c r="M103" s="22" t="s">
        <v>535</v>
      </c>
      <c r="N103" s="22" t="s">
        <v>612</v>
      </c>
    </row>
    <row r="104" spans="1:14" s="22" customFormat="1">
      <c r="A104" s="152"/>
      <c r="F104" s="151" t="s">
        <v>695</v>
      </c>
      <c r="K104" s="22" t="s">
        <v>585</v>
      </c>
      <c r="L104" s="22" t="s">
        <v>487</v>
      </c>
      <c r="M104" s="22" t="s">
        <v>524</v>
      </c>
      <c r="N104" s="22" t="s">
        <v>584</v>
      </c>
    </row>
    <row r="105" spans="1:14" s="22" customFormat="1">
      <c r="A105" s="36" t="s">
        <v>18</v>
      </c>
      <c r="F105" s="152"/>
    </row>
    <row r="106" spans="1:14" s="22" customFormat="1">
      <c r="A106" s="36" t="s">
        <v>19</v>
      </c>
      <c r="F106" s="152"/>
    </row>
    <row r="107" spans="1:14" s="22" customFormat="1">
      <c r="A107" s="36" t="str">
        <f>"FUENTE:"&amp;IF(A114="E","AJUST_HOMOGENIZADOS","TOTAL_FTES")</f>
        <v>FUENTE:TOTAL_FTES</v>
      </c>
    </row>
    <row r="108" spans="1:14" s="22" customFormat="1">
      <c r="A108" s="36" t="str">
        <f>"MONEDA:"&amp;IF(A114="E","LC","COP")</f>
        <v>MONEDA:COP</v>
      </c>
    </row>
    <row r="109" spans="1:14" s="22" customFormat="1">
      <c r="A109" s="36" t="s">
        <v>20</v>
      </c>
    </row>
    <row r="110" spans="1:14" s="22" customFormat="1">
      <c r="A110" s="36" t="s">
        <v>21</v>
      </c>
    </row>
    <row r="111" spans="1:14" s="22" customFormat="1">
      <c r="A111" s="36" t="e">
        <f ca="1">"GRUPO:"&amp;IF(A114="E","G_NONE",_xll.EPMMemberProperty("ANEXO_NOTAS_XBRL","ENTIDAD:"&amp;D5,"ID"))</f>
        <v>#NAME?</v>
      </c>
    </row>
    <row r="112" spans="1:14" s="22" customFormat="1">
      <c r="A112" s="36"/>
    </row>
    <row r="113" spans="1:62" s="22" customFormat="1">
      <c r="A113" s="36"/>
    </row>
    <row r="114" spans="1:62" s="22" customFormat="1">
      <c r="A114" s="36" t="str">
        <f>LEFT(D5,1)</f>
        <v/>
      </c>
    </row>
    <row r="115" spans="1:62" s="22" customFormat="1">
      <c r="A115" s="152"/>
    </row>
    <row r="116" spans="1:62" s="22" customFormat="1">
      <c r="A116" s="152"/>
    </row>
    <row r="117" spans="1:62" s="22" customFormat="1">
      <c r="A117" s="152"/>
    </row>
    <row r="118" spans="1:62" s="22" customFormat="1">
      <c r="A118" s="152"/>
    </row>
    <row r="119" spans="1:62" s="22" customFormat="1">
      <c r="A119" s="152"/>
    </row>
    <row r="120" spans="1:62" s="22" customFormat="1">
      <c r="A120" s="152"/>
    </row>
    <row r="121" spans="1:62" s="22" customFormat="1">
      <c r="A121" s="152"/>
    </row>
    <row r="122" spans="1:62" s="22" customFormat="1">
      <c r="A122" s="152"/>
    </row>
    <row r="123" spans="1:62">
      <c r="B123" s="22"/>
      <c r="C123" s="22"/>
      <c r="D123" s="22"/>
      <c r="E123" s="22"/>
      <c r="F123" s="22"/>
      <c r="G123" s="22"/>
      <c r="H123" s="22"/>
      <c r="I123" s="22"/>
      <c r="J123" s="22"/>
      <c r="K123" s="22"/>
      <c r="L123" s="22"/>
      <c r="M123" s="22"/>
      <c r="O123" s="22"/>
      <c r="P123" s="22"/>
      <c r="Q123" s="22"/>
      <c r="R123" s="22"/>
      <c r="S123" s="22"/>
      <c r="T123" s="22"/>
      <c r="U123" s="22"/>
      <c r="V123" s="22"/>
      <c r="W123" s="22"/>
      <c r="X123" s="22"/>
      <c r="BI123" s="22"/>
      <c r="BJ123" s="22"/>
    </row>
    <row r="124" spans="1:62">
      <c r="B124" s="22"/>
      <c r="C124" s="22"/>
      <c r="D124" s="22"/>
      <c r="E124" s="22"/>
      <c r="F124" s="22"/>
      <c r="G124" s="22"/>
      <c r="H124" s="22"/>
      <c r="I124" s="22"/>
      <c r="J124" s="22"/>
      <c r="K124" s="22"/>
      <c r="L124" s="22"/>
      <c r="M124" s="22"/>
      <c r="O124" s="22"/>
      <c r="P124" s="22"/>
      <c r="Q124" s="22"/>
      <c r="R124" s="22"/>
      <c r="S124" s="22"/>
      <c r="T124" s="22"/>
      <c r="U124" s="22"/>
      <c r="V124" s="22"/>
      <c r="W124" s="22"/>
      <c r="X124" s="22"/>
      <c r="BI124" s="22"/>
      <c r="BJ124" s="22"/>
    </row>
    <row r="125" spans="1:62">
      <c r="B125" s="22"/>
      <c r="C125" s="22"/>
      <c r="D125" s="22"/>
      <c r="E125" s="22"/>
      <c r="F125" s="22"/>
      <c r="G125" s="22"/>
      <c r="H125" s="22"/>
      <c r="I125" s="22"/>
      <c r="J125" s="22"/>
      <c r="K125" s="22"/>
      <c r="L125" s="22"/>
      <c r="M125" s="22"/>
      <c r="O125" s="22"/>
      <c r="P125" s="22"/>
      <c r="Q125" s="22"/>
      <c r="R125" s="22"/>
      <c r="S125" s="22"/>
      <c r="T125" s="22"/>
      <c r="U125" s="22"/>
      <c r="V125" s="22"/>
      <c r="W125" s="22"/>
      <c r="X125" s="22"/>
      <c r="BI125" s="22"/>
      <c r="BJ125" s="22"/>
    </row>
    <row r="126" spans="1:62">
      <c r="B126" s="22"/>
      <c r="C126" s="22"/>
      <c r="D126" s="22"/>
      <c r="E126" s="22"/>
      <c r="F126" s="22"/>
      <c r="G126" s="22"/>
      <c r="H126" s="22"/>
      <c r="I126" s="22"/>
      <c r="J126" s="22"/>
      <c r="K126" s="22"/>
      <c r="L126" s="22"/>
      <c r="M126" s="22"/>
      <c r="O126" s="22"/>
      <c r="P126" s="22"/>
      <c r="Q126" s="22"/>
      <c r="R126" s="22"/>
      <c r="S126" s="22"/>
      <c r="T126" s="22"/>
      <c r="U126" s="22"/>
      <c r="V126" s="22"/>
      <c r="W126" s="22"/>
      <c r="X126" s="22"/>
      <c r="BI126" s="22"/>
      <c r="BJ126" s="22"/>
    </row>
    <row r="127" spans="1:62">
      <c r="C127" s="22"/>
      <c r="D127" s="22"/>
      <c r="E127" s="22"/>
      <c r="F127" s="22"/>
    </row>
    <row r="128" spans="1:62">
      <c r="C128" s="22"/>
      <c r="D128" s="22"/>
      <c r="E128" s="22"/>
      <c r="F128" s="22"/>
    </row>
    <row r="129" spans="3:6">
      <c r="C129" s="22"/>
      <c r="D129" s="22"/>
      <c r="E129" s="22"/>
      <c r="F129" s="22"/>
    </row>
  </sheetData>
  <sheetProtection password="C07B" sheet="1" objects="1" scenarios="1"/>
  <sortState ref="F68:F101">
    <sortCondition ref="F68:F101"/>
  </sortState>
  <mergeCells count="17">
    <mergeCell ref="D8:F8"/>
    <mergeCell ref="D3:F3"/>
    <mergeCell ref="D4:F4"/>
    <mergeCell ref="D5:F5"/>
    <mergeCell ref="D6:F6"/>
    <mergeCell ref="D7:F7"/>
    <mergeCell ref="K66:M66"/>
    <mergeCell ref="C13:F13"/>
    <mergeCell ref="C17:D17"/>
    <mergeCell ref="C18:D18"/>
    <mergeCell ref="C19:D19"/>
    <mergeCell ref="C20:D20"/>
    <mergeCell ref="C21:D21"/>
    <mergeCell ref="C22:D22"/>
    <mergeCell ref="C23:D23"/>
    <mergeCell ref="C24:D24"/>
    <mergeCell ref="C25:D25"/>
  </mergeCells>
  <conditionalFormatting sqref="F17:F25">
    <cfRule type="cellIs" dxfId="306" priority="11" operator="notEqual">
      <formula>"OK"</formula>
    </cfRule>
    <cfRule type="cellIs" dxfId="305" priority="12" operator="equal">
      <formula>"OK"</formula>
    </cfRule>
  </conditionalFormatting>
  <dataValidations count="6">
    <dataValidation type="list" allowBlank="1" showInputMessage="1" showErrorMessage="1" sqref="G10:H10">
      <formula1>$A$38:$A$42</formula1>
    </dataValidation>
    <dataValidation type="list" showInputMessage="1" showErrorMessage="1" errorTitle="FECHAS" error="Por favor, elegir una fecha correcta. " sqref="D6:F6">
      <formula1>$BG$6:$BG$37</formula1>
    </dataValidation>
    <dataValidation type="list" showInputMessage="1" showErrorMessage="1" errorTitle="FECHAS" error="Por favor, elegir una fecha valida" sqref="D7:F7">
      <formula1>$BG$6:$BG$37</formula1>
    </dataValidation>
    <dataValidation type="list" showInputMessage="1" showErrorMessage="1" errorTitle="FECHAS" error="Por favor, elegir una fecha valida" sqref="D8:F8">
      <formula1>$BL$6:$BL$11</formula1>
    </dataValidation>
    <dataValidation type="list" showInputMessage="1" showErrorMessage="1" errorTitle="GRUPO" error="Por favor, Elegir un grupo valido" sqref="C13:F13">
      <formula1>$BI$6:$BI$18</formula1>
    </dataValidation>
    <dataValidation type="list" allowBlank="1" showInputMessage="1" showErrorMessage="1" errorTitle="ENTIDAD" error="Por favor, Elegir una Entidad valida" sqref="D5:F5">
      <formula1>$BA$6:$BA$77</formula1>
    </dataValidation>
  </dataValidations>
  <hyperlinks>
    <hyperlink ref="C17" location="'900000'!A2" display="900000"/>
    <hyperlink ref="C18" location="'900001'!A2" display="900001"/>
    <hyperlink ref="C19" location="'900002'!A2" display="900002"/>
    <hyperlink ref="C20" location="'900003'!A2" display="900003"/>
    <hyperlink ref="C21" location="'900004'!A2" display="900004"/>
    <hyperlink ref="C22" location="'900005'!A2" display="900005"/>
    <hyperlink ref="C24" location="'900007'!A2" display="900007"/>
    <hyperlink ref="C25" location="'900008'!A2" display="900008"/>
    <hyperlink ref="C23" location="'900006'!A2" display="900006"/>
  </hyperlinks>
  <pageMargins left="0.7" right="0.7" top="0.75" bottom="0.75" header="0.3" footer="0.3"/>
  <pageSetup orientation="portrait" r:id="rId1"/>
  <customProperties>
    <customPr name="CofConfiguration" r:id="rId2"/>
    <customPr name="CofWorksheetType" r:id="rId3"/>
    <customPr name="EpmWorksheetKeyString_GUID" r:id="rId4"/>
    <customPr name="FPMExcelClientCellBasedFunctionStatus" r:id="rId5"/>
    <customPr name="FPMExcelClientRefreshTime" r:id="rId6"/>
  </customProperties>
  <drawing r:id="rId7"/>
  <legacyDrawing r:id="rId8"/>
  <controls>
    <mc:AlternateContent xmlns:mc="http://schemas.openxmlformats.org/markup-compatibility/2006">
      <mc:Choice Requires="x14">
        <control shapeId="139265" r:id="rId9" name="FPMExcelClientSheetOptionstb1">
          <controlPr defaultSize="0" autoLine="0" r:id="rId10">
            <anchor moveWithCells="1" sizeWithCells="1">
              <from>
                <xdr:col>0</xdr:col>
                <xdr:colOff>0</xdr:colOff>
                <xdr:row>0</xdr:row>
                <xdr:rowOff>0</xdr:rowOff>
              </from>
              <to>
                <xdr:col>0</xdr:col>
                <xdr:colOff>0</xdr:colOff>
                <xdr:row>0</xdr:row>
                <xdr:rowOff>0</xdr:rowOff>
              </to>
            </anchor>
          </controlPr>
        </control>
      </mc:Choice>
      <mc:Fallback>
        <control shapeId="139265" r:id="rId9" name="FPMExcelClientSheetOptionstb1"/>
      </mc:Fallback>
    </mc:AlternateContent>
    <mc:AlternateContent xmlns:mc="http://schemas.openxmlformats.org/markup-compatibility/2006">
      <mc:Choice Requires="x14">
        <control shapeId="139267" r:id="rId11" name="Button 3">
          <controlPr defaultSize="0" print="0" autoFill="0" autoPict="0" macro="[0]!CONSULTAR_INFORMACION">
            <anchor moveWithCells="1" sizeWithCells="1">
              <from>
                <xdr:col>6</xdr:col>
                <xdr:colOff>180975</xdr:colOff>
                <xdr:row>1</xdr:row>
                <xdr:rowOff>219075</xdr:rowOff>
              </from>
              <to>
                <xdr:col>11</xdr:col>
                <xdr:colOff>219075</xdr:colOff>
                <xdr:row>2</xdr:row>
                <xdr:rowOff>171450</xdr:rowOff>
              </to>
            </anchor>
          </controlPr>
        </control>
      </mc:Choice>
    </mc:AlternateContent>
    <mc:AlternateContent xmlns:mc="http://schemas.openxmlformats.org/markup-compatibility/2006">
      <mc:Choice Requires="x14">
        <control shapeId="139268" r:id="rId12" name="Button 4">
          <controlPr defaultSize="0" print="0" autoFill="0" autoPict="0" macro="[0]!DILIGENCIAR_INFORMACION">
            <anchor moveWithCells="1" sizeWithCells="1">
              <from>
                <xdr:col>6</xdr:col>
                <xdr:colOff>180975</xdr:colOff>
                <xdr:row>3</xdr:row>
                <xdr:rowOff>57150</xdr:rowOff>
              </from>
              <to>
                <xdr:col>11</xdr:col>
                <xdr:colOff>200025</xdr:colOff>
                <xdr:row>4</xdr:row>
                <xdr:rowOff>76200</xdr:rowOff>
              </to>
            </anchor>
          </controlPr>
        </control>
      </mc:Choice>
    </mc:AlternateContent>
    <mc:AlternateContent xmlns:mc="http://schemas.openxmlformats.org/markup-compatibility/2006">
      <mc:Choice Requires="x14">
        <control shapeId="139270" r:id="rId13" name="Button 6">
          <controlPr defaultSize="0" print="0" autoFill="0" autoPict="0" macro="[0]!GENERAR_COMPROBANTE">
            <anchor moveWithCells="1" sizeWithCells="1">
              <from>
                <xdr:col>6</xdr:col>
                <xdr:colOff>190500</xdr:colOff>
                <xdr:row>8</xdr:row>
                <xdr:rowOff>161925</xdr:rowOff>
              </from>
              <to>
                <xdr:col>11</xdr:col>
                <xdr:colOff>209550</xdr:colOff>
                <xdr:row>10</xdr:row>
                <xdr:rowOff>104775</xdr:rowOff>
              </to>
            </anchor>
          </controlPr>
        </control>
      </mc:Choice>
    </mc:AlternateContent>
  </controls>
  <tableParts count="5">
    <tablePart r:id="rId14"/>
    <tablePart r:id="rId15"/>
    <tablePart r:id="rId16"/>
    <tablePart r:id="rId17"/>
    <tablePart r:id="rId1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BK228"/>
  <sheetViews>
    <sheetView showGridLines="0" topLeftCell="B1" zoomScaleNormal="100" workbookViewId="0">
      <selection activeCell="C12" sqref="C12"/>
    </sheetView>
  </sheetViews>
  <sheetFormatPr baseColWidth="10" defaultColWidth="11.42578125" defaultRowHeight="14.25" outlineLevelRow="1"/>
  <cols>
    <col min="1" max="1" width="17" style="168" hidden="1" customWidth="1"/>
    <col min="2" max="2" width="14" style="191" customWidth="1"/>
    <col min="3" max="3" width="55.140625" style="133" customWidth="1"/>
    <col min="4" max="4" width="18" style="133" customWidth="1"/>
    <col min="5" max="8" width="11.7109375" style="133" customWidth="1"/>
    <col min="9" max="9" width="20" style="133" customWidth="1"/>
    <col min="10" max="10" width="11.5703125" style="133" customWidth="1"/>
    <col min="11" max="11" width="13.7109375" style="133" customWidth="1"/>
    <col min="12" max="12" width="9.5703125" style="133" customWidth="1"/>
    <col min="13" max="13" width="10.140625" style="133" customWidth="1"/>
    <col min="14" max="14" width="28.28515625" style="133" customWidth="1"/>
    <col min="15" max="18" width="18.7109375" style="133" customWidth="1"/>
    <col min="19" max="19" width="20.28515625" style="133" customWidth="1"/>
    <col min="20" max="20" width="22" style="133" hidden="1" customWidth="1"/>
    <col min="21" max="21" width="18.7109375" style="133" customWidth="1"/>
    <col min="22" max="22" width="20.85546875" style="133" customWidth="1"/>
    <col min="23" max="23" width="18.7109375" style="133" customWidth="1"/>
    <col min="24" max="24" width="1.7109375" style="133" customWidth="1"/>
    <col min="25" max="27" width="20.7109375" style="133" customWidth="1"/>
    <col min="28" max="28" width="27.42578125" style="133" customWidth="1"/>
    <col min="29" max="29" width="24.85546875" style="133" customWidth="1"/>
    <col min="30" max="30" width="23.7109375" style="133" customWidth="1"/>
    <col min="31" max="31" width="2.42578125" style="133" customWidth="1"/>
    <col min="32" max="36" width="20.7109375" style="133" customWidth="1"/>
    <col min="37" max="37" width="60.7109375" style="133" customWidth="1"/>
    <col min="38" max="38" width="6.85546875" style="133" customWidth="1"/>
    <col min="39" max="39" width="15" style="160" customWidth="1"/>
    <col min="40" max="40" width="22.42578125" style="414" hidden="1" customWidth="1"/>
    <col min="41" max="41" width="30.7109375" style="414" hidden="1" customWidth="1"/>
    <col min="42" max="42" width="11.42578125" style="414" hidden="1" customWidth="1"/>
    <col min="43" max="43" width="16.5703125" style="414" hidden="1" customWidth="1"/>
    <col min="44" max="50" width="5.7109375" style="414" hidden="1" customWidth="1"/>
    <col min="51" max="51" width="11.28515625" style="414" hidden="1" customWidth="1"/>
    <col min="52" max="58" width="5.7109375" style="414" hidden="1" customWidth="1"/>
    <col min="59" max="59" width="18.7109375" style="414" hidden="1" customWidth="1"/>
    <col min="60" max="60" width="18.7109375" style="181" customWidth="1"/>
    <col min="61" max="61" width="18.7109375" style="347" hidden="1" customWidth="1"/>
    <col min="62" max="62" width="18.7109375" style="160" customWidth="1"/>
    <col min="63" max="75" width="18.7109375" style="133" customWidth="1"/>
    <col min="76" max="16384" width="11.42578125" style="133"/>
  </cols>
  <sheetData>
    <row r="1" spans="1:62" s="193" customFormat="1" ht="101.25" customHeight="1">
      <c r="A1" s="188" t="s">
        <v>25</v>
      </c>
      <c r="B1" s="503" t="s">
        <v>651</v>
      </c>
      <c r="C1" s="190"/>
      <c r="D1" s="190"/>
      <c r="E1" s="190"/>
      <c r="F1" s="190"/>
      <c r="G1" s="190"/>
      <c r="H1" s="190"/>
      <c r="I1" s="190"/>
      <c r="J1" s="187"/>
      <c r="K1" s="187"/>
      <c r="L1" s="187"/>
      <c r="M1" s="187"/>
      <c r="N1" s="187"/>
      <c r="O1" s="187"/>
      <c r="P1" s="187"/>
      <c r="Q1" s="187"/>
      <c r="R1" s="187"/>
      <c r="S1" s="187"/>
      <c r="T1" s="187"/>
      <c r="U1" s="187"/>
      <c r="V1" s="187"/>
      <c r="W1" s="187"/>
      <c r="X1" s="187"/>
      <c r="Y1" s="187"/>
      <c r="Z1" s="187"/>
      <c r="AA1" s="187"/>
      <c r="AB1" s="187"/>
      <c r="AC1" s="187"/>
      <c r="AD1" s="187"/>
      <c r="AE1" s="187"/>
      <c r="AF1" s="187"/>
      <c r="AG1" s="187"/>
      <c r="AH1" s="187"/>
      <c r="AI1" s="187"/>
      <c r="AJ1" s="187"/>
      <c r="AK1" s="187"/>
      <c r="AL1" s="187"/>
      <c r="AM1" s="187"/>
      <c r="AN1" s="412"/>
      <c r="AO1" s="412"/>
      <c r="AP1" s="412"/>
      <c r="AQ1" s="412"/>
      <c r="AR1" s="412"/>
      <c r="AS1" s="412"/>
      <c r="AT1" s="412"/>
      <c r="AU1" s="412"/>
      <c r="AV1" s="412"/>
      <c r="AW1" s="412"/>
      <c r="AX1" s="412"/>
      <c r="AY1" s="412"/>
      <c r="AZ1" s="412"/>
      <c r="BA1" s="412"/>
      <c r="BB1" s="412"/>
      <c r="BC1" s="412"/>
      <c r="BD1" s="412"/>
      <c r="BE1" s="412"/>
      <c r="BF1" s="412"/>
      <c r="BG1" s="413"/>
      <c r="BH1" s="192"/>
      <c r="BI1" s="349"/>
      <c r="BJ1" s="191"/>
    </row>
    <row r="2" spans="1:62">
      <c r="A2" s="168" t="str">
        <f>IF(BI2&gt;=1,"Error","Ok")</f>
        <v>Ok</v>
      </c>
      <c r="B2" s="504"/>
      <c r="C2" s="169"/>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K2" s="170"/>
      <c r="BH2" s="166"/>
      <c r="BI2" s="347">
        <f>SUM(BI3:BI137)</f>
        <v>0</v>
      </c>
    </row>
    <row r="3" spans="1:62">
      <c r="A3" s="174">
        <f>IF(A2="Error",0,1)</f>
        <v>1</v>
      </c>
      <c r="B3" s="228" t="str">
        <f>tblParam[[#This Row],[FILTROS]]</f>
        <v>ENTIDAD</v>
      </c>
      <c r="C3" s="229"/>
      <c r="D3" s="165"/>
      <c r="F3" s="165"/>
      <c r="G3" s="165"/>
      <c r="H3" s="165"/>
      <c r="I3" s="165"/>
      <c r="J3" s="165"/>
      <c r="K3" s="165"/>
      <c r="L3" s="165"/>
      <c r="M3" s="165"/>
      <c r="N3" s="165"/>
      <c r="O3" s="165"/>
      <c r="P3" s="165"/>
      <c r="Q3" s="165"/>
      <c r="R3" s="165"/>
      <c r="S3" s="165"/>
      <c r="T3" s="165"/>
      <c r="U3" s="165"/>
      <c r="V3" s="165"/>
      <c r="W3" s="165"/>
      <c r="X3" s="165"/>
      <c r="Y3" s="165"/>
      <c r="Z3" s="165"/>
      <c r="AA3" s="165"/>
      <c r="AB3" s="165"/>
      <c r="AC3" s="165"/>
      <c r="AD3" s="165"/>
      <c r="AE3" s="165"/>
      <c r="AF3" s="165"/>
      <c r="AG3" s="165"/>
      <c r="AH3" s="165"/>
      <c r="AI3" s="165"/>
      <c r="AK3" s="170"/>
      <c r="BH3" s="166"/>
    </row>
    <row r="4" spans="1:62">
      <c r="A4" s="174"/>
      <c r="B4" s="228" t="str">
        <f>tblParam[[#This Row],[FILTROS]]</f>
        <v>PERIODO1</v>
      </c>
      <c r="C4" s="229"/>
      <c r="G4" s="165"/>
      <c r="H4" s="165"/>
      <c r="AK4" s="170"/>
      <c r="BH4" s="166"/>
    </row>
    <row r="5" spans="1:62">
      <c r="A5" s="174"/>
      <c r="B5" s="228" t="str">
        <f>tblParam[[#This Row],[FILTROS]]</f>
        <v>PERIODO2</v>
      </c>
      <c r="C5" s="229"/>
      <c r="G5" s="165"/>
      <c r="H5" s="165"/>
      <c r="AK5" s="170"/>
      <c r="BH5" s="166"/>
    </row>
    <row r="6" spans="1:62" hidden="1">
      <c r="A6" s="174"/>
      <c r="B6" s="228" t="str">
        <f>tblParam[[#This Row],[FILTROS]]</f>
        <v>VERSION</v>
      </c>
      <c r="C6" s="229">
        <f>tblParam[[#This Row],[VALOR]]</f>
        <v>0</v>
      </c>
      <c r="E6" s="186" t="e">
        <f ca="1">_xll.EPMMemberProperty("ANEXO_NOTAS_XBRL", C3, "CURRENCY")</f>
        <v>#NAME?</v>
      </c>
      <c r="G6" s="165"/>
      <c r="H6" s="165"/>
      <c r="AK6" s="170"/>
      <c r="BH6" s="166"/>
    </row>
    <row r="7" spans="1:62" ht="15" hidden="1" outlineLevel="1" thickBot="1">
      <c r="A7" s="174"/>
      <c r="B7" s="228" t="str">
        <f>tblParam[[#This Row],[FILTROS]]</f>
        <v>GRUPO</v>
      </c>
      <c r="C7" s="229" t="str">
        <f>Resultados!$C$13</f>
        <v>GRUPO EMPRESARIAL INVERNAC</v>
      </c>
      <c r="AD7" s="172"/>
      <c r="AK7" s="170"/>
      <c r="BH7" s="166"/>
    </row>
    <row r="8" spans="1:62" outlineLevel="1">
      <c r="A8" s="174"/>
      <c r="B8" s="228" t="e">
        <f>CONCATENATE("TRM A LA FECHA DE REPORTE: ",IF(INDEX(ENTIDADES[#All],MATCH($C$3,ENTIDADES[[#All],[Concatenacion]],0),3)&lt;&gt;"COP",INDEX(BPC_TASAS[#All],MATCH(INDEX(ENTIDADES[#All],MATCH($C$3,ENTIDADES[[#All],[Concatenacion]],0),3)&amp;"_"&amp;Resultados!$K$4,BPC_TASAS[[#All],[Concatenacion]],0),3),INDEX(BPC_TASAS[#All],MATCH("USD"&amp;"_"&amp;Resultados!$K$4,BPC_TASAS[[#All],[Concatenacion]],0),3)))</f>
        <v>#N/A</v>
      </c>
      <c r="C8" s="599"/>
      <c r="AD8" s="170"/>
      <c r="AK8" s="170"/>
      <c r="BH8" s="166"/>
    </row>
    <row r="9" spans="1:62" outlineLevel="1">
      <c r="A9" s="174"/>
      <c r="B9" s="228" t="e">
        <f>CONCATENATE("MONEDA DE PRESENTACION: ",INDEX(ENTIDADES[#All],MATCH($C$3,ENTIDADES[[#All],[Concatenacion]],0),2),IF(INDEX(ENTIDADES[#All],MATCH($C$3,ENTIDADES[[#All],[Concatenacion]],0),3) = "COP"," (Sin decimales)"," (Con decimales)"))</f>
        <v>#N/A</v>
      </c>
      <c r="C9" s="599"/>
      <c r="AD9" s="170"/>
      <c r="AK9" s="170"/>
      <c r="BH9" s="166"/>
    </row>
    <row r="10" spans="1:62" ht="14.25" customHeight="1" outlineLevel="1">
      <c r="A10" s="174"/>
      <c r="B10" s="708" t="s">
        <v>109</v>
      </c>
      <c r="C10" s="720" t="s">
        <v>110</v>
      </c>
      <c r="D10" s="709" t="s">
        <v>97</v>
      </c>
      <c r="E10" s="710"/>
      <c r="F10" s="709" t="s">
        <v>98</v>
      </c>
      <c r="G10" s="719"/>
      <c r="H10" s="719"/>
      <c r="I10" s="710"/>
      <c r="J10" s="755" t="s">
        <v>99</v>
      </c>
      <c r="K10" s="757"/>
      <c r="L10" s="755" t="s">
        <v>100</v>
      </c>
      <c r="M10" s="757"/>
      <c r="N10" s="715" t="s">
        <v>101</v>
      </c>
      <c r="O10" s="715" t="s">
        <v>111</v>
      </c>
      <c r="P10" s="717" t="s">
        <v>102</v>
      </c>
      <c r="Q10" s="717" t="s">
        <v>103</v>
      </c>
      <c r="R10" s="717" t="s">
        <v>104</v>
      </c>
      <c r="S10" s="715" t="s">
        <v>112</v>
      </c>
      <c r="U10" s="755" t="s">
        <v>105</v>
      </c>
      <c r="V10" s="756"/>
      <c r="W10" s="757"/>
      <c r="X10" s="165"/>
      <c r="Y10" s="755" t="s">
        <v>113</v>
      </c>
      <c r="Z10" s="756"/>
      <c r="AA10" s="757"/>
      <c r="AK10" s="170"/>
      <c r="BH10" s="166"/>
    </row>
    <row r="11" spans="1:62" ht="38.25" outlineLevel="1">
      <c r="A11" s="174"/>
      <c r="B11" s="708"/>
      <c r="C11" s="721"/>
      <c r="D11" s="39" t="s">
        <v>114</v>
      </c>
      <c r="E11" s="39" t="s">
        <v>115</v>
      </c>
      <c r="F11" s="39" t="s">
        <v>116</v>
      </c>
      <c r="G11" s="40" t="s">
        <v>117</v>
      </c>
      <c r="H11" s="41" t="s">
        <v>118</v>
      </c>
      <c r="I11" s="41" t="s">
        <v>119</v>
      </c>
      <c r="J11" s="40" t="s">
        <v>50</v>
      </c>
      <c r="K11" s="40" t="s">
        <v>2</v>
      </c>
      <c r="L11" s="40" t="s">
        <v>120</v>
      </c>
      <c r="M11" s="40" t="s">
        <v>121</v>
      </c>
      <c r="N11" s="716"/>
      <c r="O11" s="716"/>
      <c r="P11" s="718"/>
      <c r="Q11" s="718"/>
      <c r="R11" s="718"/>
      <c r="S11" s="716"/>
      <c r="U11" s="39" t="s">
        <v>122</v>
      </c>
      <c r="V11" s="39" t="s">
        <v>123</v>
      </c>
      <c r="W11" s="39" t="s">
        <v>124</v>
      </c>
      <c r="X11" s="165"/>
      <c r="Y11" s="39" t="s">
        <v>125</v>
      </c>
      <c r="Z11" s="39" t="s">
        <v>126</v>
      </c>
      <c r="AA11" s="39" t="s">
        <v>40</v>
      </c>
      <c r="AK11" s="170"/>
      <c r="BH11" s="166"/>
    </row>
    <row r="12" spans="1:62" outlineLevel="1">
      <c r="A12" s="174"/>
      <c r="B12" s="708"/>
      <c r="C12" s="380" t="s">
        <v>107</v>
      </c>
      <c r="D12" s="42" t="s">
        <v>50</v>
      </c>
      <c r="E12" s="42"/>
      <c r="F12" s="42"/>
      <c r="G12" s="42" t="s">
        <v>2</v>
      </c>
      <c r="H12" s="42" t="s">
        <v>127</v>
      </c>
      <c r="I12" s="43">
        <v>10000000</v>
      </c>
      <c r="J12" s="42"/>
      <c r="K12" s="42" t="s">
        <v>52</v>
      </c>
      <c r="L12" s="42"/>
      <c r="M12" s="42" t="s">
        <v>2</v>
      </c>
      <c r="N12" s="44" t="s">
        <v>128</v>
      </c>
      <c r="O12" s="45">
        <v>7.8E-2</v>
      </c>
      <c r="P12" s="42" t="s">
        <v>106</v>
      </c>
      <c r="Q12" s="46">
        <v>42641</v>
      </c>
      <c r="R12" s="47">
        <v>43006</v>
      </c>
      <c r="S12" s="48">
        <f>+I12*2074.4</f>
        <v>20744000000</v>
      </c>
      <c r="U12" s="48">
        <v>32497500000</v>
      </c>
      <c r="V12" s="48"/>
      <c r="W12" s="49">
        <f>+U12+V12</f>
        <v>32497500000</v>
      </c>
      <c r="X12" s="165"/>
      <c r="Y12" s="48">
        <v>306536918.19999999</v>
      </c>
      <c r="Z12" s="48">
        <v>308680845.44999999</v>
      </c>
      <c r="AA12" s="49">
        <f>+Y12-Z12</f>
        <v>-2143927.25</v>
      </c>
      <c r="AK12" s="170"/>
      <c r="BH12" s="166"/>
    </row>
    <row r="13" spans="1:62" outlineLevel="1">
      <c r="A13" s="174"/>
      <c r="B13" s="708"/>
      <c r="C13" s="380" t="s">
        <v>129</v>
      </c>
      <c r="D13" s="42"/>
      <c r="E13" s="42" t="s">
        <v>2</v>
      </c>
      <c r="F13" s="42"/>
      <c r="G13" s="42" t="s">
        <v>2</v>
      </c>
      <c r="H13" s="42" t="s">
        <v>130</v>
      </c>
      <c r="I13" s="43">
        <v>5000000</v>
      </c>
      <c r="J13" s="42" t="s">
        <v>52</v>
      </c>
      <c r="K13" s="42"/>
      <c r="L13" s="42" t="s">
        <v>50</v>
      </c>
      <c r="M13" s="42"/>
      <c r="N13" s="44" t="s">
        <v>131</v>
      </c>
      <c r="O13" s="45">
        <f>((1+((7.05%+2.5%)/12))^12)-1</f>
        <v>9.9793000000000007E-2</v>
      </c>
      <c r="P13" s="42" t="s">
        <v>132</v>
      </c>
      <c r="Q13" s="46">
        <v>42004</v>
      </c>
      <c r="R13" s="47">
        <v>43830</v>
      </c>
      <c r="S13" s="48">
        <f>+I13*1.3182*1768.23</f>
        <v>11654403930</v>
      </c>
      <c r="U13" s="48"/>
      <c r="V13" s="48">
        <v>17651017125</v>
      </c>
      <c r="W13" s="49">
        <f>+U13+V13</f>
        <v>17651017125</v>
      </c>
      <c r="X13" s="165"/>
      <c r="Y13" s="48">
        <v>70746029.760000005</v>
      </c>
      <c r="Z13" s="48">
        <v>71240892.730000004</v>
      </c>
      <c r="AA13" s="49">
        <f>+Y13-Z13</f>
        <v>-494862.97</v>
      </c>
      <c r="AK13" s="170"/>
      <c r="BH13" s="166"/>
    </row>
    <row r="14" spans="1:62" outlineLevel="1">
      <c r="A14" s="174"/>
      <c r="B14" s="708"/>
      <c r="C14" s="50" t="s">
        <v>133</v>
      </c>
      <c r="D14" s="51" t="s">
        <v>50</v>
      </c>
      <c r="E14" s="50"/>
      <c r="F14" s="51" t="s">
        <v>50</v>
      </c>
      <c r="G14" s="50"/>
      <c r="H14" s="50"/>
      <c r="I14" s="50"/>
      <c r="J14" s="50"/>
      <c r="K14" s="51" t="s">
        <v>52</v>
      </c>
      <c r="L14" s="50"/>
      <c r="M14" s="51" t="s">
        <v>2</v>
      </c>
      <c r="N14" s="52" t="s">
        <v>134</v>
      </c>
      <c r="O14" s="53">
        <v>6.5000000000000002E-2</v>
      </c>
      <c r="P14" s="51" t="s">
        <v>135</v>
      </c>
      <c r="Q14" s="46">
        <v>42369</v>
      </c>
      <c r="R14" s="46">
        <v>44196</v>
      </c>
      <c r="S14" s="48">
        <v>50000000000</v>
      </c>
      <c r="U14" s="48">
        <v>10000000000</v>
      </c>
      <c r="V14" s="48">
        <v>30000000000</v>
      </c>
      <c r="W14" s="49">
        <f>+U14+V14</f>
        <v>40000000000</v>
      </c>
      <c r="X14" s="165"/>
      <c r="Y14" s="48">
        <v>114380733.56999999</v>
      </c>
      <c r="Z14" s="48">
        <v>115185989.44</v>
      </c>
      <c r="AA14" s="49">
        <f>+Y14-Z14</f>
        <v>-805255.87</v>
      </c>
      <c r="AF14" s="348"/>
      <c r="BH14" s="166"/>
    </row>
    <row r="15" spans="1:62" outlineLevel="1">
      <c r="A15" s="174"/>
      <c r="B15" s="708"/>
      <c r="C15" s="381" t="s">
        <v>136</v>
      </c>
      <c r="D15" s="54"/>
      <c r="E15" s="55"/>
      <c r="F15" s="54"/>
      <c r="G15" s="55"/>
      <c r="H15" s="55"/>
      <c r="I15" s="55"/>
      <c r="J15" s="55"/>
      <c r="K15" s="54"/>
      <c r="L15" s="55"/>
      <c r="M15" s="54"/>
      <c r="N15" s="56"/>
      <c r="O15" s="56"/>
      <c r="P15" s="54"/>
      <c r="Q15" s="54"/>
      <c r="R15" s="57"/>
      <c r="S15" s="58">
        <f>SUM(S12:S14)</f>
        <v>82398403930</v>
      </c>
      <c r="U15" s="49">
        <f>SUM(U12:U14)</f>
        <v>42497500000</v>
      </c>
      <c r="V15" s="49">
        <f>SUM(V12:V14)</f>
        <v>47651017125</v>
      </c>
      <c r="W15" s="49">
        <f>SUM(W12:W14)</f>
        <v>90148517125</v>
      </c>
      <c r="X15" s="165"/>
      <c r="Y15" s="49">
        <f>SUM(Y12:Y14)</f>
        <v>491663681.52999997</v>
      </c>
      <c r="Z15" s="49">
        <f>SUM(Z12:Z14)</f>
        <v>495107727.62</v>
      </c>
      <c r="AA15" s="49">
        <f>SUM(AA12:AA14)</f>
        <v>-3444046.09</v>
      </c>
      <c r="AC15" s="198" t="s">
        <v>14233</v>
      </c>
      <c r="AD15" s="198" t="s">
        <v>452</v>
      </c>
      <c r="AE15" s="198"/>
      <c r="AF15" s="198" t="s">
        <v>450</v>
      </c>
      <c r="AG15" s="198" t="s">
        <v>368</v>
      </c>
      <c r="AH15" s="198" t="s">
        <v>369</v>
      </c>
      <c r="AI15" s="198" t="s">
        <v>370</v>
      </c>
      <c r="AJ15" s="198" t="s">
        <v>371</v>
      </c>
      <c r="AK15" s="582" t="s">
        <v>450</v>
      </c>
      <c r="BH15" s="166"/>
    </row>
    <row r="16" spans="1:62" outlineLevel="1">
      <c r="A16" s="174"/>
      <c r="B16" s="708"/>
      <c r="C16" s="382" t="s">
        <v>137</v>
      </c>
      <c r="D16" s="59"/>
      <c r="E16" s="60"/>
      <c r="F16" s="59"/>
      <c r="G16" s="60"/>
      <c r="H16" s="60"/>
      <c r="I16" s="60"/>
      <c r="J16" s="60"/>
      <c r="K16" s="59"/>
      <c r="L16" s="60"/>
      <c r="M16" s="60"/>
      <c r="N16" s="60"/>
      <c r="O16" s="60"/>
      <c r="P16" s="59"/>
      <c r="Q16" s="59"/>
      <c r="R16" s="61"/>
      <c r="S16" s="62"/>
      <c r="U16" s="62"/>
      <c r="V16" s="63" t="s">
        <v>138</v>
      </c>
      <c r="W16" s="64">
        <f>+(W12+W14)/W15</f>
        <v>0.80420000000000003</v>
      </c>
      <c r="AC16" s="738" t="s">
        <v>372</v>
      </c>
      <c r="AD16" s="739"/>
      <c r="AE16" s="739"/>
      <c r="AF16" s="739"/>
      <c r="AG16" s="739"/>
      <c r="AH16" s="739"/>
      <c r="AI16" s="739"/>
      <c r="AJ16" s="739"/>
      <c r="AK16" s="739"/>
      <c r="BH16" s="166"/>
    </row>
    <row r="17" spans="1:63" s="175" customFormat="1" ht="15" outlineLevel="1" thickBot="1">
      <c r="A17" s="576"/>
      <c r="B17" s="708"/>
      <c r="C17" s="382" t="s">
        <v>139</v>
      </c>
      <c r="D17" s="59"/>
      <c r="E17" s="60"/>
      <c r="F17" s="59"/>
      <c r="G17" s="60"/>
      <c r="H17" s="60"/>
      <c r="I17" s="60"/>
      <c r="J17" s="60"/>
      <c r="K17" s="59"/>
      <c r="L17" s="60"/>
      <c r="M17" s="60"/>
      <c r="N17" s="60"/>
      <c r="O17" s="60"/>
      <c r="P17" s="59"/>
      <c r="Q17" s="59"/>
      <c r="R17" s="61"/>
      <c r="S17" s="62"/>
      <c r="T17" s="133"/>
      <c r="U17" s="62"/>
      <c r="V17" s="63" t="s">
        <v>138</v>
      </c>
      <c r="W17" s="65">
        <f>+W13/W15</f>
        <v>0.1958</v>
      </c>
      <c r="X17" s="133"/>
      <c r="Y17" s="133"/>
      <c r="Z17" s="133"/>
      <c r="AA17" s="133"/>
      <c r="AC17" s="744" t="s">
        <v>373</v>
      </c>
      <c r="AD17" s="745"/>
      <c r="AE17" s="745"/>
      <c r="AF17" s="745"/>
      <c r="AG17" s="745"/>
      <c r="AH17" s="745"/>
      <c r="AI17" s="745"/>
      <c r="AJ17" s="745"/>
      <c r="AK17" s="746"/>
      <c r="AM17" s="176"/>
      <c r="AN17" s="415"/>
      <c r="AO17" s="415"/>
      <c r="AP17" s="415"/>
      <c r="AQ17" s="415"/>
      <c r="AR17" s="415"/>
      <c r="AS17" s="415"/>
      <c r="AT17" s="415"/>
      <c r="AU17" s="415"/>
      <c r="AV17" s="415"/>
      <c r="AW17" s="415"/>
      <c r="AX17" s="415"/>
      <c r="AY17" s="415"/>
      <c r="AZ17" s="415"/>
      <c r="BA17" s="415"/>
      <c r="BB17" s="415"/>
      <c r="BC17" s="415"/>
      <c r="BD17" s="415"/>
      <c r="BE17" s="415"/>
      <c r="BF17" s="415"/>
      <c r="BG17" s="415"/>
      <c r="BH17" s="177"/>
      <c r="BI17" s="350"/>
      <c r="BJ17" s="176"/>
    </row>
    <row r="18" spans="1:63" ht="15" thickBot="1">
      <c r="A18" s="174"/>
      <c r="B18" s="578"/>
      <c r="C18" s="383" t="s">
        <v>154</v>
      </c>
      <c r="D18" s="112"/>
      <c r="Y18" s="198" t="s">
        <v>965</v>
      </c>
      <c r="Z18" s="198" t="s">
        <v>966</v>
      </c>
      <c r="AA18" s="198"/>
      <c r="AB18" s="198" t="s">
        <v>962</v>
      </c>
      <c r="AC18" s="747" t="s">
        <v>374</v>
      </c>
      <c r="AD18" s="748"/>
      <c r="AE18" s="748"/>
      <c r="AF18" s="748"/>
      <c r="AG18" s="748"/>
      <c r="AH18" s="748"/>
      <c r="AI18" s="748"/>
      <c r="AJ18" s="748"/>
      <c r="AK18" s="749"/>
      <c r="BH18" s="166"/>
    </row>
    <row r="19" spans="1:63" s="160" customFormat="1" ht="15" thickBot="1">
      <c r="A19" s="174"/>
      <c r="B19" s="579"/>
      <c r="C19" s="198" t="s">
        <v>620</v>
      </c>
      <c r="D19" s="198" t="s">
        <v>81</v>
      </c>
      <c r="E19" s="198" t="s">
        <v>82</v>
      </c>
      <c r="F19" s="198" t="s">
        <v>83</v>
      </c>
      <c r="G19" s="198" t="s">
        <v>84</v>
      </c>
      <c r="H19" s="198" t="s">
        <v>85</v>
      </c>
      <c r="I19" s="198" t="s">
        <v>86</v>
      </c>
      <c r="J19" s="198" t="s">
        <v>87</v>
      </c>
      <c r="K19" s="198" t="s">
        <v>88</v>
      </c>
      <c r="L19" s="198" t="s">
        <v>89</v>
      </c>
      <c r="M19" s="198" t="s">
        <v>90</v>
      </c>
      <c r="N19" s="198" t="s">
        <v>91</v>
      </c>
      <c r="O19" s="198" t="s">
        <v>92</v>
      </c>
      <c r="P19" s="198" t="s">
        <v>93</v>
      </c>
      <c r="Q19" s="198" t="s">
        <v>94</v>
      </c>
      <c r="R19" s="198" t="s">
        <v>95</v>
      </c>
      <c r="S19" s="198" t="s">
        <v>96</v>
      </c>
      <c r="T19" s="198"/>
      <c r="U19" s="198" t="s">
        <v>359</v>
      </c>
      <c r="V19" s="198" t="s">
        <v>360</v>
      </c>
      <c r="W19" s="198" t="s">
        <v>1317</v>
      </c>
      <c r="X19" s="198" t="s">
        <v>14231</v>
      </c>
      <c r="Y19" s="738" t="s">
        <v>372</v>
      </c>
      <c r="Z19" s="739"/>
      <c r="AA19" s="739"/>
      <c r="AB19" s="739"/>
      <c r="AC19" s="740" t="s">
        <v>375</v>
      </c>
      <c r="AD19" s="741"/>
      <c r="AE19" s="742"/>
      <c r="AF19" s="741"/>
      <c r="AG19" s="741"/>
      <c r="AH19" s="741"/>
      <c r="AI19" s="741"/>
      <c r="AJ19" s="741"/>
      <c r="AK19" s="743"/>
      <c r="AL19" s="508"/>
      <c r="AM19" s="508"/>
      <c r="AN19" s="414"/>
      <c r="AO19" s="414"/>
      <c r="AP19" s="414"/>
      <c r="AQ19" s="414"/>
      <c r="AR19" s="414"/>
      <c r="AS19" s="414"/>
      <c r="AT19" s="414" t="s">
        <v>344</v>
      </c>
      <c r="AU19" s="414" t="s">
        <v>345</v>
      </c>
      <c r="AV19" s="414" t="s">
        <v>346</v>
      </c>
      <c r="AW19" s="414" t="s">
        <v>347</v>
      </c>
      <c r="AX19" s="414" t="s">
        <v>348</v>
      </c>
      <c r="AY19" s="414" t="s">
        <v>349</v>
      </c>
      <c r="AZ19" s="414" t="s">
        <v>350</v>
      </c>
      <c r="BA19" s="414" t="s">
        <v>351</v>
      </c>
      <c r="BB19" s="414" t="s">
        <v>352</v>
      </c>
      <c r="BC19" s="414" t="s">
        <v>353</v>
      </c>
      <c r="BD19" s="414" t="s">
        <v>354</v>
      </c>
      <c r="BE19" s="414" t="s">
        <v>355</v>
      </c>
      <c r="BF19" s="414" t="s">
        <v>356</v>
      </c>
      <c r="BG19" s="414"/>
      <c r="BH19" s="181"/>
      <c r="BI19" s="347"/>
    </row>
    <row r="20" spans="1:63" ht="15" thickBot="1">
      <c r="A20" s="174"/>
      <c r="B20" s="707" t="s">
        <v>633</v>
      </c>
      <c r="C20" s="731" t="str">
        <f>INDEX(BPC_COLUMNA_NOTA[[#All],[CD_COLUMNA]:[DESCRIPCION_LARGA]],MATCH(C$19,BPC_COLUMNA_NOTA[[#All],[CD_COLUMNA]],0),2)</f>
        <v>Entidad con la que se tiene la obligación</v>
      </c>
      <c r="D20" s="724" t="s">
        <v>97</v>
      </c>
      <c r="E20" s="724"/>
      <c r="F20" s="725" t="s">
        <v>98</v>
      </c>
      <c r="G20" s="726"/>
      <c r="H20" s="726"/>
      <c r="I20" s="727"/>
      <c r="J20" s="724" t="s">
        <v>99</v>
      </c>
      <c r="K20" s="728"/>
      <c r="L20" s="729" t="s">
        <v>100</v>
      </c>
      <c r="M20" s="730"/>
      <c r="N20" s="711" t="str">
        <f>INDEX(BPC_COLUMNA_NOTA[[#All],[CD_COLUMNA]:[DESCRIPCION_LARGA]],MATCH(N$19,BPC_COLUMNA_NOTA[[#All],[CD_COLUMNA]],0),2)</f>
        <v>Tasa de interes nominal</v>
      </c>
      <c r="O20" s="711" t="str">
        <f>INDEX(BPC_COLUMNA_NOTA[[#All],[CD_COLUMNA]:[DESCRIPCION_LARGA]],MATCH(O$19,BPC_COLUMNA_NOTA[[#All],[CD_COLUMNA]],0),2)</f>
        <v>Tasa efectiva anual</v>
      </c>
      <c r="P20" s="711" t="str">
        <f>INDEX(BPC_COLUMNA_NOTA[[#All],[CD_COLUMNA]:[DESCRIPCION_LARGA]],MATCH(P$19,BPC_COLUMNA_NOTA[[#All],[CD_COLUMNA]],0),2)</f>
        <v>Garantia</v>
      </c>
      <c r="Q20" s="711" t="s">
        <v>684</v>
      </c>
      <c r="R20" s="711" t="s">
        <v>685</v>
      </c>
      <c r="S20" s="713" t="str">
        <f>INDEX(BPC_COLUMNA_NOTA[[#All],[CD_COLUMNA]:[DESCRIPCION_LARGA]],MATCH(S$19,BPC_COLUMNA_NOTA[[#All],[CD_COLUMNA]],0),2)</f>
        <v>Monto original de la deuda Pesos Col.</v>
      </c>
      <c r="U20" s="729" t="s">
        <v>105</v>
      </c>
      <c r="V20" s="750"/>
      <c r="W20" s="751"/>
      <c r="X20" s="178"/>
      <c r="Y20" s="752" t="str">
        <f>INDEX(BPC_COLUMNA_NOTA[[#All],[CD_COLUMNA]:[DESCRIPCION_LARGA]],MATCH(X$19,BPC_COLUMNA_NOTA[[#All],[CD_COLUMNA]],0),2)</f>
        <v>Análisis de sensibilidad - Riesgo de tasa de interes</v>
      </c>
      <c r="Z20" s="753"/>
      <c r="AA20" s="754"/>
      <c r="AB20" s="305"/>
      <c r="AC20" s="305"/>
      <c r="AD20" s="682" t="e">
        <f>MID(Resultados!K4,1,4)+1</f>
        <v>#VALUE!</v>
      </c>
      <c r="AE20" s="680"/>
      <c r="AF20" s="305"/>
      <c r="AG20" s="682" t="e">
        <f>MID(Resultados!K4,1,4)+2</f>
        <v>#VALUE!</v>
      </c>
      <c r="AH20" s="682" t="e">
        <f>MID(Resultados!K4,1,4)+3</f>
        <v>#VALUE!</v>
      </c>
      <c r="AI20" s="682" t="e">
        <f>MID(Resultados!K4,1,4)+4</f>
        <v>#VALUE!</v>
      </c>
      <c r="AJ20" s="682" t="e">
        <f>MID(Resultados!K4,1,4)+5</f>
        <v>#VALUE!</v>
      </c>
      <c r="AK20" s="306"/>
      <c r="AL20" s="433"/>
      <c r="AM20" s="433"/>
      <c r="AP20" s="414" t="s">
        <v>357</v>
      </c>
      <c r="AS20" s="414" t="s">
        <v>98</v>
      </c>
      <c r="AW20" s="414" t="s">
        <v>99</v>
      </c>
      <c r="AY20" s="414" t="s">
        <v>100</v>
      </c>
      <c r="BA20" s="414" t="s">
        <v>101</v>
      </c>
      <c r="BB20" s="414" t="s">
        <v>111</v>
      </c>
      <c r="BC20" s="414" t="s">
        <v>102</v>
      </c>
      <c r="BD20" s="414" t="s">
        <v>103</v>
      </c>
      <c r="BE20" s="414" t="s">
        <v>104</v>
      </c>
      <c r="BF20" s="414" t="s">
        <v>112</v>
      </c>
      <c r="BH20" s="166"/>
    </row>
    <row r="21" spans="1:63" ht="43.5" customHeight="1">
      <c r="A21" s="174"/>
      <c r="B21" s="707"/>
      <c r="C21" s="732"/>
      <c r="D21" s="95" t="str">
        <f>INDEX(BPC_COLUMNA_NOTA[[#All],[CD_COLUMNA]:[DESCRIPCION_LARGA]],MATCH(D$19,BPC_COLUMNA_NOTA[[#All],[CD_COLUMNA]],0),2)</f>
        <v>Nacional</v>
      </c>
      <c r="E21" s="95" t="str">
        <f>INDEX(BPC_COLUMNA_NOTA[[#All],[CD_COLUMNA]:[DESCRIPCION_LARGA]],MATCH(E$19,BPC_COLUMNA_NOTA[[#All],[CD_COLUMNA]],0),2)</f>
        <v>Del exterior</v>
      </c>
      <c r="F21" s="95" t="s">
        <v>116</v>
      </c>
      <c r="G21" s="95" t="str">
        <f>INDEX(BPC_COLUMNA_NOTA[[#All],[CD_COLUMNA]:[DESCRIPCION_LARGA]],MATCH(G$19,BPC_COLUMNA_NOTA[[#All],[CD_COLUMNA]],0),2)</f>
        <v>Extranjera</v>
      </c>
      <c r="H21" s="95" t="str">
        <f>INDEX(BPC_COLUMNA_NOTA[[#All],[CD_COLUMNA]:[DESCRIPCION_LARGA]],MATCH(H$19,BPC_COLUMNA_NOTA[[#All],[CD_COLUMNA]],0),2)</f>
        <v>Clase moneda ext.</v>
      </c>
      <c r="I21" s="95" t="str">
        <f>INDEX(BPC_COLUMNA_NOTA[[#All],[CD_COLUMNA]:[DESCRIPCION_LARGA]],MATCH(I$19,BPC_COLUMNA_NOTA[[#All],[CD_COLUMNA]],0),2)</f>
        <v>Monto moneda ext. a la fecha de reporte</v>
      </c>
      <c r="J21" s="95" t="str">
        <f>INDEX(BPC_COLUMNA_NOTA[[#All],[CD_COLUMNA]:[DESCRIPCION_LARGA]],MATCH(J$19,BPC_COLUMNA_NOTA[[#All],[CD_COLUMNA]],0),2)</f>
        <v>Si</v>
      </c>
      <c r="K21" s="95" t="str">
        <f>INDEX(BPC_COLUMNA_NOTA[[#All],[CD_COLUMNA]:[DESCRIPCION_LARGA]],MATCH(K$19,BPC_COLUMNA_NOTA[[#All],[CD_COLUMNA]],0),2)</f>
        <v>No</v>
      </c>
      <c r="L21" s="95" t="str">
        <f>INDEX(BPC_COLUMNA_NOTA[[#All],[CD_COLUMNA]:[DESCRIPCION_LARGA]],MATCH(L$19,BPC_COLUMNA_NOTA[[#All],[CD_COLUMNA]],0),2)</f>
        <v>Fija</v>
      </c>
      <c r="M21" s="95" t="str">
        <f>INDEX(BPC_COLUMNA_NOTA[[#All],[CD_COLUMNA]:[DESCRIPCION_LARGA]],MATCH(M$19,BPC_COLUMNA_NOTA[[#All],[CD_COLUMNA]],0),2)</f>
        <v>Variable</v>
      </c>
      <c r="N21" s="712"/>
      <c r="O21" s="712"/>
      <c r="P21" s="712"/>
      <c r="Q21" s="712"/>
      <c r="R21" s="712"/>
      <c r="S21" s="714"/>
      <c r="T21" s="681"/>
      <c r="U21" s="481" t="str">
        <f>INDEX(BPC_COLUMNA_NOTA[[#All],[CD_COLUMNA]:[DESCRIPCION_LARGA]],MATCH(U$19,BPC_COLUMNA_NOTA[[#All],[CD_COLUMNA]],0),2)</f>
        <v>Porción corriente</v>
      </c>
      <c r="V21" s="481" t="s">
        <v>19618</v>
      </c>
      <c r="W21" s="481" t="str">
        <f>INDEX(BPC_COLUMNA_NOTA[[#All],[CD_COLUMNA]:[DESCRIPCION_LARGA]],MATCH(W$19,BPC_COLUMNA_NOTA[[#All],[CD_COLUMNA]],0),2)</f>
        <v>Total obligación</v>
      </c>
      <c r="X21" s="290"/>
      <c r="Y21" s="481" t="str">
        <f>INDEX(BPC_COLUMNA_NOTA[[#All],[CD_COLUMNA]:[DESCRIPCION_LARGA]],MATCH(Y$18,BPC_COLUMNA_NOTA[[#All],[CD_COLUMNA]],0),2)</f>
        <v>Efecto en los gastos de subir 1% a la tasa de interes</v>
      </c>
      <c r="Z21" s="481" t="str">
        <f>INDEX(BPC_COLUMNA_NOTA[[#All],[CD_COLUMNA]:[DESCRIPCION_LARGA]],MATCH(Z$18,BPC_COLUMNA_NOTA[[#All],[CD_COLUMNA]],0),2)</f>
        <v>Efecto en los gastos de bajar 1% a la tasa de interes</v>
      </c>
      <c r="AA21" s="481" t="s">
        <v>40</v>
      </c>
      <c r="AB21" s="481" t="str">
        <f>INDEX(BPC_COLUMNA_NOTA[[#All],[CD_COLUMNA]:[DESCRIPCION_LARGA]],MATCH(AB$18,BPC_COLUMNA_NOTA[[#All],[CD_COLUMNA]],0),2)</f>
        <v>Valor razonable de la deuda</v>
      </c>
      <c r="AC21" s="481" t="str">
        <f>INDEX(BPC_COLUMNA_NOTA[[#All],[CD_COLUMNA]:[DESCRIPCION_LARGA]],MATCH(AC$15,BPC_COLUMNA_NOTA[[#All],[CD_COLUMNA]],0),2)</f>
        <v>Flujos contractuales de las obligaciones a corto plazo</v>
      </c>
      <c r="AD21" s="481" t="str">
        <f>INDEX(BPC_COLUMNA_NOTA[[#All],[CD_COLUMNA]:[DESCRIPCION_LARGA]],MATCH(AD$15,BPC_COLUMNA_NOTA[[#All],[CD_COLUMNA]],0),2)</f>
        <v>Un año</v>
      </c>
      <c r="AE21" s="481"/>
      <c r="AF21" s="481" t="str">
        <f>INDEX(BPC_COLUMNA_NOTA[[#All],[CD_COLUMNA]:[DESCRIPCION_LARGA]],MATCH(AF$15,BPC_COLUMNA_NOTA[[#All],[CD_COLUMNA]],0),2)</f>
        <v>Flujos contractuales de las obligaciones a largo plazo (total)</v>
      </c>
      <c r="AG21" s="481" t="str">
        <f>INDEX(BPC_COLUMNA_NOTA[[#All],[CD_COLUMNA]:[DESCRIPCION_LARGA]],MATCH(AG$15,BPC_COLUMNA_NOTA[[#All],[CD_COLUMNA]],0),2)</f>
        <v>Dos años</v>
      </c>
      <c r="AH21" s="481" t="str">
        <f>INDEX(BPC_COLUMNA_NOTA[[#All],[CD_COLUMNA]:[DESCRIPCION_LARGA]],MATCH(AH$15,BPC_COLUMNA_NOTA[[#All],[CD_COLUMNA]],0),2)</f>
        <v>Tres años</v>
      </c>
      <c r="AI21" s="481" t="str">
        <f>INDEX(BPC_COLUMNA_NOTA[[#All],[CD_COLUMNA]:[DESCRIPCION_LARGA]],MATCH(AI$15,BPC_COLUMNA_NOTA[[#All],[CD_COLUMNA]],0),2)</f>
        <v>Cuatro años</v>
      </c>
      <c r="AJ21" s="481" t="str">
        <f>INDEX(BPC_COLUMNA_NOTA[[#All],[CD_COLUMNA]:[DESCRIPCION_LARGA]],MATCH(AJ$15,BPC_COLUMNA_NOTA[[#All],[CD_COLUMNA]],0),2)</f>
        <v>Cinco años y posteriores</v>
      </c>
      <c r="AK21" s="481" t="s">
        <v>14748</v>
      </c>
      <c r="AL21" s="444"/>
      <c r="AM21" s="433"/>
      <c r="AN21" s="416"/>
      <c r="AO21" s="416" t="s">
        <v>114</v>
      </c>
      <c r="AP21" s="416" t="s">
        <v>115</v>
      </c>
      <c r="AQ21" s="416" t="s">
        <v>116</v>
      </c>
      <c r="AR21" s="416" t="s">
        <v>117</v>
      </c>
      <c r="AS21" s="416" t="s">
        <v>343</v>
      </c>
      <c r="AT21" s="416" t="s">
        <v>119</v>
      </c>
      <c r="AU21" s="416" t="s">
        <v>50</v>
      </c>
      <c r="AV21" s="416" t="s">
        <v>2</v>
      </c>
      <c r="AW21" s="416" t="s">
        <v>120</v>
      </c>
      <c r="AX21" s="416" t="s">
        <v>121</v>
      </c>
      <c r="AY21" s="416"/>
      <c r="AZ21" s="416"/>
      <c r="BA21" s="416"/>
      <c r="BB21" s="416"/>
      <c r="BC21" s="416"/>
      <c r="BD21" s="416"/>
      <c r="BE21" s="416"/>
      <c r="BF21" s="416"/>
      <c r="BG21" s="416"/>
      <c r="BH21" s="166"/>
    </row>
    <row r="22" spans="1:63">
      <c r="A22" s="179"/>
      <c r="B22" s="580" t="s">
        <v>243</v>
      </c>
      <c r="C22" s="479"/>
      <c r="D22" s="479"/>
      <c r="E22" s="97" t="str">
        <f t="shared" ref="E22:E53" si="0">IF(C22="","",IF(D22="","",IF(D22="Si","No","Si")))</f>
        <v/>
      </c>
      <c r="F22" s="479"/>
      <c r="G22" s="97" t="str">
        <f>IF(C22="","",IF(F22="","",IF(F22="Si","No","Si")))</f>
        <v/>
      </c>
      <c r="H22" s="479"/>
      <c r="I22" s="182"/>
      <c r="J22" s="479"/>
      <c r="K22" s="110" t="str">
        <f t="shared" ref="K22:K53" si="1">IF(C22="","",IF(J22="X","","X"))</f>
        <v/>
      </c>
      <c r="L22" s="479"/>
      <c r="M22" s="97" t="str">
        <f t="shared" ref="M22:M53" si="2">IF(C22="","",IF(L22="","",IF(L22="Si","No","Si")))</f>
        <v/>
      </c>
      <c r="N22" s="479"/>
      <c r="O22" s="515"/>
      <c r="P22" s="479"/>
      <c r="Q22" s="683"/>
      <c r="R22" s="683"/>
      <c r="S22" s="480"/>
      <c r="T22" s="499" t="e">
        <f ca="1" xml:space="preserve"> _xll.EPMOlapMemberO("[FILA_NOTA].[PARENTH1].[09901002]","","09901002","","000;001;002")</f>
        <v>#NAME?</v>
      </c>
      <c r="U22" s="480"/>
      <c r="V22" s="271"/>
      <c r="W22" s="428">
        <f>SUM(U22:V22)</f>
        <v>0</v>
      </c>
      <c r="X22" s="291"/>
      <c r="Y22" s="526"/>
      <c r="Z22" s="526"/>
      <c r="AA22" s="428">
        <f>IFERROR(SUM(Y22,-Z22),0)</f>
        <v>0</v>
      </c>
      <c r="AB22" s="526"/>
      <c r="AC22" s="428">
        <f>SUM(AD22)</f>
        <v>0</v>
      </c>
      <c r="AD22" s="271"/>
      <c r="AE22" s="271"/>
      <c r="AF22" s="428">
        <f>SUM(AG22:AJ22)</f>
        <v>0</v>
      </c>
      <c r="AG22" s="526"/>
      <c r="AH22" s="526"/>
      <c r="AI22" s="526"/>
      <c r="AJ22" s="526"/>
      <c r="AK22" s="234"/>
      <c r="AL22" s="433"/>
      <c r="AM22" s="433"/>
      <c r="AN22" s="416" t="e">
        <f ca="1">_xll.EPMSaveComment(C22,,B22,C$19)</f>
        <v>#NAME?</v>
      </c>
      <c r="AO22" s="416" t="e">
        <f ca="1">_xll.EPMSaveComment(D22,,$B22,D$19)</f>
        <v>#NAME?</v>
      </c>
      <c r="AP22" s="416" t="e">
        <f ca="1">_xll.EPMSaveComment(E22,,B22,E$19)</f>
        <v>#NAME?</v>
      </c>
      <c r="AQ22" s="416" t="e">
        <f ca="1">_xll.EPMSaveComment(F22,,$B22,F$19)</f>
        <v>#NAME?</v>
      </c>
      <c r="AR22" s="416" t="e">
        <f ca="1">_xll.EPMSaveComment(G22,,$B22,G$19)</f>
        <v>#NAME?</v>
      </c>
      <c r="AS22" s="416" t="e">
        <f ca="1">_xll.EPMSaveComment(H22,,$B22,H$19)</f>
        <v>#NAME?</v>
      </c>
      <c r="AT22" s="416" t="e">
        <f ca="1">_xll.EPMSaveData(I22,,I$19,$B22)</f>
        <v>#NAME?</v>
      </c>
      <c r="AU22" s="416" t="e">
        <f ca="1">_xll.EPMSaveComment(J22,,$B22,J$19)</f>
        <v>#NAME?</v>
      </c>
      <c r="AV22" s="416" t="e">
        <f ca="1">_xll.EPMSaveComment(K22,,$B22,K$19)</f>
        <v>#NAME?</v>
      </c>
      <c r="AW22" s="416" t="e">
        <f ca="1">_xll.EPMSaveComment(L22,,$B22,L$19)</f>
        <v>#NAME?</v>
      </c>
      <c r="AX22" s="416" t="e">
        <f ca="1">_xll.EPMSaveComment(M22,,$B22,M$19)</f>
        <v>#NAME?</v>
      </c>
      <c r="AY22" s="416" t="e">
        <f ca="1">_xll.EPMSaveComment(N22,,$B22,N$19)</f>
        <v>#NAME?</v>
      </c>
      <c r="AZ22" s="416" t="e">
        <f ca="1">_xll.EPMSaveData(O22,,O$19,$B22)</f>
        <v>#NAME?</v>
      </c>
      <c r="BA22" s="416" t="e">
        <f ca="1">_xll.EPMSaveComment(P22,,$B22,P$19)</f>
        <v>#NAME?</v>
      </c>
      <c r="BB22" s="416" t="e">
        <f ca="1">_xll.EPMSaveComment(Q22,,$B22,Q$19)</f>
        <v>#NAME?</v>
      </c>
      <c r="BC22" s="416" t="e">
        <f ca="1">_xll.EPMSaveComment(R22,,$B22,R$19)</f>
        <v>#NAME?</v>
      </c>
      <c r="BD22" s="416" t="e">
        <f ca="1">_xll.EPMSaveData(S22,,$F$19,$B22)</f>
        <v>#NAME?</v>
      </c>
      <c r="BE22" s="416" t="e">
        <f ca="1">_xll.EPMSaveComment(AK22,,B22,AF$15)</f>
        <v>#NAME?</v>
      </c>
      <c r="BF22" s="416"/>
      <c r="BG22" s="416"/>
      <c r="BH22" s="157" t="str">
        <f>IF(OR(AND(W22&lt;&gt;0,OR(LEN(C22)&lt;8,D22="",F22="",L22="",N22="",O22="",P22="",Q22="",R22="",AK22="")),AND(G22="Si",H22="")),"Error",IF(BK22="","Ok","Error"))</f>
        <v>Ok</v>
      </c>
      <c r="BI22" s="347">
        <f>IF(BH22="Error",1,0)</f>
        <v>0</v>
      </c>
      <c r="BK22" s="160" t="str">
        <f>IF(W22&lt;&gt;0,IF(LEN(C22)&lt;8,"El banco es obligatorio",IF(D22="","El banco es nacional?",IF(F22="","El tipo de moneda es COP",IF(L22="","El Tipo de tasa es Fija?",IF(N22="","La Tasa de Interes nominal es Obligatoria",IF(O22="","La tasa Efectiva es Obligatoria",IF(P22="","La Garantia es Obligatoria",IF(Q22="","La fecha de desembolso es Obligatoria",IF(R22="","La fecha de Venciento es Obligatoria",IF(AK22="","La Destinacion es Obligatoria",IF(AND(G22="Si",H22="")," **Por favor indique la moneda Extrangera",IF(Y22&lt;=0,"Verifique el analisis de sensibilidad (Si se sube la tasa 1% debe ser positivo)",IF(VALUE(AB22)=0,"Verifique el valor razonable de la deuda",IF(AND(AC22=0,AF22=0),"Verifique los flujos por Riesgo de liquidez",IF((AC22+AF22)&lt;AB22,"Verifique el valor de los flujos frente a el valor razonable de la deuda",IF((AC22+AF22)&lt;W22,"Verifique el valor de los flujos frente a Total obligacion",IF(O22=0,"El cálculo de la tasa efectiva anual es obligatorio ",IF(S22=0,"El monto original de la deuda es obligatorio ",IF(Z22&gt;=0,"Verifique el analisis de sensibilidad (Si se baja la tasa 1% el efecto en los gastos debe ser negativo)",""))))))))))))))))))),"")</f>
        <v/>
      </c>
    </row>
    <row r="23" spans="1:63">
      <c r="A23" s="179"/>
      <c r="B23" s="580" t="s">
        <v>244</v>
      </c>
      <c r="C23" s="479"/>
      <c r="D23" s="479"/>
      <c r="E23" s="97" t="str">
        <f t="shared" si="0"/>
        <v/>
      </c>
      <c r="F23" s="479"/>
      <c r="G23" s="97" t="str">
        <f t="shared" ref="G23:G86" si="3">IF(C23="","",IF(F23="","",IF(F23="Si","No","Si")))</f>
        <v/>
      </c>
      <c r="H23" s="479"/>
      <c r="I23" s="182"/>
      <c r="J23" s="479"/>
      <c r="K23" s="110" t="str">
        <f t="shared" si="1"/>
        <v/>
      </c>
      <c r="L23" s="479"/>
      <c r="M23" s="96" t="str">
        <f t="shared" si="2"/>
        <v/>
      </c>
      <c r="N23" s="479"/>
      <c r="O23" s="515"/>
      <c r="P23" s="479"/>
      <c r="Q23" s="683"/>
      <c r="R23" s="683"/>
      <c r="S23" s="271"/>
      <c r="T23" s="499" t="e">
        <f ca="1" xml:space="preserve"> _xll.EPMOlapMemberO("[FILA_NOTA].[PARENTH1].[09901003]","","09901003","","000;001;002")</f>
        <v>#NAME?</v>
      </c>
      <c r="U23" s="271"/>
      <c r="V23" s="271"/>
      <c r="W23" s="428">
        <f t="shared" ref="W23:W86" si="4">SUM(U23:V23)</f>
        <v>0</v>
      </c>
      <c r="X23" s="291"/>
      <c r="Y23" s="526"/>
      <c r="Z23" s="526"/>
      <c r="AA23" s="428">
        <f t="shared" ref="AA23:AA86" si="5">IFERROR(SUM(Y23,-Z23),0)</f>
        <v>0</v>
      </c>
      <c r="AB23" s="526"/>
      <c r="AC23" s="428">
        <f t="shared" ref="AC23:AC86" si="6">SUM(AD23)</f>
        <v>0</v>
      </c>
      <c r="AD23" s="271"/>
      <c r="AE23" s="271"/>
      <c r="AF23" s="428">
        <f t="shared" ref="AF23:AF86" si="7">SUM(AG23:AJ23)</f>
        <v>0</v>
      </c>
      <c r="AG23" s="526"/>
      <c r="AH23" s="526"/>
      <c r="AI23" s="526"/>
      <c r="AJ23" s="526"/>
      <c r="AK23" s="234"/>
      <c r="AL23" s="433"/>
      <c r="AM23" s="433"/>
      <c r="AN23" s="416" t="e">
        <f ca="1">_xll.EPMSaveComment(C23,,B23,C$19)</f>
        <v>#NAME?</v>
      </c>
      <c r="AO23" s="416" t="e">
        <f ca="1">_xll.EPMSaveComment(D23,,B23,D$19)</f>
        <v>#NAME?</v>
      </c>
      <c r="AP23" s="416" t="e">
        <f ca="1">_xll.EPMSaveComment(E23,,B23,E$19)</f>
        <v>#NAME?</v>
      </c>
      <c r="AQ23" s="416" t="e">
        <f ca="1">_xll.EPMSaveComment(F23,,$B23,F$19)</f>
        <v>#NAME?</v>
      </c>
      <c r="AR23" s="416" t="e">
        <f ca="1">_xll.EPMSaveComment(#REF!,,$B23,G$19)</f>
        <v>#NAME?</v>
      </c>
      <c r="AS23" s="416" t="e">
        <f ca="1">_xll.EPMSaveComment(H23,,$B23,H$19)</f>
        <v>#NAME?</v>
      </c>
      <c r="AT23" s="416" t="e">
        <f ca="1">_xll.EPMSaveData(I23,,I$19,$B23)</f>
        <v>#NAME?</v>
      </c>
      <c r="AU23" s="416" t="e">
        <f ca="1">_xll.EPMSaveComment(J23,,$B23,J$19)</f>
        <v>#NAME?</v>
      </c>
      <c r="AV23" s="416" t="e">
        <f ca="1">_xll.EPMSaveComment(K23,,$B23,K$19)</f>
        <v>#NAME?</v>
      </c>
      <c r="AW23" s="416" t="e">
        <f ca="1">_xll.EPMSaveComment(L23,,$B23,L$19)</f>
        <v>#NAME?</v>
      </c>
      <c r="AX23" s="416" t="e">
        <f ca="1">_xll.EPMSaveComment(M23,,$B23,M$19)</f>
        <v>#NAME?</v>
      </c>
      <c r="AY23" s="416" t="e">
        <f ca="1">_xll.EPMSaveComment(N23,,$B23,N$19)</f>
        <v>#NAME?</v>
      </c>
      <c r="AZ23" s="416" t="e">
        <f ca="1">_xll.EPMSaveData(O23,,O$19,$B23)</f>
        <v>#NAME?</v>
      </c>
      <c r="BA23" s="416" t="e">
        <f ca="1">_xll.EPMSaveComment(P23,,$B23,P$19)</f>
        <v>#NAME?</v>
      </c>
      <c r="BB23" s="416" t="e">
        <f ca="1">_xll.EPMSaveComment(Q23,,$B23,Q$19)</f>
        <v>#NAME?</v>
      </c>
      <c r="BC23" s="416" t="e">
        <f ca="1">_xll.EPMSaveComment(R23,,$B23,R$19)</f>
        <v>#NAME?</v>
      </c>
      <c r="BD23" s="416" t="e">
        <f ca="1">_xll.EPMSaveData(S23,,$F$19,$B23)</f>
        <v>#NAME?</v>
      </c>
      <c r="BE23" s="416" t="e">
        <f ca="1">_xll.EPMSaveComment(AK23,,B23,AF$15)</f>
        <v>#NAME?</v>
      </c>
      <c r="BF23" s="416"/>
      <c r="BG23" s="416"/>
      <c r="BH23" s="157" t="str">
        <f t="shared" ref="BH23:BH86" si="8">IF(OR(AND(W23&lt;&gt;0,OR(LEN(C23)&lt;8,D23="",F23="",L23="",N23="",O23="",P23="",Q23="",R23="",AK23="")),AND(G23="Si",H23="")),"Error",IF(BK23="","Ok","Error"))</f>
        <v>Ok</v>
      </c>
      <c r="BI23" s="347">
        <f t="shared" ref="BI23:BI86" si="9">IF(BH23="Error",1,0)</f>
        <v>0</v>
      </c>
      <c r="BK23" s="160" t="str">
        <f t="shared" ref="BK23:BK86" si="10">IF(W23&lt;&gt;0,IF(LEN(C23)&lt;8,"El banco es obligatorio",IF(D23="","El banco es nacional?",IF(F23="","El tipo de moneda es COP",IF(L23="","El Tipo de tasa es Fija?",IF(N23="","La Tasa de Interes nominal es Obligatoria",IF(O23="","La tasa Efectiva es Obligatoria",IF(P23="","La Garantia es Obligatoria",IF(Q23="","La fecha de desembolso es Obligatoria",IF(R23="","La fecha de Venciento es Obligatoria",IF(AK23="","La Destinacion es Obligatoria",IF(AND(G23="Si",H23="")," **Por favor indique la moneda Extrangera",IF(Y23&lt;=0,"Verifique el analisis de sensibilidad (Si se sube la tasa 1% debe ser positivo)",IF(VALUE(AB23)=0,"Verifique el valor razonable de la deuda",IF(AND(AC23=0,AF23=0),"Verifique los flujos por Riesgo de liquidez",IF((AC23+AF23)&lt;AB23,"Verifique el valor de los flujos frente a el valor razonable de la deuda",IF((AC23+AF23)&lt;W23,"Verifique el valor de los flujos frente a Total obligacion",IF(O23=0,"El cálculo de la tasa efectiva anual es obligatorio ",IF(S23=0,"El monto original de la deuda es obligatorio ",IF(Z23&gt;=0,"Verifique el analisis de sensibilidad (Si se baja la tasa 1% el efecto en los gastos debe ser negativo)",""))))))))))))))))))),"")</f>
        <v/>
      </c>
    </row>
    <row r="24" spans="1:63">
      <c r="A24" s="179"/>
      <c r="B24" s="580" t="s">
        <v>245</v>
      </c>
      <c r="C24" s="479"/>
      <c r="D24" s="479"/>
      <c r="E24" s="97" t="str">
        <f t="shared" si="0"/>
        <v/>
      </c>
      <c r="F24" s="479"/>
      <c r="G24" s="97" t="str">
        <f t="shared" si="3"/>
        <v/>
      </c>
      <c r="H24" s="479"/>
      <c r="I24" s="182"/>
      <c r="J24" s="479"/>
      <c r="K24" s="110" t="str">
        <f t="shared" si="1"/>
        <v/>
      </c>
      <c r="L24" s="479"/>
      <c r="M24" s="96" t="str">
        <f t="shared" si="2"/>
        <v/>
      </c>
      <c r="N24" s="479"/>
      <c r="O24" s="515"/>
      <c r="P24" s="479"/>
      <c r="Q24" s="683"/>
      <c r="R24" s="683"/>
      <c r="S24" s="271"/>
      <c r="T24" s="499" t="e">
        <f ca="1" xml:space="preserve"> _xll.EPMOlapMemberO("[FILA_NOTA].[PARENTH1].[09901004]","","09901004","","000;001;002")</f>
        <v>#NAME?</v>
      </c>
      <c r="U24" s="271"/>
      <c r="V24" s="271"/>
      <c r="W24" s="428">
        <f t="shared" si="4"/>
        <v>0</v>
      </c>
      <c r="X24" s="291"/>
      <c r="Y24" s="526"/>
      <c r="Z24" s="526"/>
      <c r="AA24" s="428">
        <f t="shared" si="5"/>
        <v>0</v>
      </c>
      <c r="AB24" s="526"/>
      <c r="AC24" s="428">
        <f t="shared" si="6"/>
        <v>0</v>
      </c>
      <c r="AD24" s="271"/>
      <c r="AE24" s="271"/>
      <c r="AF24" s="428">
        <f t="shared" si="7"/>
        <v>0</v>
      </c>
      <c r="AG24" s="526"/>
      <c r="AH24" s="526"/>
      <c r="AI24" s="526"/>
      <c r="AJ24" s="526"/>
      <c r="AK24" s="234"/>
      <c r="AL24" s="433"/>
      <c r="AM24" s="433"/>
      <c r="AN24" s="416" t="e">
        <f ca="1">_xll.EPMSaveComment(C24,,B24,C$19)</f>
        <v>#NAME?</v>
      </c>
      <c r="AO24" s="416" t="e">
        <f ca="1">_xll.EPMSaveComment(D24,,B24,D$19)</f>
        <v>#NAME?</v>
      </c>
      <c r="AP24" s="416" t="e">
        <f ca="1">_xll.EPMSaveComment(E24,,B24,E$19)</f>
        <v>#NAME?</v>
      </c>
      <c r="AQ24" s="416" t="e">
        <f ca="1">_xll.EPMSaveComment(F24,,$B24,F$19)</f>
        <v>#NAME?</v>
      </c>
      <c r="AR24" s="416" t="e">
        <f ca="1">_xll.EPMSaveComment(#REF!,,$B24,G$19)</f>
        <v>#NAME?</v>
      </c>
      <c r="AS24" s="416" t="e">
        <f ca="1">_xll.EPMSaveComment(H24,,$B24,H$19)</f>
        <v>#NAME?</v>
      </c>
      <c r="AT24" s="416" t="e">
        <f ca="1">_xll.EPMSaveData(I24,,I$19,$B24)</f>
        <v>#NAME?</v>
      </c>
      <c r="AU24" s="416" t="e">
        <f ca="1">_xll.EPMSaveComment(J24,,$B24,J$19)</f>
        <v>#NAME?</v>
      </c>
      <c r="AV24" s="416" t="e">
        <f ca="1">_xll.EPMSaveComment(K24,,$B24,K$19)</f>
        <v>#NAME?</v>
      </c>
      <c r="AW24" s="416" t="e">
        <f ca="1">_xll.EPMSaveComment(L24,,$B24,L$19)</f>
        <v>#NAME?</v>
      </c>
      <c r="AX24" s="416" t="e">
        <f ca="1">_xll.EPMSaveComment(M24,,$B24,M$19)</f>
        <v>#NAME?</v>
      </c>
      <c r="AY24" s="416" t="e">
        <f ca="1">_xll.EPMSaveComment(N24,,$B24,N$19)</f>
        <v>#NAME?</v>
      </c>
      <c r="AZ24" s="416" t="e">
        <f ca="1">_xll.EPMSaveData(O24,,O$19,$B24)</f>
        <v>#NAME?</v>
      </c>
      <c r="BA24" s="416" t="e">
        <f ca="1">_xll.EPMSaveComment(P24,,$B24,P$19)</f>
        <v>#NAME?</v>
      </c>
      <c r="BB24" s="416" t="e">
        <f ca="1">_xll.EPMSaveComment(Q24,,$B24,Q$19)</f>
        <v>#NAME?</v>
      </c>
      <c r="BC24" s="416" t="e">
        <f ca="1">_xll.EPMSaveComment(R24,,$B24,R$19)</f>
        <v>#NAME?</v>
      </c>
      <c r="BD24" s="416" t="e">
        <f ca="1">_xll.EPMSaveData(S24,,$F$19,$B24)</f>
        <v>#NAME?</v>
      </c>
      <c r="BE24" s="416" t="e">
        <f ca="1">_xll.EPMSaveComment(AK24,,B24,AF$15)</f>
        <v>#NAME?</v>
      </c>
      <c r="BF24" s="416"/>
      <c r="BG24" s="416"/>
      <c r="BH24" s="157" t="str">
        <f t="shared" si="8"/>
        <v>Ok</v>
      </c>
      <c r="BI24" s="347">
        <f t="shared" si="9"/>
        <v>0</v>
      </c>
      <c r="BK24" s="160" t="str">
        <f t="shared" si="10"/>
        <v/>
      </c>
    </row>
    <row r="25" spans="1:63">
      <c r="A25" s="179"/>
      <c r="B25" s="580" t="s">
        <v>246</v>
      </c>
      <c r="C25" s="479"/>
      <c r="D25" s="479"/>
      <c r="E25" s="97" t="str">
        <f t="shared" si="0"/>
        <v/>
      </c>
      <c r="F25" s="479"/>
      <c r="G25" s="97" t="str">
        <f t="shared" si="3"/>
        <v/>
      </c>
      <c r="H25" s="479"/>
      <c r="I25" s="182"/>
      <c r="J25" s="479"/>
      <c r="K25" s="110" t="str">
        <f t="shared" si="1"/>
        <v/>
      </c>
      <c r="L25" s="479"/>
      <c r="M25" s="96" t="str">
        <f t="shared" si="2"/>
        <v/>
      </c>
      <c r="N25" s="479"/>
      <c r="O25" s="515"/>
      <c r="P25" s="479"/>
      <c r="Q25" s="683"/>
      <c r="R25" s="683"/>
      <c r="S25" s="271"/>
      <c r="T25" s="499" t="e">
        <f ca="1" xml:space="preserve"> _xll.EPMOlapMemberO("[FILA_NOTA].[PARENTH1].[09901005]","","09901005","","000;001;002")</f>
        <v>#NAME?</v>
      </c>
      <c r="U25" s="271"/>
      <c r="V25" s="271"/>
      <c r="W25" s="428">
        <f t="shared" si="4"/>
        <v>0</v>
      </c>
      <c r="X25" s="291"/>
      <c r="Y25" s="526"/>
      <c r="Z25" s="526"/>
      <c r="AA25" s="428">
        <f t="shared" si="5"/>
        <v>0</v>
      </c>
      <c r="AB25" s="526"/>
      <c r="AC25" s="428">
        <f t="shared" si="6"/>
        <v>0</v>
      </c>
      <c r="AD25" s="271"/>
      <c r="AE25" s="271"/>
      <c r="AF25" s="428">
        <f t="shared" si="7"/>
        <v>0</v>
      </c>
      <c r="AG25" s="526"/>
      <c r="AH25" s="526"/>
      <c r="AI25" s="526"/>
      <c r="AJ25" s="526"/>
      <c r="AK25" s="234"/>
      <c r="AL25" s="433"/>
      <c r="AM25" s="433"/>
      <c r="AN25" s="416" t="e">
        <f ca="1">_xll.EPMSaveComment(C25,,B25,C$19)</f>
        <v>#NAME?</v>
      </c>
      <c r="AO25" s="416" t="e">
        <f ca="1">_xll.EPMSaveComment(D25,,B25,D$19)</f>
        <v>#NAME?</v>
      </c>
      <c r="AP25" s="416" t="e">
        <f ca="1">_xll.EPMSaveComment(E25,,B25,E$19)</f>
        <v>#NAME?</v>
      </c>
      <c r="AQ25" s="416" t="e">
        <f ca="1">_xll.EPMSaveComment(F25,,$B25,F$19)</f>
        <v>#NAME?</v>
      </c>
      <c r="AR25" s="416" t="e">
        <f ca="1">_xll.EPMSaveComment(#REF!,,$B25,G$19)</f>
        <v>#NAME?</v>
      </c>
      <c r="AS25" s="416" t="e">
        <f ca="1">_xll.EPMSaveComment(H25,,$B25,H$19)</f>
        <v>#NAME?</v>
      </c>
      <c r="AT25" s="416" t="e">
        <f ca="1">_xll.EPMSaveData(I25,,I$19,$B25)</f>
        <v>#NAME?</v>
      </c>
      <c r="AU25" s="416" t="e">
        <f ca="1">_xll.EPMSaveComment(J25,,$B25,J$19)</f>
        <v>#NAME?</v>
      </c>
      <c r="AV25" s="416" t="e">
        <f ca="1">_xll.EPMSaveComment(K25,,$B25,K$19)</f>
        <v>#NAME?</v>
      </c>
      <c r="AW25" s="416" t="e">
        <f ca="1">_xll.EPMSaveComment(L25,,$B25,L$19)</f>
        <v>#NAME?</v>
      </c>
      <c r="AX25" s="416" t="e">
        <f ca="1">_xll.EPMSaveComment(M25,,$B25,M$19)</f>
        <v>#NAME?</v>
      </c>
      <c r="AY25" s="416" t="e">
        <f ca="1">_xll.EPMSaveComment(N25,,$B25,N$19)</f>
        <v>#NAME?</v>
      </c>
      <c r="AZ25" s="416" t="e">
        <f ca="1">_xll.EPMSaveData(O25,,O$19,$B25)</f>
        <v>#NAME?</v>
      </c>
      <c r="BA25" s="416" t="e">
        <f ca="1">_xll.EPMSaveComment(P25,,$B25,P$19)</f>
        <v>#NAME?</v>
      </c>
      <c r="BB25" s="416" t="e">
        <f ca="1">_xll.EPMSaveComment(Q25,,$B25,Q$19)</f>
        <v>#NAME?</v>
      </c>
      <c r="BC25" s="416" t="e">
        <f ca="1">_xll.EPMSaveComment(R25,,$B25,R$19)</f>
        <v>#NAME?</v>
      </c>
      <c r="BD25" s="416" t="e">
        <f ca="1">_xll.EPMSaveData(S25,,$F$19,$B25)</f>
        <v>#NAME?</v>
      </c>
      <c r="BE25" s="416" t="e">
        <f ca="1">_xll.EPMSaveComment(AK25,,B25,AF$15)</f>
        <v>#NAME?</v>
      </c>
      <c r="BF25" s="416"/>
      <c r="BG25" s="416"/>
      <c r="BH25" s="157" t="str">
        <f t="shared" si="8"/>
        <v>Ok</v>
      </c>
      <c r="BI25" s="347">
        <f t="shared" si="9"/>
        <v>0</v>
      </c>
      <c r="BK25" s="160" t="str">
        <f t="shared" si="10"/>
        <v/>
      </c>
    </row>
    <row r="26" spans="1:63">
      <c r="A26" s="179"/>
      <c r="B26" s="580" t="s">
        <v>247</v>
      </c>
      <c r="C26" s="479"/>
      <c r="D26" s="479"/>
      <c r="E26" s="97" t="str">
        <f t="shared" si="0"/>
        <v/>
      </c>
      <c r="F26" s="479"/>
      <c r="G26" s="97" t="str">
        <f t="shared" si="3"/>
        <v/>
      </c>
      <c r="H26" s="479"/>
      <c r="I26" s="182"/>
      <c r="J26" s="479"/>
      <c r="K26" s="110" t="str">
        <f t="shared" si="1"/>
        <v/>
      </c>
      <c r="L26" s="479"/>
      <c r="M26" s="96" t="str">
        <f t="shared" si="2"/>
        <v/>
      </c>
      <c r="N26" s="479"/>
      <c r="O26" s="515"/>
      <c r="P26" s="479"/>
      <c r="Q26" s="683"/>
      <c r="R26" s="683"/>
      <c r="S26" s="271"/>
      <c r="T26" s="499" t="e">
        <f ca="1" xml:space="preserve"> _xll.EPMOlapMemberO("[FILA_NOTA].[PARENTH1].[09901006]","","09901006","","000;001;002")</f>
        <v>#NAME?</v>
      </c>
      <c r="U26" s="271"/>
      <c r="V26" s="271"/>
      <c r="W26" s="428">
        <f t="shared" si="4"/>
        <v>0</v>
      </c>
      <c r="X26" s="291"/>
      <c r="Y26" s="526"/>
      <c r="Z26" s="526"/>
      <c r="AA26" s="428">
        <f t="shared" si="5"/>
        <v>0</v>
      </c>
      <c r="AB26" s="526"/>
      <c r="AC26" s="428">
        <f t="shared" si="6"/>
        <v>0</v>
      </c>
      <c r="AD26" s="271"/>
      <c r="AE26" s="271"/>
      <c r="AF26" s="428">
        <f t="shared" si="7"/>
        <v>0</v>
      </c>
      <c r="AG26" s="526"/>
      <c r="AH26" s="526"/>
      <c r="AI26" s="526"/>
      <c r="AJ26" s="526"/>
      <c r="AK26" s="234"/>
      <c r="AL26" s="433"/>
      <c r="AM26" s="433"/>
      <c r="AN26" s="416" t="e">
        <f ca="1">_xll.EPMSaveComment(C26,,B26,C$19)</f>
        <v>#NAME?</v>
      </c>
      <c r="AO26" s="416" t="e">
        <f ca="1">_xll.EPMSaveComment(D26,,B26,D$19)</f>
        <v>#NAME?</v>
      </c>
      <c r="AP26" s="416" t="e">
        <f ca="1">_xll.EPMSaveComment(E26,,B26,E$19)</f>
        <v>#NAME?</v>
      </c>
      <c r="AQ26" s="416" t="e">
        <f ca="1">_xll.EPMSaveComment(F26,,$B26,F$19)</f>
        <v>#NAME?</v>
      </c>
      <c r="AR26" s="416" t="e">
        <f ca="1">_xll.EPMSaveComment(#REF!,,$B26,G$19)</f>
        <v>#NAME?</v>
      </c>
      <c r="AS26" s="416" t="e">
        <f ca="1">_xll.EPMSaveComment(H26,,$B26,H$19)</f>
        <v>#NAME?</v>
      </c>
      <c r="AT26" s="416" t="e">
        <f ca="1">_xll.EPMSaveData(I26,,I$19,$B26)</f>
        <v>#NAME?</v>
      </c>
      <c r="AU26" s="416" t="e">
        <f ca="1">_xll.EPMSaveComment(J26,,$B26,J$19)</f>
        <v>#NAME?</v>
      </c>
      <c r="AV26" s="416" t="e">
        <f ca="1">_xll.EPMSaveComment(K26,,$B26,K$19)</f>
        <v>#NAME?</v>
      </c>
      <c r="AW26" s="416" t="e">
        <f ca="1">_xll.EPMSaveComment(L26,,$B26,L$19)</f>
        <v>#NAME?</v>
      </c>
      <c r="AX26" s="416" t="e">
        <f ca="1">_xll.EPMSaveComment(M26,,$B26,M$19)</f>
        <v>#NAME?</v>
      </c>
      <c r="AY26" s="416" t="e">
        <f ca="1">_xll.EPMSaveComment(N26,,$B26,N$19)</f>
        <v>#NAME?</v>
      </c>
      <c r="AZ26" s="416" t="e">
        <f ca="1">_xll.EPMSaveData(O26,,O$19,$B26)</f>
        <v>#NAME?</v>
      </c>
      <c r="BA26" s="416" t="e">
        <f ca="1">_xll.EPMSaveComment(P26,,$B26,P$19)</f>
        <v>#NAME?</v>
      </c>
      <c r="BB26" s="416" t="e">
        <f ca="1">_xll.EPMSaveComment(Q26,,$B26,Q$19)</f>
        <v>#NAME?</v>
      </c>
      <c r="BC26" s="416" t="e">
        <f ca="1">_xll.EPMSaveComment(R26,,$B26,R$19)</f>
        <v>#NAME?</v>
      </c>
      <c r="BD26" s="416" t="e">
        <f ca="1">_xll.EPMSaveData(S26,,$F$19,$B26)</f>
        <v>#NAME?</v>
      </c>
      <c r="BE26" s="416" t="e">
        <f ca="1">_xll.EPMSaveComment(AK26,,B26,AF$15)</f>
        <v>#NAME?</v>
      </c>
      <c r="BF26" s="416"/>
      <c r="BG26" s="416"/>
      <c r="BH26" s="157" t="str">
        <f t="shared" si="8"/>
        <v>Ok</v>
      </c>
      <c r="BI26" s="347">
        <f t="shared" si="9"/>
        <v>0</v>
      </c>
      <c r="BK26" s="160" t="str">
        <f t="shared" si="10"/>
        <v/>
      </c>
    </row>
    <row r="27" spans="1:63">
      <c r="A27" s="179"/>
      <c r="B27" s="580" t="s">
        <v>248</v>
      </c>
      <c r="C27" s="479"/>
      <c r="D27" s="479"/>
      <c r="E27" s="97" t="str">
        <f t="shared" si="0"/>
        <v/>
      </c>
      <c r="F27" s="479"/>
      <c r="G27" s="97" t="str">
        <f t="shared" si="3"/>
        <v/>
      </c>
      <c r="H27" s="479"/>
      <c r="I27" s="182"/>
      <c r="J27" s="479"/>
      <c r="K27" s="110" t="str">
        <f t="shared" si="1"/>
        <v/>
      </c>
      <c r="L27" s="479"/>
      <c r="M27" s="96" t="str">
        <f t="shared" si="2"/>
        <v/>
      </c>
      <c r="N27" s="479"/>
      <c r="O27" s="515"/>
      <c r="P27" s="479"/>
      <c r="Q27" s="683"/>
      <c r="R27" s="683"/>
      <c r="S27" s="271"/>
      <c r="T27" s="499" t="e">
        <f ca="1" xml:space="preserve"> _xll.EPMOlapMemberO("[FILA_NOTA].[PARENTH1].[09901007]","","09901007","","000;001;002")</f>
        <v>#NAME?</v>
      </c>
      <c r="U27" s="271"/>
      <c r="V27" s="271"/>
      <c r="W27" s="428">
        <f t="shared" si="4"/>
        <v>0</v>
      </c>
      <c r="X27" s="291"/>
      <c r="Y27" s="526"/>
      <c r="Z27" s="526"/>
      <c r="AA27" s="428">
        <f t="shared" si="5"/>
        <v>0</v>
      </c>
      <c r="AB27" s="526"/>
      <c r="AC27" s="428">
        <f t="shared" si="6"/>
        <v>0</v>
      </c>
      <c r="AD27" s="271"/>
      <c r="AE27" s="271"/>
      <c r="AF27" s="428">
        <f t="shared" si="7"/>
        <v>0</v>
      </c>
      <c r="AG27" s="526"/>
      <c r="AH27" s="526"/>
      <c r="AI27" s="526"/>
      <c r="AJ27" s="526"/>
      <c r="AK27" s="234"/>
      <c r="AL27" s="433"/>
      <c r="AM27" s="433"/>
      <c r="AN27" s="416" t="e">
        <f ca="1">_xll.EPMSaveComment(C27,,B27,C$19)</f>
        <v>#NAME?</v>
      </c>
      <c r="AO27" s="416" t="e">
        <f ca="1">_xll.EPMSaveComment(D27,,B27,D$19)</f>
        <v>#NAME?</v>
      </c>
      <c r="AP27" s="416" t="e">
        <f ca="1">_xll.EPMSaveComment(E27,,B27,E$19)</f>
        <v>#NAME?</v>
      </c>
      <c r="AQ27" s="416" t="e">
        <f ca="1">_xll.EPMSaveComment(F27,,$B27,F$19)</f>
        <v>#NAME?</v>
      </c>
      <c r="AR27" s="416" t="e">
        <f ca="1">_xll.EPMSaveComment(#REF!,,$B27,G$19)</f>
        <v>#NAME?</v>
      </c>
      <c r="AS27" s="416" t="e">
        <f ca="1">_xll.EPMSaveComment(H27,,$B27,H$19)</f>
        <v>#NAME?</v>
      </c>
      <c r="AT27" s="416" t="e">
        <f ca="1">_xll.EPMSaveData(I27,,I$19,$B27)</f>
        <v>#NAME?</v>
      </c>
      <c r="AU27" s="416" t="e">
        <f ca="1">_xll.EPMSaveComment(J27,,$B27,J$19)</f>
        <v>#NAME?</v>
      </c>
      <c r="AV27" s="416" t="e">
        <f ca="1">_xll.EPMSaveComment(K27,,$B27,K$19)</f>
        <v>#NAME?</v>
      </c>
      <c r="AW27" s="416" t="e">
        <f ca="1">_xll.EPMSaveComment(L27,,$B27,L$19)</f>
        <v>#NAME?</v>
      </c>
      <c r="AX27" s="416" t="e">
        <f ca="1">_xll.EPMSaveComment(M27,,$B27,M$19)</f>
        <v>#NAME?</v>
      </c>
      <c r="AY27" s="416" t="e">
        <f ca="1">_xll.EPMSaveComment(N27,,$B27,N$19)</f>
        <v>#NAME?</v>
      </c>
      <c r="AZ27" s="416" t="e">
        <f ca="1">_xll.EPMSaveData(O27,,O$19,$B27)</f>
        <v>#NAME?</v>
      </c>
      <c r="BA27" s="416" t="e">
        <f ca="1">_xll.EPMSaveComment(P27,,$B27,P$19)</f>
        <v>#NAME?</v>
      </c>
      <c r="BB27" s="416" t="e">
        <f ca="1">_xll.EPMSaveComment(Q27,,$B27,Q$19)</f>
        <v>#NAME?</v>
      </c>
      <c r="BC27" s="416" t="e">
        <f ca="1">_xll.EPMSaveComment(R27,,$B27,R$19)</f>
        <v>#NAME?</v>
      </c>
      <c r="BD27" s="416" t="e">
        <f ca="1">_xll.EPMSaveData(S27,,$F$19,$B27)</f>
        <v>#NAME?</v>
      </c>
      <c r="BE27" s="416" t="e">
        <f ca="1">_xll.EPMSaveComment(AK27,,B27,AF$15)</f>
        <v>#NAME?</v>
      </c>
      <c r="BF27" s="416"/>
      <c r="BG27" s="416"/>
      <c r="BH27" s="157" t="str">
        <f t="shared" si="8"/>
        <v>Ok</v>
      </c>
      <c r="BI27" s="347">
        <f t="shared" si="9"/>
        <v>0</v>
      </c>
      <c r="BK27" s="160" t="str">
        <f t="shared" si="10"/>
        <v/>
      </c>
    </row>
    <row r="28" spans="1:63">
      <c r="A28" s="179"/>
      <c r="B28" s="580" t="s">
        <v>249</v>
      </c>
      <c r="C28" s="479"/>
      <c r="D28" s="479"/>
      <c r="E28" s="97" t="str">
        <f t="shared" si="0"/>
        <v/>
      </c>
      <c r="F28" s="479"/>
      <c r="G28" s="97" t="str">
        <f t="shared" si="3"/>
        <v/>
      </c>
      <c r="H28" s="479"/>
      <c r="I28" s="182"/>
      <c r="J28" s="479"/>
      <c r="K28" s="110" t="str">
        <f t="shared" si="1"/>
        <v/>
      </c>
      <c r="L28" s="479"/>
      <c r="M28" s="96" t="str">
        <f t="shared" si="2"/>
        <v/>
      </c>
      <c r="N28" s="479"/>
      <c r="O28" s="515"/>
      <c r="P28" s="479"/>
      <c r="Q28" s="683"/>
      <c r="R28" s="683"/>
      <c r="S28" s="271"/>
      <c r="T28" s="499" t="e">
        <f ca="1" xml:space="preserve"> _xll.EPMOlapMemberO("[FILA_NOTA].[PARENTH1].[09901008]","","09901008","","000;001;002")</f>
        <v>#NAME?</v>
      </c>
      <c r="U28" s="271"/>
      <c r="V28" s="271"/>
      <c r="W28" s="428">
        <f t="shared" si="4"/>
        <v>0</v>
      </c>
      <c r="X28" s="291"/>
      <c r="Y28" s="526"/>
      <c r="Z28" s="526"/>
      <c r="AA28" s="428">
        <f t="shared" si="5"/>
        <v>0</v>
      </c>
      <c r="AB28" s="526"/>
      <c r="AC28" s="428">
        <f t="shared" si="6"/>
        <v>0</v>
      </c>
      <c r="AD28" s="271"/>
      <c r="AE28" s="271"/>
      <c r="AF28" s="428">
        <f t="shared" si="7"/>
        <v>0</v>
      </c>
      <c r="AG28" s="526"/>
      <c r="AH28" s="526"/>
      <c r="AI28" s="526"/>
      <c r="AJ28" s="526"/>
      <c r="AK28" s="234"/>
      <c r="AL28" s="433"/>
      <c r="AM28" s="433"/>
      <c r="AN28" s="416" t="e">
        <f ca="1">_xll.EPMSaveComment(C28,,B28,C$19)</f>
        <v>#NAME?</v>
      </c>
      <c r="AO28" s="416" t="e">
        <f ca="1">_xll.EPMSaveComment(D28,,B28,D$19)</f>
        <v>#NAME?</v>
      </c>
      <c r="AP28" s="416" t="e">
        <f ca="1">_xll.EPMSaveComment(E28,,B28,E$19)</f>
        <v>#NAME?</v>
      </c>
      <c r="AQ28" s="416" t="e">
        <f ca="1">_xll.EPMSaveComment(F28,,$B28,F$19)</f>
        <v>#NAME?</v>
      </c>
      <c r="AR28" s="416" t="e">
        <f ca="1">_xll.EPMSaveComment(#REF!,,$B28,G$19)</f>
        <v>#NAME?</v>
      </c>
      <c r="AS28" s="416" t="e">
        <f ca="1">_xll.EPMSaveComment(H28,,$B28,H$19)</f>
        <v>#NAME?</v>
      </c>
      <c r="AT28" s="416" t="e">
        <f ca="1">_xll.EPMSaveData(I28,,I$19,$B28)</f>
        <v>#NAME?</v>
      </c>
      <c r="AU28" s="416" t="e">
        <f ca="1">_xll.EPMSaveComment(J28,,$B28,J$19)</f>
        <v>#NAME?</v>
      </c>
      <c r="AV28" s="416" t="e">
        <f ca="1">_xll.EPMSaveComment(K28,,$B28,K$19)</f>
        <v>#NAME?</v>
      </c>
      <c r="AW28" s="416" t="e">
        <f ca="1">_xll.EPMSaveComment(L28,,$B28,L$19)</f>
        <v>#NAME?</v>
      </c>
      <c r="AX28" s="416" t="e">
        <f ca="1">_xll.EPMSaveComment(M28,,$B28,M$19)</f>
        <v>#NAME?</v>
      </c>
      <c r="AY28" s="416" t="e">
        <f ca="1">_xll.EPMSaveComment(N28,,$B28,N$19)</f>
        <v>#NAME?</v>
      </c>
      <c r="AZ28" s="416" t="e">
        <f ca="1">_xll.EPMSaveData(O28,,O$19,$B28)</f>
        <v>#NAME?</v>
      </c>
      <c r="BA28" s="416" t="e">
        <f ca="1">_xll.EPMSaveComment(P28,,$B28,P$19)</f>
        <v>#NAME?</v>
      </c>
      <c r="BB28" s="416" t="e">
        <f ca="1">_xll.EPMSaveComment(Q28,,$B28,Q$19)</f>
        <v>#NAME?</v>
      </c>
      <c r="BC28" s="416" t="e">
        <f ca="1">_xll.EPMSaveComment(R28,,$B28,R$19)</f>
        <v>#NAME?</v>
      </c>
      <c r="BD28" s="416" t="e">
        <f ca="1">_xll.EPMSaveData(S28,,$F$19,$B28)</f>
        <v>#NAME?</v>
      </c>
      <c r="BE28" s="416" t="e">
        <f ca="1">_xll.EPMSaveComment(AK28,,B28,AF$15)</f>
        <v>#NAME?</v>
      </c>
      <c r="BF28" s="416"/>
      <c r="BG28" s="416"/>
      <c r="BH28" s="157" t="str">
        <f t="shared" si="8"/>
        <v>Ok</v>
      </c>
      <c r="BI28" s="347">
        <f t="shared" si="9"/>
        <v>0</v>
      </c>
      <c r="BK28" s="160" t="str">
        <f t="shared" si="10"/>
        <v/>
      </c>
    </row>
    <row r="29" spans="1:63">
      <c r="A29" s="179"/>
      <c r="B29" s="580" t="s">
        <v>250</v>
      </c>
      <c r="C29" s="479"/>
      <c r="D29" s="479"/>
      <c r="E29" s="97" t="str">
        <f t="shared" si="0"/>
        <v/>
      </c>
      <c r="F29" s="479"/>
      <c r="G29" s="97" t="str">
        <f t="shared" si="3"/>
        <v/>
      </c>
      <c r="H29" s="479"/>
      <c r="I29" s="182"/>
      <c r="J29" s="479"/>
      <c r="K29" s="110" t="str">
        <f t="shared" si="1"/>
        <v/>
      </c>
      <c r="L29" s="479"/>
      <c r="M29" s="96" t="str">
        <f t="shared" si="2"/>
        <v/>
      </c>
      <c r="N29" s="479"/>
      <c r="O29" s="515"/>
      <c r="P29" s="479"/>
      <c r="Q29" s="683"/>
      <c r="R29" s="683"/>
      <c r="S29" s="271"/>
      <c r="T29" s="499" t="e">
        <f ca="1" xml:space="preserve"> _xll.EPMOlapMemberO("[FILA_NOTA].[PARENTH1].[09901009]","","09901009","","000;001;002")</f>
        <v>#NAME?</v>
      </c>
      <c r="U29" s="271"/>
      <c r="V29" s="271"/>
      <c r="W29" s="428">
        <f t="shared" si="4"/>
        <v>0</v>
      </c>
      <c r="X29" s="291"/>
      <c r="Y29" s="526"/>
      <c r="Z29" s="526"/>
      <c r="AA29" s="428">
        <f t="shared" si="5"/>
        <v>0</v>
      </c>
      <c r="AB29" s="526"/>
      <c r="AC29" s="428">
        <f t="shared" si="6"/>
        <v>0</v>
      </c>
      <c r="AD29" s="271"/>
      <c r="AE29" s="271"/>
      <c r="AF29" s="428">
        <f t="shared" si="7"/>
        <v>0</v>
      </c>
      <c r="AG29" s="526"/>
      <c r="AH29" s="526"/>
      <c r="AI29" s="526"/>
      <c r="AJ29" s="526"/>
      <c r="AK29" s="234"/>
      <c r="AL29" s="433"/>
      <c r="AM29" s="433"/>
      <c r="AN29" s="416" t="e">
        <f ca="1">_xll.EPMSaveComment(C29,,B29,C$19)</f>
        <v>#NAME?</v>
      </c>
      <c r="AO29" s="416" t="e">
        <f ca="1">_xll.EPMSaveComment(D29,,B29,D$19)</f>
        <v>#NAME?</v>
      </c>
      <c r="AP29" s="416" t="e">
        <f ca="1">_xll.EPMSaveComment(E29,,B29,E$19)</f>
        <v>#NAME?</v>
      </c>
      <c r="AQ29" s="416" t="e">
        <f ca="1">_xll.EPMSaveComment(F29,,$B29,F$19)</f>
        <v>#NAME?</v>
      </c>
      <c r="AR29" s="416" t="e">
        <f ca="1">_xll.EPMSaveComment(#REF!,,$B29,G$19)</f>
        <v>#NAME?</v>
      </c>
      <c r="AS29" s="416" t="e">
        <f ca="1">_xll.EPMSaveComment(H29,,$B29,H$19)</f>
        <v>#NAME?</v>
      </c>
      <c r="AT29" s="416" t="e">
        <f ca="1">_xll.EPMSaveData(I29,,I$19,$B29)</f>
        <v>#NAME?</v>
      </c>
      <c r="AU29" s="416" t="e">
        <f ca="1">_xll.EPMSaveComment(J29,,$B29,J$19)</f>
        <v>#NAME?</v>
      </c>
      <c r="AV29" s="416" t="e">
        <f ca="1">_xll.EPMSaveComment(K29,,$B29,K$19)</f>
        <v>#NAME?</v>
      </c>
      <c r="AW29" s="416" t="e">
        <f ca="1">_xll.EPMSaveComment(L29,,$B29,L$19)</f>
        <v>#NAME?</v>
      </c>
      <c r="AX29" s="416" t="e">
        <f ca="1">_xll.EPMSaveComment(M29,,$B29,M$19)</f>
        <v>#NAME?</v>
      </c>
      <c r="AY29" s="416" t="e">
        <f ca="1">_xll.EPMSaveComment(N29,,$B29,N$19)</f>
        <v>#NAME?</v>
      </c>
      <c r="AZ29" s="416" t="e">
        <f ca="1">_xll.EPMSaveData(O29,,O$19,$B29)</f>
        <v>#NAME?</v>
      </c>
      <c r="BA29" s="416" t="e">
        <f ca="1">_xll.EPMSaveComment(P29,,$B29,P$19)</f>
        <v>#NAME?</v>
      </c>
      <c r="BB29" s="416" t="e">
        <f ca="1">_xll.EPMSaveComment(Q29,,$B29,Q$19)</f>
        <v>#NAME?</v>
      </c>
      <c r="BC29" s="416" t="e">
        <f ca="1">_xll.EPMSaveComment(R29,,$B29,R$19)</f>
        <v>#NAME?</v>
      </c>
      <c r="BD29" s="416" t="e">
        <f ca="1">_xll.EPMSaveData(S29,,$F$19,$B29)</f>
        <v>#NAME?</v>
      </c>
      <c r="BE29" s="416" t="e">
        <f ca="1">_xll.EPMSaveComment(AK29,,B29,AF$15)</f>
        <v>#NAME?</v>
      </c>
      <c r="BF29" s="416"/>
      <c r="BG29" s="416"/>
      <c r="BH29" s="157" t="str">
        <f t="shared" si="8"/>
        <v>Ok</v>
      </c>
      <c r="BI29" s="347">
        <f t="shared" si="9"/>
        <v>0</v>
      </c>
      <c r="BK29" s="160" t="str">
        <f t="shared" si="10"/>
        <v/>
      </c>
    </row>
    <row r="30" spans="1:63">
      <c r="A30" s="179"/>
      <c r="B30" s="580" t="s">
        <v>251</v>
      </c>
      <c r="C30" s="479"/>
      <c r="D30" s="479"/>
      <c r="E30" s="97" t="str">
        <f t="shared" si="0"/>
        <v/>
      </c>
      <c r="F30" s="479"/>
      <c r="G30" s="97" t="str">
        <f t="shared" si="3"/>
        <v/>
      </c>
      <c r="H30" s="479"/>
      <c r="I30" s="182"/>
      <c r="J30" s="479"/>
      <c r="K30" s="110" t="str">
        <f t="shared" si="1"/>
        <v/>
      </c>
      <c r="L30" s="479"/>
      <c r="M30" s="96" t="str">
        <f t="shared" si="2"/>
        <v/>
      </c>
      <c r="N30" s="479"/>
      <c r="O30" s="515"/>
      <c r="P30" s="479"/>
      <c r="Q30" s="683"/>
      <c r="R30" s="683"/>
      <c r="S30" s="271"/>
      <c r="T30" s="499" t="e">
        <f ca="1" xml:space="preserve"> _xll.EPMOlapMemberO("[FILA_NOTA].[PARENTH1].[09901010]","","09901010","","000;001;002")</f>
        <v>#NAME?</v>
      </c>
      <c r="U30" s="271"/>
      <c r="V30" s="271"/>
      <c r="W30" s="428">
        <f t="shared" si="4"/>
        <v>0</v>
      </c>
      <c r="X30" s="291"/>
      <c r="Y30" s="526"/>
      <c r="Z30" s="526"/>
      <c r="AA30" s="428">
        <f t="shared" si="5"/>
        <v>0</v>
      </c>
      <c r="AB30" s="526"/>
      <c r="AC30" s="428">
        <f t="shared" si="6"/>
        <v>0</v>
      </c>
      <c r="AD30" s="271"/>
      <c r="AE30" s="271"/>
      <c r="AF30" s="428">
        <f t="shared" si="7"/>
        <v>0</v>
      </c>
      <c r="AG30" s="526"/>
      <c r="AH30" s="526"/>
      <c r="AI30" s="526"/>
      <c r="AJ30" s="526"/>
      <c r="AK30" s="234"/>
      <c r="AL30" s="433"/>
      <c r="AM30" s="433"/>
      <c r="AN30" s="416" t="e">
        <f ca="1">_xll.EPMSaveComment(C30,,B30,C$19)</f>
        <v>#NAME?</v>
      </c>
      <c r="AO30" s="416" t="e">
        <f ca="1">_xll.EPMSaveComment(D30,,B30,D$19)</f>
        <v>#NAME?</v>
      </c>
      <c r="AP30" s="416" t="e">
        <f ca="1">_xll.EPMSaveComment(E30,,B30,E$19)</f>
        <v>#NAME?</v>
      </c>
      <c r="AQ30" s="416" t="e">
        <f ca="1">_xll.EPMSaveComment(F30,,$B30,F$19)</f>
        <v>#NAME?</v>
      </c>
      <c r="AR30" s="416" t="e">
        <f ca="1">_xll.EPMSaveComment(#REF!,,$B30,G$19)</f>
        <v>#NAME?</v>
      </c>
      <c r="AS30" s="416" t="e">
        <f ca="1">_xll.EPMSaveComment(H30,,$B30,H$19)</f>
        <v>#NAME?</v>
      </c>
      <c r="AT30" s="416" t="e">
        <f ca="1">_xll.EPMSaveData(I30,,I$19,$B30)</f>
        <v>#NAME?</v>
      </c>
      <c r="AU30" s="416" t="e">
        <f ca="1">_xll.EPMSaveComment(J30,,$B30,J$19)</f>
        <v>#NAME?</v>
      </c>
      <c r="AV30" s="416" t="e">
        <f ca="1">_xll.EPMSaveComment(K30,,$B30,K$19)</f>
        <v>#NAME?</v>
      </c>
      <c r="AW30" s="416" t="e">
        <f ca="1">_xll.EPMSaveComment(L30,,$B30,L$19)</f>
        <v>#NAME?</v>
      </c>
      <c r="AX30" s="416" t="e">
        <f ca="1">_xll.EPMSaveComment(M30,,$B30,M$19)</f>
        <v>#NAME?</v>
      </c>
      <c r="AY30" s="416" t="e">
        <f ca="1">_xll.EPMSaveComment(N30,,$B30,N$19)</f>
        <v>#NAME?</v>
      </c>
      <c r="AZ30" s="416" t="e">
        <f ca="1">_xll.EPMSaveData(O30,,O$19,$B30)</f>
        <v>#NAME?</v>
      </c>
      <c r="BA30" s="416" t="e">
        <f ca="1">_xll.EPMSaveComment(P30,,$B30,P$19)</f>
        <v>#NAME?</v>
      </c>
      <c r="BB30" s="416" t="e">
        <f ca="1">_xll.EPMSaveComment(Q30,,$B30,Q$19)</f>
        <v>#NAME?</v>
      </c>
      <c r="BC30" s="416" t="e">
        <f ca="1">_xll.EPMSaveComment(R30,,$B30,R$19)</f>
        <v>#NAME?</v>
      </c>
      <c r="BD30" s="416" t="e">
        <f ca="1">_xll.EPMSaveData(S30,,$F$19,$B30)</f>
        <v>#NAME?</v>
      </c>
      <c r="BE30" s="416" t="e">
        <f ca="1">_xll.EPMSaveComment(AK30,,B30,AF$15)</f>
        <v>#NAME?</v>
      </c>
      <c r="BF30" s="416"/>
      <c r="BG30" s="416"/>
      <c r="BH30" s="157" t="str">
        <f t="shared" si="8"/>
        <v>Ok</v>
      </c>
      <c r="BI30" s="347">
        <f t="shared" si="9"/>
        <v>0</v>
      </c>
      <c r="BK30" s="160" t="str">
        <f t="shared" si="10"/>
        <v/>
      </c>
    </row>
    <row r="31" spans="1:63">
      <c r="A31" s="179"/>
      <c r="B31" s="580" t="s">
        <v>252</v>
      </c>
      <c r="C31" s="479"/>
      <c r="D31" s="224"/>
      <c r="E31" s="97" t="str">
        <f t="shared" si="0"/>
        <v/>
      </c>
      <c r="F31" s="183"/>
      <c r="G31" s="97" t="str">
        <f t="shared" si="3"/>
        <v/>
      </c>
      <c r="H31" s="307"/>
      <c r="I31" s="182"/>
      <c r="J31" s="184"/>
      <c r="K31" s="110" t="str">
        <f t="shared" si="1"/>
        <v/>
      </c>
      <c r="L31" s="184"/>
      <c r="M31" s="96" t="str">
        <f t="shared" si="2"/>
        <v/>
      </c>
      <c r="N31" s="184"/>
      <c r="O31" s="515"/>
      <c r="P31" s="184"/>
      <c r="Q31" s="185"/>
      <c r="R31" s="185"/>
      <c r="S31" s="271"/>
      <c r="T31" s="499" t="e">
        <f ca="1" xml:space="preserve"> _xll.EPMOlapMemberO("[FILA_NOTA].[PARENTH1].[09901011]","","09901011","","000;001;002")</f>
        <v>#NAME?</v>
      </c>
      <c r="U31" s="271"/>
      <c r="V31" s="271"/>
      <c r="W31" s="428">
        <f t="shared" si="4"/>
        <v>0</v>
      </c>
      <c r="X31" s="291"/>
      <c r="Y31" s="526"/>
      <c r="Z31" s="526"/>
      <c r="AA31" s="428">
        <f t="shared" si="5"/>
        <v>0</v>
      </c>
      <c r="AB31" s="526"/>
      <c r="AC31" s="428">
        <f t="shared" si="6"/>
        <v>0</v>
      </c>
      <c r="AD31" s="271"/>
      <c r="AE31" s="271"/>
      <c r="AF31" s="428">
        <f t="shared" si="7"/>
        <v>0</v>
      </c>
      <c r="AG31" s="526"/>
      <c r="AH31" s="526"/>
      <c r="AI31" s="526"/>
      <c r="AJ31" s="526"/>
      <c r="AK31" s="234"/>
      <c r="AL31" s="433"/>
      <c r="AM31" s="433"/>
      <c r="AN31" s="416" t="e">
        <f ca="1">_xll.EPMSaveComment(C31,,B31,C$19)</f>
        <v>#NAME?</v>
      </c>
      <c r="AO31" s="416" t="e">
        <f ca="1">_xll.EPMSaveComment(D31,,B31,D$19)</f>
        <v>#NAME?</v>
      </c>
      <c r="AP31" s="416" t="e">
        <f ca="1">_xll.EPMSaveComment(E31,,B31,E$19)</f>
        <v>#NAME?</v>
      </c>
      <c r="AQ31" s="416" t="e">
        <f ca="1">_xll.EPMSaveComment(F31,,$B31,F$19)</f>
        <v>#NAME?</v>
      </c>
      <c r="AR31" s="416" t="e">
        <f ca="1">_xll.EPMSaveComment(#REF!,,$B31,G$19)</f>
        <v>#NAME?</v>
      </c>
      <c r="AS31" s="416" t="e">
        <f ca="1">_xll.EPMSaveComment(H31,,$B31,H$19)</f>
        <v>#NAME?</v>
      </c>
      <c r="AT31" s="416" t="e">
        <f ca="1">_xll.EPMSaveData(I31,,I$19,$B31)</f>
        <v>#NAME?</v>
      </c>
      <c r="AU31" s="416" t="e">
        <f ca="1">_xll.EPMSaveComment(J31,,$B31,J$19)</f>
        <v>#NAME?</v>
      </c>
      <c r="AV31" s="416" t="e">
        <f ca="1">_xll.EPMSaveComment(K31,,$B31,K$19)</f>
        <v>#NAME?</v>
      </c>
      <c r="AW31" s="416" t="e">
        <f ca="1">_xll.EPMSaveComment(L31,,$B31,L$19)</f>
        <v>#NAME?</v>
      </c>
      <c r="AX31" s="416" t="e">
        <f ca="1">_xll.EPMSaveComment(M31,,$B31,M$19)</f>
        <v>#NAME?</v>
      </c>
      <c r="AY31" s="416" t="e">
        <f ca="1">_xll.EPMSaveComment(N31,,$B31,N$19)</f>
        <v>#NAME?</v>
      </c>
      <c r="AZ31" s="416" t="e">
        <f ca="1">_xll.EPMSaveData(O31,,O$19,$B31)</f>
        <v>#NAME?</v>
      </c>
      <c r="BA31" s="416" t="e">
        <f ca="1">_xll.EPMSaveComment(P31,,$B31,P$19)</f>
        <v>#NAME?</v>
      </c>
      <c r="BB31" s="416" t="e">
        <f ca="1">_xll.EPMSaveComment(Q31,,$B31,Q$19)</f>
        <v>#NAME?</v>
      </c>
      <c r="BC31" s="416" t="e">
        <f ca="1">_xll.EPMSaveComment(R31,,$B31,R$19)</f>
        <v>#NAME?</v>
      </c>
      <c r="BD31" s="416" t="e">
        <f ca="1">_xll.EPMSaveData(S31,,$F$19,$B31)</f>
        <v>#NAME?</v>
      </c>
      <c r="BE31" s="416" t="e">
        <f ca="1">_xll.EPMSaveComment(AK31,,B31,AF$15)</f>
        <v>#NAME?</v>
      </c>
      <c r="BF31" s="416"/>
      <c r="BG31" s="416"/>
      <c r="BH31" s="157" t="str">
        <f t="shared" si="8"/>
        <v>Ok</v>
      </c>
      <c r="BI31" s="347">
        <f t="shared" si="9"/>
        <v>0</v>
      </c>
      <c r="BK31" s="160" t="str">
        <f t="shared" si="10"/>
        <v/>
      </c>
    </row>
    <row r="32" spans="1:63">
      <c r="A32" s="179"/>
      <c r="B32" s="580" t="s">
        <v>253</v>
      </c>
      <c r="C32" s="479"/>
      <c r="D32" s="224"/>
      <c r="E32" s="97" t="str">
        <f t="shared" si="0"/>
        <v/>
      </c>
      <c r="F32" s="183"/>
      <c r="G32" s="97" t="str">
        <f t="shared" si="3"/>
        <v/>
      </c>
      <c r="H32" s="307"/>
      <c r="I32" s="182"/>
      <c r="J32" s="184"/>
      <c r="K32" s="110" t="str">
        <f t="shared" si="1"/>
        <v/>
      </c>
      <c r="L32" s="184"/>
      <c r="M32" s="96" t="str">
        <f t="shared" si="2"/>
        <v/>
      </c>
      <c r="N32" s="184"/>
      <c r="O32" s="515"/>
      <c r="P32" s="184"/>
      <c r="Q32" s="185"/>
      <c r="R32" s="185"/>
      <c r="S32" s="271"/>
      <c r="T32" s="499" t="e">
        <f ca="1" xml:space="preserve"> _xll.EPMOlapMemberO("[FILA_NOTA].[PARENTH1].[09901012]","","09901012","","000;001;002")</f>
        <v>#NAME?</v>
      </c>
      <c r="U32" s="271"/>
      <c r="V32" s="271"/>
      <c r="W32" s="428">
        <f t="shared" si="4"/>
        <v>0</v>
      </c>
      <c r="X32" s="291"/>
      <c r="Y32" s="526"/>
      <c r="Z32" s="526"/>
      <c r="AA32" s="428">
        <f t="shared" si="5"/>
        <v>0</v>
      </c>
      <c r="AB32" s="526"/>
      <c r="AC32" s="428">
        <f t="shared" si="6"/>
        <v>0</v>
      </c>
      <c r="AD32" s="271"/>
      <c r="AE32" s="271"/>
      <c r="AF32" s="428">
        <f t="shared" si="7"/>
        <v>0</v>
      </c>
      <c r="AG32" s="526"/>
      <c r="AH32" s="526"/>
      <c r="AI32" s="526"/>
      <c r="AJ32" s="526"/>
      <c r="AK32" s="234"/>
      <c r="AL32" s="433"/>
      <c r="AM32" s="433"/>
      <c r="AN32" s="416" t="e">
        <f ca="1">_xll.EPMSaveComment(C32,,B32,C$19)</f>
        <v>#NAME?</v>
      </c>
      <c r="AO32" s="416" t="e">
        <f ca="1">_xll.EPMSaveComment(D32,,B32,D$19)</f>
        <v>#NAME?</v>
      </c>
      <c r="AP32" s="416" t="e">
        <f ca="1">_xll.EPMSaveComment(E32,,B32,E$19)</f>
        <v>#NAME?</v>
      </c>
      <c r="AQ32" s="416" t="e">
        <f ca="1">_xll.EPMSaveComment(F32,,$B32,F$19)</f>
        <v>#NAME?</v>
      </c>
      <c r="AR32" s="416" t="e">
        <f ca="1">_xll.EPMSaveComment(#REF!,,$B32,G$19)</f>
        <v>#NAME?</v>
      </c>
      <c r="AS32" s="416" t="e">
        <f ca="1">_xll.EPMSaveComment(H32,,$B32,H$19)</f>
        <v>#NAME?</v>
      </c>
      <c r="AT32" s="416" t="e">
        <f ca="1">_xll.EPMSaveData(I32,,I$19,$B32)</f>
        <v>#NAME?</v>
      </c>
      <c r="AU32" s="416" t="e">
        <f ca="1">_xll.EPMSaveComment(J32,,$B32,J$19)</f>
        <v>#NAME?</v>
      </c>
      <c r="AV32" s="416" t="e">
        <f ca="1">_xll.EPMSaveComment(K32,,$B32,K$19)</f>
        <v>#NAME?</v>
      </c>
      <c r="AW32" s="416" t="e">
        <f ca="1">_xll.EPMSaveComment(L32,,$B32,L$19)</f>
        <v>#NAME?</v>
      </c>
      <c r="AX32" s="416" t="e">
        <f ca="1">_xll.EPMSaveComment(M32,,$B32,M$19)</f>
        <v>#NAME?</v>
      </c>
      <c r="AY32" s="416" t="e">
        <f ca="1">_xll.EPMSaveComment(N32,,$B32,N$19)</f>
        <v>#NAME?</v>
      </c>
      <c r="AZ32" s="416" t="e">
        <f ca="1">_xll.EPMSaveData(O32,,O$19,$B32)</f>
        <v>#NAME?</v>
      </c>
      <c r="BA32" s="416" t="e">
        <f ca="1">_xll.EPMSaveComment(P32,,$B32,P$19)</f>
        <v>#NAME?</v>
      </c>
      <c r="BB32" s="416" t="e">
        <f ca="1">_xll.EPMSaveComment(Q32,,$B32,Q$19)</f>
        <v>#NAME?</v>
      </c>
      <c r="BC32" s="416" t="e">
        <f ca="1">_xll.EPMSaveComment(R32,,$B32,R$19)</f>
        <v>#NAME?</v>
      </c>
      <c r="BD32" s="416" t="e">
        <f ca="1">_xll.EPMSaveData(S32,,$F$19,$B32)</f>
        <v>#NAME?</v>
      </c>
      <c r="BE32" s="416" t="e">
        <f ca="1">_xll.EPMSaveComment(AK32,,B32,AF$15)</f>
        <v>#NAME?</v>
      </c>
      <c r="BF32" s="416"/>
      <c r="BG32" s="416"/>
      <c r="BH32" s="157" t="str">
        <f t="shared" si="8"/>
        <v>Ok</v>
      </c>
      <c r="BI32" s="347">
        <f t="shared" si="9"/>
        <v>0</v>
      </c>
      <c r="BK32" s="160" t="str">
        <f t="shared" si="10"/>
        <v/>
      </c>
    </row>
    <row r="33" spans="1:63">
      <c r="A33" s="179"/>
      <c r="B33" s="580" t="s">
        <v>254</v>
      </c>
      <c r="C33" s="479"/>
      <c r="D33" s="224"/>
      <c r="E33" s="97" t="str">
        <f t="shared" si="0"/>
        <v/>
      </c>
      <c r="F33" s="183"/>
      <c r="G33" s="97" t="str">
        <f t="shared" si="3"/>
        <v/>
      </c>
      <c r="H33" s="307"/>
      <c r="I33" s="182"/>
      <c r="J33" s="184"/>
      <c r="K33" s="110" t="str">
        <f t="shared" si="1"/>
        <v/>
      </c>
      <c r="L33" s="184"/>
      <c r="M33" s="96" t="str">
        <f t="shared" si="2"/>
        <v/>
      </c>
      <c r="N33" s="184"/>
      <c r="O33" s="515"/>
      <c r="P33" s="184"/>
      <c r="Q33" s="185"/>
      <c r="R33" s="185"/>
      <c r="S33" s="271"/>
      <c r="T33" s="499" t="e">
        <f ca="1" xml:space="preserve"> _xll.EPMOlapMemberO("[FILA_NOTA].[PARENTH1].[09901013]","","09901013","","000;001;002")</f>
        <v>#NAME?</v>
      </c>
      <c r="U33" s="271"/>
      <c r="V33" s="271"/>
      <c r="W33" s="428">
        <f t="shared" si="4"/>
        <v>0</v>
      </c>
      <c r="X33" s="291"/>
      <c r="Y33" s="526"/>
      <c r="Z33" s="526"/>
      <c r="AA33" s="428">
        <f t="shared" si="5"/>
        <v>0</v>
      </c>
      <c r="AB33" s="526"/>
      <c r="AC33" s="428">
        <f t="shared" si="6"/>
        <v>0</v>
      </c>
      <c r="AD33" s="271"/>
      <c r="AE33" s="271"/>
      <c r="AF33" s="428">
        <f t="shared" si="7"/>
        <v>0</v>
      </c>
      <c r="AG33" s="526"/>
      <c r="AH33" s="526"/>
      <c r="AI33" s="526"/>
      <c r="AJ33" s="526"/>
      <c r="AK33" s="234"/>
      <c r="AL33" s="433"/>
      <c r="AM33" s="433"/>
      <c r="AN33" s="416" t="e">
        <f ca="1">_xll.EPMSaveComment(C33,,B33,C$19)</f>
        <v>#NAME?</v>
      </c>
      <c r="AO33" s="416" t="e">
        <f ca="1">_xll.EPMSaveComment(D33,,B33,D$19)</f>
        <v>#NAME?</v>
      </c>
      <c r="AP33" s="416" t="e">
        <f ca="1">_xll.EPMSaveComment(E33,,B33,E$19)</f>
        <v>#NAME?</v>
      </c>
      <c r="AQ33" s="416" t="e">
        <f ca="1">_xll.EPMSaveComment(F33,,$B33,F$19)</f>
        <v>#NAME?</v>
      </c>
      <c r="AR33" s="416" t="e">
        <f ca="1">_xll.EPMSaveComment(#REF!,,$B33,G$19)</f>
        <v>#NAME?</v>
      </c>
      <c r="AS33" s="416" t="e">
        <f ca="1">_xll.EPMSaveComment(H33,,$B33,H$19)</f>
        <v>#NAME?</v>
      </c>
      <c r="AT33" s="416" t="e">
        <f ca="1">_xll.EPMSaveData(I33,,I$19,$B33)</f>
        <v>#NAME?</v>
      </c>
      <c r="AU33" s="416" t="e">
        <f ca="1">_xll.EPMSaveComment(J33,,$B33,J$19)</f>
        <v>#NAME?</v>
      </c>
      <c r="AV33" s="416" t="e">
        <f ca="1">_xll.EPMSaveComment(K33,,$B33,K$19)</f>
        <v>#NAME?</v>
      </c>
      <c r="AW33" s="416" t="e">
        <f ca="1">_xll.EPMSaveComment(L33,,$B33,L$19)</f>
        <v>#NAME?</v>
      </c>
      <c r="AX33" s="416" t="e">
        <f ca="1">_xll.EPMSaveComment(M33,,$B33,M$19)</f>
        <v>#NAME?</v>
      </c>
      <c r="AY33" s="416" t="e">
        <f ca="1">_xll.EPMSaveComment(N33,,$B33,N$19)</f>
        <v>#NAME?</v>
      </c>
      <c r="AZ33" s="416" t="e">
        <f ca="1">_xll.EPMSaveData(O33,,O$19,$B33)</f>
        <v>#NAME?</v>
      </c>
      <c r="BA33" s="416" t="e">
        <f ca="1">_xll.EPMSaveComment(P33,,$B33,P$19)</f>
        <v>#NAME?</v>
      </c>
      <c r="BB33" s="416" t="e">
        <f ca="1">_xll.EPMSaveComment(Q33,,$B33,Q$19)</f>
        <v>#NAME?</v>
      </c>
      <c r="BC33" s="416" t="e">
        <f ca="1">_xll.EPMSaveComment(R33,,$B33,R$19)</f>
        <v>#NAME?</v>
      </c>
      <c r="BD33" s="416" t="e">
        <f ca="1">_xll.EPMSaveData(S33,,$F$19,$B33)</f>
        <v>#NAME?</v>
      </c>
      <c r="BE33" s="416" t="e">
        <f ca="1">_xll.EPMSaveComment(AK33,,B33,AF$15)</f>
        <v>#NAME?</v>
      </c>
      <c r="BF33" s="416"/>
      <c r="BG33" s="416"/>
      <c r="BH33" s="157" t="str">
        <f t="shared" si="8"/>
        <v>Ok</v>
      </c>
      <c r="BI33" s="347">
        <f t="shared" si="9"/>
        <v>0</v>
      </c>
      <c r="BK33" s="160" t="str">
        <f t="shared" si="10"/>
        <v/>
      </c>
    </row>
    <row r="34" spans="1:63">
      <c r="A34" s="179"/>
      <c r="B34" s="580" t="s">
        <v>255</v>
      </c>
      <c r="C34" s="479"/>
      <c r="D34" s="224"/>
      <c r="E34" s="97" t="str">
        <f t="shared" si="0"/>
        <v/>
      </c>
      <c r="F34" s="183"/>
      <c r="G34" s="97" t="str">
        <f t="shared" si="3"/>
        <v/>
      </c>
      <c r="H34" s="307"/>
      <c r="I34" s="182"/>
      <c r="J34" s="184"/>
      <c r="K34" s="110" t="str">
        <f t="shared" si="1"/>
        <v/>
      </c>
      <c r="L34" s="184"/>
      <c r="M34" s="96" t="str">
        <f t="shared" si="2"/>
        <v/>
      </c>
      <c r="N34" s="184"/>
      <c r="O34" s="515"/>
      <c r="P34" s="184"/>
      <c r="Q34" s="185"/>
      <c r="R34" s="185"/>
      <c r="S34" s="271"/>
      <c r="T34" s="499" t="e">
        <f ca="1" xml:space="preserve"> _xll.EPMOlapMemberO("[FILA_NOTA].[PARENTH1].[09901014]","","09901014","","000;001;002")</f>
        <v>#NAME?</v>
      </c>
      <c r="U34" s="271"/>
      <c r="V34" s="271"/>
      <c r="W34" s="428">
        <f t="shared" si="4"/>
        <v>0</v>
      </c>
      <c r="X34" s="291"/>
      <c r="Y34" s="526"/>
      <c r="Z34" s="526"/>
      <c r="AA34" s="428">
        <f t="shared" si="5"/>
        <v>0</v>
      </c>
      <c r="AB34" s="526"/>
      <c r="AC34" s="428">
        <f t="shared" si="6"/>
        <v>0</v>
      </c>
      <c r="AD34" s="271"/>
      <c r="AE34" s="271"/>
      <c r="AF34" s="428">
        <f t="shared" si="7"/>
        <v>0</v>
      </c>
      <c r="AG34" s="526"/>
      <c r="AH34" s="526"/>
      <c r="AI34" s="526"/>
      <c r="AJ34" s="526"/>
      <c r="AK34" s="234"/>
      <c r="AL34" s="433"/>
      <c r="AM34" s="433"/>
      <c r="AN34" s="416" t="e">
        <f ca="1">_xll.EPMSaveComment(C34,,B34,C$19)</f>
        <v>#NAME?</v>
      </c>
      <c r="AO34" s="416" t="e">
        <f ca="1">_xll.EPMSaveComment(D34,,B34,D$19)</f>
        <v>#NAME?</v>
      </c>
      <c r="AP34" s="416" t="e">
        <f ca="1">_xll.EPMSaveComment(E34,,B34,E$19)</f>
        <v>#NAME?</v>
      </c>
      <c r="AQ34" s="416" t="e">
        <f ca="1">_xll.EPMSaveComment(F34,,$B34,F$19)</f>
        <v>#NAME?</v>
      </c>
      <c r="AR34" s="416" t="e">
        <f ca="1">_xll.EPMSaveComment(#REF!,,$B34,G$19)</f>
        <v>#NAME?</v>
      </c>
      <c r="AS34" s="416" t="e">
        <f ca="1">_xll.EPMSaveComment(H34,,$B34,H$19)</f>
        <v>#NAME?</v>
      </c>
      <c r="AT34" s="416" t="e">
        <f ca="1">_xll.EPMSaveData(I34,,I$19,$B34)</f>
        <v>#NAME?</v>
      </c>
      <c r="AU34" s="416" t="e">
        <f ca="1">_xll.EPMSaveComment(J34,,$B34,J$19)</f>
        <v>#NAME?</v>
      </c>
      <c r="AV34" s="416" t="e">
        <f ca="1">_xll.EPMSaveComment(K34,,$B34,K$19)</f>
        <v>#NAME?</v>
      </c>
      <c r="AW34" s="416" t="e">
        <f ca="1">_xll.EPMSaveComment(L34,,$B34,L$19)</f>
        <v>#NAME?</v>
      </c>
      <c r="AX34" s="416" t="e">
        <f ca="1">_xll.EPMSaveComment(M34,,$B34,M$19)</f>
        <v>#NAME?</v>
      </c>
      <c r="AY34" s="416" t="e">
        <f ca="1">_xll.EPMSaveComment(N34,,$B34,N$19)</f>
        <v>#NAME?</v>
      </c>
      <c r="AZ34" s="416" t="e">
        <f ca="1">_xll.EPMSaveData(O34,,O$19,$B34)</f>
        <v>#NAME?</v>
      </c>
      <c r="BA34" s="416" t="e">
        <f ca="1">_xll.EPMSaveComment(P34,,$B34,P$19)</f>
        <v>#NAME?</v>
      </c>
      <c r="BB34" s="416" t="e">
        <f ca="1">_xll.EPMSaveComment(Q34,,$B34,Q$19)</f>
        <v>#NAME?</v>
      </c>
      <c r="BC34" s="416" t="e">
        <f ca="1">_xll.EPMSaveComment(R34,,$B34,R$19)</f>
        <v>#NAME?</v>
      </c>
      <c r="BD34" s="416" t="e">
        <f ca="1">_xll.EPMSaveData(S34,,$F$19,$B34)</f>
        <v>#NAME?</v>
      </c>
      <c r="BE34" s="416" t="e">
        <f ca="1">_xll.EPMSaveComment(AK34,,B34,AF$15)</f>
        <v>#NAME?</v>
      </c>
      <c r="BF34" s="416"/>
      <c r="BG34" s="416"/>
      <c r="BH34" s="157" t="str">
        <f t="shared" si="8"/>
        <v>Ok</v>
      </c>
      <c r="BI34" s="347">
        <f t="shared" si="9"/>
        <v>0</v>
      </c>
      <c r="BK34" s="160" t="str">
        <f t="shared" si="10"/>
        <v/>
      </c>
    </row>
    <row r="35" spans="1:63">
      <c r="A35" s="179"/>
      <c r="B35" s="580" t="s">
        <v>256</v>
      </c>
      <c r="C35" s="479"/>
      <c r="D35" s="224"/>
      <c r="E35" s="97" t="str">
        <f t="shared" si="0"/>
        <v/>
      </c>
      <c r="F35" s="183"/>
      <c r="G35" s="97" t="str">
        <f t="shared" si="3"/>
        <v/>
      </c>
      <c r="H35" s="307"/>
      <c r="I35" s="182"/>
      <c r="J35" s="184"/>
      <c r="K35" s="110" t="str">
        <f t="shared" si="1"/>
        <v/>
      </c>
      <c r="L35" s="184"/>
      <c r="M35" s="96" t="str">
        <f t="shared" si="2"/>
        <v/>
      </c>
      <c r="N35" s="184"/>
      <c r="O35" s="515"/>
      <c r="P35" s="184"/>
      <c r="Q35" s="185"/>
      <c r="R35" s="185"/>
      <c r="S35" s="271"/>
      <c r="T35" s="499" t="e">
        <f ca="1" xml:space="preserve"> _xll.EPMOlapMemberO("[FILA_NOTA].[PARENTH1].[09901015]","","09901015","","000;001;002")</f>
        <v>#NAME?</v>
      </c>
      <c r="U35" s="271"/>
      <c r="V35" s="271"/>
      <c r="W35" s="428">
        <f t="shared" si="4"/>
        <v>0</v>
      </c>
      <c r="X35" s="291"/>
      <c r="Y35" s="526"/>
      <c r="Z35" s="526"/>
      <c r="AA35" s="428">
        <f t="shared" si="5"/>
        <v>0</v>
      </c>
      <c r="AB35" s="526"/>
      <c r="AC35" s="428">
        <f t="shared" si="6"/>
        <v>0</v>
      </c>
      <c r="AD35" s="271"/>
      <c r="AE35" s="271"/>
      <c r="AF35" s="428">
        <f t="shared" si="7"/>
        <v>0</v>
      </c>
      <c r="AG35" s="526"/>
      <c r="AH35" s="526"/>
      <c r="AI35" s="526"/>
      <c r="AJ35" s="526"/>
      <c r="AK35" s="234"/>
      <c r="AL35" s="433"/>
      <c r="AM35" s="433"/>
      <c r="AN35" s="416" t="e">
        <f ca="1">_xll.EPMSaveComment(C35,,B35,C$19)</f>
        <v>#NAME?</v>
      </c>
      <c r="AO35" s="416" t="e">
        <f ca="1">_xll.EPMSaveComment(D35,,B35,D$19)</f>
        <v>#NAME?</v>
      </c>
      <c r="AP35" s="416" t="e">
        <f ca="1">_xll.EPMSaveComment(E35,,B35,E$19)</f>
        <v>#NAME?</v>
      </c>
      <c r="AQ35" s="416" t="e">
        <f ca="1">_xll.EPMSaveComment(F35,,$B35,F$19)</f>
        <v>#NAME?</v>
      </c>
      <c r="AR35" s="416" t="e">
        <f ca="1">_xll.EPMSaveComment(#REF!,,$B35,G$19)</f>
        <v>#NAME?</v>
      </c>
      <c r="AS35" s="416" t="e">
        <f ca="1">_xll.EPMSaveComment(H35,,$B35,H$19)</f>
        <v>#NAME?</v>
      </c>
      <c r="AT35" s="416" t="e">
        <f ca="1">_xll.EPMSaveData(I35,,I$19,$B35)</f>
        <v>#NAME?</v>
      </c>
      <c r="AU35" s="416" t="e">
        <f ca="1">_xll.EPMSaveComment(J35,,$B35,J$19)</f>
        <v>#NAME?</v>
      </c>
      <c r="AV35" s="416" t="e">
        <f ca="1">_xll.EPMSaveComment(K35,,$B35,K$19)</f>
        <v>#NAME?</v>
      </c>
      <c r="AW35" s="416" t="e">
        <f ca="1">_xll.EPMSaveComment(L35,,$B35,L$19)</f>
        <v>#NAME?</v>
      </c>
      <c r="AX35" s="416" t="e">
        <f ca="1">_xll.EPMSaveComment(M35,,$B35,M$19)</f>
        <v>#NAME?</v>
      </c>
      <c r="AY35" s="416" t="e">
        <f ca="1">_xll.EPMSaveComment(N35,,$B35,N$19)</f>
        <v>#NAME?</v>
      </c>
      <c r="AZ35" s="416" t="e">
        <f ca="1">_xll.EPMSaveData(O35,,O$19,$B35)</f>
        <v>#NAME?</v>
      </c>
      <c r="BA35" s="416" t="e">
        <f ca="1">_xll.EPMSaveComment(P35,,$B35,P$19)</f>
        <v>#NAME?</v>
      </c>
      <c r="BB35" s="416" t="e">
        <f ca="1">_xll.EPMSaveComment(Q35,,$B35,Q$19)</f>
        <v>#NAME?</v>
      </c>
      <c r="BC35" s="416" t="e">
        <f ca="1">_xll.EPMSaveComment(R35,,$B35,R$19)</f>
        <v>#NAME?</v>
      </c>
      <c r="BD35" s="416" t="e">
        <f ca="1">_xll.EPMSaveData(S35,,$F$19,$B35)</f>
        <v>#NAME?</v>
      </c>
      <c r="BE35" s="416" t="e">
        <f ca="1">_xll.EPMSaveComment(AK35,,B35,AF$15)</f>
        <v>#NAME?</v>
      </c>
      <c r="BF35" s="416"/>
      <c r="BG35" s="416"/>
      <c r="BH35" s="157" t="str">
        <f t="shared" si="8"/>
        <v>Ok</v>
      </c>
      <c r="BI35" s="347">
        <f t="shared" si="9"/>
        <v>0</v>
      </c>
      <c r="BK35" s="160" t="str">
        <f t="shared" si="10"/>
        <v/>
      </c>
    </row>
    <row r="36" spans="1:63">
      <c r="A36" s="179"/>
      <c r="B36" s="580" t="s">
        <v>257</v>
      </c>
      <c r="C36" s="479"/>
      <c r="D36" s="224"/>
      <c r="E36" s="97" t="str">
        <f t="shared" si="0"/>
        <v/>
      </c>
      <c r="F36" s="183"/>
      <c r="G36" s="97" t="str">
        <f t="shared" si="3"/>
        <v/>
      </c>
      <c r="H36" s="307"/>
      <c r="I36" s="182"/>
      <c r="J36" s="184"/>
      <c r="K36" s="110" t="str">
        <f t="shared" si="1"/>
        <v/>
      </c>
      <c r="L36" s="184"/>
      <c r="M36" s="96" t="str">
        <f t="shared" si="2"/>
        <v/>
      </c>
      <c r="N36" s="184"/>
      <c r="O36" s="515"/>
      <c r="P36" s="184"/>
      <c r="Q36" s="185"/>
      <c r="R36" s="185"/>
      <c r="S36" s="271"/>
      <c r="T36" s="499" t="e">
        <f ca="1" xml:space="preserve"> _xll.EPMOlapMemberO("[FILA_NOTA].[PARENTH1].[09901016]","","09901016","","000;001;002")</f>
        <v>#NAME?</v>
      </c>
      <c r="U36" s="271"/>
      <c r="V36" s="271"/>
      <c r="W36" s="428">
        <f t="shared" si="4"/>
        <v>0</v>
      </c>
      <c r="X36" s="291"/>
      <c r="Y36" s="526"/>
      <c r="Z36" s="526"/>
      <c r="AA36" s="428">
        <f t="shared" si="5"/>
        <v>0</v>
      </c>
      <c r="AB36" s="526"/>
      <c r="AC36" s="428">
        <f t="shared" si="6"/>
        <v>0</v>
      </c>
      <c r="AD36" s="271"/>
      <c r="AE36" s="271"/>
      <c r="AF36" s="428">
        <f t="shared" si="7"/>
        <v>0</v>
      </c>
      <c r="AG36" s="526"/>
      <c r="AH36" s="526"/>
      <c r="AI36" s="526"/>
      <c r="AJ36" s="526"/>
      <c r="AK36" s="234"/>
      <c r="AL36" s="433"/>
      <c r="AM36" s="433"/>
      <c r="AN36" s="416" t="e">
        <f ca="1">_xll.EPMSaveComment(C36,,B36,C$19)</f>
        <v>#NAME?</v>
      </c>
      <c r="AO36" s="416" t="e">
        <f ca="1">_xll.EPMSaveComment(D36,,B36,D$19)</f>
        <v>#NAME?</v>
      </c>
      <c r="AP36" s="416" t="e">
        <f ca="1">_xll.EPMSaveComment(E36,,B36,E$19)</f>
        <v>#NAME?</v>
      </c>
      <c r="AQ36" s="416" t="e">
        <f ca="1">_xll.EPMSaveComment(F36,,$B36,F$19)</f>
        <v>#NAME?</v>
      </c>
      <c r="AR36" s="416" t="e">
        <f ca="1">_xll.EPMSaveComment(#REF!,,$B36,G$19)</f>
        <v>#NAME?</v>
      </c>
      <c r="AS36" s="416" t="e">
        <f ca="1">_xll.EPMSaveComment(H36,,$B36,H$19)</f>
        <v>#NAME?</v>
      </c>
      <c r="AT36" s="416" t="e">
        <f ca="1">_xll.EPMSaveData(I36,,I$19,$B36)</f>
        <v>#NAME?</v>
      </c>
      <c r="AU36" s="416" t="e">
        <f ca="1">_xll.EPMSaveComment(J36,,$B36,J$19)</f>
        <v>#NAME?</v>
      </c>
      <c r="AV36" s="416" t="e">
        <f ca="1">_xll.EPMSaveComment(K36,,$B36,K$19)</f>
        <v>#NAME?</v>
      </c>
      <c r="AW36" s="416" t="e">
        <f ca="1">_xll.EPMSaveComment(L36,,$B36,L$19)</f>
        <v>#NAME?</v>
      </c>
      <c r="AX36" s="416" t="e">
        <f ca="1">_xll.EPMSaveComment(M36,,$B36,M$19)</f>
        <v>#NAME?</v>
      </c>
      <c r="AY36" s="416" t="e">
        <f ca="1">_xll.EPMSaveComment(N36,,$B36,N$19)</f>
        <v>#NAME?</v>
      </c>
      <c r="AZ36" s="416" t="e">
        <f ca="1">_xll.EPMSaveData(O36,,O$19,$B36)</f>
        <v>#NAME?</v>
      </c>
      <c r="BA36" s="416" t="e">
        <f ca="1">_xll.EPMSaveComment(P36,,$B36,P$19)</f>
        <v>#NAME?</v>
      </c>
      <c r="BB36" s="416" t="e">
        <f ca="1">_xll.EPMSaveComment(Q36,,$B36,Q$19)</f>
        <v>#NAME?</v>
      </c>
      <c r="BC36" s="416" t="e">
        <f ca="1">_xll.EPMSaveComment(R36,,$B36,R$19)</f>
        <v>#NAME?</v>
      </c>
      <c r="BD36" s="416" t="e">
        <f ca="1">_xll.EPMSaveData(S36,,$F$19,$B36)</f>
        <v>#NAME?</v>
      </c>
      <c r="BE36" s="416" t="e">
        <f ca="1">_xll.EPMSaveComment(AK36,,B36,AF$15)</f>
        <v>#NAME?</v>
      </c>
      <c r="BF36" s="416"/>
      <c r="BG36" s="416"/>
      <c r="BH36" s="157" t="str">
        <f t="shared" si="8"/>
        <v>Ok</v>
      </c>
      <c r="BI36" s="347">
        <f t="shared" si="9"/>
        <v>0</v>
      </c>
      <c r="BK36" s="160" t="str">
        <f t="shared" si="10"/>
        <v/>
      </c>
    </row>
    <row r="37" spans="1:63">
      <c r="A37" s="179"/>
      <c r="B37" s="580" t="s">
        <v>258</v>
      </c>
      <c r="C37" s="479"/>
      <c r="D37" s="224"/>
      <c r="E37" s="97" t="str">
        <f t="shared" si="0"/>
        <v/>
      </c>
      <c r="F37" s="183"/>
      <c r="G37" s="97" t="str">
        <f t="shared" si="3"/>
        <v/>
      </c>
      <c r="H37" s="307"/>
      <c r="I37" s="182"/>
      <c r="J37" s="184"/>
      <c r="K37" s="110" t="str">
        <f t="shared" si="1"/>
        <v/>
      </c>
      <c r="L37" s="184"/>
      <c r="M37" s="96" t="str">
        <f t="shared" si="2"/>
        <v/>
      </c>
      <c r="N37" s="184"/>
      <c r="O37" s="515"/>
      <c r="P37" s="184"/>
      <c r="Q37" s="185"/>
      <c r="R37" s="185"/>
      <c r="S37" s="271"/>
      <c r="T37" s="499" t="e">
        <f ca="1" xml:space="preserve"> _xll.EPMOlapMemberO("[FILA_NOTA].[PARENTH1].[09901017]","","09901017","","000;001;002")</f>
        <v>#NAME?</v>
      </c>
      <c r="U37" s="271"/>
      <c r="V37" s="271"/>
      <c r="W37" s="428">
        <f t="shared" si="4"/>
        <v>0</v>
      </c>
      <c r="X37" s="291"/>
      <c r="Y37" s="526"/>
      <c r="Z37" s="526"/>
      <c r="AA37" s="428">
        <f t="shared" si="5"/>
        <v>0</v>
      </c>
      <c r="AB37" s="526"/>
      <c r="AC37" s="428">
        <f t="shared" si="6"/>
        <v>0</v>
      </c>
      <c r="AD37" s="271"/>
      <c r="AE37" s="271"/>
      <c r="AF37" s="428">
        <f t="shared" si="7"/>
        <v>0</v>
      </c>
      <c r="AG37" s="526"/>
      <c r="AH37" s="526"/>
      <c r="AI37" s="526"/>
      <c r="AJ37" s="526"/>
      <c r="AK37" s="234"/>
      <c r="AL37" s="433"/>
      <c r="AM37" s="433"/>
      <c r="AN37" s="416" t="e">
        <f ca="1">_xll.EPMSaveComment(C37,,B37,C$19)</f>
        <v>#NAME?</v>
      </c>
      <c r="AO37" s="416" t="e">
        <f ca="1">_xll.EPMSaveComment(D37,,B37,D$19)</f>
        <v>#NAME?</v>
      </c>
      <c r="AP37" s="416" t="e">
        <f ca="1">_xll.EPMSaveComment(E37,,B37,E$19)</f>
        <v>#NAME?</v>
      </c>
      <c r="AQ37" s="416" t="e">
        <f ca="1">_xll.EPMSaveComment(F37,,$B37,F$19)</f>
        <v>#NAME?</v>
      </c>
      <c r="AR37" s="416" t="e">
        <f ca="1">_xll.EPMSaveComment(#REF!,,$B37,G$19)</f>
        <v>#NAME?</v>
      </c>
      <c r="AS37" s="416" t="e">
        <f ca="1">_xll.EPMSaveComment(H37,,$B37,H$19)</f>
        <v>#NAME?</v>
      </c>
      <c r="AT37" s="416" t="e">
        <f ca="1">_xll.EPMSaveData(I37,,I$19,$B37)</f>
        <v>#NAME?</v>
      </c>
      <c r="AU37" s="416" t="e">
        <f ca="1">_xll.EPMSaveComment(J37,,$B37,J$19)</f>
        <v>#NAME?</v>
      </c>
      <c r="AV37" s="416" t="e">
        <f ca="1">_xll.EPMSaveComment(K37,,$B37,K$19)</f>
        <v>#NAME?</v>
      </c>
      <c r="AW37" s="416" t="e">
        <f ca="1">_xll.EPMSaveComment(L37,,$B37,L$19)</f>
        <v>#NAME?</v>
      </c>
      <c r="AX37" s="416" t="e">
        <f ca="1">_xll.EPMSaveComment(M37,,$B37,M$19)</f>
        <v>#NAME?</v>
      </c>
      <c r="AY37" s="416" t="e">
        <f ca="1">_xll.EPMSaveComment(N37,,$B37,N$19)</f>
        <v>#NAME?</v>
      </c>
      <c r="AZ37" s="416" t="e">
        <f ca="1">_xll.EPMSaveData(O37,,O$19,$B37)</f>
        <v>#NAME?</v>
      </c>
      <c r="BA37" s="416" t="e">
        <f ca="1">_xll.EPMSaveComment(P37,,$B37,P$19)</f>
        <v>#NAME?</v>
      </c>
      <c r="BB37" s="416" t="e">
        <f ca="1">_xll.EPMSaveComment(Q37,,$B37,Q$19)</f>
        <v>#NAME?</v>
      </c>
      <c r="BC37" s="416" t="e">
        <f ca="1">_xll.EPMSaveComment(R37,,$B37,R$19)</f>
        <v>#NAME?</v>
      </c>
      <c r="BD37" s="416" t="e">
        <f ca="1">_xll.EPMSaveData(S37,,$F$19,$B37)</f>
        <v>#NAME?</v>
      </c>
      <c r="BE37" s="416" t="e">
        <f ca="1">_xll.EPMSaveComment(AK37,,B37,AF$15)</f>
        <v>#NAME?</v>
      </c>
      <c r="BF37" s="416"/>
      <c r="BG37" s="416"/>
      <c r="BH37" s="157" t="str">
        <f t="shared" si="8"/>
        <v>Ok</v>
      </c>
      <c r="BI37" s="347">
        <f t="shared" si="9"/>
        <v>0</v>
      </c>
      <c r="BK37" s="160" t="str">
        <f t="shared" si="10"/>
        <v/>
      </c>
    </row>
    <row r="38" spans="1:63">
      <c r="A38" s="179"/>
      <c r="B38" s="580" t="s">
        <v>259</v>
      </c>
      <c r="C38" s="479"/>
      <c r="D38" s="224"/>
      <c r="E38" s="97" t="str">
        <f t="shared" si="0"/>
        <v/>
      </c>
      <c r="F38" s="183"/>
      <c r="G38" s="97" t="str">
        <f t="shared" si="3"/>
        <v/>
      </c>
      <c r="H38" s="307"/>
      <c r="I38" s="182"/>
      <c r="J38" s="184"/>
      <c r="K38" s="110" t="str">
        <f t="shared" si="1"/>
        <v/>
      </c>
      <c r="L38" s="184"/>
      <c r="M38" s="96" t="str">
        <f t="shared" si="2"/>
        <v/>
      </c>
      <c r="N38" s="184"/>
      <c r="O38" s="515"/>
      <c r="P38" s="184"/>
      <c r="Q38" s="185"/>
      <c r="R38" s="185"/>
      <c r="S38" s="271"/>
      <c r="T38" s="499" t="e">
        <f ca="1" xml:space="preserve"> _xll.EPMOlapMemberO("[FILA_NOTA].[PARENTH1].[09901018]","","09901018","","000;001;002")</f>
        <v>#NAME?</v>
      </c>
      <c r="U38" s="271"/>
      <c r="V38" s="271"/>
      <c r="W38" s="428">
        <f t="shared" si="4"/>
        <v>0</v>
      </c>
      <c r="X38" s="291"/>
      <c r="Y38" s="526"/>
      <c r="Z38" s="526"/>
      <c r="AA38" s="428">
        <f t="shared" si="5"/>
        <v>0</v>
      </c>
      <c r="AB38" s="526"/>
      <c r="AC38" s="428">
        <f t="shared" si="6"/>
        <v>0</v>
      </c>
      <c r="AD38" s="271"/>
      <c r="AE38" s="271"/>
      <c r="AF38" s="428">
        <f t="shared" si="7"/>
        <v>0</v>
      </c>
      <c r="AG38" s="526"/>
      <c r="AH38" s="526"/>
      <c r="AI38" s="526"/>
      <c r="AJ38" s="526"/>
      <c r="AK38" s="234"/>
      <c r="AL38" s="433"/>
      <c r="AM38" s="433"/>
      <c r="AN38" s="416" t="e">
        <f ca="1">_xll.EPMSaveComment(C38,,B38,C$19)</f>
        <v>#NAME?</v>
      </c>
      <c r="AO38" s="416" t="e">
        <f ca="1">_xll.EPMSaveComment(D38,,B38,D$19)</f>
        <v>#NAME?</v>
      </c>
      <c r="AP38" s="416" t="e">
        <f ca="1">_xll.EPMSaveComment(E38,,B38,E$19)</f>
        <v>#NAME?</v>
      </c>
      <c r="AQ38" s="416" t="e">
        <f ca="1">_xll.EPMSaveComment(F38,,$B38,F$19)</f>
        <v>#NAME?</v>
      </c>
      <c r="AR38" s="416" t="e">
        <f ca="1">_xll.EPMSaveComment(#REF!,,$B38,G$19)</f>
        <v>#NAME?</v>
      </c>
      <c r="AS38" s="416" t="e">
        <f ca="1">_xll.EPMSaveComment(H38,,$B38,H$19)</f>
        <v>#NAME?</v>
      </c>
      <c r="AT38" s="416" t="e">
        <f ca="1">_xll.EPMSaveData(I38,,I$19,$B38)</f>
        <v>#NAME?</v>
      </c>
      <c r="AU38" s="416" t="e">
        <f ca="1">_xll.EPMSaveComment(J38,,$B38,J$19)</f>
        <v>#NAME?</v>
      </c>
      <c r="AV38" s="416" t="e">
        <f ca="1">_xll.EPMSaveComment(K38,,$B38,K$19)</f>
        <v>#NAME?</v>
      </c>
      <c r="AW38" s="416" t="e">
        <f ca="1">_xll.EPMSaveComment(L38,,$B38,L$19)</f>
        <v>#NAME?</v>
      </c>
      <c r="AX38" s="416" t="e">
        <f ca="1">_xll.EPMSaveComment(M38,,$B38,M$19)</f>
        <v>#NAME?</v>
      </c>
      <c r="AY38" s="416" t="e">
        <f ca="1">_xll.EPMSaveComment(N38,,$B38,N$19)</f>
        <v>#NAME?</v>
      </c>
      <c r="AZ38" s="416" t="e">
        <f ca="1">_xll.EPMSaveData(O38,,O$19,$B38)</f>
        <v>#NAME?</v>
      </c>
      <c r="BA38" s="416" t="e">
        <f ca="1">_xll.EPMSaveComment(P38,,$B38,P$19)</f>
        <v>#NAME?</v>
      </c>
      <c r="BB38" s="416" t="e">
        <f ca="1">_xll.EPMSaveComment(Q38,,$B38,Q$19)</f>
        <v>#NAME?</v>
      </c>
      <c r="BC38" s="416" t="e">
        <f ca="1">_xll.EPMSaveComment(R38,,$B38,R$19)</f>
        <v>#NAME?</v>
      </c>
      <c r="BD38" s="416" t="e">
        <f ca="1">_xll.EPMSaveData(S38,,$F$19,$B38)</f>
        <v>#NAME?</v>
      </c>
      <c r="BE38" s="416" t="e">
        <f ca="1">_xll.EPMSaveComment(AK38,,B38,AF$15)</f>
        <v>#NAME?</v>
      </c>
      <c r="BF38" s="416"/>
      <c r="BG38" s="416"/>
      <c r="BH38" s="157" t="str">
        <f t="shared" si="8"/>
        <v>Ok</v>
      </c>
      <c r="BI38" s="347">
        <f t="shared" si="9"/>
        <v>0</v>
      </c>
      <c r="BK38" s="160" t="str">
        <f t="shared" si="10"/>
        <v/>
      </c>
    </row>
    <row r="39" spans="1:63">
      <c r="A39" s="179"/>
      <c r="B39" s="580" t="s">
        <v>260</v>
      </c>
      <c r="C39" s="479"/>
      <c r="D39" s="224"/>
      <c r="E39" s="97" t="str">
        <f t="shared" si="0"/>
        <v/>
      </c>
      <c r="F39" s="183"/>
      <c r="G39" s="97" t="str">
        <f t="shared" si="3"/>
        <v/>
      </c>
      <c r="H39" s="307"/>
      <c r="I39" s="182"/>
      <c r="J39" s="184"/>
      <c r="K39" s="110" t="str">
        <f t="shared" si="1"/>
        <v/>
      </c>
      <c r="L39" s="184"/>
      <c r="M39" s="96" t="str">
        <f t="shared" si="2"/>
        <v/>
      </c>
      <c r="N39" s="184"/>
      <c r="O39" s="515"/>
      <c r="P39" s="184"/>
      <c r="Q39" s="185"/>
      <c r="R39" s="185"/>
      <c r="S39" s="271"/>
      <c r="T39" s="499" t="e">
        <f ca="1" xml:space="preserve"> _xll.EPMOlapMemberO("[FILA_NOTA].[PARENTH1].[09901019]","","09901019","","000;001;002")</f>
        <v>#NAME?</v>
      </c>
      <c r="U39" s="271"/>
      <c r="V39" s="271"/>
      <c r="W39" s="428">
        <f t="shared" si="4"/>
        <v>0</v>
      </c>
      <c r="X39" s="291"/>
      <c r="Y39" s="526"/>
      <c r="Z39" s="526"/>
      <c r="AA39" s="428">
        <f t="shared" si="5"/>
        <v>0</v>
      </c>
      <c r="AB39" s="526"/>
      <c r="AC39" s="428">
        <f t="shared" si="6"/>
        <v>0</v>
      </c>
      <c r="AD39" s="271"/>
      <c r="AE39" s="271"/>
      <c r="AF39" s="428">
        <f t="shared" si="7"/>
        <v>0</v>
      </c>
      <c r="AG39" s="526"/>
      <c r="AH39" s="526"/>
      <c r="AI39" s="526"/>
      <c r="AJ39" s="526"/>
      <c r="AK39" s="234"/>
      <c r="AL39" s="433"/>
      <c r="AM39" s="433"/>
      <c r="AN39" s="416" t="e">
        <f ca="1">_xll.EPMSaveComment(C39,,B39,C$19)</f>
        <v>#NAME?</v>
      </c>
      <c r="AO39" s="416" t="e">
        <f ca="1">_xll.EPMSaveComment(D39,,B39,D$19)</f>
        <v>#NAME?</v>
      </c>
      <c r="AP39" s="416" t="e">
        <f ca="1">_xll.EPMSaveComment(E39,,B39,E$19)</f>
        <v>#NAME?</v>
      </c>
      <c r="AQ39" s="416" t="e">
        <f ca="1">_xll.EPMSaveComment(F39,,$B39,F$19)</f>
        <v>#NAME?</v>
      </c>
      <c r="AR39" s="416" t="e">
        <f ca="1">_xll.EPMSaveComment(#REF!,,$B39,G$19)</f>
        <v>#NAME?</v>
      </c>
      <c r="AS39" s="416" t="e">
        <f ca="1">_xll.EPMSaveComment(H39,,$B39,H$19)</f>
        <v>#NAME?</v>
      </c>
      <c r="AT39" s="416" t="e">
        <f ca="1">_xll.EPMSaveData(I39,,I$19,$B39)</f>
        <v>#NAME?</v>
      </c>
      <c r="AU39" s="416" t="e">
        <f ca="1">_xll.EPMSaveComment(J39,,$B39,J$19)</f>
        <v>#NAME?</v>
      </c>
      <c r="AV39" s="416" t="e">
        <f ca="1">_xll.EPMSaveComment(K39,,$B39,K$19)</f>
        <v>#NAME?</v>
      </c>
      <c r="AW39" s="416" t="e">
        <f ca="1">_xll.EPMSaveComment(L39,,$B39,L$19)</f>
        <v>#NAME?</v>
      </c>
      <c r="AX39" s="416" t="e">
        <f ca="1">_xll.EPMSaveComment(M39,,$B39,M$19)</f>
        <v>#NAME?</v>
      </c>
      <c r="AY39" s="416" t="e">
        <f ca="1">_xll.EPMSaveComment(N39,,$B39,N$19)</f>
        <v>#NAME?</v>
      </c>
      <c r="AZ39" s="416" t="e">
        <f ca="1">_xll.EPMSaveData(O39,,O$19,$B39)</f>
        <v>#NAME?</v>
      </c>
      <c r="BA39" s="416" t="e">
        <f ca="1">_xll.EPMSaveComment(P39,,$B39,P$19)</f>
        <v>#NAME?</v>
      </c>
      <c r="BB39" s="416" t="e">
        <f ca="1">_xll.EPMSaveComment(Q39,,$B39,Q$19)</f>
        <v>#NAME?</v>
      </c>
      <c r="BC39" s="416" t="e">
        <f ca="1">_xll.EPMSaveComment(R39,,$B39,R$19)</f>
        <v>#NAME?</v>
      </c>
      <c r="BD39" s="416" t="e">
        <f ca="1">_xll.EPMSaveData(S39,,$F$19,$B39)</f>
        <v>#NAME?</v>
      </c>
      <c r="BE39" s="416" t="e">
        <f ca="1">_xll.EPMSaveComment(AK39,,B39,AF$15)</f>
        <v>#NAME?</v>
      </c>
      <c r="BF39" s="416"/>
      <c r="BG39" s="416"/>
      <c r="BH39" s="157" t="str">
        <f t="shared" si="8"/>
        <v>Ok</v>
      </c>
      <c r="BI39" s="347">
        <f t="shared" si="9"/>
        <v>0</v>
      </c>
      <c r="BK39" s="160" t="str">
        <f t="shared" si="10"/>
        <v/>
      </c>
    </row>
    <row r="40" spans="1:63">
      <c r="A40" s="179"/>
      <c r="B40" s="580" t="s">
        <v>261</v>
      </c>
      <c r="C40" s="479"/>
      <c r="D40" s="224"/>
      <c r="E40" s="97" t="str">
        <f t="shared" si="0"/>
        <v/>
      </c>
      <c r="F40" s="183"/>
      <c r="G40" s="97" t="str">
        <f t="shared" si="3"/>
        <v/>
      </c>
      <c r="H40" s="307"/>
      <c r="I40" s="182"/>
      <c r="J40" s="184"/>
      <c r="K40" s="110" t="str">
        <f t="shared" si="1"/>
        <v/>
      </c>
      <c r="L40" s="184"/>
      <c r="M40" s="96" t="str">
        <f t="shared" si="2"/>
        <v/>
      </c>
      <c r="N40" s="184"/>
      <c r="O40" s="515"/>
      <c r="P40" s="184"/>
      <c r="Q40" s="185"/>
      <c r="R40" s="185"/>
      <c r="S40" s="271"/>
      <c r="T40" s="499" t="e">
        <f ca="1" xml:space="preserve"> _xll.EPMOlapMemberO("[FILA_NOTA].[PARENTH1].[09901020]","","09901020","","000;001;002")</f>
        <v>#NAME?</v>
      </c>
      <c r="U40" s="271"/>
      <c r="V40" s="271"/>
      <c r="W40" s="428">
        <f t="shared" si="4"/>
        <v>0</v>
      </c>
      <c r="X40" s="291"/>
      <c r="Y40" s="526"/>
      <c r="Z40" s="526"/>
      <c r="AA40" s="428">
        <f t="shared" si="5"/>
        <v>0</v>
      </c>
      <c r="AB40" s="526"/>
      <c r="AC40" s="428">
        <f t="shared" si="6"/>
        <v>0</v>
      </c>
      <c r="AD40" s="271"/>
      <c r="AE40" s="271"/>
      <c r="AF40" s="428">
        <f t="shared" si="7"/>
        <v>0</v>
      </c>
      <c r="AG40" s="526"/>
      <c r="AH40" s="526"/>
      <c r="AI40" s="526"/>
      <c r="AJ40" s="526"/>
      <c r="AK40" s="234"/>
      <c r="AL40" s="433"/>
      <c r="AM40" s="433"/>
      <c r="AN40" s="416" t="e">
        <f ca="1">_xll.EPMSaveComment(C40,,B40,C$19)</f>
        <v>#NAME?</v>
      </c>
      <c r="AO40" s="416" t="e">
        <f ca="1">_xll.EPMSaveComment(D40,,B40,D$19)</f>
        <v>#NAME?</v>
      </c>
      <c r="AP40" s="416" t="e">
        <f ca="1">_xll.EPMSaveComment(E40,,B40,E$19)</f>
        <v>#NAME?</v>
      </c>
      <c r="AQ40" s="416" t="e">
        <f ca="1">_xll.EPMSaveComment(F40,,$B40,F$19)</f>
        <v>#NAME?</v>
      </c>
      <c r="AR40" s="416" t="e">
        <f ca="1">_xll.EPMSaveComment(#REF!,,$B40,G$19)</f>
        <v>#NAME?</v>
      </c>
      <c r="AS40" s="416" t="e">
        <f ca="1">_xll.EPMSaveComment(H40,,$B40,H$19)</f>
        <v>#NAME?</v>
      </c>
      <c r="AT40" s="416" t="e">
        <f ca="1">_xll.EPMSaveData(I40,,I$19,$B40)</f>
        <v>#NAME?</v>
      </c>
      <c r="AU40" s="416" t="e">
        <f ca="1">_xll.EPMSaveComment(J40,,$B40,J$19)</f>
        <v>#NAME?</v>
      </c>
      <c r="AV40" s="416" t="e">
        <f ca="1">_xll.EPMSaveComment(K40,,$B40,K$19)</f>
        <v>#NAME?</v>
      </c>
      <c r="AW40" s="416" t="e">
        <f ca="1">_xll.EPMSaveComment(L40,,$B40,L$19)</f>
        <v>#NAME?</v>
      </c>
      <c r="AX40" s="416" t="e">
        <f ca="1">_xll.EPMSaveComment(M40,,$B40,M$19)</f>
        <v>#NAME?</v>
      </c>
      <c r="AY40" s="416" t="e">
        <f ca="1">_xll.EPMSaveComment(N40,,$B40,N$19)</f>
        <v>#NAME?</v>
      </c>
      <c r="AZ40" s="416" t="e">
        <f ca="1">_xll.EPMSaveData(O40,,O$19,$B40)</f>
        <v>#NAME?</v>
      </c>
      <c r="BA40" s="416" t="e">
        <f ca="1">_xll.EPMSaveComment(P40,,$B40,P$19)</f>
        <v>#NAME?</v>
      </c>
      <c r="BB40" s="416" t="e">
        <f ca="1">_xll.EPMSaveComment(Q40,,$B40,Q$19)</f>
        <v>#NAME?</v>
      </c>
      <c r="BC40" s="416" t="e">
        <f ca="1">_xll.EPMSaveComment(R40,,$B40,R$19)</f>
        <v>#NAME?</v>
      </c>
      <c r="BD40" s="416" t="e">
        <f ca="1">_xll.EPMSaveData(S40,,$F$19,$B40)</f>
        <v>#NAME?</v>
      </c>
      <c r="BE40" s="416" t="e">
        <f ca="1">_xll.EPMSaveComment(AK40,,B40,AF$15)</f>
        <v>#NAME?</v>
      </c>
      <c r="BF40" s="416"/>
      <c r="BG40" s="416"/>
      <c r="BH40" s="157" t="str">
        <f t="shared" si="8"/>
        <v>Ok</v>
      </c>
      <c r="BI40" s="347">
        <f t="shared" si="9"/>
        <v>0</v>
      </c>
      <c r="BK40" s="160" t="str">
        <f t="shared" si="10"/>
        <v/>
      </c>
    </row>
    <row r="41" spans="1:63">
      <c r="A41" s="179"/>
      <c r="B41" s="580" t="s">
        <v>262</v>
      </c>
      <c r="C41" s="479"/>
      <c r="D41" s="224"/>
      <c r="E41" s="97" t="str">
        <f t="shared" si="0"/>
        <v/>
      </c>
      <c r="F41" s="183"/>
      <c r="G41" s="97" t="str">
        <f t="shared" si="3"/>
        <v/>
      </c>
      <c r="H41" s="307"/>
      <c r="I41" s="182"/>
      <c r="J41" s="184"/>
      <c r="K41" s="110" t="str">
        <f t="shared" si="1"/>
        <v/>
      </c>
      <c r="L41" s="184"/>
      <c r="M41" s="96" t="str">
        <f t="shared" si="2"/>
        <v/>
      </c>
      <c r="N41" s="184"/>
      <c r="O41" s="515"/>
      <c r="P41" s="184"/>
      <c r="Q41" s="185"/>
      <c r="R41" s="185"/>
      <c r="S41" s="271"/>
      <c r="T41" s="499" t="e">
        <f ca="1" xml:space="preserve"> _xll.EPMOlapMemberO("[FILA_NOTA].[PARENTH1].[09901021]","","09901021","","000;001;002")</f>
        <v>#NAME?</v>
      </c>
      <c r="U41" s="271"/>
      <c r="V41" s="271"/>
      <c r="W41" s="428">
        <f t="shared" si="4"/>
        <v>0</v>
      </c>
      <c r="X41" s="291"/>
      <c r="Y41" s="526"/>
      <c r="Z41" s="526"/>
      <c r="AA41" s="428">
        <f t="shared" si="5"/>
        <v>0</v>
      </c>
      <c r="AB41" s="526"/>
      <c r="AC41" s="428">
        <f t="shared" si="6"/>
        <v>0</v>
      </c>
      <c r="AD41" s="271"/>
      <c r="AE41" s="271"/>
      <c r="AF41" s="428">
        <f t="shared" si="7"/>
        <v>0</v>
      </c>
      <c r="AG41" s="526"/>
      <c r="AH41" s="526"/>
      <c r="AI41" s="526"/>
      <c r="AJ41" s="526"/>
      <c r="AK41" s="234"/>
      <c r="AL41" s="433"/>
      <c r="AM41" s="433"/>
      <c r="AN41" s="416" t="e">
        <f ca="1">_xll.EPMSaveComment(C41,,B41,C$19)</f>
        <v>#NAME?</v>
      </c>
      <c r="AO41" s="416" t="e">
        <f ca="1">_xll.EPMSaveComment(D41,,B41,D$19)</f>
        <v>#NAME?</v>
      </c>
      <c r="AP41" s="416" t="e">
        <f ca="1">_xll.EPMSaveComment(E41,,B41,E$19)</f>
        <v>#NAME?</v>
      </c>
      <c r="AQ41" s="416" t="e">
        <f ca="1">_xll.EPMSaveComment(F41,,$B41,F$19)</f>
        <v>#NAME?</v>
      </c>
      <c r="AR41" s="416" t="e">
        <f ca="1">_xll.EPMSaveComment(#REF!,,$B41,G$19)</f>
        <v>#NAME?</v>
      </c>
      <c r="AS41" s="416" t="e">
        <f ca="1">_xll.EPMSaveComment(H41,,$B41,H$19)</f>
        <v>#NAME?</v>
      </c>
      <c r="AT41" s="416" t="e">
        <f ca="1">_xll.EPMSaveData(I41,,I$19,$B41)</f>
        <v>#NAME?</v>
      </c>
      <c r="AU41" s="416" t="e">
        <f ca="1">_xll.EPMSaveComment(J41,,$B41,J$19)</f>
        <v>#NAME?</v>
      </c>
      <c r="AV41" s="416" t="e">
        <f ca="1">_xll.EPMSaveComment(K41,,$B41,K$19)</f>
        <v>#NAME?</v>
      </c>
      <c r="AW41" s="416" t="e">
        <f ca="1">_xll.EPMSaveComment(L41,,$B41,L$19)</f>
        <v>#NAME?</v>
      </c>
      <c r="AX41" s="416" t="e">
        <f ca="1">_xll.EPMSaveComment(M41,,$B41,M$19)</f>
        <v>#NAME?</v>
      </c>
      <c r="AY41" s="416" t="e">
        <f ca="1">_xll.EPMSaveComment(N41,,$B41,N$19)</f>
        <v>#NAME?</v>
      </c>
      <c r="AZ41" s="416" t="e">
        <f ca="1">_xll.EPMSaveData(O41,,O$19,$B41)</f>
        <v>#NAME?</v>
      </c>
      <c r="BA41" s="416" t="e">
        <f ca="1">_xll.EPMSaveComment(P41,,$B41,P$19)</f>
        <v>#NAME?</v>
      </c>
      <c r="BB41" s="416" t="e">
        <f ca="1">_xll.EPMSaveComment(Q41,,$B41,Q$19)</f>
        <v>#NAME?</v>
      </c>
      <c r="BC41" s="416" t="e">
        <f ca="1">_xll.EPMSaveComment(R41,,$B41,R$19)</f>
        <v>#NAME?</v>
      </c>
      <c r="BD41" s="416" t="e">
        <f ca="1">_xll.EPMSaveData(S41,,$F$19,$B41)</f>
        <v>#NAME?</v>
      </c>
      <c r="BE41" s="416" t="e">
        <f ca="1">_xll.EPMSaveComment(AK41,,B41,AF$15)</f>
        <v>#NAME?</v>
      </c>
      <c r="BF41" s="416"/>
      <c r="BG41" s="416"/>
      <c r="BH41" s="157" t="str">
        <f t="shared" si="8"/>
        <v>Ok</v>
      </c>
      <c r="BI41" s="347">
        <f t="shared" si="9"/>
        <v>0</v>
      </c>
      <c r="BK41" s="160" t="str">
        <f t="shared" si="10"/>
        <v/>
      </c>
    </row>
    <row r="42" spans="1:63">
      <c r="A42" s="179"/>
      <c r="B42" s="580" t="s">
        <v>263</v>
      </c>
      <c r="C42" s="479"/>
      <c r="D42" s="224"/>
      <c r="E42" s="97" t="str">
        <f t="shared" si="0"/>
        <v/>
      </c>
      <c r="F42" s="183"/>
      <c r="G42" s="97" t="str">
        <f t="shared" si="3"/>
        <v/>
      </c>
      <c r="H42" s="307"/>
      <c r="I42" s="182"/>
      <c r="J42" s="184"/>
      <c r="K42" s="110" t="str">
        <f t="shared" si="1"/>
        <v/>
      </c>
      <c r="L42" s="184"/>
      <c r="M42" s="96" t="str">
        <f t="shared" si="2"/>
        <v/>
      </c>
      <c r="N42" s="184"/>
      <c r="O42" s="515"/>
      <c r="P42" s="184"/>
      <c r="Q42" s="185"/>
      <c r="R42" s="185"/>
      <c r="S42" s="271"/>
      <c r="T42" s="499" t="e">
        <f ca="1" xml:space="preserve"> _xll.EPMOlapMemberO("[FILA_NOTA].[PARENTH1].[09901022]","","09901022","","000;001;002")</f>
        <v>#NAME?</v>
      </c>
      <c r="U42" s="271"/>
      <c r="V42" s="271"/>
      <c r="W42" s="428">
        <f t="shared" si="4"/>
        <v>0</v>
      </c>
      <c r="X42" s="291"/>
      <c r="Y42" s="526"/>
      <c r="Z42" s="526"/>
      <c r="AA42" s="428">
        <f t="shared" si="5"/>
        <v>0</v>
      </c>
      <c r="AB42" s="526"/>
      <c r="AC42" s="428">
        <f t="shared" si="6"/>
        <v>0</v>
      </c>
      <c r="AD42" s="271"/>
      <c r="AE42" s="271"/>
      <c r="AF42" s="428">
        <f t="shared" si="7"/>
        <v>0</v>
      </c>
      <c r="AG42" s="526"/>
      <c r="AH42" s="526"/>
      <c r="AI42" s="526"/>
      <c r="AJ42" s="526"/>
      <c r="AK42" s="234"/>
      <c r="AL42" s="433"/>
      <c r="AM42" s="433"/>
      <c r="AN42" s="416" t="e">
        <f ca="1">_xll.EPMSaveComment(C42,,B42,C$19)</f>
        <v>#NAME?</v>
      </c>
      <c r="AO42" s="416" t="e">
        <f ca="1">_xll.EPMSaveComment(D42,,B42,D$19)</f>
        <v>#NAME?</v>
      </c>
      <c r="AP42" s="416" t="e">
        <f ca="1">_xll.EPMSaveComment(E42,,B42,E$19)</f>
        <v>#NAME?</v>
      </c>
      <c r="AQ42" s="416" t="e">
        <f ca="1">_xll.EPMSaveComment(F42,,$B42,F$19)</f>
        <v>#NAME?</v>
      </c>
      <c r="AR42" s="416" t="e">
        <f ca="1">_xll.EPMSaveComment(#REF!,,$B42,G$19)</f>
        <v>#NAME?</v>
      </c>
      <c r="AS42" s="416" t="e">
        <f ca="1">_xll.EPMSaveComment(H42,,$B42,H$19)</f>
        <v>#NAME?</v>
      </c>
      <c r="AT42" s="416" t="e">
        <f ca="1">_xll.EPMSaveData(I42,,I$19,$B42)</f>
        <v>#NAME?</v>
      </c>
      <c r="AU42" s="416" t="e">
        <f ca="1">_xll.EPMSaveComment(J42,,$B42,J$19)</f>
        <v>#NAME?</v>
      </c>
      <c r="AV42" s="416" t="e">
        <f ca="1">_xll.EPMSaveComment(K42,,$B42,K$19)</f>
        <v>#NAME?</v>
      </c>
      <c r="AW42" s="416" t="e">
        <f ca="1">_xll.EPMSaveComment(L42,,$B42,L$19)</f>
        <v>#NAME?</v>
      </c>
      <c r="AX42" s="416" t="e">
        <f ca="1">_xll.EPMSaveComment(M42,,$B42,M$19)</f>
        <v>#NAME?</v>
      </c>
      <c r="AY42" s="416" t="e">
        <f ca="1">_xll.EPMSaveComment(N42,,$B42,N$19)</f>
        <v>#NAME?</v>
      </c>
      <c r="AZ42" s="416" t="e">
        <f ca="1">_xll.EPMSaveData(O42,,O$19,$B42)</f>
        <v>#NAME?</v>
      </c>
      <c r="BA42" s="416" t="e">
        <f ca="1">_xll.EPMSaveComment(P42,,$B42,P$19)</f>
        <v>#NAME?</v>
      </c>
      <c r="BB42" s="416" t="e">
        <f ca="1">_xll.EPMSaveComment(Q42,,$B42,Q$19)</f>
        <v>#NAME?</v>
      </c>
      <c r="BC42" s="416" t="e">
        <f ca="1">_xll.EPMSaveComment(R42,,$B42,R$19)</f>
        <v>#NAME?</v>
      </c>
      <c r="BD42" s="416" t="e">
        <f ca="1">_xll.EPMSaveData(S42,,$F$19,$B42)</f>
        <v>#NAME?</v>
      </c>
      <c r="BE42" s="416" t="e">
        <f ca="1">_xll.EPMSaveComment(AK42,,B42,AF$15)</f>
        <v>#NAME?</v>
      </c>
      <c r="BF42" s="416"/>
      <c r="BG42" s="416"/>
      <c r="BH42" s="157" t="str">
        <f t="shared" si="8"/>
        <v>Ok</v>
      </c>
      <c r="BI42" s="347">
        <f t="shared" si="9"/>
        <v>0</v>
      </c>
      <c r="BK42" s="160" t="str">
        <f t="shared" si="10"/>
        <v/>
      </c>
    </row>
    <row r="43" spans="1:63">
      <c r="A43" s="179"/>
      <c r="B43" s="580" t="s">
        <v>264</v>
      </c>
      <c r="C43" s="479"/>
      <c r="D43" s="224"/>
      <c r="E43" s="97" t="str">
        <f t="shared" si="0"/>
        <v/>
      </c>
      <c r="F43" s="183"/>
      <c r="G43" s="97" t="str">
        <f t="shared" si="3"/>
        <v/>
      </c>
      <c r="H43" s="307"/>
      <c r="I43" s="182"/>
      <c r="J43" s="184"/>
      <c r="K43" s="110" t="str">
        <f t="shared" si="1"/>
        <v/>
      </c>
      <c r="L43" s="184"/>
      <c r="M43" s="96" t="str">
        <f t="shared" si="2"/>
        <v/>
      </c>
      <c r="N43" s="184"/>
      <c r="O43" s="515"/>
      <c r="P43" s="184"/>
      <c r="Q43" s="185"/>
      <c r="R43" s="185"/>
      <c r="S43" s="271"/>
      <c r="T43" s="499" t="e">
        <f ca="1" xml:space="preserve"> _xll.EPMOlapMemberO("[FILA_NOTA].[PARENTH1].[09901023]","","09901023","","000;001;002")</f>
        <v>#NAME?</v>
      </c>
      <c r="U43" s="271"/>
      <c r="V43" s="271"/>
      <c r="W43" s="428">
        <f t="shared" si="4"/>
        <v>0</v>
      </c>
      <c r="X43" s="291"/>
      <c r="Y43" s="526"/>
      <c r="Z43" s="526"/>
      <c r="AA43" s="428">
        <f t="shared" si="5"/>
        <v>0</v>
      </c>
      <c r="AB43" s="526"/>
      <c r="AC43" s="428">
        <f t="shared" si="6"/>
        <v>0</v>
      </c>
      <c r="AD43" s="271"/>
      <c r="AE43" s="271"/>
      <c r="AF43" s="428">
        <f t="shared" si="7"/>
        <v>0</v>
      </c>
      <c r="AG43" s="526"/>
      <c r="AH43" s="526"/>
      <c r="AI43" s="526"/>
      <c r="AJ43" s="526"/>
      <c r="AK43" s="234"/>
      <c r="AL43" s="433"/>
      <c r="AM43" s="433"/>
      <c r="AN43" s="416" t="e">
        <f ca="1">_xll.EPMSaveComment(C43,,B43,C$19)</f>
        <v>#NAME?</v>
      </c>
      <c r="AO43" s="416" t="e">
        <f ca="1">_xll.EPMSaveComment(D43,,B43,D$19)</f>
        <v>#NAME?</v>
      </c>
      <c r="AP43" s="416" t="e">
        <f ca="1">_xll.EPMSaveComment(E43,,B43,E$19)</f>
        <v>#NAME?</v>
      </c>
      <c r="AQ43" s="416" t="e">
        <f ca="1">_xll.EPMSaveComment(F43,,$B43,F$19)</f>
        <v>#NAME?</v>
      </c>
      <c r="AR43" s="416" t="e">
        <f ca="1">_xll.EPMSaveComment(#REF!,,$B43,G$19)</f>
        <v>#NAME?</v>
      </c>
      <c r="AS43" s="416" t="e">
        <f ca="1">_xll.EPMSaveComment(H43,,$B43,H$19)</f>
        <v>#NAME?</v>
      </c>
      <c r="AT43" s="416" t="e">
        <f ca="1">_xll.EPMSaveData(I43,,I$19,$B43)</f>
        <v>#NAME?</v>
      </c>
      <c r="AU43" s="416" t="e">
        <f ca="1">_xll.EPMSaveComment(J43,,$B43,J$19)</f>
        <v>#NAME?</v>
      </c>
      <c r="AV43" s="416" t="e">
        <f ca="1">_xll.EPMSaveComment(K43,,$B43,K$19)</f>
        <v>#NAME?</v>
      </c>
      <c r="AW43" s="416" t="e">
        <f ca="1">_xll.EPMSaveComment(L43,,$B43,L$19)</f>
        <v>#NAME?</v>
      </c>
      <c r="AX43" s="416" t="e">
        <f ca="1">_xll.EPMSaveComment(M43,,$B43,M$19)</f>
        <v>#NAME?</v>
      </c>
      <c r="AY43" s="416" t="e">
        <f ca="1">_xll.EPMSaveComment(N43,,$B43,N$19)</f>
        <v>#NAME?</v>
      </c>
      <c r="AZ43" s="416" t="e">
        <f ca="1">_xll.EPMSaveData(O43,,O$19,$B43)</f>
        <v>#NAME?</v>
      </c>
      <c r="BA43" s="416" t="e">
        <f ca="1">_xll.EPMSaveComment(P43,,$B43,P$19)</f>
        <v>#NAME?</v>
      </c>
      <c r="BB43" s="416" t="e">
        <f ca="1">_xll.EPMSaveComment(Q43,,$B43,Q$19)</f>
        <v>#NAME?</v>
      </c>
      <c r="BC43" s="416" t="e">
        <f ca="1">_xll.EPMSaveComment(R43,,$B43,R$19)</f>
        <v>#NAME?</v>
      </c>
      <c r="BD43" s="416" t="e">
        <f ca="1">_xll.EPMSaveData(S43,,$F$19,$B43)</f>
        <v>#NAME?</v>
      </c>
      <c r="BE43" s="416" t="e">
        <f ca="1">_xll.EPMSaveComment(AK43,,B43,AF$15)</f>
        <v>#NAME?</v>
      </c>
      <c r="BF43" s="416"/>
      <c r="BG43" s="416"/>
      <c r="BH43" s="157" t="str">
        <f t="shared" si="8"/>
        <v>Ok</v>
      </c>
      <c r="BI43" s="347">
        <f t="shared" si="9"/>
        <v>0</v>
      </c>
      <c r="BK43" s="160" t="str">
        <f t="shared" si="10"/>
        <v/>
      </c>
    </row>
    <row r="44" spans="1:63">
      <c r="A44" s="179"/>
      <c r="B44" s="580" t="s">
        <v>265</v>
      </c>
      <c r="C44" s="479"/>
      <c r="D44" s="224"/>
      <c r="E44" s="97" t="str">
        <f t="shared" si="0"/>
        <v/>
      </c>
      <c r="F44" s="183"/>
      <c r="G44" s="97" t="str">
        <f t="shared" si="3"/>
        <v/>
      </c>
      <c r="H44" s="307"/>
      <c r="I44" s="182"/>
      <c r="J44" s="184"/>
      <c r="K44" s="110" t="str">
        <f t="shared" si="1"/>
        <v/>
      </c>
      <c r="L44" s="184"/>
      <c r="M44" s="96" t="str">
        <f t="shared" si="2"/>
        <v/>
      </c>
      <c r="N44" s="184"/>
      <c r="O44" s="515"/>
      <c r="P44" s="184"/>
      <c r="Q44" s="185"/>
      <c r="R44" s="185"/>
      <c r="S44" s="271"/>
      <c r="T44" s="499" t="e">
        <f ca="1" xml:space="preserve"> _xll.EPMOlapMemberO("[FILA_NOTA].[PARENTH1].[09901024]","","09901024","","000;001;002")</f>
        <v>#NAME?</v>
      </c>
      <c r="U44" s="271"/>
      <c r="V44" s="271"/>
      <c r="W44" s="428">
        <f t="shared" si="4"/>
        <v>0</v>
      </c>
      <c r="X44" s="291"/>
      <c r="Y44" s="526"/>
      <c r="Z44" s="526"/>
      <c r="AA44" s="428">
        <f t="shared" si="5"/>
        <v>0</v>
      </c>
      <c r="AB44" s="526"/>
      <c r="AC44" s="428">
        <f t="shared" si="6"/>
        <v>0</v>
      </c>
      <c r="AD44" s="271"/>
      <c r="AE44" s="271"/>
      <c r="AF44" s="428">
        <f t="shared" si="7"/>
        <v>0</v>
      </c>
      <c r="AG44" s="526"/>
      <c r="AH44" s="526"/>
      <c r="AI44" s="526"/>
      <c r="AJ44" s="526"/>
      <c r="AK44" s="234"/>
      <c r="AL44" s="433"/>
      <c r="AM44" s="433"/>
      <c r="AN44" s="416" t="e">
        <f ca="1">_xll.EPMSaveComment(C44,,B44,C$19)</f>
        <v>#NAME?</v>
      </c>
      <c r="AO44" s="416" t="e">
        <f ca="1">_xll.EPMSaveComment(D44,,B44,D$19)</f>
        <v>#NAME?</v>
      </c>
      <c r="AP44" s="416" t="e">
        <f ca="1">_xll.EPMSaveComment(E44,,B44,E$19)</f>
        <v>#NAME?</v>
      </c>
      <c r="AQ44" s="416" t="e">
        <f ca="1">_xll.EPMSaveComment(F44,,$B44,F$19)</f>
        <v>#NAME?</v>
      </c>
      <c r="AR44" s="416" t="e">
        <f ca="1">_xll.EPMSaveComment(#REF!,,$B44,G$19)</f>
        <v>#NAME?</v>
      </c>
      <c r="AS44" s="416" t="e">
        <f ca="1">_xll.EPMSaveComment(H44,,$B44,H$19)</f>
        <v>#NAME?</v>
      </c>
      <c r="AT44" s="416" t="e">
        <f ca="1">_xll.EPMSaveData(I44,,I$19,$B44)</f>
        <v>#NAME?</v>
      </c>
      <c r="AU44" s="416" t="e">
        <f ca="1">_xll.EPMSaveComment(J44,,$B44,J$19)</f>
        <v>#NAME?</v>
      </c>
      <c r="AV44" s="416" t="e">
        <f ca="1">_xll.EPMSaveComment(K44,,$B44,K$19)</f>
        <v>#NAME?</v>
      </c>
      <c r="AW44" s="416" t="e">
        <f ca="1">_xll.EPMSaveComment(L44,,$B44,L$19)</f>
        <v>#NAME?</v>
      </c>
      <c r="AX44" s="416" t="e">
        <f ca="1">_xll.EPMSaveComment(M44,,$B44,M$19)</f>
        <v>#NAME?</v>
      </c>
      <c r="AY44" s="416" t="e">
        <f ca="1">_xll.EPMSaveComment(N44,,$B44,N$19)</f>
        <v>#NAME?</v>
      </c>
      <c r="AZ44" s="416" t="e">
        <f ca="1">_xll.EPMSaveData(O44,,O$19,$B44)</f>
        <v>#NAME?</v>
      </c>
      <c r="BA44" s="416" t="e">
        <f ca="1">_xll.EPMSaveComment(P44,,$B44,P$19)</f>
        <v>#NAME?</v>
      </c>
      <c r="BB44" s="416" t="e">
        <f ca="1">_xll.EPMSaveComment(Q44,,$B44,Q$19)</f>
        <v>#NAME?</v>
      </c>
      <c r="BC44" s="416" t="e">
        <f ca="1">_xll.EPMSaveComment(R44,,$B44,R$19)</f>
        <v>#NAME?</v>
      </c>
      <c r="BD44" s="416" t="e">
        <f ca="1">_xll.EPMSaveData(S44,,$F$19,$B44)</f>
        <v>#NAME?</v>
      </c>
      <c r="BE44" s="416" t="e">
        <f ca="1">_xll.EPMSaveComment(AK44,,B44,AF$15)</f>
        <v>#NAME?</v>
      </c>
      <c r="BF44" s="416"/>
      <c r="BG44" s="416"/>
      <c r="BH44" s="157" t="str">
        <f t="shared" si="8"/>
        <v>Ok</v>
      </c>
      <c r="BI44" s="347">
        <f t="shared" si="9"/>
        <v>0</v>
      </c>
      <c r="BK44" s="160" t="str">
        <f t="shared" si="10"/>
        <v/>
      </c>
    </row>
    <row r="45" spans="1:63">
      <c r="A45" s="179"/>
      <c r="B45" s="580" t="s">
        <v>266</v>
      </c>
      <c r="C45" s="479"/>
      <c r="D45" s="224"/>
      <c r="E45" s="97" t="str">
        <f t="shared" si="0"/>
        <v/>
      </c>
      <c r="F45" s="183"/>
      <c r="G45" s="97" t="str">
        <f t="shared" si="3"/>
        <v/>
      </c>
      <c r="H45" s="307"/>
      <c r="I45" s="182"/>
      <c r="J45" s="184"/>
      <c r="K45" s="110" t="str">
        <f t="shared" si="1"/>
        <v/>
      </c>
      <c r="L45" s="184"/>
      <c r="M45" s="96" t="str">
        <f t="shared" si="2"/>
        <v/>
      </c>
      <c r="N45" s="184"/>
      <c r="O45" s="515"/>
      <c r="P45" s="184"/>
      <c r="Q45" s="185"/>
      <c r="R45" s="185"/>
      <c r="S45" s="271"/>
      <c r="T45" s="499" t="e">
        <f ca="1" xml:space="preserve"> _xll.EPMOlapMemberO("[FILA_NOTA].[PARENTH1].[09901025]","","09901025","","000;001;002")</f>
        <v>#NAME?</v>
      </c>
      <c r="U45" s="271"/>
      <c r="V45" s="271"/>
      <c r="W45" s="428">
        <f t="shared" si="4"/>
        <v>0</v>
      </c>
      <c r="X45" s="291"/>
      <c r="Y45" s="526"/>
      <c r="Z45" s="526"/>
      <c r="AA45" s="428">
        <f t="shared" si="5"/>
        <v>0</v>
      </c>
      <c r="AB45" s="526"/>
      <c r="AC45" s="428">
        <f t="shared" si="6"/>
        <v>0</v>
      </c>
      <c r="AD45" s="271"/>
      <c r="AE45" s="271"/>
      <c r="AF45" s="428">
        <f t="shared" si="7"/>
        <v>0</v>
      </c>
      <c r="AG45" s="526"/>
      <c r="AH45" s="526"/>
      <c r="AI45" s="526"/>
      <c r="AJ45" s="526"/>
      <c r="AK45" s="234"/>
      <c r="AL45" s="433"/>
      <c r="AM45" s="433"/>
      <c r="AN45" s="416" t="e">
        <f ca="1">_xll.EPMSaveComment(C45,,B45,C$19)</f>
        <v>#NAME?</v>
      </c>
      <c r="AO45" s="416" t="e">
        <f ca="1">_xll.EPMSaveComment(D45,,B45,D$19)</f>
        <v>#NAME?</v>
      </c>
      <c r="AP45" s="416" t="e">
        <f ca="1">_xll.EPMSaveComment(E45,,B45,E$19)</f>
        <v>#NAME?</v>
      </c>
      <c r="AQ45" s="416" t="e">
        <f ca="1">_xll.EPMSaveComment(F45,,$B45,F$19)</f>
        <v>#NAME?</v>
      </c>
      <c r="AR45" s="416" t="e">
        <f ca="1">_xll.EPMSaveComment(#REF!,,$B45,G$19)</f>
        <v>#NAME?</v>
      </c>
      <c r="AS45" s="416" t="e">
        <f ca="1">_xll.EPMSaveComment(H45,,$B45,H$19)</f>
        <v>#NAME?</v>
      </c>
      <c r="AT45" s="416" t="e">
        <f ca="1">_xll.EPMSaveData(I45,,I$19,$B45)</f>
        <v>#NAME?</v>
      </c>
      <c r="AU45" s="416" t="e">
        <f ca="1">_xll.EPMSaveComment(J45,,$B45,J$19)</f>
        <v>#NAME?</v>
      </c>
      <c r="AV45" s="416" t="e">
        <f ca="1">_xll.EPMSaveComment(K45,,$B45,K$19)</f>
        <v>#NAME?</v>
      </c>
      <c r="AW45" s="416" t="e">
        <f ca="1">_xll.EPMSaveComment(L45,,$B45,L$19)</f>
        <v>#NAME?</v>
      </c>
      <c r="AX45" s="416" t="e">
        <f ca="1">_xll.EPMSaveComment(M45,,$B45,M$19)</f>
        <v>#NAME?</v>
      </c>
      <c r="AY45" s="416" t="e">
        <f ca="1">_xll.EPMSaveComment(N45,,$B45,N$19)</f>
        <v>#NAME?</v>
      </c>
      <c r="AZ45" s="416" t="e">
        <f ca="1">_xll.EPMSaveData(O45,,O$19,$B45)</f>
        <v>#NAME?</v>
      </c>
      <c r="BA45" s="416" t="e">
        <f ca="1">_xll.EPMSaveComment(P45,,$B45,P$19)</f>
        <v>#NAME?</v>
      </c>
      <c r="BB45" s="416" t="e">
        <f ca="1">_xll.EPMSaveComment(Q45,,$B45,Q$19)</f>
        <v>#NAME?</v>
      </c>
      <c r="BC45" s="416" t="e">
        <f ca="1">_xll.EPMSaveComment(R45,,$B45,R$19)</f>
        <v>#NAME?</v>
      </c>
      <c r="BD45" s="416" t="e">
        <f ca="1">_xll.EPMSaveData(S45,,$F$19,$B45)</f>
        <v>#NAME?</v>
      </c>
      <c r="BE45" s="416" t="e">
        <f ca="1">_xll.EPMSaveComment(AK45,,B45,AF$15)</f>
        <v>#NAME?</v>
      </c>
      <c r="BF45" s="416"/>
      <c r="BG45" s="416"/>
      <c r="BH45" s="157" t="str">
        <f t="shared" si="8"/>
        <v>Ok</v>
      </c>
      <c r="BI45" s="347">
        <f t="shared" si="9"/>
        <v>0</v>
      </c>
      <c r="BK45" s="160" t="str">
        <f t="shared" si="10"/>
        <v/>
      </c>
    </row>
    <row r="46" spans="1:63">
      <c r="A46" s="179"/>
      <c r="B46" s="580" t="s">
        <v>267</v>
      </c>
      <c r="C46" s="479"/>
      <c r="D46" s="224"/>
      <c r="E46" s="97" t="str">
        <f t="shared" si="0"/>
        <v/>
      </c>
      <c r="F46" s="183"/>
      <c r="G46" s="97" t="str">
        <f t="shared" si="3"/>
        <v/>
      </c>
      <c r="H46" s="307"/>
      <c r="I46" s="182"/>
      <c r="J46" s="184"/>
      <c r="K46" s="110" t="str">
        <f t="shared" si="1"/>
        <v/>
      </c>
      <c r="L46" s="184"/>
      <c r="M46" s="96" t="str">
        <f t="shared" si="2"/>
        <v/>
      </c>
      <c r="N46" s="184"/>
      <c r="O46" s="515"/>
      <c r="P46" s="184"/>
      <c r="Q46" s="185"/>
      <c r="R46" s="185"/>
      <c r="S46" s="271"/>
      <c r="T46" s="499" t="e">
        <f ca="1" xml:space="preserve"> _xll.EPMOlapMemberO("[FILA_NOTA].[PARENTH1].[09901026]","","09901026","","000;001;002")</f>
        <v>#NAME?</v>
      </c>
      <c r="U46" s="271"/>
      <c r="V46" s="271"/>
      <c r="W46" s="428">
        <f t="shared" si="4"/>
        <v>0</v>
      </c>
      <c r="X46" s="291"/>
      <c r="Y46" s="526"/>
      <c r="Z46" s="526"/>
      <c r="AA46" s="428">
        <f t="shared" si="5"/>
        <v>0</v>
      </c>
      <c r="AB46" s="526"/>
      <c r="AC46" s="428">
        <f t="shared" si="6"/>
        <v>0</v>
      </c>
      <c r="AD46" s="271"/>
      <c r="AE46" s="271"/>
      <c r="AF46" s="428">
        <f t="shared" si="7"/>
        <v>0</v>
      </c>
      <c r="AG46" s="526"/>
      <c r="AH46" s="526"/>
      <c r="AI46" s="526"/>
      <c r="AJ46" s="526"/>
      <c r="AK46" s="234"/>
      <c r="AL46" s="433"/>
      <c r="AM46" s="433"/>
      <c r="AN46" s="416" t="e">
        <f ca="1">_xll.EPMSaveComment(C46,,B46,C$19)</f>
        <v>#NAME?</v>
      </c>
      <c r="AO46" s="416" t="e">
        <f ca="1">_xll.EPMSaveComment(D46,,B46,D$19)</f>
        <v>#NAME?</v>
      </c>
      <c r="AP46" s="416" t="e">
        <f ca="1">_xll.EPMSaveComment(E46,,B46,E$19)</f>
        <v>#NAME?</v>
      </c>
      <c r="AQ46" s="416" t="e">
        <f ca="1">_xll.EPMSaveComment(F46,,$B46,F$19)</f>
        <v>#NAME?</v>
      </c>
      <c r="AR46" s="416" t="e">
        <f ca="1">_xll.EPMSaveComment(#REF!,,$B46,G$19)</f>
        <v>#NAME?</v>
      </c>
      <c r="AS46" s="416" t="e">
        <f ca="1">_xll.EPMSaveComment(H46,,$B46,H$19)</f>
        <v>#NAME?</v>
      </c>
      <c r="AT46" s="416" t="e">
        <f ca="1">_xll.EPMSaveData(I46,,I$19,$B46)</f>
        <v>#NAME?</v>
      </c>
      <c r="AU46" s="416" t="e">
        <f ca="1">_xll.EPMSaveComment(J46,,$B46,J$19)</f>
        <v>#NAME?</v>
      </c>
      <c r="AV46" s="416" t="e">
        <f ca="1">_xll.EPMSaveComment(K46,,$B46,K$19)</f>
        <v>#NAME?</v>
      </c>
      <c r="AW46" s="416" t="e">
        <f ca="1">_xll.EPMSaveComment(L46,,$B46,L$19)</f>
        <v>#NAME?</v>
      </c>
      <c r="AX46" s="416" t="e">
        <f ca="1">_xll.EPMSaveComment(M46,,$B46,M$19)</f>
        <v>#NAME?</v>
      </c>
      <c r="AY46" s="416" t="e">
        <f ca="1">_xll.EPMSaveComment(N46,,$B46,N$19)</f>
        <v>#NAME?</v>
      </c>
      <c r="AZ46" s="416" t="e">
        <f ca="1">_xll.EPMSaveData(O46,,O$19,$B46)</f>
        <v>#NAME?</v>
      </c>
      <c r="BA46" s="416" t="e">
        <f ca="1">_xll.EPMSaveComment(P46,,$B46,P$19)</f>
        <v>#NAME?</v>
      </c>
      <c r="BB46" s="416" t="e">
        <f ca="1">_xll.EPMSaveComment(Q46,,$B46,Q$19)</f>
        <v>#NAME?</v>
      </c>
      <c r="BC46" s="416" t="e">
        <f ca="1">_xll.EPMSaveComment(R46,,$B46,R$19)</f>
        <v>#NAME?</v>
      </c>
      <c r="BD46" s="416" t="e">
        <f ca="1">_xll.EPMSaveData(S46,,$F$19,$B46)</f>
        <v>#NAME?</v>
      </c>
      <c r="BE46" s="416" t="e">
        <f ca="1">_xll.EPMSaveComment(AK46,,B46,AF$15)</f>
        <v>#NAME?</v>
      </c>
      <c r="BF46" s="416"/>
      <c r="BG46" s="416"/>
      <c r="BH46" s="157" t="str">
        <f t="shared" si="8"/>
        <v>Ok</v>
      </c>
      <c r="BI46" s="347">
        <f t="shared" si="9"/>
        <v>0</v>
      </c>
      <c r="BK46" s="160" t="str">
        <f t="shared" si="10"/>
        <v/>
      </c>
    </row>
    <row r="47" spans="1:63">
      <c r="A47" s="179"/>
      <c r="B47" s="580" t="s">
        <v>268</v>
      </c>
      <c r="C47" s="479"/>
      <c r="D47" s="224"/>
      <c r="E47" s="97" t="str">
        <f t="shared" si="0"/>
        <v/>
      </c>
      <c r="F47" s="183"/>
      <c r="G47" s="97" t="str">
        <f t="shared" si="3"/>
        <v/>
      </c>
      <c r="H47" s="307"/>
      <c r="I47" s="182"/>
      <c r="J47" s="184"/>
      <c r="K47" s="110" t="str">
        <f t="shared" si="1"/>
        <v/>
      </c>
      <c r="L47" s="184"/>
      <c r="M47" s="96" t="str">
        <f t="shared" si="2"/>
        <v/>
      </c>
      <c r="N47" s="184"/>
      <c r="O47" s="515"/>
      <c r="P47" s="184"/>
      <c r="Q47" s="185"/>
      <c r="R47" s="185"/>
      <c r="S47" s="271"/>
      <c r="T47" s="499" t="e">
        <f ca="1" xml:space="preserve"> _xll.EPMOlapMemberO("[FILA_NOTA].[PARENTH1].[09901027]","","09901027","","000;001;002")</f>
        <v>#NAME?</v>
      </c>
      <c r="U47" s="271"/>
      <c r="V47" s="271"/>
      <c r="W47" s="428">
        <f t="shared" si="4"/>
        <v>0</v>
      </c>
      <c r="X47" s="291"/>
      <c r="Y47" s="526"/>
      <c r="Z47" s="526"/>
      <c r="AA47" s="428">
        <f t="shared" si="5"/>
        <v>0</v>
      </c>
      <c r="AB47" s="526"/>
      <c r="AC47" s="428">
        <f t="shared" si="6"/>
        <v>0</v>
      </c>
      <c r="AD47" s="271"/>
      <c r="AE47" s="271"/>
      <c r="AF47" s="428">
        <f t="shared" si="7"/>
        <v>0</v>
      </c>
      <c r="AG47" s="526"/>
      <c r="AH47" s="526"/>
      <c r="AI47" s="526"/>
      <c r="AJ47" s="526"/>
      <c r="AK47" s="234"/>
      <c r="AL47" s="433"/>
      <c r="AM47" s="433"/>
      <c r="AN47" s="416" t="e">
        <f ca="1">_xll.EPMSaveComment(C47,,B47,C$19)</f>
        <v>#NAME?</v>
      </c>
      <c r="AO47" s="416" t="e">
        <f ca="1">_xll.EPMSaveComment(D47,,B47,D$19)</f>
        <v>#NAME?</v>
      </c>
      <c r="AP47" s="416" t="e">
        <f ca="1">_xll.EPMSaveComment(E47,,B47,E$19)</f>
        <v>#NAME?</v>
      </c>
      <c r="AQ47" s="416" t="e">
        <f ca="1">_xll.EPMSaveComment(F47,,$B47,F$19)</f>
        <v>#NAME?</v>
      </c>
      <c r="AR47" s="416" t="e">
        <f ca="1">_xll.EPMSaveComment(#REF!,,$B47,G$19)</f>
        <v>#NAME?</v>
      </c>
      <c r="AS47" s="416" t="e">
        <f ca="1">_xll.EPMSaveComment(H47,,$B47,H$19)</f>
        <v>#NAME?</v>
      </c>
      <c r="AT47" s="416" t="e">
        <f ca="1">_xll.EPMSaveData(I47,,I$19,$B47)</f>
        <v>#NAME?</v>
      </c>
      <c r="AU47" s="416" t="e">
        <f ca="1">_xll.EPMSaveComment(J47,,$B47,J$19)</f>
        <v>#NAME?</v>
      </c>
      <c r="AV47" s="416" t="e">
        <f ca="1">_xll.EPMSaveComment(K47,,$B47,K$19)</f>
        <v>#NAME?</v>
      </c>
      <c r="AW47" s="416" t="e">
        <f ca="1">_xll.EPMSaveComment(L47,,$B47,L$19)</f>
        <v>#NAME?</v>
      </c>
      <c r="AX47" s="416" t="e">
        <f ca="1">_xll.EPMSaveComment(M47,,$B47,M$19)</f>
        <v>#NAME?</v>
      </c>
      <c r="AY47" s="416" t="e">
        <f ca="1">_xll.EPMSaveComment(N47,,$B47,N$19)</f>
        <v>#NAME?</v>
      </c>
      <c r="AZ47" s="416" t="e">
        <f ca="1">_xll.EPMSaveData(O47,,O$19,$B47)</f>
        <v>#NAME?</v>
      </c>
      <c r="BA47" s="416" t="e">
        <f ca="1">_xll.EPMSaveComment(P47,,$B47,P$19)</f>
        <v>#NAME?</v>
      </c>
      <c r="BB47" s="416" t="e">
        <f ca="1">_xll.EPMSaveComment(Q47,,$B47,Q$19)</f>
        <v>#NAME?</v>
      </c>
      <c r="BC47" s="416" t="e">
        <f ca="1">_xll.EPMSaveComment(R47,,$B47,R$19)</f>
        <v>#NAME?</v>
      </c>
      <c r="BD47" s="416" t="e">
        <f ca="1">_xll.EPMSaveData(S47,,$F$19,$B47)</f>
        <v>#NAME?</v>
      </c>
      <c r="BE47" s="416" t="e">
        <f ca="1">_xll.EPMSaveComment(AK47,,B47,AF$15)</f>
        <v>#NAME?</v>
      </c>
      <c r="BF47" s="416"/>
      <c r="BG47" s="416"/>
      <c r="BH47" s="157" t="str">
        <f t="shared" si="8"/>
        <v>Ok</v>
      </c>
      <c r="BI47" s="347">
        <f t="shared" si="9"/>
        <v>0</v>
      </c>
      <c r="BK47" s="160" t="str">
        <f t="shared" si="10"/>
        <v/>
      </c>
    </row>
    <row r="48" spans="1:63">
      <c r="A48" s="179"/>
      <c r="B48" s="580" t="s">
        <v>269</v>
      </c>
      <c r="C48" s="479"/>
      <c r="D48" s="224"/>
      <c r="E48" s="97" t="str">
        <f t="shared" si="0"/>
        <v/>
      </c>
      <c r="F48" s="183"/>
      <c r="G48" s="97" t="str">
        <f t="shared" si="3"/>
        <v/>
      </c>
      <c r="H48" s="307"/>
      <c r="I48" s="182"/>
      <c r="J48" s="184"/>
      <c r="K48" s="110" t="str">
        <f t="shared" si="1"/>
        <v/>
      </c>
      <c r="L48" s="184"/>
      <c r="M48" s="96" t="str">
        <f t="shared" si="2"/>
        <v/>
      </c>
      <c r="N48" s="184"/>
      <c r="O48" s="515"/>
      <c r="P48" s="184"/>
      <c r="Q48" s="185"/>
      <c r="R48" s="185"/>
      <c r="S48" s="271"/>
      <c r="T48" s="499" t="e">
        <f ca="1" xml:space="preserve"> _xll.EPMOlapMemberO("[FILA_NOTA].[PARENTH1].[09901028]","","09901028","","000;001;002")</f>
        <v>#NAME?</v>
      </c>
      <c r="U48" s="271"/>
      <c r="V48" s="271"/>
      <c r="W48" s="428">
        <f t="shared" si="4"/>
        <v>0</v>
      </c>
      <c r="X48" s="291"/>
      <c r="Y48" s="526"/>
      <c r="Z48" s="526"/>
      <c r="AA48" s="428">
        <f t="shared" si="5"/>
        <v>0</v>
      </c>
      <c r="AB48" s="526"/>
      <c r="AC48" s="428">
        <f t="shared" si="6"/>
        <v>0</v>
      </c>
      <c r="AD48" s="271"/>
      <c r="AE48" s="271"/>
      <c r="AF48" s="428">
        <f t="shared" si="7"/>
        <v>0</v>
      </c>
      <c r="AG48" s="526"/>
      <c r="AH48" s="526"/>
      <c r="AI48" s="526"/>
      <c r="AJ48" s="526"/>
      <c r="AK48" s="234"/>
      <c r="AL48" s="433"/>
      <c r="AM48" s="433"/>
      <c r="AN48" s="416" t="e">
        <f ca="1">_xll.EPMSaveComment(C48,,B48,C$19)</f>
        <v>#NAME?</v>
      </c>
      <c r="AO48" s="416" t="e">
        <f ca="1">_xll.EPMSaveComment(D48,,B48,D$19)</f>
        <v>#NAME?</v>
      </c>
      <c r="AP48" s="416" t="e">
        <f ca="1">_xll.EPMSaveComment(E48,,B48,E$19)</f>
        <v>#NAME?</v>
      </c>
      <c r="AQ48" s="416" t="e">
        <f ca="1">_xll.EPMSaveComment(F48,,$B48,F$19)</f>
        <v>#NAME?</v>
      </c>
      <c r="AR48" s="416" t="e">
        <f ca="1">_xll.EPMSaveComment(#REF!,,$B48,G$19)</f>
        <v>#NAME?</v>
      </c>
      <c r="AS48" s="416" t="e">
        <f ca="1">_xll.EPMSaveComment(H48,,$B48,H$19)</f>
        <v>#NAME?</v>
      </c>
      <c r="AT48" s="416" t="e">
        <f ca="1">_xll.EPMSaveData(I48,,I$19,$B48)</f>
        <v>#NAME?</v>
      </c>
      <c r="AU48" s="416" t="e">
        <f ca="1">_xll.EPMSaveComment(J48,,$B48,J$19)</f>
        <v>#NAME?</v>
      </c>
      <c r="AV48" s="416" t="e">
        <f ca="1">_xll.EPMSaveComment(K48,,$B48,K$19)</f>
        <v>#NAME?</v>
      </c>
      <c r="AW48" s="416" t="e">
        <f ca="1">_xll.EPMSaveComment(L48,,$B48,L$19)</f>
        <v>#NAME?</v>
      </c>
      <c r="AX48" s="416" t="e">
        <f ca="1">_xll.EPMSaveComment(M48,,$B48,M$19)</f>
        <v>#NAME?</v>
      </c>
      <c r="AY48" s="416" t="e">
        <f ca="1">_xll.EPMSaveComment(N48,,$B48,N$19)</f>
        <v>#NAME?</v>
      </c>
      <c r="AZ48" s="416" t="e">
        <f ca="1">_xll.EPMSaveData(O48,,O$19,$B48)</f>
        <v>#NAME?</v>
      </c>
      <c r="BA48" s="416" t="e">
        <f ca="1">_xll.EPMSaveComment(P48,,$B48,P$19)</f>
        <v>#NAME?</v>
      </c>
      <c r="BB48" s="416" t="e">
        <f ca="1">_xll.EPMSaveComment(Q48,,$B48,Q$19)</f>
        <v>#NAME?</v>
      </c>
      <c r="BC48" s="416" t="e">
        <f ca="1">_xll.EPMSaveComment(R48,,$B48,R$19)</f>
        <v>#NAME?</v>
      </c>
      <c r="BD48" s="416" t="e">
        <f ca="1">_xll.EPMSaveData(S48,,$F$19,$B48)</f>
        <v>#NAME?</v>
      </c>
      <c r="BE48" s="416" t="e">
        <f ca="1">_xll.EPMSaveComment(AK48,,B48,AF$15)</f>
        <v>#NAME?</v>
      </c>
      <c r="BF48" s="416"/>
      <c r="BG48" s="416"/>
      <c r="BH48" s="157" t="str">
        <f t="shared" si="8"/>
        <v>Ok</v>
      </c>
      <c r="BI48" s="347">
        <f t="shared" si="9"/>
        <v>0</v>
      </c>
      <c r="BK48" s="160" t="str">
        <f t="shared" si="10"/>
        <v/>
      </c>
    </row>
    <row r="49" spans="1:63">
      <c r="A49" s="179"/>
      <c r="B49" s="580" t="s">
        <v>270</v>
      </c>
      <c r="C49" s="479"/>
      <c r="D49" s="224"/>
      <c r="E49" s="97" t="str">
        <f t="shared" si="0"/>
        <v/>
      </c>
      <c r="F49" s="183"/>
      <c r="G49" s="97" t="str">
        <f t="shared" si="3"/>
        <v/>
      </c>
      <c r="H49" s="307"/>
      <c r="I49" s="182"/>
      <c r="J49" s="184"/>
      <c r="K49" s="110" t="str">
        <f t="shared" si="1"/>
        <v/>
      </c>
      <c r="L49" s="184"/>
      <c r="M49" s="96" t="str">
        <f t="shared" si="2"/>
        <v/>
      </c>
      <c r="N49" s="184"/>
      <c r="O49" s="515"/>
      <c r="P49" s="184"/>
      <c r="Q49" s="185"/>
      <c r="R49" s="185"/>
      <c r="S49" s="271"/>
      <c r="T49" s="499" t="e">
        <f ca="1" xml:space="preserve"> _xll.EPMOlapMemberO("[FILA_NOTA].[PARENTH1].[09901029]","","09901029","","000;001;002")</f>
        <v>#NAME?</v>
      </c>
      <c r="U49" s="271"/>
      <c r="V49" s="271"/>
      <c r="W49" s="428">
        <f t="shared" si="4"/>
        <v>0</v>
      </c>
      <c r="X49" s="291"/>
      <c r="Y49" s="526"/>
      <c r="Z49" s="526"/>
      <c r="AA49" s="428">
        <f t="shared" si="5"/>
        <v>0</v>
      </c>
      <c r="AB49" s="526"/>
      <c r="AC49" s="428">
        <f t="shared" si="6"/>
        <v>0</v>
      </c>
      <c r="AD49" s="271"/>
      <c r="AE49" s="271"/>
      <c r="AF49" s="428">
        <f t="shared" si="7"/>
        <v>0</v>
      </c>
      <c r="AG49" s="526"/>
      <c r="AH49" s="526"/>
      <c r="AI49" s="526"/>
      <c r="AJ49" s="526"/>
      <c r="AK49" s="234"/>
      <c r="AL49" s="433"/>
      <c r="AM49" s="433"/>
      <c r="AN49" s="416" t="e">
        <f ca="1">_xll.EPMSaveComment(C49,,B49,C$19)</f>
        <v>#NAME?</v>
      </c>
      <c r="AO49" s="416" t="e">
        <f ca="1">_xll.EPMSaveComment(D49,,B49,D$19)</f>
        <v>#NAME?</v>
      </c>
      <c r="AP49" s="416" t="e">
        <f ca="1">_xll.EPMSaveComment(E49,,B49,E$19)</f>
        <v>#NAME?</v>
      </c>
      <c r="AQ49" s="416" t="e">
        <f ca="1">_xll.EPMSaveComment(F49,,$B49,F$19)</f>
        <v>#NAME?</v>
      </c>
      <c r="AR49" s="416" t="e">
        <f ca="1">_xll.EPMSaveComment(#REF!,,$B49,G$19)</f>
        <v>#NAME?</v>
      </c>
      <c r="AS49" s="416" t="e">
        <f ca="1">_xll.EPMSaveComment(H49,,$B49,H$19)</f>
        <v>#NAME?</v>
      </c>
      <c r="AT49" s="416" t="e">
        <f ca="1">_xll.EPMSaveData(I49,,I$19,$B49)</f>
        <v>#NAME?</v>
      </c>
      <c r="AU49" s="416" t="e">
        <f ca="1">_xll.EPMSaveComment(J49,,$B49,J$19)</f>
        <v>#NAME?</v>
      </c>
      <c r="AV49" s="416" t="e">
        <f ca="1">_xll.EPMSaveComment(K49,,$B49,K$19)</f>
        <v>#NAME?</v>
      </c>
      <c r="AW49" s="416" t="e">
        <f ca="1">_xll.EPMSaveComment(L49,,$B49,L$19)</f>
        <v>#NAME?</v>
      </c>
      <c r="AX49" s="416" t="e">
        <f ca="1">_xll.EPMSaveComment(M49,,$B49,M$19)</f>
        <v>#NAME?</v>
      </c>
      <c r="AY49" s="416" t="e">
        <f ca="1">_xll.EPMSaveComment(N49,,$B49,N$19)</f>
        <v>#NAME?</v>
      </c>
      <c r="AZ49" s="416" t="e">
        <f ca="1">_xll.EPMSaveData(O49,,O$19,$B49)</f>
        <v>#NAME?</v>
      </c>
      <c r="BA49" s="416" t="e">
        <f ca="1">_xll.EPMSaveComment(P49,,$B49,P$19)</f>
        <v>#NAME?</v>
      </c>
      <c r="BB49" s="416" t="e">
        <f ca="1">_xll.EPMSaveComment(Q49,,$B49,Q$19)</f>
        <v>#NAME?</v>
      </c>
      <c r="BC49" s="416" t="e">
        <f ca="1">_xll.EPMSaveComment(R49,,$B49,R$19)</f>
        <v>#NAME?</v>
      </c>
      <c r="BD49" s="416" t="e">
        <f ca="1">_xll.EPMSaveData(S49,,$F$19,$B49)</f>
        <v>#NAME?</v>
      </c>
      <c r="BE49" s="416" t="e">
        <f ca="1">_xll.EPMSaveComment(AK49,,B49,AF$15)</f>
        <v>#NAME?</v>
      </c>
      <c r="BF49" s="416"/>
      <c r="BG49" s="416"/>
      <c r="BH49" s="157" t="str">
        <f t="shared" si="8"/>
        <v>Ok</v>
      </c>
      <c r="BI49" s="347">
        <f t="shared" si="9"/>
        <v>0</v>
      </c>
      <c r="BK49" s="160" t="str">
        <f t="shared" si="10"/>
        <v/>
      </c>
    </row>
    <row r="50" spans="1:63">
      <c r="A50" s="179"/>
      <c r="B50" s="580" t="s">
        <v>271</v>
      </c>
      <c r="C50" s="479"/>
      <c r="D50" s="224"/>
      <c r="E50" s="97" t="str">
        <f t="shared" si="0"/>
        <v/>
      </c>
      <c r="F50" s="183"/>
      <c r="G50" s="97" t="str">
        <f t="shared" si="3"/>
        <v/>
      </c>
      <c r="H50" s="307"/>
      <c r="I50" s="182"/>
      <c r="J50" s="184"/>
      <c r="K50" s="110" t="str">
        <f t="shared" si="1"/>
        <v/>
      </c>
      <c r="L50" s="184"/>
      <c r="M50" s="96" t="str">
        <f t="shared" si="2"/>
        <v/>
      </c>
      <c r="N50" s="184"/>
      <c r="O50" s="515"/>
      <c r="P50" s="184"/>
      <c r="Q50" s="185"/>
      <c r="R50" s="185"/>
      <c r="S50" s="271"/>
      <c r="T50" s="499" t="e">
        <f ca="1" xml:space="preserve"> _xll.EPMOlapMemberO("[FILA_NOTA].[PARENTH1].[09901030]","","09901030","","000;001;002")</f>
        <v>#NAME?</v>
      </c>
      <c r="U50" s="271"/>
      <c r="V50" s="271"/>
      <c r="W50" s="428">
        <f t="shared" si="4"/>
        <v>0</v>
      </c>
      <c r="X50" s="291"/>
      <c r="Y50" s="526"/>
      <c r="Z50" s="526"/>
      <c r="AA50" s="428">
        <f t="shared" si="5"/>
        <v>0</v>
      </c>
      <c r="AB50" s="526"/>
      <c r="AC50" s="428">
        <f t="shared" si="6"/>
        <v>0</v>
      </c>
      <c r="AD50" s="271"/>
      <c r="AE50" s="271"/>
      <c r="AF50" s="428">
        <f t="shared" si="7"/>
        <v>0</v>
      </c>
      <c r="AG50" s="526"/>
      <c r="AH50" s="526"/>
      <c r="AI50" s="526"/>
      <c r="AJ50" s="526"/>
      <c r="AK50" s="234"/>
      <c r="AL50" s="433"/>
      <c r="AM50" s="433"/>
      <c r="AN50" s="416" t="e">
        <f ca="1">_xll.EPMSaveComment(C50,,B50,C$19)</f>
        <v>#NAME?</v>
      </c>
      <c r="AO50" s="416" t="e">
        <f ca="1">_xll.EPMSaveComment(D50,,B50,D$19)</f>
        <v>#NAME?</v>
      </c>
      <c r="AP50" s="416" t="e">
        <f ca="1">_xll.EPMSaveComment(E50,,B50,E$19)</f>
        <v>#NAME?</v>
      </c>
      <c r="AQ50" s="416" t="e">
        <f ca="1">_xll.EPMSaveComment(F50,,$B50,F$19)</f>
        <v>#NAME?</v>
      </c>
      <c r="AR50" s="416" t="e">
        <f ca="1">_xll.EPMSaveComment(#REF!,,$B50,G$19)</f>
        <v>#NAME?</v>
      </c>
      <c r="AS50" s="416" t="e">
        <f ca="1">_xll.EPMSaveComment(H50,,$B50,H$19)</f>
        <v>#NAME?</v>
      </c>
      <c r="AT50" s="416" t="e">
        <f ca="1">_xll.EPMSaveData(I50,,I$19,$B50)</f>
        <v>#NAME?</v>
      </c>
      <c r="AU50" s="416" t="e">
        <f ca="1">_xll.EPMSaveComment(J50,,$B50,J$19)</f>
        <v>#NAME?</v>
      </c>
      <c r="AV50" s="416" t="e">
        <f ca="1">_xll.EPMSaveComment(K50,,$B50,K$19)</f>
        <v>#NAME?</v>
      </c>
      <c r="AW50" s="416" t="e">
        <f ca="1">_xll.EPMSaveComment(L50,,$B50,L$19)</f>
        <v>#NAME?</v>
      </c>
      <c r="AX50" s="416" t="e">
        <f ca="1">_xll.EPMSaveComment(M50,,$B50,M$19)</f>
        <v>#NAME?</v>
      </c>
      <c r="AY50" s="416" t="e">
        <f ca="1">_xll.EPMSaveComment(N50,,$B50,N$19)</f>
        <v>#NAME?</v>
      </c>
      <c r="AZ50" s="416" t="e">
        <f ca="1">_xll.EPMSaveData(O50,,O$19,$B50)</f>
        <v>#NAME?</v>
      </c>
      <c r="BA50" s="416" t="e">
        <f ca="1">_xll.EPMSaveComment(P50,,$B50,P$19)</f>
        <v>#NAME?</v>
      </c>
      <c r="BB50" s="416" t="e">
        <f ca="1">_xll.EPMSaveComment(Q50,,$B50,Q$19)</f>
        <v>#NAME?</v>
      </c>
      <c r="BC50" s="416" t="e">
        <f ca="1">_xll.EPMSaveComment(R50,,$B50,R$19)</f>
        <v>#NAME?</v>
      </c>
      <c r="BD50" s="416" t="e">
        <f ca="1">_xll.EPMSaveData(S50,,$F$19,$B50)</f>
        <v>#NAME?</v>
      </c>
      <c r="BE50" s="416" t="e">
        <f ca="1">_xll.EPMSaveComment(AK50,,B50,AF$15)</f>
        <v>#NAME?</v>
      </c>
      <c r="BF50" s="416"/>
      <c r="BG50" s="416"/>
      <c r="BH50" s="157" t="str">
        <f t="shared" si="8"/>
        <v>Ok</v>
      </c>
      <c r="BI50" s="347">
        <f t="shared" si="9"/>
        <v>0</v>
      </c>
      <c r="BK50" s="160" t="str">
        <f t="shared" si="10"/>
        <v/>
      </c>
    </row>
    <row r="51" spans="1:63">
      <c r="A51" s="179"/>
      <c r="B51" s="580" t="s">
        <v>272</v>
      </c>
      <c r="C51" s="479"/>
      <c r="D51" s="224"/>
      <c r="E51" s="97" t="str">
        <f t="shared" si="0"/>
        <v/>
      </c>
      <c r="F51" s="183"/>
      <c r="G51" s="97" t="str">
        <f t="shared" si="3"/>
        <v/>
      </c>
      <c r="H51" s="307"/>
      <c r="I51" s="182"/>
      <c r="J51" s="184"/>
      <c r="K51" s="110" t="str">
        <f t="shared" si="1"/>
        <v/>
      </c>
      <c r="L51" s="184"/>
      <c r="M51" s="96" t="str">
        <f t="shared" si="2"/>
        <v/>
      </c>
      <c r="N51" s="184"/>
      <c r="O51" s="515"/>
      <c r="P51" s="184"/>
      <c r="Q51" s="185"/>
      <c r="R51" s="185"/>
      <c r="S51" s="271"/>
      <c r="T51" s="499" t="e">
        <f ca="1" xml:space="preserve"> _xll.EPMOlapMemberO("[FILA_NOTA].[PARENTH1].[09901031]","","09901031","","000;001;002")</f>
        <v>#NAME?</v>
      </c>
      <c r="U51" s="271"/>
      <c r="V51" s="271"/>
      <c r="W51" s="428">
        <f t="shared" si="4"/>
        <v>0</v>
      </c>
      <c r="X51" s="291"/>
      <c r="Y51" s="526"/>
      <c r="Z51" s="526"/>
      <c r="AA51" s="428">
        <f t="shared" si="5"/>
        <v>0</v>
      </c>
      <c r="AB51" s="526"/>
      <c r="AC51" s="428">
        <f t="shared" si="6"/>
        <v>0</v>
      </c>
      <c r="AD51" s="271"/>
      <c r="AE51" s="271"/>
      <c r="AF51" s="428">
        <f t="shared" si="7"/>
        <v>0</v>
      </c>
      <c r="AG51" s="526"/>
      <c r="AH51" s="526"/>
      <c r="AI51" s="526"/>
      <c r="AJ51" s="526"/>
      <c r="AK51" s="234"/>
      <c r="AL51" s="433"/>
      <c r="AM51" s="433"/>
      <c r="AN51" s="416" t="e">
        <f ca="1">_xll.EPMSaveComment(C51,,B51,C$19)</f>
        <v>#NAME?</v>
      </c>
      <c r="AO51" s="416" t="e">
        <f ca="1">_xll.EPMSaveComment(D51,,B51,D$19)</f>
        <v>#NAME?</v>
      </c>
      <c r="AP51" s="416" t="e">
        <f ca="1">_xll.EPMSaveComment(E51,,B51,E$19)</f>
        <v>#NAME?</v>
      </c>
      <c r="AQ51" s="416" t="e">
        <f ca="1">_xll.EPMSaveComment(F51,,$B51,F$19)</f>
        <v>#NAME?</v>
      </c>
      <c r="AR51" s="416" t="e">
        <f ca="1">_xll.EPMSaveComment(#REF!,,$B51,G$19)</f>
        <v>#NAME?</v>
      </c>
      <c r="AS51" s="416" t="e">
        <f ca="1">_xll.EPMSaveComment(H51,,$B51,H$19)</f>
        <v>#NAME?</v>
      </c>
      <c r="AT51" s="416" t="e">
        <f ca="1">_xll.EPMSaveData(I51,,I$19,$B51)</f>
        <v>#NAME?</v>
      </c>
      <c r="AU51" s="416" t="e">
        <f ca="1">_xll.EPMSaveComment(J51,,$B51,J$19)</f>
        <v>#NAME?</v>
      </c>
      <c r="AV51" s="416" t="e">
        <f ca="1">_xll.EPMSaveComment(K51,,$B51,K$19)</f>
        <v>#NAME?</v>
      </c>
      <c r="AW51" s="416" t="e">
        <f ca="1">_xll.EPMSaveComment(L51,,$B51,L$19)</f>
        <v>#NAME?</v>
      </c>
      <c r="AX51" s="416" t="e">
        <f ca="1">_xll.EPMSaveComment(M51,,$B51,M$19)</f>
        <v>#NAME?</v>
      </c>
      <c r="AY51" s="416" t="e">
        <f ca="1">_xll.EPMSaveComment(N51,,$B51,N$19)</f>
        <v>#NAME?</v>
      </c>
      <c r="AZ51" s="416" t="e">
        <f ca="1">_xll.EPMSaveData(O51,,O$19,$B51)</f>
        <v>#NAME?</v>
      </c>
      <c r="BA51" s="416" t="e">
        <f ca="1">_xll.EPMSaveComment(P51,,$B51,P$19)</f>
        <v>#NAME?</v>
      </c>
      <c r="BB51" s="416" t="e">
        <f ca="1">_xll.EPMSaveComment(Q51,,$B51,Q$19)</f>
        <v>#NAME?</v>
      </c>
      <c r="BC51" s="416" t="e">
        <f ca="1">_xll.EPMSaveComment(R51,,$B51,R$19)</f>
        <v>#NAME?</v>
      </c>
      <c r="BD51" s="416" t="e">
        <f ca="1">_xll.EPMSaveData(S51,,$F$19,$B51)</f>
        <v>#NAME?</v>
      </c>
      <c r="BE51" s="416" t="e">
        <f ca="1">_xll.EPMSaveComment(AK51,,B51,AF$15)</f>
        <v>#NAME?</v>
      </c>
      <c r="BF51" s="416"/>
      <c r="BG51" s="416"/>
      <c r="BH51" s="157" t="str">
        <f t="shared" si="8"/>
        <v>Ok</v>
      </c>
      <c r="BI51" s="347">
        <f t="shared" si="9"/>
        <v>0</v>
      </c>
      <c r="BK51" s="160" t="str">
        <f t="shared" si="10"/>
        <v/>
      </c>
    </row>
    <row r="52" spans="1:63">
      <c r="A52" s="179"/>
      <c r="B52" s="580" t="s">
        <v>273</v>
      </c>
      <c r="C52" s="479"/>
      <c r="D52" s="224"/>
      <c r="E52" s="97" t="str">
        <f t="shared" si="0"/>
        <v/>
      </c>
      <c r="F52" s="183"/>
      <c r="G52" s="97" t="str">
        <f t="shared" si="3"/>
        <v/>
      </c>
      <c r="H52" s="307"/>
      <c r="I52" s="182"/>
      <c r="J52" s="184"/>
      <c r="K52" s="110" t="str">
        <f t="shared" si="1"/>
        <v/>
      </c>
      <c r="L52" s="184"/>
      <c r="M52" s="96" t="str">
        <f t="shared" si="2"/>
        <v/>
      </c>
      <c r="N52" s="184"/>
      <c r="O52" s="515"/>
      <c r="P52" s="184"/>
      <c r="Q52" s="185"/>
      <c r="R52" s="185"/>
      <c r="S52" s="271"/>
      <c r="T52" s="499" t="e">
        <f ca="1" xml:space="preserve"> _xll.EPMOlapMemberO("[FILA_NOTA].[PARENTH1].[09901032]","","09901032","","000;001;002")</f>
        <v>#NAME?</v>
      </c>
      <c r="U52" s="271"/>
      <c r="V52" s="271"/>
      <c r="W52" s="428">
        <f t="shared" si="4"/>
        <v>0</v>
      </c>
      <c r="X52" s="291"/>
      <c r="Y52" s="526"/>
      <c r="Z52" s="526"/>
      <c r="AA52" s="428">
        <f t="shared" si="5"/>
        <v>0</v>
      </c>
      <c r="AB52" s="526"/>
      <c r="AC52" s="428">
        <f t="shared" si="6"/>
        <v>0</v>
      </c>
      <c r="AD52" s="271"/>
      <c r="AE52" s="271"/>
      <c r="AF52" s="428">
        <f t="shared" si="7"/>
        <v>0</v>
      </c>
      <c r="AG52" s="526"/>
      <c r="AH52" s="526"/>
      <c r="AI52" s="526"/>
      <c r="AJ52" s="526"/>
      <c r="AK52" s="234"/>
      <c r="AL52" s="433"/>
      <c r="AM52" s="433"/>
      <c r="AN52" s="416" t="e">
        <f ca="1">_xll.EPMSaveComment(C52,,B52,C$19)</f>
        <v>#NAME?</v>
      </c>
      <c r="AO52" s="416" t="e">
        <f ca="1">_xll.EPMSaveComment(D52,,B52,D$19)</f>
        <v>#NAME?</v>
      </c>
      <c r="AP52" s="416" t="e">
        <f ca="1">_xll.EPMSaveComment(E52,,B52,E$19)</f>
        <v>#NAME?</v>
      </c>
      <c r="AQ52" s="416" t="e">
        <f ca="1">_xll.EPMSaveComment(F52,,$B52,F$19)</f>
        <v>#NAME?</v>
      </c>
      <c r="AR52" s="416" t="e">
        <f ca="1">_xll.EPMSaveComment(#REF!,,$B52,G$19)</f>
        <v>#NAME?</v>
      </c>
      <c r="AS52" s="416" t="e">
        <f ca="1">_xll.EPMSaveComment(H52,,$B52,H$19)</f>
        <v>#NAME?</v>
      </c>
      <c r="AT52" s="416" t="e">
        <f ca="1">_xll.EPMSaveData(I52,,I$19,$B52)</f>
        <v>#NAME?</v>
      </c>
      <c r="AU52" s="416" t="e">
        <f ca="1">_xll.EPMSaveComment(J52,,$B52,J$19)</f>
        <v>#NAME?</v>
      </c>
      <c r="AV52" s="416" t="e">
        <f ca="1">_xll.EPMSaveComment(K52,,$B52,K$19)</f>
        <v>#NAME?</v>
      </c>
      <c r="AW52" s="416" t="e">
        <f ca="1">_xll.EPMSaveComment(L52,,$B52,L$19)</f>
        <v>#NAME?</v>
      </c>
      <c r="AX52" s="416" t="e">
        <f ca="1">_xll.EPMSaveComment(M52,,$B52,M$19)</f>
        <v>#NAME?</v>
      </c>
      <c r="AY52" s="416" t="e">
        <f ca="1">_xll.EPMSaveComment(N52,,$B52,N$19)</f>
        <v>#NAME?</v>
      </c>
      <c r="AZ52" s="416" t="e">
        <f ca="1">_xll.EPMSaveData(O52,,O$19,$B52)</f>
        <v>#NAME?</v>
      </c>
      <c r="BA52" s="416" t="e">
        <f ca="1">_xll.EPMSaveComment(P52,,$B52,P$19)</f>
        <v>#NAME?</v>
      </c>
      <c r="BB52" s="416" t="e">
        <f ca="1">_xll.EPMSaveComment(Q52,,$B52,Q$19)</f>
        <v>#NAME?</v>
      </c>
      <c r="BC52" s="416" t="e">
        <f ca="1">_xll.EPMSaveComment(R52,,$B52,R$19)</f>
        <v>#NAME?</v>
      </c>
      <c r="BD52" s="416" t="e">
        <f ca="1">_xll.EPMSaveData(S52,,$F$19,$B52)</f>
        <v>#NAME?</v>
      </c>
      <c r="BE52" s="416" t="e">
        <f ca="1">_xll.EPMSaveComment(AK52,,B52,AF$15)</f>
        <v>#NAME?</v>
      </c>
      <c r="BF52" s="416"/>
      <c r="BG52" s="416"/>
      <c r="BH52" s="157" t="str">
        <f t="shared" si="8"/>
        <v>Ok</v>
      </c>
      <c r="BI52" s="347">
        <f t="shared" si="9"/>
        <v>0</v>
      </c>
      <c r="BK52" s="160" t="str">
        <f t="shared" si="10"/>
        <v/>
      </c>
    </row>
    <row r="53" spans="1:63">
      <c r="A53" s="179"/>
      <c r="B53" s="580" t="s">
        <v>274</v>
      </c>
      <c r="C53" s="479"/>
      <c r="D53" s="224"/>
      <c r="E53" s="97" t="str">
        <f t="shared" si="0"/>
        <v/>
      </c>
      <c r="F53" s="183"/>
      <c r="G53" s="97" t="str">
        <f t="shared" si="3"/>
        <v/>
      </c>
      <c r="H53" s="307"/>
      <c r="I53" s="182"/>
      <c r="J53" s="184"/>
      <c r="K53" s="110" t="str">
        <f t="shared" si="1"/>
        <v/>
      </c>
      <c r="L53" s="184"/>
      <c r="M53" s="96" t="str">
        <f t="shared" si="2"/>
        <v/>
      </c>
      <c r="N53" s="184"/>
      <c r="O53" s="515"/>
      <c r="P53" s="184"/>
      <c r="Q53" s="185"/>
      <c r="R53" s="185"/>
      <c r="S53" s="271"/>
      <c r="T53" s="499" t="e">
        <f ca="1" xml:space="preserve"> _xll.EPMOlapMemberO("[FILA_NOTA].[PARENTH1].[09901033]","","09901033","","000;001;002")</f>
        <v>#NAME?</v>
      </c>
      <c r="U53" s="271"/>
      <c r="V53" s="271"/>
      <c r="W53" s="428">
        <f t="shared" si="4"/>
        <v>0</v>
      </c>
      <c r="X53" s="291"/>
      <c r="Y53" s="526"/>
      <c r="Z53" s="526"/>
      <c r="AA53" s="428">
        <f t="shared" si="5"/>
        <v>0</v>
      </c>
      <c r="AB53" s="526"/>
      <c r="AC53" s="428">
        <f t="shared" si="6"/>
        <v>0</v>
      </c>
      <c r="AD53" s="271"/>
      <c r="AE53" s="271"/>
      <c r="AF53" s="428">
        <f t="shared" si="7"/>
        <v>0</v>
      </c>
      <c r="AG53" s="526"/>
      <c r="AH53" s="526"/>
      <c r="AI53" s="526"/>
      <c r="AJ53" s="526"/>
      <c r="AK53" s="234"/>
      <c r="AL53" s="433"/>
      <c r="AM53" s="433"/>
      <c r="AN53" s="416" t="e">
        <f ca="1">_xll.EPMSaveComment(C53,,B53,C$19)</f>
        <v>#NAME?</v>
      </c>
      <c r="AO53" s="416" t="e">
        <f ca="1">_xll.EPMSaveComment(D53,,B53,D$19)</f>
        <v>#NAME?</v>
      </c>
      <c r="AP53" s="416" t="e">
        <f ca="1">_xll.EPMSaveComment(E53,,B53,E$19)</f>
        <v>#NAME?</v>
      </c>
      <c r="AQ53" s="416" t="e">
        <f ca="1">_xll.EPMSaveComment(F53,,$B53,F$19)</f>
        <v>#NAME?</v>
      </c>
      <c r="AR53" s="416" t="e">
        <f ca="1">_xll.EPMSaveComment(#REF!,,$B53,G$19)</f>
        <v>#NAME?</v>
      </c>
      <c r="AS53" s="416" t="e">
        <f ca="1">_xll.EPMSaveComment(H53,,$B53,H$19)</f>
        <v>#NAME?</v>
      </c>
      <c r="AT53" s="416" t="e">
        <f ca="1">_xll.EPMSaveData(I53,,I$19,$B53)</f>
        <v>#NAME?</v>
      </c>
      <c r="AU53" s="416" t="e">
        <f ca="1">_xll.EPMSaveComment(J53,,$B53,J$19)</f>
        <v>#NAME?</v>
      </c>
      <c r="AV53" s="416" t="e">
        <f ca="1">_xll.EPMSaveComment(K53,,$B53,K$19)</f>
        <v>#NAME?</v>
      </c>
      <c r="AW53" s="416" t="e">
        <f ca="1">_xll.EPMSaveComment(L53,,$B53,L$19)</f>
        <v>#NAME?</v>
      </c>
      <c r="AX53" s="416" t="e">
        <f ca="1">_xll.EPMSaveComment(M53,,$B53,M$19)</f>
        <v>#NAME?</v>
      </c>
      <c r="AY53" s="416" t="e">
        <f ca="1">_xll.EPMSaveComment(N53,,$B53,N$19)</f>
        <v>#NAME?</v>
      </c>
      <c r="AZ53" s="416" t="e">
        <f ca="1">_xll.EPMSaveData(O53,,O$19,$B53)</f>
        <v>#NAME?</v>
      </c>
      <c r="BA53" s="416" t="e">
        <f ca="1">_xll.EPMSaveComment(P53,,$B53,P$19)</f>
        <v>#NAME?</v>
      </c>
      <c r="BB53" s="416" t="e">
        <f ca="1">_xll.EPMSaveComment(Q53,,$B53,Q$19)</f>
        <v>#NAME?</v>
      </c>
      <c r="BC53" s="416" t="e">
        <f ca="1">_xll.EPMSaveComment(R53,,$B53,R$19)</f>
        <v>#NAME?</v>
      </c>
      <c r="BD53" s="416" t="e">
        <f ca="1">_xll.EPMSaveData(S53,,$F$19,$B53)</f>
        <v>#NAME?</v>
      </c>
      <c r="BE53" s="416" t="e">
        <f ca="1">_xll.EPMSaveComment(AK53,,B53,AF$15)</f>
        <v>#NAME?</v>
      </c>
      <c r="BF53" s="416"/>
      <c r="BG53" s="416"/>
      <c r="BH53" s="157" t="str">
        <f t="shared" si="8"/>
        <v>Ok</v>
      </c>
      <c r="BI53" s="347">
        <f t="shared" si="9"/>
        <v>0</v>
      </c>
      <c r="BK53" s="160" t="str">
        <f t="shared" si="10"/>
        <v/>
      </c>
    </row>
    <row r="54" spans="1:63">
      <c r="A54" s="179"/>
      <c r="B54" s="580" t="s">
        <v>275</v>
      </c>
      <c r="C54" s="479"/>
      <c r="D54" s="224"/>
      <c r="E54" s="97" t="str">
        <f t="shared" ref="E54:E85" si="11">IF(C54="","",IF(D54="","",IF(D54="Si","No","Si")))</f>
        <v/>
      </c>
      <c r="F54" s="183"/>
      <c r="G54" s="97" t="str">
        <f t="shared" si="3"/>
        <v/>
      </c>
      <c r="H54" s="307"/>
      <c r="I54" s="182"/>
      <c r="J54" s="184"/>
      <c r="K54" s="110" t="str">
        <f t="shared" ref="K54:K85" si="12">IF(C54="","",IF(J54="X","","X"))</f>
        <v/>
      </c>
      <c r="L54" s="184"/>
      <c r="M54" s="96" t="str">
        <f t="shared" ref="M54:M85" si="13">IF(C54="","",IF(L54="","",IF(L54="Si","No","Si")))</f>
        <v/>
      </c>
      <c r="N54" s="184"/>
      <c r="O54" s="515"/>
      <c r="P54" s="184"/>
      <c r="Q54" s="185"/>
      <c r="R54" s="185"/>
      <c r="S54" s="271"/>
      <c r="T54" s="499" t="e">
        <f ca="1" xml:space="preserve"> _xll.EPMOlapMemberO("[FILA_NOTA].[PARENTH1].[09901034]","","09901034","","000;001;002")</f>
        <v>#NAME?</v>
      </c>
      <c r="U54" s="271"/>
      <c r="V54" s="271"/>
      <c r="W54" s="428">
        <f t="shared" si="4"/>
        <v>0</v>
      </c>
      <c r="X54" s="291"/>
      <c r="Y54" s="526"/>
      <c r="Z54" s="526"/>
      <c r="AA54" s="428">
        <f t="shared" si="5"/>
        <v>0</v>
      </c>
      <c r="AB54" s="526"/>
      <c r="AC54" s="428">
        <f t="shared" si="6"/>
        <v>0</v>
      </c>
      <c r="AD54" s="271"/>
      <c r="AE54" s="271"/>
      <c r="AF54" s="428">
        <f t="shared" si="7"/>
        <v>0</v>
      </c>
      <c r="AG54" s="526"/>
      <c r="AH54" s="526"/>
      <c r="AI54" s="526"/>
      <c r="AJ54" s="526"/>
      <c r="AK54" s="234"/>
      <c r="AL54" s="433"/>
      <c r="AM54" s="433"/>
      <c r="AN54" s="416" t="e">
        <f ca="1">_xll.EPMSaveComment(C54,,B54,C$19)</f>
        <v>#NAME?</v>
      </c>
      <c r="AO54" s="416" t="e">
        <f ca="1">_xll.EPMSaveComment(D54,,B54,D$19)</f>
        <v>#NAME?</v>
      </c>
      <c r="AP54" s="416" t="e">
        <f ca="1">_xll.EPMSaveComment(E54,,B54,E$19)</f>
        <v>#NAME?</v>
      </c>
      <c r="AQ54" s="416" t="e">
        <f ca="1">_xll.EPMSaveComment(F54,,$B54,F$19)</f>
        <v>#NAME?</v>
      </c>
      <c r="AR54" s="416" t="e">
        <f ca="1">_xll.EPMSaveComment(#REF!,,$B54,G$19)</f>
        <v>#NAME?</v>
      </c>
      <c r="AS54" s="416" t="e">
        <f ca="1">_xll.EPMSaveComment(H54,,$B54,H$19)</f>
        <v>#NAME?</v>
      </c>
      <c r="AT54" s="416" t="e">
        <f ca="1">_xll.EPMSaveData(I54,,I$19,$B54)</f>
        <v>#NAME?</v>
      </c>
      <c r="AU54" s="416" t="e">
        <f ca="1">_xll.EPMSaveComment(J54,,$B54,J$19)</f>
        <v>#NAME?</v>
      </c>
      <c r="AV54" s="416" t="e">
        <f ca="1">_xll.EPMSaveComment(K54,,$B54,K$19)</f>
        <v>#NAME?</v>
      </c>
      <c r="AW54" s="416" t="e">
        <f ca="1">_xll.EPMSaveComment(L54,,$B54,L$19)</f>
        <v>#NAME?</v>
      </c>
      <c r="AX54" s="416" t="e">
        <f ca="1">_xll.EPMSaveComment(M54,,$B54,M$19)</f>
        <v>#NAME?</v>
      </c>
      <c r="AY54" s="416" t="e">
        <f ca="1">_xll.EPMSaveComment(N54,,$B54,N$19)</f>
        <v>#NAME?</v>
      </c>
      <c r="AZ54" s="416" t="e">
        <f ca="1">_xll.EPMSaveData(O54,,O$19,$B54)</f>
        <v>#NAME?</v>
      </c>
      <c r="BA54" s="416" t="e">
        <f ca="1">_xll.EPMSaveComment(P54,,$B54,P$19)</f>
        <v>#NAME?</v>
      </c>
      <c r="BB54" s="416" t="e">
        <f ca="1">_xll.EPMSaveComment(Q54,,$B54,Q$19)</f>
        <v>#NAME?</v>
      </c>
      <c r="BC54" s="416" t="e">
        <f ca="1">_xll.EPMSaveComment(R54,,$B54,R$19)</f>
        <v>#NAME?</v>
      </c>
      <c r="BD54" s="416" t="e">
        <f ca="1">_xll.EPMSaveData(S54,,$F$19,$B54)</f>
        <v>#NAME?</v>
      </c>
      <c r="BE54" s="416" t="e">
        <f ca="1">_xll.EPMSaveComment(AK54,,B54,AF$15)</f>
        <v>#NAME?</v>
      </c>
      <c r="BF54" s="416"/>
      <c r="BG54" s="416"/>
      <c r="BH54" s="157" t="str">
        <f t="shared" si="8"/>
        <v>Ok</v>
      </c>
      <c r="BI54" s="347">
        <f t="shared" si="9"/>
        <v>0</v>
      </c>
      <c r="BK54" s="160" t="str">
        <f t="shared" si="10"/>
        <v/>
      </c>
    </row>
    <row r="55" spans="1:63">
      <c r="A55" s="179"/>
      <c r="B55" s="580" t="s">
        <v>276</v>
      </c>
      <c r="C55" s="479"/>
      <c r="D55" s="224"/>
      <c r="E55" s="97" t="str">
        <f t="shared" si="11"/>
        <v/>
      </c>
      <c r="F55" s="183"/>
      <c r="G55" s="97" t="str">
        <f t="shared" si="3"/>
        <v/>
      </c>
      <c r="H55" s="307"/>
      <c r="I55" s="182"/>
      <c r="J55" s="184"/>
      <c r="K55" s="110" t="str">
        <f t="shared" si="12"/>
        <v/>
      </c>
      <c r="L55" s="184"/>
      <c r="M55" s="96" t="str">
        <f t="shared" si="13"/>
        <v/>
      </c>
      <c r="N55" s="184"/>
      <c r="O55" s="515"/>
      <c r="P55" s="184"/>
      <c r="Q55" s="185"/>
      <c r="R55" s="185"/>
      <c r="S55" s="271"/>
      <c r="T55" s="499" t="e">
        <f ca="1" xml:space="preserve"> _xll.EPMOlapMemberO("[FILA_NOTA].[PARENTH1].[09901035]","","09901035","","000;001;002")</f>
        <v>#NAME?</v>
      </c>
      <c r="U55" s="271"/>
      <c r="V55" s="271"/>
      <c r="W55" s="428">
        <f t="shared" si="4"/>
        <v>0</v>
      </c>
      <c r="X55" s="291"/>
      <c r="Y55" s="526"/>
      <c r="Z55" s="526"/>
      <c r="AA55" s="428">
        <f t="shared" si="5"/>
        <v>0</v>
      </c>
      <c r="AB55" s="526"/>
      <c r="AC55" s="428">
        <f t="shared" si="6"/>
        <v>0</v>
      </c>
      <c r="AD55" s="271"/>
      <c r="AE55" s="271"/>
      <c r="AF55" s="428">
        <f t="shared" si="7"/>
        <v>0</v>
      </c>
      <c r="AG55" s="526"/>
      <c r="AH55" s="526"/>
      <c r="AI55" s="526"/>
      <c r="AJ55" s="526"/>
      <c r="AK55" s="234"/>
      <c r="AL55" s="433"/>
      <c r="AM55" s="433"/>
      <c r="AN55" s="416" t="e">
        <f ca="1">_xll.EPMSaveComment(C55,,B55,C$19)</f>
        <v>#NAME?</v>
      </c>
      <c r="AO55" s="416" t="e">
        <f ca="1">_xll.EPMSaveComment(D55,,B55,D$19)</f>
        <v>#NAME?</v>
      </c>
      <c r="AP55" s="416" t="e">
        <f ca="1">_xll.EPMSaveComment(E55,,B55,E$19)</f>
        <v>#NAME?</v>
      </c>
      <c r="AQ55" s="416" t="e">
        <f ca="1">_xll.EPMSaveComment(F55,,$B55,F$19)</f>
        <v>#NAME?</v>
      </c>
      <c r="AR55" s="416" t="e">
        <f ca="1">_xll.EPMSaveComment(#REF!,,$B55,G$19)</f>
        <v>#NAME?</v>
      </c>
      <c r="AS55" s="416" t="e">
        <f ca="1">_xll.EPMSaveComment(H55,,$B55,H$19)</f>
        <v>#NAME?</v>
      </c>
      <c r="AT55" s="416" t="e">
        <f ca="1">_xll.EPMSaveData(I55,,I$19,$B55)</f>
        <v>#NAME?</v>
      </c>
      <c r="AU55" s="416" t="e">
        <f ca="1">_xll.EPMSaveComment(J55,,$B55,J$19)</f>
        <v>#NAME?</v>
      </c>
      <c r="AV55" s="416" t="e">
        <f ca="1">_xll.EPMSaveComment(K55,,$B55,K$19)</f>
        <v>#NAME?</v>
      </c>
      <c r="AW55" s="416" t="e">
        <f ca="1">_xll.EPMSaveComment(L55,,$B55,L$19)</f>
        <v>#NAME?</v>
      </c>
      <c r="AX55" s="416" t="e">
        <f ca="1">_xll.EPMSaveComment(M55,,$B55,M$19)</f>
        <v>#NAME?</v>
      </c>
      <c r="AY55" s="416" t="e">
        <f ca="1">_xll.EPMSaveComment(N55,,$B55,N$19)</f>
        <v>#NAME?</v>
      </c>
      <c r="AZ55" s="416" t="e">
        <f ca="1">_xll.EPMSaveData(O55,,O$19,$B55)</f>
        <v>#NAME?</v>
      </c>
      <c r="BA55" s="416" t="e">
        <f ca="1">_xll.EPMSaveComment(P55,,$B55,P$19)</f>
        <v>#NAME?</v>
      </c>
      <c r="BB55" s="416" t="e">
        <f ca="1">_xll.EPMSaveComment(Q55,,$B55,Q$19)</f>
        <v>#NAME?</v>
      </c>
      <c r="BC55" s="416" t="e">
        <f ca="1">_xll.EPMSaveComment(R55,,$B55,R$19)</f>
        <v>#NAME?</v>
      </c>
      <c r="BD55" s="416" t="e">
        <f ca="1">_xll.EPMSaveData(S55,,$F$19,$B55)</f>
        <v>#NAME?</v>
      </c>
      <c r="BE55" s="416" t="e">
        <f ca="1">_xll.EPMSaveComment(AK55,,B55,AF$15)</f>
        <v>#NAME?</v>
      </c>
      <c r="BF55" s="416"/>
      <c r="BG55" s="416"/>
      <c r="BH55" s="157" t="str">
        <f t="shared" si="8"/>
        <v>Ok</v>
      </c>
      <c r="BI55" s="347">
        <f t="shared" si="9"/>
        <v>0</v>
      </c>
      <c r="BK55" s="160" t="str">
        <f t="shared" si="10"/>
        <v/>
      </c>
    </row>
    <row r="56" spans="1:63">
      <c r="A56" s="179"/>
      <c r="B56" s="580" t="s">
        <v>277</v>
      </c>
      <c r="C56" s="479"/>
      <c r="D56" s="224"/>
      <c r="E56" s="97" t="str">
        <f t="shared" si="11"/>
        <v/>
      </c>
      <c r="F56" s="183"/>
      <c r="G56" s="97" t="str">
        <f t="shared" si="3"/>
        <v/>
      </c>
      <c r="H56" s="307"/>
      <c r="I56" s="182"/>
      <c r="J56" s="184"/>
      <c r="K56" s="110" t="str">
        <f t="shared" si="12"/>
        <v/>
      </c>
      <c r="L56" s="184"/>
      <c r="M56" s="96" t="str">
        <f t="shared" si="13"/>
        <v/>
      </c>
      <c r="N56" s="184"/>
      <c r="O56" s="515"/>
      <c r="P56" s="184"/>
      <c r="Q56" s="185"/>
      <c r="R56" s="185"/>
      <c r="S56" s="271"/>
      <c r="T56" s="499" t="e">
        <f ca="1" xml:space="preserve"> _xll.EPMOlapMemberO("[FILA_NOTA].[PARENTH1].[09901036]","","09901036","","000;001;002")</f>
        <v>#NAME?</v>
      </c>
      <c r="U56" s="271"/>
      <c r="V56" s="271"/>
      <c r="W56" s="428">
        <f t="shared" si="4"/>
        <v>0</v>
      </c>
      <c r="X56" s="291"/>
      <c r="Y56" s="526"/>
      <c r="Z56" s="526"/>
      <c r="AA56" s="428">
        <f t="shared" si="5"/>
        <v>0</v>
      </c>
      <c r="AB56" s="526"/>
      <c r="AC56" s="428">
        <f t="shared" si="6"/>
        <v>0</v>
      </c>
      <c r="AD56" s="271"/>
      <c r="AE56" s="271"/>
      <c r="AF56" s="428">
        <f t="shared" si="7"/>
        <v>0</v>
      </c>
      <c r="AG56" s="526"/>
      <c r="AH56" s="526"/>
      <c r="AI56" s="526"/>
      <c r="AJ56" s="526"/>
      <c r="AK56" s="234"/>
      <c r="AL56" s="433"/>
      <c r="AM56" s="433"/>
      <c r="AN56" s="416" t="e">
        <f ca="1">_xll.EPMSaveComment(C56,,B56,C$19)</f>
        <v>#NAME?</v>
      </c>
      <c r="AO56" s="416" t="e">
        <f ca="1">_xll.EPMSaveComment(D56,,B56,D$19)</f>
        <v>#NAME?</v>
      </c>
      <c r="AP56" s="416" t="e">
        <f ca="1">_xll.EPMSaveComment(E56,,B56,E$19)</f>
        <v>#NAME?</v>
      </c>
      <c r="AQ56" s="416" t="e">
        <f ca="1">_xll.EPMSaveComment(F56,,$B56,F$19)</f>
        <v>#NAME?</v>
      </c>
      <c r="AR56" s="416" t="e">
        <f ca="1">_xll.EPMSaveComment(#REF!,,$B56,G$19)</f>
        <v>#NAME?</v>
      </c>
      <c r="AS56" s="416" t="e">
        <f ca="1">_xll.EPMSaveComment(H56,,$B56,H$19)</f>
        <v>#NAME?</v>
      </c>
      <c r="AT56" s="416" t="e">
        <f ca="1">_xll.EPMSaveData(I56,,I$19,$B56)</f>
        <v>#NAME?</v>
      </c>
      <c r="AU56" s="416" t="e">
        <f ca="1">_xll.EPMSaveComment(J56,,$B56,J$19)</f>
        <v>#NAME?</v>
      </c>
      <c r="AV56" s="416" t="e">
        <f ca="1">_xll.EPMSaveComment(K56,,$B56,K$19)</f>
        <v>#NAME?</v>
      </c>
      <c r="AW56" s="416" t="e">
        <f ca="1">_xll.EPMSaveComment(L56,,$B56,L$19)</f>
        <v>#NAME?</v>
      </c>
      <c r="AX56" s="416" t="e">
        <f ca="1">_xll.EPMSaveComment(M56,,$B56,M$19)</f>
        <v>#NAME?</v>
      </c>
      <c r="AY56" s="416" t="e">
        <f ca="1">_xll.EPMSaveComment(N56,,$B56,N$19)</f>
        <v>#NAME?</v>
      </c>
      <c r="AZ56" s="416" t="e">
        <f ca="1">_xll.EPMSaveData(O56,,O$19,$B56)</f>
        <v>#NAME?</v>
      </c>
      <c r="BA56" s="416" t="e">
        <f ca="1">_xll.EPMSaveComment(P56,,$B56,P$19)</f>
        <v>#NAME?</v>
      </c>
      <c r="BB56" s="416" t="e">
        <f ca="1">_xll.EPMSaveComment(Q56,,$B56,Q$19)</f>
        <v>#NAME?</v>
      </c>
      <c r="BC56" s="416" t="e">
        <f ca="1">_xll.EPMSaveComment(R56,,$B56,R$19)</f>
        <v>#NAME?</v>
      </c>
      <c r="BD56" s="416" t="e">
        <f ca="1">_xll.EPMSaveData(S56,,$F$19,$B56)</f>
        <v>#NAME?</v>
      </c>
      <c r="BE56" s="416" t="e">
        <f ca="1">_xll.EPMSaveComment(AK56,,B56,AF$15)</f>
        <v>#NAME?</v>
      </c>
      <c r="BF56" s="416"/>
      <c r="BG56" s="416"/>
      <c r="BH56" s="157" t="str">
        <f t="shared" si="8"/>
        <v>Ok</v>
      </c>
      <c r="BI56" s="347">
        <f t="shared" si="9"/>
        <v>0</v>
      </c>
      <c r="BK56" s="160" t="str">
        <f t="shared" si="10"/>
        <v/>
      </c>
    </row>
    <row r="57" spans="1:63">
      <c r="A57" s="179"/>
      <c r="B57" s="580" t="s">
        <v>278</v>
      </c>
      <c r="C57" s="479"/>
      <c r="D57" s="224"/>
      <c r="E57" s="97" t="str">
        <f t="shared" si="11"/>
        <v/>
      </c>
      <c r="F57" s="183"/>
      <c r="G57" s="97" t="str">
        <f t="shared" si="3"/>
        <v/>
      </c>
      <c r="H57" s="307"/>
      <c r="I57" s="182"/>
      <c r="J57" s="184"/>
      <c r="K57" s="110" t="str">
        <f t="shared" si="12"/>
        <v/>
      </c>
      <c r="L57" s="184"/>
      <c r="M57" s="96" t="str">
        <f t="shared" si="13"/>
        <v/>
      </c>
      <c r="N57" s="184"/>
      <c r="O57" s="515"/>
      <c r="P57" s="184"/>
      <c r="Q57" s="185"/>
      <c r="R57" s="185"/>
      <c r="S57" s="271"/>
      <c r="T57" s="499" t="e">
        <f ca="1" xml:space="preserve"> _xll.EPMOlapMemberO("[FILA_NOTA].[PARENTH1].[09901037]","","09901037","","000;001;002")</f>
        <v>#NAME?</v>
      </c>
      <c r="U57" s="271"/>
      <c r="V57" s="271"/>
      <c r="W57" s="428">
        <f t="shared" si="4"/>
        <v>0</v>
      </c>
      <c r="X57" s="291"/>
      <c r="Y57" s="526"/>
      <c r="Z57" s="526"/>
      <c r="AA57" s="428">
        <f t="shared" si="5"/>
        <v>0</v>
      </c>
      <c r="AB57" s="526"/>
      <c r="AC57" s="428">
        <f t="shared" si="6"/>
        <v>0</v>
      </c>
      <c r="AD57" s="271"/>
      <c r="AE57" s="271"/>
      <c r="AF57" s="428">
        <f t="shared" si="7"/>
        <v>0</v>
      </c>
      <c r="AG57" s="526"/>
      <c r="AH57" s="526"/>
      <c r="AI57" s="526"/>
      <c r="AJ57" s="526"/>
      <c r="AK57" s="234"/>
      <c r="AL57" s="433"/>
      <c r="AM57" s="433"/>
      <c r="AN57" s="416" t="e">
        <f ca="1">_xll.EPMSaveComment(C57,,B57,C$19)</f>
        <v>#NAME?</v>
      </c>
      <c r="AO57" s="416" t="e">
        <f ca="1">_xll.EPMSaveComment(D57,,B57,D$19)</f>
        <v>#NAME?</v>
      </c>
      <c r="AP57" s="416" t="e">
        <f ca="1">_xll.EPMSaveComment(E57,,B57,E$19)</f>
        <v>#NAME?</v>
      </c>
      <c r="AQ57" s="416" t="e">
        <f ca="1">_xll.EPMSaveComment(F57,,$B57,F$19)</f>
        <v>#NAME?</v>
      </c>
      <c r="AR57" s="416" t="e">
        <f ca="1">_xll.EPMSaveComment(#REF!,,$B57,G$19)</f>
        <v>#NAME?</v>
      </c>
      <c r="AS57" s="416" t="e">
        <f ca="1">_xll.EPMSaveComment(H57,,$B57,H$19)</f>
        <v>#NAME?</v>
      </c>
      <c r="AT57" s="416" t="e">
        <f ca="1">_xll.EPMSaveData(I57,,I$19,$B57)</f>
        <v>#NAME?</v>
      </c>
      <c r="AU57" s="416" t="e">
        <f ca="1">_xll.EPMSaveComment(J57,,$B57,J$19)</f>
        <v>#NAME?</v>
      </c>
      <c r="AV57" s="416" t="e">
        <f ca="1">_xll.EPMSaveComment(K57,,$B57,K$19)</f>
        <v>#NAME?</v>
      </c>
      <c r="AW57" s="416" t="e">
        <f ca="1">_xll.EPMSaveComment(L57,,$B57,L$19)</f>
        <v>#NAME?</v>
      </c>
      <c r="AX57" s="416" t="e">
        <f ca="1">_xll.EPMSaveComment(M57,,$B57,M$19)</f>
        <v>#NAME?</v>
      </c>
      <c r="AY57" s="416" t="e">
        <f ca="1">_xll.EPMSaveComment(N57,,$B57,N$19)</f>
        <v>#NAME?</v>
      </c>
      <c r="AZ57" s="416" t="e">
        <f ca="1">_xll.EPMSaveData(O57,,O$19,$B57)</f>
        <v>#NAME?</v>
      </c>
      <c r="BA57" s="416" t="e">
        <f ca="1">_xll.EPMSaveComment(P57,,$B57,P$19)</f>
        <v>#NAME?</v>
      </c>
      <c r="BB57" s="416" t="e">
        <f ca="1">_xll.EPMSaveComment(Q57,,$B57,Q$19)</f>
        <v>#NAME?</v>
      </c>
      <c r="BC57" s="416" t="e">
        <f ca="1">_xll.EPMSaveComment(R57,,$B57,R$19)</f>
        <v>#NAME?</v>
      </c>
      <c r="BD57" s="416" t="e">
        <f ca="1">_xll.EPMSaveData(S57,,$F$19,$B57)</f>
        <v>#NAME?</v>
      </c>
      <c r="BE57" s="416" t="e">
        <f ca="1">_xll.EPMSaveComment(AK57,,B57,AF$15)</f>
        <v>#NAME?</v>
      </c>
      <c r="BF57" s="416"/>
      <c r="BG57" s="416"/>
      <c r="BH57" s="157" t="str">
        <f t="shared" si="8"/>
        <v>Ok</v>
      </c>
      <c r="BI57" s="347">
        <f t="shared" si="9"/>
        <v>0</v>
      </c>
      <c r="BK57" s="160" t="str">
        <f t="shared" si="10"/>
        <v/>
      </c>
    </row>
    <row r="58" spans="1:63">
      <c r="A58" s="179"/>
      <c r="B58" s="580" t="s">
        <v>279</v>
      </c>
      <c r="C58" s="479"/>
      <c r="D58" s="224"/>
      <c r="E58" s="97" t="str">
        <f t="shared" si="11"/>
        <v/>
      </c>
      <c r="F58" s="183"/>
      <c r="G58" s="97" t="str">
        <f t="shared" si="3"/>
        <v/>
      </c>
      <c r="H58" s="307"/>
      <c r="I58" s="182"/>
      <c r="J58" s="184"/>
      <c r="K58" s="110" t="str">
        <f t="shared" si="12"/>
        <v/>
      </c>
      <c r="L58" s="184"/>
      <c r="M58" s="96" t="str">
        <f t="shared" si="13"/>
        <v/>
      </c>
      <c r="N58" s="184"/>
      <c r="O58" s="515"/>
      <c r="P58" s="184"/>
      <c r="Q58" s="185"/>
      <c r="R58" s="185"/>
      <c r="S58" s="271"/>
      <c r="T58" s="499" t="e">
        <f ca="1" xml:space="preserve"> _xll.EPMOlapMemberO("[FILA_NOTA].[PARENTH1].[09901038]","","09901038","","000;001;002")</f>
        <v>#NAME?</v>
      </c>
      <c r="U58" s="271"/>
      <c r="V58" s="271"/>
      <c r="W58" s="428">
        <f t="shared" si="4"/>
        <v>0</v>
      </c>
      <c r="X58" s="291"/>
      <c r="Y58" s="526"/>
      <c r="Z58" s="526"/>
      <c r="AA58" s="428">
        <f t="shared" si="5"/>
        <v>0</v>
      </c>
      <c r="AB58" s="526"/>
      <c r="AC58" s="428">
        <f t="shared" si="6"/>
        <v>0</v>
      </c>
      <c r="AD58" s="271"/>
      <c r="AE58" s="271"/>
      <c r="AF58" s="428">
        <f t="shared" si="7"/>
        <v>0</v>
      </c>
      <c r="AG58" s="526"/>
      <c r="AH58" s="526"/>
      <c r="AI58" s="526"/>
      <c r="AJ58" s="526"/>
      <c r="AK58" s="234"/>
      <c r="AL58" s="433"/>
      <c r="AM58" s="433"/>
      <c r="AN58" s="416" t="e">
        <f ca="1">_xll.EPMSaveComment(C58,,B58,C$19)</f>
        <v>#NAME?</v>
      </c>
      <c r="AO58" s="416" t="e">
        <f ca="1">_xll.EPMSaveComment(D58,,B58,D$19)</f>
        <v>#NAME?</v>
      </c>
      <c r="AP58" s="416" t="e">
        <f ca="1">_xll.EPMSaveComment(E58,,B58,E$19)</f>
        <v>#NAME?</v>
      </c>
      <c r="AQ58" s="416" t="e">
        <f ca="1">_xll.EPMSaveComment(F58,,$B58,F$19)</f>
        <v>#NAME?</v>
      </c>
      <c r="AR58" s="416" t="e">
        <f ca="1">_xll.EPMSaveComment(#REF!,,$B58,G$19)</f>
        <v>#NAME?</v>
      </c>
      <c r="AS58" s="416" t="e">
        <f ca="1">_xll.EPMSaveComment(H58,,$B58,H$19)</f>
        <v>#NAME?</v>
      </c>
      <c r="AT58" s="416" t="e">
        <f ca="1">_xll.EPMSaveData(I58,,I$19,$B58)</f>
        <v>#NAME?</v>
      </c>
      <c r="AU58" s="416" t="e">
        <f ca="1">_xll.EPMSaveComment(J58,,$B58,J$19)</f>
        <v>#NAME?</v>
      </c>
      <c r="AV58" s="416" t="e">
        <f ca="1">_xll.EPMSaveComment(K58,,$B58,K$19)</f>
        <v>#NAME?</v>
      </c>
      <c r="AW58" s="416" t="e">
        <f ca="1">_xll.EPMSaveComment(L58,,$B58,L$19)</f>
        <v>#NAME?</v>
      </c>
      <c r="AX58" s="416" t="e">
        <f ca="1">_xll.EPMSaveComment(M58,,$B58,M$19)</f>
        <v>#NAME?</v>
      </c>
      <c r="AY58" s="416" t="e">
        <f ca="1">_xll.EPMSaveComment(N58,,$B58,N$19)</f>
        <v>#NAME?</v>
      </c>
      <c r="AZ58" s="416" t="e">
        <f ca="1">_xll.EPMSaveData(O58,,O$19,$B58)</f>
        <v>#NAME?</v>
      </c>
      <c r="BA58" s="416" t="e">
        <f ca="1">_xll.EPMSaveComment(P58,,$B58,P$19)</f>
        <v>#NAME?</v>
      </c>
      <c r="BB58" s="416" t="e">
        <f ca="1">_xll.EPMSaveComment(Q58,,$B58,Q$19)</f>
        <v>#NAME?</v>
      </c>
      <c r="BC58" s="416" t="e">
        <f ca="1">_xll.EPMSaveComment(R58,,$B58,R$19)</f>
        <v>#NAME?</v>
      </c>
      <c r="BD58" s="416" t="e">
        <f ca="1">_xll.EPMSaveData(S58,,$F$19,$B58)</f>
        <v>#NAME?</v>
      </c>
      <c r="BE58" s="416" t="e">
        <f ca="1">_xll.EPMSaveComment(AK58,,B58,AF$15)</f>
        <v>#NAME?</v>
      </c>
      <c r="BF58" s="416"/>
      <c r="BG58" s="416"/>
      <c r="BH58" s="157" t="str">
        <f t="shared" si="8"/>
        <v>Ok</v>
      </c>
      <c r="BI58" s="347">
        <f t="shared" si="9"/>
        <v>0</v>
      </c>
      <c r="BK58" s="160" t="str">
        <f t="shared" si="10"/>
        <v/>
      </c>
    </row>
    <row r="59" spans="1:63">
      <c r="A59" s="179"/>
      <c r="B59" s="580" t="s">
        <v>280</v>
      </c>
      <c r="C59" s="479"/>
      <c r="D59" s="224"/>
      <c r="E59" s="97" t="str">
        <f t="shared" si="11"/>
        <v/>
      </c>
      <c r="F59" s="183"/>
      <c r="G59" s="97" t="str">
        <f t="shared" si="3"/>
        <v/>
      </c>
      <c r="H59" s="307"/>
      <c r="I59" s="182"/>
      <c r="J59" s="184"/>
      <c r="K59" s="110" t="str">
        <f t="shared" si="12"/>
        <v/>
      </c>
      <c r="L59" s="184"/>
      <c r="M59" s="96" t="str">
        <f t="shared" si="13"/>
        <v/>
      </c>
      <c r="N59" s="184"/>
      <c r="O59" s="515"/>
      <c r="P59" s="184"/>
      <c r="Q59" s="185"/>
      <c r="R59" s="185"/>
      <c r="S59" s="271"/>
      <c r="T59" s="499" t="e">
        <f ca="1" xml:space="preserve"> _xll.EPMOlapMemberO("[FILA_NOTA].[PARENTH1].[09901039]","","09901039","","000;001;002")</f>
        <v>#NAME?</v>
      </c>
      <c r="U59" s="271"/>
      <c r="V59" s="271"/>
      <c r="W59" s="428">
        <f t="shared" si="4"/>
        <v>0</v>
      </c>
      <c r="X59" s="291"/>
      <c r="Y59" s="526"/>
      <c r="Z59" s="526"/>
      <c r="AA59" s="428">
        <f t="shared" si="5"/>
        <v>0</v>
      </c>
      <c r="AB59" s="526"/>
      <c r="AC59" s="428">
        <f t="shared" si="6"/>
        <v>0</v>
      </c>
      <c r="AD59" s="271"/>
      <c r="AE59" s="271"/>
      <c r="AF59" s="428">
        <f t="shared" si="7"/>
        <v>0</v>
      </c>
      <c r="AG59" s="526"/>
      <c r="AH59" s="526"/>
      <c r="AI59" s="526"/>
      <c r="AJ59" s="526"/>
      <c r="AK59" s="234"/>
      <c r="AL59" s="433"/>
      <c r="AM59" s="433"/>
      <c r="AN59" s="416" t="e">
        <f ca="1">_xll.EPMSaveComment(C59,,B59,C$19)</f>
        <v>#NAME?</v>
      </c>
      <c r="AO59" s="416" t="e">
        <f ca="1">_xll.EPMSaveComment(D59,,B59,D$19)</f>
        <v>#NAME?</v>
      </c>
      <c r="AP59" s="416" t="e">
        <f ca="1">_xll.EPMSaveComment(E59,,B59,E$19)</f>
        <v>#NAME?</v>
      </c>
      <c r="AQ59" s="416" t="e">
        <f ca="1">_xll.EPMSaveComment(F59,,$B59,F$19)</f>
        <v>#NAME?</v>
      </c>
      <c r="AR59" s="416" t="e">
        <f ca="1">_xll.EPMSaveComment(#REF!,,$B59,G$19)</f>
        <v>#NAME?</v>
      </c>
      <c r="AS59" s="416" t="e">
        <f ca="1">_xll.EPMSaveComment(H59,,$B59,H$19)</f>
        <v>#NAME?</v>
      </c>
      <c r="AT59" s="416" t="e">
        <f ca="1">_xll.EPMSaveData(I59,,I$19,$B59)</f>
        <v>#NAME?</v>
      </c>
      <c r="AU59" s="416" t="e">
        <f ca="1">_xll.EPMSaveComment(J59,,$B59,J$19)</f>
        <v>#NAME?</v>
      </c>
      <c r="AV59" s="416" t="e">
        <f ca="1">_xll.EPMSaveComment(K59,,$B59,K$19)</f>
        <v>#NAME?</v>
      </c>
      <c r="AW59" s="416" t="e">
        <f ca="1">_xll.EPMSaveComment(L59,,$B59,L$19)</f>
        <v>#NAME?</v>
      </c>
      <c r="AX59" s="416" t="e">
        <f ca="1">_xll.EPMSaveComment(M59,,$B59,M$19)</f>
        <v>#NAME?</v>
      </c>
      <c r="AY59" s="416" t="e">
        <f ca="1">_xll.EPMSaveComment(N59,,$B59,N$19)</f>
        <v>#NAME?</v>
      </c>
      <c r="AZ59" s="416" t="e">
        <f ca="1">_xll.EPMSaveData(O59,,O$19,$B59)</f>
        <v>#NAME?</v>
      </c>
      <c r="BA59" s="416" t="e">
        <f ca="1">_xll.EPMSaveComment(P59,,$B59,P$19)</f>
        <v>#NAME?</v>
      </c>
      <c r="BB59" s="416" t="e">
        <f ca="1">_xll.EPMSaveComment(Q59,,$B59,Q$19)</f>
        <v>#NAME?</v>
      </c>
      <c r="BC59" s="416" t="e">
        <f ca="1">_xll.EPMSaveComment(R59,,$B59,R$19)</f>
        <v>#NAME?</v>
      </c>
      <c r="BD59" s="416" t="e">
        <f ca="1">_xll.EPMSaveData(S59,,$F$19,$B59)</f>
        <v>#NAME?</v>
      </c>
      <c r="BE59" s="416" t="e">
        <f ca="1">_xll.EPMSaveComment(AK59,,B59,AF$15)</f>
        <v>#NAME?</v>
      </c>
      <c r="BF59" s="416"/>
      <c r="BG59" s="416"/>
      <c r="BH59" s="157" t="str">
        <f t="shared" si="8"/>
        <v>Ok</v>
      </c>
      <c r="BI59" s="347">
        <f t="shared" si="9"/>
        <v>0</v>
      </c>
      <c r="BK59" s="160" t="str">
        <f t="shared" si="10"/>
        <v/>
      </c>
    </row>
    <row r="60" spans="1:63">
      <c r="A60" s="179"/>
      <c r="B60" s="580" t="s">
        <v>281</v>
      </c>
      <c r="C60" s="479"/>
      <c r="D60" s="224"/>
      <c r="E60" s="97" t="str">
        <f t="shared" si="11"/>
        <v/>
      </c>
      <c r="F60" s="183"/>
      <c r="G60" s="97" t="str">
        <f t="shared" si="3"/>
        <v/>
      </c>
      <c r="H60" s="307"/>
      <c r="I60" s="182"/>
      <c r="J60" s="184"/>
      <c r="K60" s="110" t="str">
        <f t="shared" si="12"/>
        <v/>
      </c>
      <c r="L60" s="184"/>
      <c r="M60" s="96" t="str">
        <f t="shared" si="13"/>
        <v/>
      </c>
      <c r="N60" s="184"/>
      <c r="O60" s="515"/>
      <c r="P60" s="184"/>
      <c r="Q60" s="185"/>
      <c r="R60" s="185"/>
      <c r="S60" s="271"/>
      <c r="T60" s="499" t="e">
        <f ca="1" xml:space="preserve"> _xll.EPMOlapMemberO("[FILA_NOTA].[PARENTH1].[09901040]","","09901040","","000;001;002")</f>
        <v>#NAME?</v>
      </c>
      <c r="U60" s="271"/>
      <c r="V60" s="271"/>
      <c r="W60" s="428">
        <f t="shared" si="4"/>
        <v>0</v>
      </c>
      <c r="X60" s="291"/>
      <c r="Y60" s="526"/>
      <c r="Z60" s="526"/>
      <c r="AA60" s="428">
        <f t="shared" si="5"/>
        <v>0</v>
      </c>
      <c r="AB60" s="526"/>
      <c r="AC60" s="428">
        <f t="shared" si="6"/>
        <v>0</v>
      </c>
      <c r="AD60" s="271"/>
      <c r="AE60" s="271"/>
      <c r="AF60" s="428">
        <f t="shared" si="7"/>
        <v>0</v>
      </c>
      <c r="AG60" s="526"/>
      <c r="AH60" s="526"/>
      <c r="AI60" s="526"/>
      <c r="AJ60" s="526"/>
      <c r="AK60" s="234"/>
      <c r="AL60" s="433"/>
      <c r="AM60" s="433"/>
      <c r="AN60" s="416" t="e">
        <f ca="1">_xll.EPMSaveComment(C60,,B60,C$19)</f>
        <v>#NAME?</v>
      </c>
      <c r="AO60" s="416" t="e">
        <f ca="1">_xll.EPMSaveComment(D60,,B60,D$19)</f>
        <v>#NAME?</v>
      </c>
      <c r="AP60" s="416" t="e">
        <f ca="1">_xll.EPMSaveComment(E60,,B60,E$19)</f>
        <v>#NAME?</v>
      </c>
      <c r="AQ60" s="416" t="e">
        <f ca="1">_xll.EPMSaveComment(F60,,$B60,F$19)</f>
        <v>#NAME?</v>
      </c>
      <c r="AR60" s="416" t="e">
        <f ca="1">_xll.EPMSaveComment(#REF!,,$B60,G$19)</f>
        <v>#NAME?</v>
      </c>
      <c r="AS60" s="416" t="e">
        <f ca="1">_xll.EPMSaveComment(H60,,$B60,H$19)</f>
        <v>#NAME?</v>
      </c>
      <c r="AT60" s="416" t="e">
        <f ca="1">_xll.EPMSaveData(I60,,I$19,$B60)</f>
        <v>#NAME?</v>
      </c>
      <c r="AU60" s="416" t="e">
        <f ca="1">_xll.EPMSaveComment(J60,,$B60,J$19)</f>
        <v>#NAME?</v>
      </c>
      <c r="AV60" s="416" t="e">
        <f ca="1">_xll.EPMSaveComment(K60,,$B60,K$19)</f>
        <v>#NAME?</v>
      </c>
      <c r="AW60" s="416" t="e">
        <f ca="1">_xll.EPMSaveComment(L60,,$B60,L$19)</f>
        <v>#NAME?</v>
      </c>
      <c r="AX60" s="416" t="e">
        <f ca="1">_xll.EPMSaveComment(M60,,$B60,M$19)</f>
        <v>#NAME?</v>
      </c>
      <c r="AY60" s="416" t="e">
        <f ca="1">_xll.EPMSaveComment(N60,,$B60,N$19)</f>
        <v>#NAME?</v>
      </c>
      <c r="AZ60" s="416" t="e">
        <f ca="1">_xll.EPMSaveData(O60,,O$19,$B60)</f>
        <v>#NAME?</v>
      </c>
      <c r="BA60" s="416" t="e">
        <f ca="1">_xll.EPMSaveComment(P60,,$B60,P$19)</f>
        <v>#NAME?</v>
      </c>
      <c r="BB60" s="416" t="e">
        <f ca="1">_xll.EPMSaveComment(Q60,,$B60,Q$19)</f>
        <v>#NAME?</v>
      </c>
      <c r="BC60" s="416" t="e">
        <f ca="1">_xll.EPMSaveComment(R60,,$B60,R$19)</f>
        <v>#NAME?</v>
      </c>
      <c r="BD60" s="416" t="e">
        <f ca="1">_xll.EPMSaveData(S60,,$F$19,$B60)</f>
        <v>#NAME?</v>
      </c>
      <c r="BE60" s="416" t="e">
        <f ca="1">_xll.EPMSaveComment(AK60,,B60,AF$15)</f>
        <v>#NAME?</v>
      </c>
      <c r="BF60" s="416"/>
      <c r="BG60" s="416"/>
      <c r="BH60" s="157" t="str">
        <f t="shared" si="8"/>
        <v>Ok</v>
      </c>
      <c r="BI60" s="347">
        <f t="shared" si="9"/>
        <v>0</v>
      </c>
      <c r="BK60" s="160" t="str">
        <f t="shared" si="10"/>
        <v/>
      </c>
    </row>
    <row r="61" spans="1:63">
      <c r="A61" s="179"/>
      <c r="B61" s="580" t="s">
        <v>282</v>
      </c>
      <c r="C61" s="479"/>
      <c r="D61" s="224"/>
      <c r="E61" s="97" t="str">
        <f t="shared" si="11"/>
        <v/>
      </c>
      <c r="F61" s="183"/>
      <c r="G61" s="97" t="str">
        <f t="shared" si="3"/>
        <v/>
      </c>
      <c r="H61" s="307"/>
      <c r="I61" s="182"/>
      <c r="J61" s="184"/>
      <c r="K61" s="110" t="str">
        <f t="shared" si="12"/>
        <v/>
      </c>
      <c r="L61" s="184"/>
      <c r="M61" s="96" t="str">
        <f t="shared" si="13"/>
        <v/>
      </c>
      <c r="N61" s="184"/>
      <c r="O61" s="515"/>
      <c r="P61" s="184"/>
      <c r="Q61" s="185"/>
      <c r="R61" s="185"/>
      <c r="S61" s="271"/>
      <c r="T61" s="499" t="e">
        <f ca="1" xml:space="preserve"> _xll.EPMOlapMemberO("[FILA_NOTA].[PARENTH1].[09901041]","","09901041","","000;001;002")</f>
        <v>#NAME?</v>
      </c>
      <c r="U61" s="271"/>
      <c r="V61" s="271"/>
      <c r="W61" s="428">
        <f t="shared" si="4"/>
        <v>0</v>
      </c>
      <c r="X61" s="291"/>
      <c r="Y61" s="526"/>
      <c r="Z61" s="526"/>
      <c r="AA61" s="428">
        <f t="shared" si="5"/>
        <v>0</v>
      </c>
      <c r="AB61" s="526"/>
      <c r="AC61" s="428">
        <f t="shared" si="6"/>
        <v>0</v>
      </c>
      <c r="AD61" s="271"/>
      <c r="AE61" s="271"/>
      <c r="AF61" s="428">
        <f t="shared" si="7"/>
        <v>0</v>
      </c>
      <c r="AG61" s="526"/>
      <c r="AH61" s="526"/>
      <c r="AI61" s="526"/>
      <c r="AJ61" s="526"/>
      <c r="AK61" s="234"/>
      <c r="AL61" s="433"/>
      <c r="AM61" s="433"/>
      <c r="AN61" s="416" t="e">
        <f ca="1">_xll.EPMSaveComment(C61,,B61,C$19)</f>
        <v>#NAME?</v>
      </c>
      <c r="AO61" s="416" t="e">
        <f ca="1">_xll.EPMSaveComment(D61,,B61,D$19)</f>
        <v>#NAME?</v>
      </c>
      <c r="AP61" s="416" t="e">
        <f ca="1">_xll.EPMSaveComment(E61,,B61,E$19)</f>
        <v>#NAME?</v>
      </c>
      <c r="AQ61" s="416" t="e">
        <f ca="1">_xll.EPMSaveComment(F61,,$B61,F$19)</f>
        <v>#NAME?</v>
      </c>
      <c r="AR61" s="416" t="e">
        <f ca="1">_xll.EPMSaveComment(#REF!,,$B61,G$19)</f>
        <v>#NAME?</v>
      </c>
      <c r="AS61" s="416" t="e">
        <f ca="1">_xll.EPMSaveComment(H61,,$B61,H$19)</f>
        <v>#NAME?</v>
      </c>
      <c r="AT61" s="416" t="e">
        <f ca="1">_xll.EPMSaveData(I61,,I$19,$B61)</f>
        <v>#NAME?</v>
      </c>
      <c r="AU61" s="416" t="e">
        <f ca="1">_xll.EPMSaveComment(J61,,$B61,J$19)</f>
        <v>#NAME?</v>
      </c>
      <c r="AV61" s="416" t="e">
        <f ca="1">_xll.EPMSaveComment(K61,,$B61,K$19)</f>
        <v>#NAME?</v>
      </c>
      <c r="AW61" s="416" t="e">
        <f ca="1">_xll.EPMSaveComment(L61,,$B61,L$19)</f>
        <v>#NAME?</v>
      </c>
      <c r="AX61" s="416" t="e">
        <f ca="1">_xll.EPMSaveComment(M61,,$B61,M$19)</f>
        <v>#NAME?</v>
      </c>
      <c r="AY61" s="416" t="e">
        <f ca="1">_xll.EPMSaveComment(N61,,$B61,N$19)</f>
        <v>#NAME?</v>
      </c>
      <c r="AZ61" s="416" t="e">
        <f ca="1">_xll.EPMSaveData(O61,,O$19,$B61)</f>
        <v>#NAME?</v>
      </c>
      <c r="BA61" s="416" t="e">
        <f ca="1">_xll.EPMSaveComment(P61,,$B61,P$19)</f>
        <v>#NAME?</v>
      </c>
      <c r="BB61" s="416" t="e">
        <f ca="1">_xll.EPMSaveComment(Q61,,$B61,Q$19)</f>
        <v>#NAME?</v>
      </c>
      <c r="BC61" s="416" t="e">
        <f ca="1">_xll.EPMSaveComment(R61,,$B61,R$19)</f>
        <v>#NAME?</v>
      </c>
      <c r="BD61" s="416" t="e">
        <f ca="1">_xll.EPMSaveData(S61,,$F$19,$B61)</f>
        <v>#NAME?</v>
      </c>
      <c r="BE61" s="416" t="e">
        <f ca="1">_xll.EPMSaveComment(AK61,,B61,AF$15)</f>
        <v>#NAME?</v>
      </c>
      <c r="BF61" s="416"/>
      <c r="BG61" s="416"/>
      <c r="BH61" s="157" t="str">
        <f t="shared" si="8"/>
        <v>Ok</v>
      </c>
      <c r="BI61" s="347">
        <f t="shared" si="9"/>
        <v>0</v>
      </c>
      <c r="BK61" s="160" t="str">
        <f t="shared" si="10"/>
        <v/>
      </c>
    </row>
    <row r="62" spans="1:63">
      <c r="A62" s="179"/>
      <c r="B62" s="580" t="s">
        <v>283</v>
      </c>
      <c r="C62" s="479"/>
      <c r="D62" s="224"/>
      <c r="E62" s="97" t="str">
        <f t="shared" si="11"/>
        <v/>
      </c>
      <c r="F62" s="183"/>
      <c r="G62" s="97" t="str">
        <f t="shared" si="3"/>
        <v/>
      </c>
      <c r="H62" s="307"/>
      <c r="I62" s="182"/>
      <c r="J62" s="184"/>
      <c r="K62" s="110" t="str">
        <f t="shared" si="12"/>
        <v/>
      </c>
      <c r="L62" s="184"/>
      <c r="M62" s="96" t="str">
        <f t="shared" si="13"/>
        <v/>
      </c>
      <c r="N62" s="184"/>
      <c r="O62" s="515"/>
      <c r="P62" s="184"/>
      <c r="Q62" s="185"/>
      <c r="R62" s="185"/>
      <c r="S62" s="271"/>
      <c r="T62" s="499" t="e">
        <f ca="1" xml:space="preserve"> _xll.EPMOlapMemberO("[FILA_NOTA].[PARENTH1].[09901042]","","09901042","","000;001;002")</f>
        <v>#NAME?</v>
      </c>
      <c r="U62" s="271"/>
      <c r="V62" s="271"/>
      <c r="W62" s="428">
        <f t="shared" si="4"/>
        <v>0</v>
      </c>
      <c r="X62" s="291"/>
      <c r="Y62" s="526"/>
      <c r="Z62" s="526"/>
      <c r="AA62" s="428">
        <f t="shared" si="5"/>
        <v>0</v>
      </c>
      <c r="AB62" s="526"/>
      <c r="AC62" s="428">
        <f t="shared" si="6"/>
        <v>0</v>
      </c>
      <c r="AD62" s="271"/>
      <c r="AE62" s="271"/>
      <c r="AF62" s="428">
        <f t="shared" si="7"/>
        <v>0</v>
      </c>
      <c r="AG62" s="526"/>
      <c r="AH62" s="526"/>
      <c r="AI62" s="526"/>
      <c r="AJ62" s="526"/>
      <c r="AK62" s="234"/>
      <c r="AL62" s="433"/>
      <c r="AM62" s="433"/>
      <c r="AN62" s="416" t="e">
        <f ca="1">_xll.EPMSaveComment(C62,,B62,C$19)</f>
        <v>#NAME?</v>
      </c>
      <c r="AO62" s="416" t="e">
        <f ca="1">_xll.EPMSaveComment(D62,,B62,D$19)</f>
        <v>#NAME?</v>
      </c>
      <c r="AP62" s="416" t="e">
        <f ca="1">_xll.EPMSaveComment(E62,,B62,E$19)</f>
        <v>#NAME?</v>
      </c>
      <c r="AQ62" s="416" t="e">
        <f ca="1">_xll.EPMSaveComment(F62,,$B62,F$19)</f>
        <v>#NAME?</v>
      </c>
      <c r="AR62" s="416" t="e">
        <f ca="1">_xll.EPMSaveComment(#REF!,,$B62,G$19)</f>
        <v>#NAME?</v>
      </c>
      <c r="AS62" s="416" t="e">
        <f ca="1">_xll.EPMSaveComment(H62,,$B62,H$19)</f>
        <v>#NAME?</v>
      </c>
      <c r="AT62" s="416" t="e">
        <f ca="1">_xll.EPMSaveData(I62,,I$19,$B62)</f>
        <v>#NAME?</v>
      </c>
      <c r="AU62" s="416" t="e">
        <f ca="1">_xll.EPMSaveComment(J62,,$B62,J$19)</f>
        <v>#NAME?</v>
      </c>
      <c r="AV62" s="416" t="e">
        <f ca="1">_xll.EPMSaveComment(K62,,$B62,K$19)</f>
        <v>#NAME?</v>
      </c>
      <c r="AW62" s="416" t="e">
        <f ca="1">_xll.EPMSaveComment(L62,,$B62,L$19)</f>
        <v>#NAME?</v>
      </c>
      <c r="AX62" s="416" t="e">
        <f ca="1">_xll.EPMSaveComment(M62,,$B62,M$19)</f>
        <v>#NAME?</v>
      </c>
      <c r="AY62" s="416" t="e">
        <f ca="1">_xll.EPMSaveComment(N62,,$B62,N$19)</f>
        <v>#NAME?</v>
      </c>
      <c r="AZ62" s="416" t="e">
        <f ca="1">_xll.EPMSaveData(O62,,O$19,$B62)</f>
        <v>#NAME?</v>
      </c>
      <c r="BA62" s="416" t="e">
        <f ca="1">_xll.EPMSaveComment(P62,,$B62,P$19)</f>
        <v>#NAME?</v>
      </c>
      <c r="BB62" s="416" t="e">
        <f ca="1">_xll.EPMSaveComment(Q62,,$B62,Q$19)</f>
        <v>#NAME?</v>
      </c>
      <c r="BC62" s="416" t="e">
        <f ca="1">_xll.EPMSaveComment(R62,,$B62,R$19)</f>
        <v>#NAME?</v>
      </c>
      <c r="BD62" s="416" t="e">
        <f ca="1">_xll.EPMSaveData(S62,,$F$19,$B62)</f>
        <v>#NAME?</v>
      </c>
      <c r="BE62" s="416" t="e">
        <f ca="1">_xll.EPMSaveComment(AK62,,B62,AF$15)</f>
        <v>#NAME?</v>
      </c>
      <c r="BF62" s="416"/>
      <c r="BG62" s="416"/>
      <c r="BH62" s="157" t="str">
        <f t="shared" si="8"/>
        <v>Ok</v>
      </c>
      <c r="BI62" s="347">
        <f t="shared" si="9"/>
        <v>0</v>
      </c>
      <c r="BK62" s="160" t="str">
        <f t="shared" si="10"/>
        <v/>
      </c>
    </row>
    <row r="63" spans="1:63">
      <c r="A63" s="179"/>
      <c r="B63" s="580" t="s">
        <v>284</v>
      </c>
      <c r="C63" s="479"/>
      <c r="D63" s="224"/>
      <c r="E63" s="97" t="str">
        <f t="shared" si="11"/>
        <v/>
      </c>
      <c r="F63" s="183"/>
      <c r="G63" s="97" t="str">
        <f t="shared" si="3"/>
        <v/>
      </c>
      <c r="H63" s="307"/>
      <c r="I63" s="182"/>
      <c r="J63" s="184"/>
      <c r="K63" s="110" t="str">
        <f t="shared" si="12"/>
        <v/>
      </c>
      <c r="L63" s="184"/>
      <c r="M63" s="96" t="str">
        <f t="shared" si="13"/>
        <v/>
      </c>
      <c r="N63" s="184"/>
      <c r="O63" s="515"/>
      <c r="P63" s="184"/>
      <c r="Q63" s="185"/>
      <c r="R63" s="185"/>
      <c r="S63" s="271"/>
      <c r="T63" s="499" t="e">
        <f ca="1" xml:space="preserve"> _xll.EPMOlapMemberO("[FILA_NOTA].[PARENTH1].[09901043]","","09901043","","000;001;002")</f>
        <v>#NAME?</v>
      </c>
      <c r="U63" s="271"/>
      <c r="V63" s="271"/>
      <c r="W63" s="428">
        <f t="shared" si="4"/>
        <v>0</v>
      </c>
      <c r="X63" s="291"/>
      <c r="Y63" s="526"/>
      <c r="Z63" s="526"/>
      <c r="AA63" s="428">
        <f t="shared" si="5"/>
        <v>0</v>
      </c>
      <c r="AB63" s="526"/>
      <c r="AC63" s="428">
        <f t="shared" si="6"/>
        <v>0</v>
      </c>
      <c r="AD63" s="271"/>
      <c r="AE63" s="271"/>
      <c r="AF63" s="428">
        <f t="shared" si="7"/>
        <v>0</v>
      </c>
      <c r="AG63" s="526"/>
      <c r="AH63" s="526"/>
      <c r="AI63" s="526"/>
      <c r="AJ63" s="526"/>
      <c r="AK63" s="234"/>
      <c r="AL63" s="433"/>
      <c r="AM63" s="433"/>
      <c r="AN63" s="416" t="e">
        <f ca="1">_xll.EPMSaveComment(C63,,B63,C$19)</f>
        <v>#NAME?</v>
      </c>
      <c r="AO63" s="416" t="e">
        <f ca="1">_xll.EPMSaveComment(D63,,B63,D$19)</f>
        <v>#NAME?</v>
      </c>
      <c r="AP63" s="416" t="e">
        <f ca="1">_xll.EPMSaveComment(E63,,B63,E$19)</f>
        <v>#NAME?</v>
      </c>
      <c r="AQ63" s="416" t="e">
        <f ca="1">_xll.EPMSaveComment(F63,,$B63,F$19)</f>
        <v>#NAME?</v>
      </c>
      <c r="AR63" s="416" t="e">
        <f ca="1">_xll.EPMSaveComment(#REF!,,$B63,G$19)</f>
        <v>#NAME?</v>
      </c>
      <c r="AS63" s="416" t="e">
        <f ca="1">_xll.EPMSaveComment(H63,,$B63,H$19)</f>
        <v>#NAME?</v>
      </c>
      <c r="AT63" s="416" t="e">
        <f ca="1">_xll.EPMSaveData(I63,,I$19,$B63)</f>
        <v>#NAME?</v>
      </c>
      <c r="AU63" s="416" t="e">
        <f ca="1">_xll.EPMSaveComment(J63,,$B63,J$19)</f>
        <v>#NAME?</v>
      </c>
      <c r="AV63" s="416" t="e">
        <f ca="1">_xll.EPMSaveComment(K63,,$B63,K$19)</f>
        <v>#NAME?</v>
      </c>
      <c r="AW63" s="416" t="e">
        <f ca="1">_xll.EPMSaveComment(L63,,$B63,L$19)</f>
        <v>#NAME?</v>
      </c>
      <c r="AX63" s="416" t="e">
        <f ca="1">_xll.EPMSaveComment(M63,,$B63,M$19)</f>
        <v>#NAME?</v>
      </c>
      <c r="AY63" s="416" t="e">
        <f ca="1">_xll.EPMSaveComment(N63,,$B63,N$19)</f>
        <v>#NAME?</v>
      </c>
      <c r="AZ63" s="416" t="e">
        <f ca="1">_xll.EPMSaveData(O63,,O$19,$B63)</f>
        <v>#NAME?</v>
      </c>
      <c r="BA63" s="416" t="e">
        <f ca="1">_xll.EPMSaveComment(P63,,$B63,P$19)</f>
        <v>#NAME?</v>
      </c>
      <c r="BB63" s="416" t="e">
        <f ca="1">_xll.EPMSaveComment(Q63,,$B63,Q$19)</f>
        <v>#NAME?</v>
      </c>
      <c r="BC63" s="416" t="e">
        <f ca="1">_xll.EPMSaveComment(R63,,$B63,R$19)</f>
        <v>#NAME?</v>
      </c>
      <c r="BD63" s="416" t="e">
        <f ca="1">_xll.EPMSaveData(S63,,$F$19,$B63)</f>
        <v>#NAME?</v>
      </c>
      <c r="BE63" s="416" t="e">
        <f ca="1">_xll.EPMSaveComment(AK63,,B63,AF$15)</f>
        <v>#NAME?</v>
      </c>
      <c r="BF63" s="416"/>
      <c r="BG63" s="416"/>
      <c r="BH63" s="157" t="str">
        <f t="shared" si="8"/>
        <v>Ok</v>
      </c>
      <c r="BI63" s="347">
        <f t="shared" si="9"/>
        <v>0</v>
      </c>
      <c r="BK63" s="160" t="str">
        <f t="shared" si="10"/>
        <v/>
      </c>
    </row>
    <row r="64" spans="1:63">
      <c r="A64" s="179"/>
      <c r="B64" s="580" t="s">
        <v>285</v>
      </c>
      <c r="C64" s="479"/>
      <c r="D64" s="224"/>
      <c r="E64" s="97" t="str">
        <f t="shared" si="11"/>
        <v/>
      </c>
      <c r="F64" s="183"/>
      <c r="G64" s="97" t="str">
        <f t="shared" si="3"/>
        <v/>
      </c>
      <c r="H64" s="307"/>
      <c r="I64" s="182"/>
      <c r="J64" s="184"/>
      <c r="K64" s="110" t="str">
        <f t="shared" si="12"/>
        <v/>
      </c>
      <c r="L64" s="184"/>
      <c r="M64" s="96" t="str">
        <f t="shared" si="13"/>
        <v/>
      </c>
      <c r="N64" s="184"/>
      <c r="O64" s="515"/>
      <c r="P64" s="184"/>
      <c r="Q64" s="185"/>
      <c r="R64" s="185"/>
      <c r="S64" s="271"/>
      <c r="T64" s="499" t="e">
        <f ca="1" xml:space="preserve"> _xll.EPMOlapMemberO("[FILA_NOTA].[PARENTH1].[09901044]","","09901044","","000;001;002")</f>
        <v>#NAME?</v>
      </c>
      <c r="U64" s="271"/>
      <c r="V64" s="271"/>
      <c r="W64" s="428">
        <f t="shared" si="4"/>
        <v>0</v>
      </c>
      <c r="X64" s="291"/>
      <c r="Y64" s="526"/>
      <c r="Z64" s="526"/>
      <c r="AA64" s="428">
        <f t="shared" si="5"/>
        <v>0</v>
      </c>
      <c r="AB64" s="526"/>
      <c r="AC64" s="428">
        <f t="shared" si="6"/>
        <v>0</v>
      </c>
      <c r="AD64" s="271"/>
      <c r="AE64" s="271"/>
      <c r="AF64" s="428">
        <f t="shared" si="7"/>
        <v>0</v>
      </c>
      <c r="AG64" s="526"/>
      <c r="AH64" s="526"/>
      <c r="AI64" s="526"/>
      <c r="AJ64" s="526"/>
      <c r="AK64" s="234"/>
      <c r="AL64" s="433"/>
      <c r="AM64" s="433"/>
      <c r="AN64" s="416" t="e">
        <f ca="1">_xll.EPMSaveComment(C64,,B64,C$19)</f>
        <v>#NAME?</v>
      </c>
      <c r="AO64" s="416" t="e">
        <f ca="1">_xll.EPMSaveComment(D64,,B64,D$19)</f>
        <v>#NAME?</v>
      </c>
      <c r="AP64" s="416" t="e">
        <f ca="1">_xll.EPMSaveComment(E64,,B64,E$19)</f>
        <v>#NAME?</v>
      </c>
      <c r="AQ64" s="416" t="e">
        <f ca="1">_xll.EPMSaveComment(F64,,$B64,F$19)</f>
        <v>#NAME?</v>
      </c>
      <c r="AR64" s="416" t="e">
        <f ca="1">_xll.EPMSaveComment(#REF!,,$B64,G$19)</f>
        <v>#NAME?</v>
      </c>
      <c r="AS64" s="416" t="e">
        <f ca="1">_xll.EPMSaveComment(H64,,$B64,H$19)</f>
        <v>#NAME?</v>
      </c>
      <c r="AT64" s="416" t="e">
        <f ca="1">_xll.EPMSaveData(I64,,I$19,$B64)</f>
        <v>#NAME?</v>
      </c>
      <c r="AU64" s="416" t="e">
        <f ca="1">_xll.EPMSaveComment(J64,,$B64,J$19)</f>
        <v>#NAME?</v>
      </c>
      <c r="AV64" s="416" t="e">
        <f ca="1">_xll.EPMSaveComment(K64,,$B64,K$19)</f>
        <v>#NAME?</v>
      </c>
      <c r="AW64" s="416" t="e">
        <f ca="1">_xll.EPMSaveComment(L64,,$B64,L$19)</f>
        <v>#NAME?</v>
      </c>
      <c r="AX64" s="416" t="e">
        <f ca="1">_xll.EPMSaveComment(M64,,$B64,M$19)</f>
        <v>#NAME?</v>
      </c>
      <c r="AY64" s="416" t="e">
        <f ca="1">_xll.EPMSaveComment(N64,,$B64,N$19)</f>
        <v>#NAME?</v>
      </c>
      <c r="AZ64" s="416" t="e">
        <f ca="1">_xll.EPMSaveData(O64,,O$19,$B64)</f>
        <v>#NAME?</v>
      </c>
      <c r="BA64" s="416" t="e">
        <f ca="1">_xll.EPMSaveComment(P64,,$B64,P$19)</f>
        <v>#NAME?</v>
      </c>
      <c r="BB64" s="416" t="e">
        <f ca="1">_xll.EPMSaveComment(Q64,,$B64,Q$19)</f>
        <v>#NAME?</v>
      </c>
      <c r="BC64" s="416" t="e">
        <f ca="1">_xll.EPMSaveComment(R64,,$B64,R$19)</f>
        <v>#NAME?</v>
      </c>
      <c r="BD64" s="416" t="e">
        <f ca="1">_xll.EPMSaveData(S64,,$F$19,$B64)</f>
        <v>#NAME?</v>
      </c>
      <c r="BE64" s="416" t="e">
        <f ca="1">_xll.EPMSaveComment(AK64,,B64,AF$15)</f>
        <v>#NAME?</v>
      </c>
      <c r="BF64" s="416"/>
      <c r="BG64" s="416"/>
      <c r="BH64" s="157" t="str">
        <f t="shared" si="8"/>
        <v>Ok</v>
      </c>
      <c r="BI64" s="347">
        <f t="shared" si="9"/>
        <v>0</v>
      </c>
      <c r="BK64" s="160" t="str">
        <f t="shared" si="10"/>
        <v/>
      </c>
    </row>
    <row r="65" spans="1:63">
      <c r="A65" s="179"/>
      <c r="B65" s="580" t="s">
        <v>286</v>
      </c>
      <c r="C65" s="479"/>
      <c r="D65" s="224"/>
      <c r="E65" s="97" t="str">
        <f t="shared" si="11"/>
        <v/>
      </c>
      <c r="F65" s="183"/>
      <c r="G65" s="97" t="str">
        <f t="shared" si="3"/>
        <v/>
      </c>
      <c r="H65" s="307"/>
      <c r="I65" s="182"/>
      <c r="J65" s="184"/>
      <c r="K65" s="110" t="str">
        <f t="shared" si="12"/>
        <v/>
      </c>
      <c r="L65" s="184"/>
      <c r="M65" s="96" t="str">
        <f t="shared" si="13"/>
        <v/>
      </c>
      <c r="N65" s="184"/>
      <c r="O65" s="515"/>
      <c r="P65" s="184"/>
      <c r="Q65" s="185"/>
      <c r="R65" s="185"/>
      <c r="S65" s="271"/>
      <c r="T65" s="499" t="e">
        <f ca="1" xml:space="preserve"> _xll.EPMOlapMemberO("[FILA_NOTA].[PARENTH1].[09901045]","","09901045","","000;001;002")</f>
        <v>#NAME?</v>
      </c>
      <c r="U65" s="271"/>
      <c r="V65" s="271"/>
      <c r="W65" s="428">
        <f t="shared" si="4"/>
        <v>0</v>
      </c>
      <c r="X65" s="291"/>
      <c r="Y65" s="526"/>
      <c r="Z65" s="526"/>
      <c r="AA65" s="428">
        <f t="shared" si="5"/>
        <v>0</v>
      </c>
      <c r="AB65" s="526"/>
      <c r="AC65" s="428">
        <f t="shared" si="6"/>
        <v>0</v>
      </c>
      <c r="AD65" s="271"/>
      <c r="AE65" s="271"/>
      <c r="AF65" s="428">
        <f t="shared" si="7"/>
        <v>0</v>
      </c>
      <c r="AG65" s="526"/>
      <c r="AH65" s="526"/>
      <c r="AI65" s="526"/>
      <c r="AJ65" s="526"/>
      <c r="AK65" s="234"/>
      <c r="AL65" s="433"/>
      <c r="AM65" s="433"/>
      <c r="AN65" s="416" t="e">
        <f ca="1">_xll.EPMSaveComment(C65,,B65,C$19)</f>
        <v>#NAME?</v>
      </c>
      <c r="AO65" s="416" t="e">
        <f ca="1">_xll.EPMSaveComment(D65,,B65,D$19)</f>
        <v>#NAME?</v>
      </c>
      <c r="AP65" s="416" t="e">
        <f ca="1">_xll.EPMSaveComment(E65,,B65,E$19)</f>
        <v>#NAME?</v>
      </c>
      <c r="AQ65" s="416" t="e">
        <f ca="1">_xll.EPMSaveComment(F65,,$B65,F$19)</f>
        <v>#NAME?</v>
      </c>
      <c r="AR65" s="416" t="e">
        <f ca="1">_xll.EPMSaveComment(#REF!,,$B65,G$19)</f>
        <v>#NAME?</v>
      </c>
      <c r="AS65" s="416" t="e">
        <f ca="1">_xll.EPMSaveComment(H65,,$B65,H$19)</f>
        <v>#NAME?</v>
      </c>
      <c r="AT65" s="416" t="e">
        <f ca="1">_xll.EPMSaveData(I65,,I$19,$B65)</f>
        <v>#NAME?</v>
      </c>
      <c r="AU65" s="416" t="e">
        <f ca="1">_xll.EPMSaveComment(J65,,$B65,J$19)</f>
        <v>#NAME?</v>
      </c>
      <c r="AV65" s="416" t="e">
        <f ca="1">_xll.EPMSaveComment(K65,,$B65,K$19)</f>
        <v>#NAME?</v>
      </c>
      <c r="AW65" s="416" t="e">
        <f ca="1">_xll.EPMSaveComment(L65,,$B65,L$19)</f>
        <v>#NAME?</v>
      </c>
      <c r="AX65" s="416" t="e">
        <f ca="1">_xll.EPMSaveComment(M65,,$B65,M$19)</f>
        <v>#NAME?</v>
      </c>
      <c r="AY65" s="416" t="e">
        <f ca="1">_xll.EPMSaveComment(N65,,$B65,N$19)</f>
        <v>#NAME?</v>
      </c>
      <c r="AZ65" s="416" t="e">
        <f ca="1">_xll.EPMSaveData(O65,,O$19,$B65)</f>
        <v>#NAME?</v>
      </c>
      <c r="BA65" s="416" t="e">
        <f ca="1">_xll.EPMSaveComment(P65,,$B65,P$19)</f>
        <v>#NAME?</v>
      </c>
      <c r="BB65" s="416" t="e">
        <f ca="1">_xll.EPMSaveComment(Q65,,$B65,Q$19)</f>
        <v>#NAME?</v>
      </c>
      <c r="BC65" s="416" t="e">
        <f ca="1">_xll.EPMSaveComment(R65,,$B65,R$19)</f>
        <v>#NAME?</v>
      </c>
      <c r="BD65" s="416" t="e">
        <f ca="1">_xll.EPMSaveData(S65,,$F$19,$B65)</f>
        <v>#NAME?</v>
      </c>
      <c r="BE65" s="416" t="e">
        <f ca="1">_xll.EPMSaveComment(AK65,,B65,AF$15)</f>
        <v>#NAME?</v>
      </c>
      <c r="BF65" s="416"/>
      <c r="BG65" s="416"/>
      <c r="BH65" s="157" t="str">
        <f t="shared" si="8"/>
        <v>Ok</v>
      </c>
      <c r="BI65" s="347">
        <f t="shared" si="9"/>
        <v>0</v>
      </c>
      <c r="BK65" s="160" t="str">
        <f t="shared" si="10"/>
        <v/>
      </c>
    </row>
    <row r="66" spans="1:63">
      <c r="A66" s="179"/>
      <c r="B66" s="580" t="s">
        <v>287</v>
      </c>
      <c r="C66" s="479"/>
      <c r="D66" s="224"/>
      <c r="E66" s="97" t="str">
        <f t="shared" si="11"/>
        <v/>
      </c>
      <c r="F66" s="183"/>
      <c r="G66" s="97" t="str">
        <f t="shared" si="3"/>
        <v/>
      </c>
      <c r="H66" s="307"/>
      <c r="I66" s="182"/>
      <c r="J66" s="184"/>
      <c r="K66" s="110" t="str">
        <f t="shared" si="12"/>
        <v/>
      </c>
      <c r="L66" s="184"/>
      <c r="M66" s="96" t="str">
        <f t="shared" si="13"/>
        <v/>
      </c>
      <c r="N66" s="184"/>
      <c r="O66" s="515"/>
      <c r="P66" s="184"/>
      <c r="Q66" s="185"/>
      <c r="R66" s="185"/>
      <c r="S66" s="271"/>
      <c r="T66" s="499" t="e">
        <f ca="1" xml:space="preserve"> _xll.EPMOlapMemberO("[FILA_NOTA].[PARENTH1].[09901046]","","09901046","","000;001;002")</f>
        <v>#NAME?</v>
      </c>
      <c r="U66" s="271"/>
      <c r="V66" s="271"/>
      <c r="W66" s="428">
        <f t="shared" si="4"/>
        <v>0</v>
      </c>
      <c r="X66" s="291"/>
      <c r="Y66" s="526"/>
      <c r="Z66" s="526"/>
      <c r="AA66" s="428">
        <f t="shared" si="5"/>
        <v>0</v>
      </c>
      <c r="AB66" s="526"/>
      <c r="AC66" s="428">
        <f t="shared" si="6"/>
        <v>0</v>
      </c>
      <c r="AD66" s="271"/>
      <c r="AE66" s="271"/>
      <c r="AF66" s="428">
        <f t="shared" si="7"/>
        <v>0</v>
      </c>
      <c r="AG66" s="526"/>
      <c r="AH66" s="526"/>
      <c r="AI66" s="526"/>
      <c r="AJ66" s="526"/>
      <c r="AK66" s="234"/>
      <c r="AL66" s="433"/>
      <c r="AM66" s="433"/>
      <c r="AN66" s="416" t="e">
        <f ca="1">_xll.EPMSaveComment(C66,,B66,C$19)</f>
        <v>#NAME?</v>
      </c>
      <c r="AO66" s="416" t="e">
        <f ca="1">_xll.EPMSaveComment(D66,,B66,D$19)</f>
        <v>#NAME?</v>
      </c>
      <c r="AP66" s="416" t="e">
        <f ca="1">_xll.EPMSaveComment(E66,,B66,E$19)</f>
        <v>#NAME?</v>
      </c>
      <c r="AQ66" s="416" t="e">
        <f ca="1">_xll.EPMSaveComment(F66,,$B66,F$19)</f>
        <v>#NAME?</v>
      </c>
      <c r="AR66" s="416" t="e">
        <f ca="1">_xll.EPMSaveComment(#REF!,,$B66,G$19)</f>
        <v>#NAME?</v>
      </c>
      <c r="AS66" s="416" t="e">
        <f ca="1">_xll.EPMSaveComment(H66,,$B66,H$19)</f>
        <v>#NAME?</v>
      </c>
      <c r="AT66" s="416" t="e">
        <f ca="1">_xll.EPMSaveData(I66,,I$19,$B66)</f>
        <v>#NAME?</v>
      </c>
      <c r="AU66" s="416" t="e">
        <f ca="1">_xll.EPMSaveComment(J66,,$B66,J$19)</f>
        <v>#NAME?</v>
      </c>
      <c r="AV66" s="416" t="e">
        <f ca="1">_xll.EPMSaveComment(K66,,$B66,K$19)</f>
        <v>#NAME?</v>
      </c>
      <c r="AW66" s="416" t="e">
        <f ca="1">_xll.EPMSaveComment(L66,,$B66,L$19)</f>
        <v>#NAME?</v>
      </c>
      <c r="AX66" s="416" t="e">
        <f ca="1">_xll.EPMSaveComment(M66,,$B66,M$19)</f>
        <v>#NAME?</v>
      </c>
      <c r="AY66" s="416" t="e">
        <f ca="1">_xll.EPMSaveComment(N66,,$B66,N$19)</f>
        <v>#NAME?</v>
      </c>
      <c r="AZ66" s="416" t="e">
        <f ca="1">_xll.EPMSaveData(O66,,O$19,$B66)</f>
        <v>#NAME?</v>
      </c>
      <c r="BA66" s="416" t="e">
        <f ca="1">_xll.EPMSaveComment(P66,,$B66,P$19)</f>
        <v>#NAME?</v>
      </c>
      <c r="BB66" s="416" t="e">
        <f ca="1">_xll.EPMSaveComment(Q66,,$B66,Q$19)</f>
        <v>#NAME?</v>
      </c>
      <c r="BC66" s="416" t="e">
        <f ca="1">_xll.EPMSaveComment(R66,,$B66,R$19)</f>
        <v>#NAME?</v>
      </c>
      <c r="BD66" s="416" t="e">
        <f ca="1">_xll.EPMSaveData(S66,,$F$19,$B66)</f>
        <v>#NAME?</v>
      </c>
      <c r="BE66" s="416" t="e">
        <f ca="1">_xll.EPMSaveComment(AK66,,B66,AF$15)</f>
        <v>#NAME?</v>
      </c>
      <c r="BF66" s="416"/>
      <c r="BG66" s="416"/>
      <c r="BH66" s="157" t="str">
        <f t="shared" si="8"/>
        <v>Ok</v>
      </c>
      <c r="BI66" s="347">
        <f t="shared" si="9"/>
        <v>0</v>
      </c>
      <c r="BK66" s="160" t="str">
        <f t="shared" si="10"/>
        <v/>
      </c>
    </row>
    <row r="67" spans="1:63">
      <c r="A67" s="179"/>
      <c r="B67" s="580" t="s">
        <v>288</v>
      </c>
      <c r="C67" s="479"/>
      <c r="D67" s="224"/>
      <c r="E67" s="97" t="str">
        <f t="shared" si="11"/>
        <v/>
      </c>
      <c r="F67" s="183"/>
      <c r="G67" s="97" t="str">
        <f t="shared" si="3"/>
        <v/>
      </c>
      <c r="H67" s="307"/>
      <c r="I67" s="182"/>
      <c r="J67" s="184"/>
      <c r="K67" s="110" t="str">
        <f t="shared" si="12"/>
        <v/>
      </c>
      <c r="L67" s="184"/>
      <c r="M67" s="96" t="str">
        <f t="shared" si="13"/>
        <v/>
      </c>
      <c r="N67" s="184"/>
      <c r="O67" s="515"/>
      <c r="P67" s="184"/>
      <c r="Q67" s="185"/>
      <c r="R67" s="185"/>
      <c r="S67" s="271"/>
      <c r="T67" s="499" t="e">
        <f ca="1" xml:space="preserve"> _xll.EPMOlapMemberO("[FILA_NOTA].[PARENTH1].[09901047]","","09901047","","000;001;002")</f>
        <v>#NAME?</v>
      </c>
      <c r="U67" s="271"/>
      <c r="V67" s="271"/>
      <c r="W67" s="428">
        <f t="shared" si="4"/>
        <v>0</v>
      </c>
      <c r="X67" s="291"/>
      <c r="Y67" s="526"/>
      <c r="Z67" s="526"/>
      <c r="AA67" s="428">
        <f t="shared" si="5"/>
        <v>0</v>
      </c>
      <c r="AB67" s="526"/>
      <c r="AC67" s="428">
        <f t="shared" si="6"/>
        <v>0</v>
      </c>
      <c r="AD67" s="271"/>
      <c r="AE67" s="271"/>
      <c r="AF67" s="428">
        <f t="shared" si="7"/>
        <v>0</v>
      </c>
      <c r="AG67" s="526"/>
      <c r="AH67" s="526"/>
      <c r="AI67" s="526"/>
      <c r="AJ67" s="526"/>
      <c r="AK67" s="234"/>
      <c r="AL67" s="433"/>
      <c r="AM67" s="433"/>
      <c r="AN67" s="416" t="e">
        <f ca="1">_xll.EPMSaveComment(C67,,B67,C$19)</f>
        <v>#NAME?</v>
      </c>
      <c r="AO67" s="416" t="e">
        <f ca="1">_xll.EPMSaveComment(D67,,B67,D$19)</f>
        <v>#NAME?</v>
      </c>
      <c r="AP67" s="416" t="e">
        <f ca="1">_xll.EPMSaveComment(E67,,B67,E$19)</f>
        <v>#NAME?</v>
      </c>
      <c r="AQ67" s="416" t="e">
        <f ca="1">_xll.EPMSaveComment(F67,,$B67,F$19)</f>
        <v>#NAME?</v>
      </c>
      <c r="AR67" s="416" t="e">
        <f ca="1">_xll.EPMSaveComment(#REF!,,$B67,G$19)</f>
        <v>#NAME?</v>
      </c>
      <c r="AS67" s="416" t="e">
        <f ca="1">_xll.EPMSaveComment(H67,,$B67,H$19)</f>
        <v>#NAME?</v>
      </c>
      <c r="AT67" s="416" t="e">
        <f ca="1">_xll.EPMSaveData(I67,,I$19,$B67)</f>
        <v>#NAME?</v>
      </c>
      <c r="AU67" s="416" t="e">
        <f ca="1">_xll.EPMSaveComment(J67,,$B67,J$19)</f>
        <v>#NAME?</v>
      </c>
      <c r="AV67" s="416" t="e">
        <f ca="1">_xll.EPMSaveComment(K67,,$B67,K$19)</f>
        <v>#NAME?</v>
      </c>
      <c r="AW67" s="416" t="e">
        <f ca="1">_xll.EPMSaveComment(L67,,$B67,L$19)</f>
        <v>#NAME?</v>
      </c>
      <c r="AX67" s="416" t="e">
        <f ca="1">_xll.EPMSaveComment(M67,,$B67,M$19)</f>
        <v>#NAME?</v>
      </c>
      <c r="AY67" s="416" t="e">
        <f ca="1">_xll.EPMSaveComment(N67,,$B67,N$19)</f>
        <v>#NAME?</v>
      </c>
      <c r="AZ67" s="416" t="e">
        <f ca="1">_xll.EPMSaveData(O67,,O$19,$B67)</f>
        <v>#NAME?</v>
      </c>
      <c r="BA67" s="416" t="e">
        <f ca="1">_xll.EPMSaveComment(P67,,$B67,P$19)</f>
        <v>#NAME?</v>
      </c>
      <c r="BB67" s="416" t="e">
        <f ca="1">_xll.EPMSaveComment(Q67,,$B67,Q$19)</f>
        <v>#NAME?</v>
      </c>
      <c r="BC67" s="416" t="e">
        <f ca="1">_xll.EPMSaveComment(R67,,$B67,R$19)</f>
        <v>#NAME?</v>
      </c>
      <c r="BD67" s="416" t="e">
        <f ca="1">_xll.EPMSaveData(S67,,$F$19,$B67)</f>
        <v>#NAME?</v>
      </c>
      <c r="BE67" s="416" t="e">
        <f ca="1">_xll.EPMSaveComment(AK67,,B67,AF$15)</f>
        <v>#NAME?</v>
      </c>
      <c r="BF67" s="416"/>
      <c r="BG67" s="416"/>
      <c r="BH67" s="157" t="str">
        <f t="shared" si="8"/>
        <v>Ok</v>
      </c>
      <c r="BI67" s="347">
        <f t="shared" si="9"/>
        <v>0</v>
      </c>
      <c r="BK67" s="160" t="str">
        <f t="shared" si="10"/>
        <v/>
      </c>
    </row>
    <row r="68" spans="1:63">
      <c r="A68" s="179"/>
      <c r="B68" s="580" t="s">
        <v>289</v>
      </c>
      <c r="C68" s="479"/>
      <c r="D68" s="224"/>
      <c r="E68" s="97" t="str">
        <f t="shared" si="11"/>
        <v/>
      </c>
      <c r="F68" s="183"/>
      <c r="G68" s="97" t="str">
        <f t="shared" si="3"/>
        <v/>
      </c>
      <c r="H68" s="307"/>
      <c r="I68" s="182"/>
      <c r="J68" s="184"/>
      <c r="K68" s="110" t="str">
        <f t="shared" si="12"/>
        <v/>
      </c>
      <c r="L68" s="184"/>
      <c r="M68" s="96" t="str">
        <f t="shared" si="13"/>
        <v/>
      </c>
      <c r="N68" s="184"/>
      <c r="O68" s="515"/>
      <c r="P68" s="184"/>
      <c r="Q68" s="185"/>
      <c r="R68" s="185"/>
      <c r="S68" s="271"/>
      <c r="T68" s="499" t="e">
        <f ca="1" xml:space="preserve"> _xll.EPMOlapMemberO("[FILA_NOTA].[PARENTH1].[09901048]","","09901048","","000;001;002")</f>
        <v>#NAME?</v>
      </c>
      <c r="U68" s="271"/>
      <c r="V68" s="271"/>
      <c r="W68" s="428">
        <f t="shared" si="4"/>
        <v>0</v>
      </c>
      <c r="X68" s="291"/>
      <c r="Y68" s="526"/>
      <c r="Z68" s="526"/>
      <c r="AA68" s="428">
        <f t="shared" si="5"/>
        <v>0</v>
      </c>
      <c r="AB68" s="526"/>
      <c r="AC68" s="428">
        <f t="shared" si="6"/>
        <v>0</v>
      </c>
      <c r="AD68" s="271"/>
      <c r="AE68" s="271"/>
      <c r="AF68" s="428">
        <f t="shared" si="7"/>
        <v>0</v>
      </c>
      <c r="AG68" s="526"/>
      <c r="AH68" s="526"/>
      <c r="AI68" s="526"/>
      <c r="AJ68" s="526"/>
      <c r="AK68" s="234"/>
      <c r="AL68" s="433"/>
      <c r="AM68" s="433"/>
      <c r="AN68" s="416" t="e">
        <f ca="1">_xll.EPMSaveComment(C68,,B68,C$19)</f>
        <v>#NAME?</v>
      </c>
      <c r="AO68" s="416" t="e">
        <f ca="1">_xll.EPMSaveComment(D68,,B68,D$19)</f>
        <v>#NAME?</v>
      </c>
      <c r="AP68" s="416" t="e">
        <f ca="1">_xll.EPMSaveComment(E68,,B68,E$19)</f>
        <v>#NAME?</v>
      </c>
      <c r="AQ68" s="416" t="e">
        <f ca="1">_xll.EPMSaveComment(F68,,$B68,F$19)</f>
        <v>#NAME?</v>
      </c>
      <c r="AR68" s="416" t="e">
        <f ca="1">_xll.EPMSaveComment(#REF!,,$B68,G$19)</f>
        <v>#NAME?</v>
      </c>
      <c r="AS68" s="416" t="e">
        <f ca="1">_xll.EPMSaveComment(H68,,$B68,H$19)</f>
        <v>#NAME?</v>
      </c>
      <c r="AT68" s="416" t="e">
        <f ca="1">_xll.EPMSaveData(I68,,I$19,$B68)</f>
        <v>#NAME?</v>
      </c>
      <c r="AU68" s="416" t="e">
        <f ca="1">_xll.EPMSaveComment(J68,,$B68,J$19)</f>
        <v>#NAME?</v>
      </c>
      <c r="AV68" s="416" t="e">
        <f ca="1">_xll.EPMSaveComment(K68,,$B68,K$19)</f>
        <v>#NAME?</v>
      </c>
      <c r="AW68" s="416" t="e">
        <f ca="1">_xll.EPMSaveComment(L68,,$B68,L$19)</f>
        <v>#NAME?</v>
      </c>
      <c r="AX68" s="416" t="e">
        <f ca="1">_xll.EPMSaveComment(M68,,$B68,M$19)</f>
        <v>#NAME?</v>
      </c>
      <c r="AY68" s="416" t="e">
        <f ca="1">_xll.EPMSaveComment(N68,,$B68,N$19)</f>
        <v>#NAME?</v>
      </c>
      <c r="AZ68" s="416" t="e">
        <f ca="1">_xll.EPMSaveData(O68,,O$19,$B68)</f>
        <v>#NAME?</v>
      </c>
      <c r="BA68" s="416" t="e">
        <f ca="1">_xll.EPMSaveComment(P68,,$B68,P$19)</f>
        <v>#NAME?</v>
      </c>
      <c r="BB68" s="416" t="e">
        <f ca="1">_xll.EPMSaveComment(Q68,,$B68,Q$19)</f>
        <v>#NAME?</v>
      </c>
      <c r="BC68" s="416" t="e">
        <f ca="1">_xll.EPMSaveComment(R68,,$B68,R$19)</f>
        <v>#NAME?</v>
      </c>
      <c r="BD68" s="416" t="e">
        <f ca="1">_xll.EPMSaveData(S68,,$F$19,$B68)</f>
        <v>#NAME?</v>
      </c>
      <c r="BE68" s="416" t="e">
        <f ca="1">_xll.EPMSaveComment(AK68,,B68,AF$15)</f>
        <v>#NAME?</v>
      </c>
      <c r="BF68" s="416"/>
      <c r="BG68" s="416"/>
      <c r="BH68" s="157" t="str">
        <f t="shared" si="8"/>
        <v>Ok</v>
      </c>
      <c r="BI68" s="347">
        <f t="shared" si="9"/>
        <v>0</v>
      </c>
      <c r="BK68" s="160" t="str">
        <f t="shared" si="10"/>
        <v/>
      </c>
    </row>
    <row r="69" spans="1:63">
      <c r="A69" s="179"/>
      <c r="B69" s="580" t="s">
        <v>290</v>
      </c>
      <c r="C69" s="479"/>
      <c r="D69" s="224"/>
      <c r="E69" s="97" t="str">
        <f t="shared" si="11"/>
        <v/>
      </c>
      <c r="F69" s="183"/>
      <c r="G69" s="97" t="str">
        <f t="shared" si="3"/>
        <v/>
      </c>
      <c r="H69" s="307"/>
      <c r="I69" s="182"/>
      <c r="J69" s="184"/>
      <c r="K69" s="110" t="str">
        <f t="shared" si="12"/>
        <v/>
      </c>
      <c r="L69" s="184"/>
      <c r="M69" s="96" t="str">
        <f t="shared" si="13"/>
        <v/>
      </c>
      <c r="N69" s="184"/>
      <c r="O69" s="515"/>
      <c r="P69" s="184"/>
      <c r="Q69" s="185"/>
      <c r="R69" s="185"/>
      <c r="S69" s="271"/>
      <c r="T69" s="499" t="e">
        <f ca="1" xml:space="preserve"> _xll.EPMOlapMemberO("[FILA_NOTA].[PARENTH1].[09901049]","","09901049","","000;001;002")</f>
        <v>#NAME?</v>
      </c>
      <c r="U69" s="271"/>
      <c r="V69" s="271"/>
      <c r="W69" s="428">
        <f t="shared" si="4"/>
        <v>0</v>
      </c>
      <c r="X69" s="291"/>
      <c r="Y69" s="526"/>
      <c r="Z69" s="526"/>
      <c r="AA69" s="428">
        <f t="shared" si="5"/>
        <v>0</v>
      </c>
      <c r="AB69" s="526"/>
      <c r="AC69" s="428">
        <f t="shared" si="6"/>
        <v>0</v>
      </c>
      <c r="AD69" s="271"/>
      <c r="AE69" s="271"/>
      <c r="AF69" s="428">
        <f t="shared" si="7"/>
        <v>0</v>
      </c>
      <c r="AG69" s="526"/>
      <c r="AH69" s="526"/>
      <c r="AI69" s="526"/>
      <c r="AJ69" s="526"/>
      <c r="AK69" s="234"/>
      <c r="AL69" s="433"/>
      <c r="AM69" s="433"/>
      <c r="AN69" s="416" t="e">
        <f ca="1">_xll.EPMSaveComment(C69,,B69,C$19)</f>
        <v>#NAME?</v>
      </c>
      <c r="AO69" s="416" t="e">
        <f ca="1">_xll.EPMSaveComment(D69,,B69,D$19)</f>
        <v>#NAME?</v>
      </c>
      <c r="AP69" s="416" t="e">
        <f ca="1">_xll.EPMSaveComment(E69,,B69,E$19)</f>
        <v>#NAME?</v>
      </c>
      <c r="AQ69" s="416" t="e">
        <f ca="1">_xll.EPMSaveComment(F69,,$B69,F$19)</f>
        <v>#NAME?</v>
      </c>
      <c r="AR69" s="416" t="e">
        <f ca="1">_xll.EPMSaveComment(#REF!,,$B69,G$19)</f>
        <v>#NAME?</v>
      </c>
      <c r="AS69" s="416" t="e">
        <f ca="1">_xll.EPMSaveComment(H69,,$B69,H$19)</f>
        <v>#NAME?</v>
      </c>
      <c r="AT69" s="416" t="e">
        <f ca="1">_xll.EPMSaveData(I69,,I$19,$B69)</f>
        <v>#NAME?</v>
      </c>
      <c r="AU69" s="416" t="e">
        <f ca="1">_xll.EPMSaveComment(J69,,$B69,J$19)</f>
        <v>#NAME?</v>
      </c>
      <c r="AV69" s="416" t="e">
        <f ca="1">_xll.EPMSaveComment(K69,,$B69,K$19)</f>
        <v>#NAME?</v>
      </c>
      <c r="AW69" s="416" t="e">
        <f ca="1">_xll.EPMSaveComment(L69,,$B69,L$19)</f>
        <v>#NAME?</v>
      </c>
      <c r="AX69" s="416" t="e">
        <f ca="1">_xll.EPMSaveComment(M69,,$B69,M$19)</f>
        <v>#NAME?</v>
      </c>
      <c r="AY69" s="416" t="e">
        <f ca="1">_xll.EPMSaveComment(N69,,$B69,N$19)</f>
        <v>#NAME?</v>
      </c>
      <c r="AZ69" s="416" t="e">
        <f ca="1">_xll.EPMSaveData(O69,,O$19,$B69)</f>
        <v>#NAME?</v>
      </c>
      <c r="BA69" s="416" t="e">
        <f ca="1">_xll.EPMSaveComment(P69,,$B69,P$19)</f>
        <v>#NAME?</v>
      </c>
      <c r="BB69" s="416" t="e">
        <f ca="1">_xll.EPMSaveComment(Q69,,$B69,Q$19)</f>
        <v>#NAME?</v>
      </c>
      <c r="BC69" s="416" t="e">
        <f ca="1">_xll.EPMSaveComment(R69,,$B69,R$19)</f>
        <v>#NAME?</v>
      </c>
      <c r="BD69" s="416" t="e">
        <f ca="1">_xll.EPMSaveData(S69,,$F$19,$B69)</f>
        <v>#NAME?</v>
      </c>
      <c r="BE69" s="416" t="e">
        <f ca="1">_xll.EPMSaveComment(AK69,,B69,AF$15)</f>
        <v>#NAME?</v>
      </c>
      <c r="BF69" s="416"/>
      <c r="BG69" s="416"/>
      <c r="BH69" s="157" t="str">
        <f t="shared" si="8"/>
        <v>Ok</v>
      </c>
      <c r="BI69" s="347">
        <f t="shared" si="9"/>
        <v>0</v>
      </c>
      <c r="BK69" s="160" t="str">
        <f t="shared" si="10"/>
        <v/>
      </c>
    </row>
    <row r="70" spans="1:63">
      <c r="A70" s="179"/>
      <c r="B70" s="580" t="s">
        <v>291</v>
      </c>
      <c r="C70" s="479"/>
      <c r="D70" s="224"/>
      <c r="E70" s="97" t="str">
        <f t="shared" si="11"/>
        <v/>
      </c>
      <c r="F70" s="183"/>
      <c r="G70" s="97" t="str">
        <f t="shared" si="3"/>
        <v/>
      </c>
      <c r="H70" s="307"/>
      <c r="I70" s="182"/>
      <c r="J70" s="184"/>
      <c r="K70" s="110" t="str">
        <f t="shared" si="12"/>
        <v/>
      </c>
      <c r="L70" s="184"/>
      <c r="M70" s="96" t="str">
        <f t="shared" si="13"/>
        <v/>
      </c>
      <c r="N70" s="184"/>
      <c r="O70" s="515"/>
      <c r="P70" s="184"/>
      <c r="Q70" s="185"/>
      <c r="R70" s="185"/>
      <c r="S70" s="271"/>
      <c r="T70" s="499" t="e">
        <f ca="1" xml:space="preserve"> _xll.EPMOlapMemberO("[FILA_NOTA].[PARENTH1].[09901050]","","09901050","","000;001;002")</f>
        <v>#NAME?</v>
      </c>
      <c r="U70" s="271"/>
      <c r="V70" s="271"/>
      <c r="W70" s="428">
        <f t="shared" si="4"/>
        <v>0</v>
      </c>
      <c r="X70" s="291"/>
      <c r="Y70" s="526"/>
      <c r="Z70" s="526"/>
      <c r="AA70" s="428">
        <f t="shared" si="5"/>
        <v>0</v>
      </c>
      <c r="AB70" s="526"/>
      <c r="AC70" s="428">
        <f t="shared" si="6"/>
        <v>0</v>
      </c>
      <c r="AD70" s="271"/>
      <c r="AE70" s="271"/>
      <c r="AF70" s="428">
        <f t="shared" si="7"/>
        <v>0</v>
      </c>
      <c r="AG70" s="526"/>
      <c r="AH70" s="526"/>
      <c r="AI70" s="526"/>
      <c r="AJ70" s="526"/>
      <c r="AK70" s="234"/>
      <c r="AL70" s="433"/>
      <c r="AM70" s="433"/>
      <c r="AN70" s="416" t="e">
        <f ca="1">_xll.EPMSaveComment(C70,,B70,C$19)</f>
        <v>#NAME?</v>
      </c>
      <c r="AO70" s="416" t="e">
        <f ca="1">_xll.EPMSaveComment(D70,,B70,D$19)</f>
        <v>#NAME?</v>
      </c>
      <c r="AP70" s="416" t="e">
        <f ca="1">_xll.EPMSaveComment(E70,,B70,E$19)</f>
        <v>#NAME?</v>
      </c>
      <c r="AQ70" s="416" t="e">
        <f ca="1">_xll.EPMSaveComment(F70,,$B70,F$19)</f>
        <v>#NAME?</v>
      </c>
      <c r="AR70" s="416" t="e">
        <f ca="1">_xll.EPMSaveComment(#REF!,,$B70,G$19)</f>
        <v>#NAME?</v>
      </c>
      <c r="AS70" s="416" t="e">
        <f ca="1">_xll.EPMSaveComment(H70,,$B70,H$19)</f>
        <v>#NAME?</v>
      </c>
      <c r="AT70" s="416" t="e">
        <f ca="1">_xll.EPMSaveData(I70,,I$19,$B70)</f>
        <v>#NAME?</v>
      </c>
      <c r="AU70" s="416" t="e">
        <f ca="1">_xll.EPMSaveComment(J70,,$B70,J$19)</f>
        <v>#NAME?</v>
      </c>
      <c r="AV70" s="416" t="e">
        <f ca="1">_xll.EPMSaveComment(K70,,$B70,K$19)</f>
        <v>#NAME?</v>
      </c>
      <c r="AW70" s="416" t="e">
        <f ca="1">_xll.EPMSaveComment(L70,,$B70,L$19)</f>
        <v>#NAME?</v>
      </c>
      <c r="AX70" s="416" t="e">
        <f ca="1">_xll.EPMSaveComment(M70,,$B70,M$19)</f>
        <v>#NAME?</v>
      </c>
      <c r="AY70" s="416" t="e">
        <f ca="1">_xll.EPMSaveComment(N70,,$B70,N$19)</f>
        <v>#NAME?</v>
      </c>
      <c r="AZ70" s="416" t="e">
        <f ca="1">_xll.EPMSaveData(O70,,O$19,$B70)</f>
        <v>#NAME?</v>
      </c>
      <c r="BA70" s="416" t="e">
        <f ca="1">_xll.EPMSaveComment(P70,,$B70,P$19)</f>
        <v>#NAME?</v>
      </c>
      <c r="BB70" s="416" t="e">
        <f ca="1">_xll.EPMSaveComment(Q70,,$B70,Q$19)</f>
        <v>#NAME?</v>
      </c>
      <c r="BC70" s="416" t="e">
        <f ca="1">_xll.EPMSaveComment(R70,,$B70,R$19)</f>
        <v>#NAME?</v>
      </c>
      <c r="BD70" s="416" t="e">
        <f ca="1">_xll.EPMSaveData(S70,,$F$19,$B70)</f>
        <v>#NAME?</v>
      </c>
      <c r="BE70" s="416" t="e">
        <f ca="1">_xll.EPMSaveComment(AK70,,B70,AF$15)</f>
        <v>#NAME?</v>
      </c>
      <c r="BF70" s="416"/>
      <c r="BG70" s="416"/>
      <c r="BH70" s="157" t="str">
        <f t="shared" si="8"/>
        <v>Ok</v>
      </c>
      <c r="BI70" s="347">
        <f t="shared" si="9"/>
        <v>0</v>
      </c>
      <c r="BK70" s="160" t="str">
        <f t="shared" si="10"/>
        <v/>
      </c>
    </row>
    <row r="71" spans="1:63">
      <c r="A71" s="179"/>
      <c r="B71" s="580" t="s">
        <v>292</v>
      </c>
      <c r="C71" s="479"/>
      <c r="D71" s="224"/>
      <c r="E71" s="97" t="str">
        <f t="shared" si="11"/>
        <v/>
      </c>
      <c r="F71" s="183"/>
      <c r="G71" s="97" t="str">
        <f t="shared" si="3"/>
        <v/>
      </c>
      <c r="H71" s="307"/>
      <c r="I71" s="182"/>
      <c r="J71" s="184"/>
      <c r="K71" s="110" t="str">
        <f t="shared" si="12"/>
        <v/>
      </c>
      <c r="L71" s="184"/>
      <c r="M71" s="96" t="str">
        <f t="shared" si="13"/>
        <v/>
      </c>
      <c r="N71" s="184"/>
      <c r="O71" s="515"/>
      <c r="P71" s="184"/>
      <c r="Q71" s="185"/>
      <c r="R71" s="185"/>
      <c r="S71" s="271"/>
      <c r="T71" s="499" t="e">
        <f ca="1" xml:space="preserve"> _xll.EPMOlapMemberO("[FILA_NOTA].[PARENTH1].[09901051]","","09901051","","000;001;002")</f>
        <v>#NAME?</v>
      </c>
      <c r="U71" s="271"/>
      <c r="V71" s="271"/>
      <c r="W71" s="428">
        <f t="shared" si="4"/>
        <v>0</v>
      </c>
      <c r="X71" s="291"/>
      <c r="Y71" s="526"/>
      <c r="Z71" s="526"/>
      <c r="AA71" s="428">
        <f t="shared" si="5"/>
        <v>0</v>
      </c>
      <c r="AB71" s="526"/>
      <c r="AC71" s="428">
        <f t="shared" si="6"/>
        <v>0</v>
      </c>
      <c r="AD71" s="271"/>
      <c r="AE71" s="271"/>
      <c r="AF71" s="428">
        <f t="shared" si="7"/>
        <v>0</v>
      </c>
      <c r="AG71" s="526"/>
      <c r="AH71" s="526"/>
      <c r="AI71" s="526"/>
      <c r="AJ71" s="526"/>
      <c r="AK71" s="234"/>
      <c r="AL71" s="433"/>
      <c r="AM71" s="433"/>
      <c r="AN71" s="416" t="e">
        <f ca="1">_xll.EPMSaveComment(C71,,B71,C$19)</f>
        <v>#NAME?</v>
      </c>
      <c r="AO71" s="416" t="e">
        <f ca="1">_xll.EPMSaveComment(D71,,B71,D$19)</f>
        <v>#NAME?</v>
      </c>
      <c r="AP71" s="416" t="e">
        <f ca="1">_xll.EPMSaveComment(E71,,B71,E$19)</f>
        <v>#NAME?</v>
      </c>
      <c r="AQ71" s="416" t="e">
        <f ca="1">_xll.EPMSaveComment(F71,,$B71,F$19)</f>
        <v>#NAME?</v>
      </c>
      <c r="AR71" s="416" t="e">
        <f ca="1">_xll.EPMSaveComment(#REF!,,$B71,G$19)</f>
        <v>#NAME?</v>
      </c>
      <c r="AS71" s="416" t="e">
        <f ca="1">_xll.EPMSaveComment(H71,,$B71,H$19)</f>
        <v>#NAME?</v>
      </c>
      <c r="AT71" s="416" t="e">
        <f ca="1">_xll.EPMSaveData(I71,,I$19,$B71)</f>
        <v>#NAME?</v>
      </c>
      <c r="AU71" s="416" t="e">
        <f ca="1">_xll.EPMSaveComment(J71,,$B71,J$19)</f>
        <v>#NAME?</v>
      </c>
      <c r="AV71" s="416" t="e">
        <f ca="1">_xll.EPMSaveComment(K71,,$B71,K$19)</f>
        <v>#NAME?</v>
      </c>
      <c r="AW71" s="416" t="e">
        <f ca="1">_xll.EPMSaveComment(L71,,$B71,L$19)</f>
        <v>#NAME?</v>
      </c>
      <c r="AX71" s="416" t="e">
        <f ca="1">_xll.EPMSaveComment(M71,,$B71,M$19)</f>
        <v>#NAME?</v>
      </c>
      <c r="AY71" s="416" t="e">
        <f ca="1">_xll.EPMSaveComment(N71,,$B71,N$19)</f>
        <v>#NAME?</v>
      </c>
      <c r="AZ71" s="416" t="e">
        <f ca="1">_xll.EPMSaveData(O71,,O$19,$B71)</f>
        <v>#NAME?</v>
      </c>
      <c r="BA71" s="416" t="e">
        <f ca="1">_xll.EPMSaveComment(P71,,$B71,P$19)</f>
        <v>#NAME?</v>
      </c>
      <c r="BB71" s="416" t="e">
        <f ca="1">_xll.EPMSaveComment(Q71,,$B71,Q$19)</f>
        <v>#NAME?</v>
      </c>
      <c r="BC71" s="416" t="e">
        <f ca="1">_xll.EPMSaveComment(R71,,$B71,R$19)</f>
        <v>#NAME?</v>
      </c>
      <c r="BD71" s="416" t="e">
        <f ca="1">_xll.EPMSaveData(S71,,$F$19,$B71)</f>
        <v>#NAME?</v>
      </c>
      <c r="BE71" s="416" t="e">
        <f ca="1">_xll.EPMSaveComment(AK71,,B71,AF$15)</f>
        <v>#NAME?</v>
      </c>
      <c r="BF71" s="416"/>
      <c r="BG71" s="416"/>
      <c r="BH71" s="157" t="str">
        <f t="shared" si="8"/>
        <v>Ok</v>
      </c>
      <c r="BI71" s="347">
        <f t="shared" si="9"/>
        <v>0</v>
      </c>
      <c r="BK71" s="160" t="str">
        <f t="shared" si="10"/>
        <v/>
      </c>
    </row>
    <row r="72" spans="1:63">
      <c r="A72" s="179"/>
      <c r="B72" s="580" t="s">
        <v>293</v>
      </c>
      <c r="C72" s="479"/>
      <c r="D72" s="224"/>
      <c r="E72" s="97" t="str">
        <f t="shared" si="11"/>
        <v/>
      </c>
      <c r="F72" s="183"/>
      <c r="G72" s="97" t="str">
        <f t="shared" si="3"/>
        <v/>
      </c>
      <c r="H72" s="307"/>
      <c r="I72" s="182"/>
      <c r="J72" s="184"/>
      <c r="K72" s="110" t="str">
        <f t="shared" si="12"/>
        <v/>
      </c>
      <c r="L72" s="184"/>
      <c r="M72" s="96" t="str">
        <f t="shared" si="13"/>
        <v/>
      </c>
      <c r="N72" s="184"/>
      <c r="O72" s="515"/>
      <c r="P72" s="184"/>
      <c r="Q72" s="185"/>
      <c r="R72" s="185"/>
      <c r="S72" s="271"/>
      <c r="T72" s="499" t="e">
        <f ca="1" xml:space="preserve"> _xll.EPMOlapMemberO("[FILA_NOTA].[PARENTH1].[09901052]","","09901052","","000;001;002")</f>
        <v>#NAME?</v>
      </c>
      <c r="U72" s="271"/>
      <c r="V72" s="271"/>
      <c r="W72" s="428">
        <f t="shared" si="4"/>
        <v>0</v>
      </c>
      <c r="X72" s="291"/>
      <c r="Y72" s="526"/>
      <c r="Z72" s="526"/>
      <c r="AA72" s="428">
        <f t="shared" si="5"/>
        <v>0</v>
      </c>
      <c r="AB72" s="526"/>
      <c r="AC72" s="428">
        <f t="shared" si="6"/>
        <v>0</v>
      </c>
      <c r="AD72" s="271"/>
      <c r="AE72" s="271"/>
      <c r="AF72" s="428">
        <f t="shared" si="7"/>
        <v>0</v>
      </c>
      <c r="AG72" s="526"/>
      <c r="AH72" s="526"/>
      <c r="AI72" s="526"/>
      <c r="AJ72" s="526"/>
      <c r="AK72" s="234"/>
      <c r="AL72" s="433"/>
      <c r="AM72" s="433"/>
      <c r="AN72" s="416" t="e">
        <f ca="1">_xll.EPMSaveComment(C72,,B72,C$19)</f>
        <v>#NAME?</v>
      </c>
      <c r="AO72" s="416" t="e">
        <f ca="1">_xll.EPMSaveComment(D72,,B72,D$19)</f>
        <v>#NAME?</v>
      </c>
      <c r="AP72" s="416" t="e">
        <f ca="1">_xll.EPMSaveComment(E72,,B72,E$19)</f>
        <v>#NAME?</v>
      </c>
      <c r="AQ72" s="416" t="e">
        <f ca="1">_xll.EPMSaveComment(F72,,$B72,F$19)</f>
        <v>#NAME?</v>
      </c>
      <c r="AR72" s="416" t="e">
        <f ca="1">_xll.EPMSaveComment(#REF!,,$B72,G$19)</f>
        <v>#NAME?</v>
      </c>
      <c r="AS72" s="416" t="e">
        <f ca="1">_xll.EPMSaveComment(H72,,$B72,H$19)</f>
        <v>#NAME?</v>
      </c>
      <c r="AT72" s="416" t="e">
        <f ca="1">_xll.EPMSaveData(I72,,I$19,$B72)</f>
        <v>#NAME?</v>
      </c>
      <c r="AU72" s="416" t="e">
        <f ca="1">_xll.EPMSaveComment(J72,,$B72,J$19)</f>
        <v>#NAME?</v>
      </c>
      <c r="AV72" s="416" t="e">
        <f ca="1">_xll.EPMSaveComment(K72,,$B72,K$19)</f>
        <v>#NAME?</v>
      </c>
      <c r="AW72" s="416" t="e">
        <f ca="1">_xll.EPMSaveComment(L72,,$B72,L$19)</f>
        <v>#NAME?</v>
      </c>
      <c r="AX72" s="416" t="e">
        <f ca="1">_xll.EPMSaveComment(M72,,$B72,M$19)</f>
        <v>#NAME?</v>
      </c>
      <c r="AY72" s="416" t="e">
        <f ca="1">_xll.EPMSaveComment(N72,,$B72,N$19)</f>
        <v>#NAME?</v>
      </c>
      <c r="AZ72" s="416" t="e">
        <f ca="1">_xll.EPMSaveData(O72,,O$19,$B72)</f>
        <v>#NAME?</v>
      </c>
      <c r="BA72" s="416" t="e">
        <f ca="1">_xll.EPMSaveComment(P72,,$B72,P$19)</f>
        <v>#NAME?</v>
      </c>
      <c r="BB72" s="416" t="e">
        <f ca="1">_xll.EPMSaveComment(Q72,,$B72,Q$19)</f>
        <v>#NAME?</v>
      </c>
      <c r="BC72" s="416" t="e">
        <f ca="1">_xll.EPMSaveComment(R72,,$B72,R$19)</f>
        <v>#NAME?</v>
      </c>
      <c r="BD72" s="416" t="e">
        <f ca="1">_xll.EPMSaveData(S72,,$F$19,$B72)</f>
        <v>#NAME?</v>
      </c>
      <c r="BE72" s="416" t="e">
        <f ca="1">_xll.EPMSaveComment(AK72,,B72,AF$15)</f>
        <v>#NAME?</v>
      </c>
      <c r="BF72" s="416"/>
      <c r="BG72" s="416"/>
      <c r="BH72" s="157" t="str">
        <f t="shared" si="8"/>
        <v>Ok</v>
      </c>
      <c r="BI72" s="347">
        <f t="shared" si="9"/>
        <v>0</v>
      </c>
      <c r="BK72" s="160" t="str">
        <f t="shared" si="10"/>
        <v/>
      </c>
    </row>
    <row r="73" spans="1:63">
      <c r="A73" s="179"/>
      <c r="B73" s="580" t="s">
        <v>294</v>
      </c>
      <c r="C73" s="479"/>
      <c r="D73" s="224"/>
      <c r="E73" s="97" t="str">
        <f t="shared" si="11"/>
        <v/>
      </c>
      <c r="F73" s="183"/>
      <c r="G73" s="97" t="str">
        <f t="shared" si="3"/>
        <v/>
      </c>
      <c r="H73" s="307"/>
      <c r="I73" s="182"/>
      <c r="J73" s="184"/>
      <c r="K73" s="110" t="str">
        <f t="shared" si="12"/>
        <v/>
      </c>
      <c r="L73" s="184"/>
      <c r="M73" s="96" t="str">
        <f t="shared" si="13"/>
        <v/>
      </c>
      <c r="N73" s="184"/>
      <c r="O73" s="515"/>
      <c r="P73" s="184"/>
      <c r="Q73" s="185"/>
      <c r="R73" s="185"/>
      <c r="S73" s="271"/>
      <c r="T73" s="499" t="e">
        <f ca="1" xml:space="preserve"> _xll.EPMOlapMemberO("[FILA_NOTA].[PARENTH1].[09901053]","","09901053","","000;001;002")</f>
        <v>#NAME?</v>
      </c>
      <c r="U73" s="271"/>
      <c r="V73" s="271"/>
      <c r="W73" s="428">
        <f t="shared" si="4"/>
        <v>0</v>
      </c>
      <c r="X73" s="291"/>
      <c r="Y73" s="526"/>
      <c r="Z73" s="526"/>
      <c r="AA73" s="428">
        <f t="shared" si="5"/>
        <v>0</v>
      </c>
      <c r="AB73" s="526"/>
      <c r="AC73" s="428">
        <f t="shared" si="6"/>
        <v>0</v>
      </c>
      <c r="AD73" s="271"/>
      <c r="AE73" s="271"/>
      <c r="AF73" s="428">
        <f t="shared" si="7"/>
        <v>0</v>
      </c>
      <c r="AG73" s="526"/>
      <c r="AH73" s="526"/>
      <c r="AI73" s="526"/>
      <c r="AJ73" s="526"/>
      <c r="AK73" s="234"/>
      <c r="AL73" s="433"/>
      <c r="AM73" s="433"/>
      <c r="AN73" s="416" t="e">
        <f ca="1">_xll.EPMSaveComment(C73,,B73,C$19)</f>
        <v>#NAME?</v>
      </c>
      <c r="AO73" s="416" t="e">
        <f ca="1">_xll.EPMSaveComment(D73,,B73,D$19)</f>
        <v>#NAME?</v>
      </c>
      <c r="AP73" s="416" t="e">
        <f ca="1">_xll.EPMSaveComment(E73,,B73,E$19)</f>
        <v>#NAME?</v>
      </c>
      <c r="AQ73" s="416" t="e">
        <f ca="1">_xll.EPMSaveComment(F73,,$B73,F$19)</f>
        <v>#NAME?</v>
      </c>
      <c r="AR73" s="416" t="e">
        <f ca="1">_xll.EPMSaveComment(#REF!,,$B73,G$19)</f>
        <v>#NAME?</v>
      </c>
      <c r="AS73" s="416" t="e">
        <f ca="1">_xll.EPMSaveComment(H73,,$B73,H$19)</f>
        <v>#NAME?</v>
      </c>
      <c r="AT73" s="416" t="e">
        <f ca="1">_xll.EPMSaveData(I73,,I$19,$B73)</f>
        <v>#NAME?</v>
      </c>
      <c r="AU73" s="416" t="e">
        <f ca="1">_xll.EPMSaveComment(J73,,$B73,J$19)</f>
        <v>#NAME?</v>
      </c>
      <c r="AV73" s="416" t="e">
        <f ca="1">_xll.EPMSaveComment(K73,,$B73,K$19)</f>
        <v>#NAME?</v>
      </c>
      <c r="AW73" s="416" t="e">
        <f ca="1">_xll.EPMSaveComment(L73,,$B73,L$19)</f>
        <v>#NAME?</v>
      </c>
      <c r="AX73" s="416" t="e">
        <f ca="1">_xll.EPMSaveComment(M73,,$B73,M$19)</f>
        <v>#NAME?</v>
      </c>
      <c r="AY73" s="416" t="e">
        <f ca="1">_xll.EPMSaveComment(N73,,$B73,N$19)</f>
        <v>#NAME?</v>
      </c>
      <c r="AZ73" s="416" t="e">
        <f ca="1">_xll.EPMSaveData(O73,,O$19,$B73)</f>
        <v>#NAME?</v>
      </c>
      <c r="BA73" s="416" t="e">
        <f ca="1">_xll.EPMSaveComment(P73,,$B73,P$19)</f>
        <v>#NAME?</v>
      </c>
      <c r="BB73" s="416" t="e">
        <f ca="1">_xll.EPMSaveComment(Q73,,$B73,Q$19)</f>
        <v>#NAME?</v>
      </c>
      <c r="BC73" s="416" t="e">
        <f ca="1">_xll.EPMSaveComment(R73,,$B73,R$19)</f>
        <v>#NAME?</v>
      </c>
      <c r="BD73" s="416" t="e">
        <f ca="1">_xll.EPMSaveData(S73,,$F$19,$B73)</f>
        <v>#NAME?</v>
      </c>
      <c r="BE73" s="416" t="e">
        <f ca="1">_xll.EPMSaveComment(AK73,,B73,AF$15)</f>
        <v>#NAME?</v>
      </c>
      <c r="BF73" s="416"/>
      <c r="BG73" s="416"/>
      <c r="BH73" s="157" t="str">
        <f t="shared" si="8"/>
        <v>Ok</v>
      </c>
      <c r="BI73" s="347">
        <f t="shared" si="9"/>
        <v>0</v>
      </c>
      <c r="BK73" s="160" t="str">
        <f t="shared" si="10"/>
        <v/>
      </c>
    </row>
    <row r="74" spans="1:63">
      <c r="A74" s="179"/>
      <c r="B74" s="580" t="s">
        <v>295</v>
      </c>
      <c r="C74" s="479"/>
      <c r="D74" s="224"/>
      <c r="E74" s="97" t="str">
        <f t="shared" si="11"/>
        <v/>
      </c>
      <c r="F74" s="183"/>
      <c r="G74" s="97" t="str">
        <f t="shared" si="3"/>
        <v/>
      </c>
      <c r="H74" s="307"/>
      <c r="I74" s="182"/>
      <c r="J74" s="184"/>
      <c r="K74" s="110" t="str">
        <f t="shared" si="12"/>
        <v/>
      </c>
      <c r="L74" s="184"/>
      <c r="M74" s="96" t="str">
        <f t="shared" si="13"/>
        <v/>
      </c>
      <c r="N74" s="184"/>
      <c r="O74" s="515"/>
      <c r="P74" s="184"/>
      <c r="Q74" s="185"/>
      <c r="R74" s="185"/>
      <c r="S74" s="271"/>
      <c r="T74" s="499" t="e">
        <f ca="1" xml:space="preserve"> _xll.EPMOlapMemberO("[FILA_NOTA].[PARENTH1].[09901054]","","09901054","","000;001;002")</f>
        <v>#NAME?</v>
      </c>
      <c r="U74" s="271"/>
      <c r="V74" s="271"/>
      <c r="W74" s="428">
        <f t="shared" si="4"/>
        <v>0</v>
      </c>
      <c r="X74" s="291"/>
      <c r="Y74" s="526"/>
      <c r="Z74" s="526"/>
      <c r="AA74" s="428">
        <f t="shared" si="5"/>
        <v>0</v>
      </c>
      <c r="AB74" s="526"/>
      <c r="AC74" s="428">
        <f t="shared" si="6"/>
        <v>0</v>
      </c>
      <c r="AD74" s="271"/>
      <c r="AE74" s="271"/>
      <c r="AF74" s="428">
        <f t="shared" si="7"/>
        <v>0</v>
      </c>
      <c r="AG74" s="526"/>
      <c r="AH74" s="526"/>
      <c r="AI74" s="526"/>
      <c r="AJ74" s="526"/>
      <c r="AK74" s="234"/>
      <c r="AL74" s="433"/>
      <c r="AM74" s="433"/>
      <c r="AN74" s="416" t="e">
        <f ca="1">_xll.EPMSaveComment(C74,,B74,C$19)</f>
        <v>#NAME?</v>
      </c>
      <c r="AO74" s="416" t="e">
        <f ca="1">_xll.EPMSaveComment(D74,,B74,D$19)</f>
        <v>#NAME?</v>
      </c>
      <c r="AP74" s="416" t="e">
        <f ca="1">_xll.EPMSaveComment(E74,,B74,E$19)</f>
        <v>#NAME?</v>
      </c>
      <c r="AQ74" s="416" t="e">
        <f ca="1">_xll.EPMSaveComment(F74,,$B74,F$19)</f>
        <v>#NAME?</v>
      </c>
      <c r="AR74" s="416" t="e">
        <f ca="1">_xll.EPMSaveComment(#REF!,,$B74,G$19)</f>
        <v>#NAME?</v>
      </c>
      <c r="AS74" s="416" t="e">
        <f ca="1">_xll.EPMSaveComment(H74,,$B74,H$19)</f>
        <v>#NAME?</v>
      </c>
      <c r="AT74" s="416" t="e">
        <f ca="1">_xll.EPMSaveData(I74,,I$19,$B74)</f>
        <v>#NAME?</v>
      </c>
      <c r="AU74" s="416" t="e">
        <f ca="1">_xll.EPMSaveComment(J74,,$B74,J$19)</f>
        <v>#NAME?</v>
      </c>
      <c r="AV74" s="416" t="e">
        <f ca="1">_xll.EPMSaveComment(K74,,$B74,K$19)</f>
        <v>#NAME?</v>
      </c>
      <c r="AW74" s="416" t="e">
        <f ca="1">_xll.EPMSaveComment(L74,,$B74,L$19)</f>
        <v>#NAME?</v>
      </c>
      <c r="AX74" s="416" t="e">
        <f ca="1">_xll.EPMSaveComment(M74,,$B74,M$19)</f>
        <v>#NAME?</v>
      </c>
      <c r="AY74" s="416" t="e">
        <f ca="1">_xll.EPMSaveComment(N74,,$B74,N$19)</f>
        <v>#NAME?</v>
      </c>
      <c r="AZ74" s="416" t="e">
        <f ca="1">_xll.EPMSaveData(O74,,O$19,$B74)</f>
        <v>#NAME?</v>
      </c>
      <c r="BA74" s="416" t="e">
        <f ca="1">_xll.EPMSaveComment(P74,,$B74,P$19)</f>
        <v>#NAME?</v>
      </c>
      <c r="BB74" s="416" t="e">
        <f ca="1">_xll.EPMSaveComment(Q74,,$B74,Q$19)</f>
        <v>#NAME?</v>
      </c>
      <c r="BC74" s="416" t="e">
        <f ca="1">_xll.EPMSaveComment(R74,,$B74,R$19)</f>
        <v>#NAME?</v>
      </c>
      <c r="BD74" s="416" t="e">
        <f ca="1">_xll.EPMSaveData(S74,,$F$19,$B74)</f>
        <v>#NAME?</v>
      </c>
      <c r="BE74" s="416" t="e">
        <f ca="1">_xll.EPMSaveComment(AK74,,B74,AF$15)</f>
        <v>#NAME?</v>
      </c>
      <c r="BF74" s="416"/>
      <c r="BG74" s="416"/>
      <c r="BH74" s="157" t="str">
        <f t="shared" si="8"/>
        <v>Ok</v>
      </c>
      <c r="BI74" s="347">
        <f t="shared" si="9"/>
        <v>0</v>
      </c>
      <c r="BK74" s="160" t="str">
        <f t="shared" si="10"/>
        <v/>
      </c>
    </row>
    <row r="75" spans="1:63">
      <c r="A75" s="179"/>
      <c r="B75" s="580" t="s">
        <v>296</v>
      </c>
      <c r="C75" s="479"/>
      <c r="D75" s="224"/>
      <c r="E75" s="97" t="str">
        <f t="shared" si="11"/>
        <v/>
      </c>
      <c r="F75" s="183"/>
      <c r="G75" s="97" t="str">
        <f t="shared" si="3"/>
        <v/>
      </c>
      <c r="H75" s="307"/>
      <c r="I75" s="182"/>
      <c r="J75" s="184"/>
      <c r="K75" s="110" t="str">
        <f t="shared" si="12"/>
        <v/>
      </c>
      <c r="L75" s="184"/>
      <c r="M75" s="96" t="str">
        <f t="shared" si="13"/>
        <v/>
      </c>
      <c r="N75" s="184"/>
      <c r="O75" s="515"/>
      <c r="P75" s="184"/>
      <c r="Q75" s="185"/>
      <c r="R75" s="185"/>
      <c r="S75" s="271"/>
      <c r="T75" s="499" t="e">
        <f ca="1" xml:space="preserve"> _xll.EPMOlapMemberO("[FILA_NOTA].[PARENTH1].[09901055]","","09901055","","000;001;002")</f>
        <v>#NAME?</v>
      </c>
      <c r="U75" s="271"/>
      <c r="V75" s="271"/>
      <c r="W75" s="428">
        <f t="shared" si="4"/>
        <v>0</v>
      </c>
      <c r="X75" s="291"/>
      <c r="Y75" s="526"/>
      <c r="Z75" s="526"/>
      <c r="AA75" s="428">
        <f t="shared" si="5"/>
        <v>0</v>
      </c>
      <c r="AB75" s="526"/>
      <c r="AC75" s="428">
        <f t="shared" si="6"/>
        <v>0</v>
      </c>
      <c r="AD75" s="271"/>
      <c r="AE75" s="271"/>
      <c r="AF75" s="428">
        <f t="shared" si="7"/>
        <v>0</v>
      </c>
      <c r="AG75" s="526"/>
      <c r="AH75" s="526"/>
      <c r="AI75" s="526"/>
      <c r="AJ75" s="526"/>
      <c r="AK75" s="234"/>
      <c r="AL75" s="433"/>
      <c r="AM75" s="433"/>
      <c r="AN75" s="416" t="e">
        <f ca="1">_xll.EPMSaveComment(C75,,B75,C$19)</f>
        <v>#NAME?</v>
      </c>
      <c r="AO75" s="416" t="e">
        <f ca="1">_xll.EPMSaveComment(D75,,B75,D$19)</f>
        <v>#NAME?</v>
      </c>
      <c r="AP75" s="416" t="e">
        <f ca="1">_xll.EPMSaveComment(E75,,B75,E$19)</f>
        <v>#NAME?</v>
      </c>
      <c r="AQ75" s="416" t="e">
        <f ca="1">_xll.EPMSaveComment(F75,,$B75,F$19)</f>
        <v>#NAME?</v>
      </c>
      <c r="AR75" s="416" t="e">
        <f ca="1">_xll.EPMSaveComment(#REF!,,$B75,G$19)</f>
        <v>#NAME?</v>
      </c>
      <c r="AS75" s="416" t="e">
        <f ca="1">_xll.EPMSaveComment(H75,,$B75,H$19)</f>
        <v>#NAME?</v>
      </c>
      <c r="AT75" s="416" t="e">
        <f ca="1">_xll.EPMSaveData(I75,,I$19,$B75)</f>
        <v>#NAME?</v>
      </c>
      <c r="AU75" s="416" t="e">
        <f ca="1">_xll.EPMSaveComment(J75,,$B75,J$19)</f>
        <v>#NAME?</v>
      </c>
      <c r="AV75" s="416" t="e">
        <f ca="1">_xll.EPMSaveComment(K75,,$B75,K$19)</f>
        <v>#NAME?</v>
      </c>
      <c r="AW75" s="416" t="e">
        <f ca="1">_xll.EPMSaveComment(L75,,$B75,L$19)</f>
        <v>#NAME?</v>
      </c>
      <c r="AX75" s="416" t="e">
        <f ca="1">_xll.EPMSaveComment(M75,,$B75,M$19)</f>
        <v>#NAME?</v>
      </c>
      <c r="AY75" s="416" t="e">
        <f ca="1">_xll.EPMSaveComment(N75,,$B75,N$19)</f>
        <v>#NAME?</v>
      </c>
      <c r="AZ75" s="416" t="e">
        <f ca="1">_xll.EPMSaveData(O75,,O$19,$B75)</f>
        <v>#NAME?</v>
      </c>
      <c r="BA75" s="416" t="e">
        <f ca="1">_xll.EPMSaveComment(P75,,$B75,P$19)</f>
        <v>#NAME?</v>
      </c>
      <c r="BB75" s="416" t="e">
        <f ca="1">_xll.EPMSaveComment(Q75,,$B75,Q$19)</f>
        <v>#NAME?</v>
      </c>
      <c r="BC75" s="416" t="e">
        <f ca="1">_xll.EPMSaveComment(R75,,$B75,R$19)</f>
        <v>#NAME?</v>
      </c>
      <c r="BD75" s="416" t="e">
        <f ca="1">_xll.EPMSaveData(S75,,$F$19,$B75)</f>
        <v>#NAME?</v>
      </c>
      <c r="BE75" s="416" t="e">
        <f ca="1">_xll.EPMSaveComment(AK75,,B75,AF$15)</f>
        <v>#NAME?</v>
      </c>
      <c r="BF75" s="416"/>
      <c r="BG75" s="416"/>
      <c r="BH75" s="157" t="str">
        <f t="shared" si="8"/>
        <v>Ok</v>
      </c>
      <c r="BI75" s="347">
        <f t="shared" si="9"/>
        <v>0</v>
      </c>
      <c r="BK75" s="160" t="str">
        <f t="shared" si="10"/>
        <v/>
      </c>
    </row>
    <row r="76" spans="1:63">
      <c r="A76" s="179"/>
      <c r="B76" s="580" t="s">
        <v>297</v>
      </c>
      <c r="C76" s="479"/>
      <c r="D76" s="224"/>
      <c r="E76" s="97" t="str">
        <f t="shared" si="11"/>
        <v/>
      </c>
      <c r="F76" s="183"/>
      <c r="G76" s="97" t="str">
        <f t="shared" si="3"/>
        <v/>
      </c>
      <c r="H76" s="307"/>
      <c r="I76" s="182"/>
      <c r="J76" s="184"/>
      <c r="K76" s="110" t="str">
        <f t="shared" si="12"/>
        <v/>
      </c>
      <c r="L76" s="184"/>
      <c r="M76" s="96" t="str">
        <f t="shared" si="13"/>
        <v/>
      </c>
      <c r="N76" s="184"/>
      <c r="O76" s="515"/>
      <c r="P76" s="184"/>
      <c r="Q76" s="185"/>
      <c r="R76" s="185"/>
      <c r="S76" s="271"/>
      <c r="T76" s="499" t="e">
        <f ca="1" xml:space="preserve"> _xll.EPMOlapMemberO("[FILA_NOTA].[PARENTH1].[09901056]","","09901056","","000;001;002")</f>
        <v>#NAME?</v>
      </c>
      <c r="U76" s="271"/>
      <c r="V76" s="271"/>
      <c r="W76" s="428">
        <f t="shared" si="4"/>
        <v>0</v>
      </c>
      <c r="X76" s="291"/>
      <c r="Y76" s="526"/>
      <c r="Z76" s="526"/>
      <c r="AA76" s="428">
        <f t="shared" si="5"/>
        <v>0</v>
      </c>
      <c r="AB76" s="526"/>
      <c r="AC76" s="428">
        <f t="shared" si="6"/>
        <v>0</v>
      </c>
      <c r="AD76" s="271"/>
      <c r="AE76" s="271"/>
      <c r="AF76" s="428">
        <f t="shared" si="7"/>
        <v>0</v>
      </c>
      <c r="AG76" s="526"/>
      <c r="AH76" s="526"/>
      <c r="AI76" s="526"/>
      <c r="AJ76" s="526"/>
      <c r="AK76" s="234"/>
      <c r="AL76" s="433"/>
      <c r="AM76" s="433"/>
      <c r="AN76" s="416" t="e">
        <f ca="1">_xll.EPMSaveComment(C76,,B76,C$19)</f>
        <v>#NAME?</v>
      </c>
      <c r="AO76" s="416" t="e">
        <f ca="1">_xll.EPMSaveComment(D76,,B76,D$19)</f>
        <v>#NAME?</v>
      </c>
      <c r="AP76" s="416" t="e">
        <f ca="1">_xll.EPMSaveComment(E76,,B76,E$19)</f>
        <v>#NAME?</v>
      </c>
      <c r="AQ76" s="416" t="e">
        <f ca="1">_xll.EPMSaveComment(F76,,$B76,F$19)</f>
        <v>#NAME?</v>
      </c>
      <c r="AR76" s="416" t="e">
        <f ca="1">_xll.EPMSaveComment(#REF!,,$B76,G$19)</f>
        <v>#NAME?</v>
      </c>
      <c r="AS76" s="416" t="e">
        <f ca="1">_xll.EPMSaveComment(H76,,$B76,H$19)</f>
        <v>#NAME?</v>
      </c>
      <c r="AT76" s="416" t="e">
        <f ca="1">_xll.EPMSaveData(I76,,I$19,$B76)</f>
        <v>#NAME?</v>
      </c>
      <c r="AU76" s="416" t="e">
        <f ca="1">_xll.EPMSaveComment(J76,,$B76,J$19)</f>
        <v>#NAME?</v>
      </c>
      <c r="AV76" s="416" t="e">
        <f ca="1">_xll.EPMSaveComment(K76,,$B76,K$19)</f>
        <v>#NAME?</v>
      </c>
      <c r="AW76" s="416" t="e">
        <f ca="1">_xll.EPMSaveComment(L76,,$B76,L$19)</f>
        <v>#NAME?</v>
      </c>
      <c r="AX76" s="416" t="e">
        <f ca="1">_xll.EPMSaveComment(M76,,$B76,M$19)</f>
        <v>#NAME?</v>
      </c>
      <c r="AY76" s="416" t="e">
        <f ca="1">_xll.EPMSaveComment(N76,,$B76,N$19)</f>
        <v>#NAME?</v>
      </c>
      <c r="AZ76" s="416" t="e">
        <f ca="1">_xll.EPMSaveData(O76,,O$19,$B76)</f>
        <v>#NAME?</v>
      </c>
      <c r="BA76" s="416" t="e">
        <f ca="1">_xll.EPMSaveComment(P76,,$B76,P$19)</f>
        <v>#NAME?</v>
      </c>
      <c r="BB76" s="416" t="e">
        <f ca="1">_xll.EPMSaveComment(Q76,,$B76,Q$19)</f>
        <v>#NAME?</v>
      </c>
      <c r="BC76" s="416" t="e">
        <f ca="1">_xll.EPMSaveComment(R76,,$B76,R$19)</f>
        <v>#NAME?</v>
      </c>
      <c r="BD76" s="416" t="e">
        <f ca="1">_xll.EPMSaveData(S76,,$F$19,$B76)</f>
        <v>#NAME?</v>
      </c>
      <c r="BE76" s="416" t="e">
        <f ca="1">_xll.EPMSaveComment(AK76,,B76,AF$15)</f>
        <v>#NAME?</v>
      </c>
      <c r="BF76" s="416"/>
      <c r="BG76" s="416"/>
      <c r="BH76" s="157" t="str">
        <f t="shared" si="8"/>
        <v>Ok</v>
      </c>
      <c r="BI76" s="347">
        <f t="shared" si="9"/>
        <v>0</v>
      </c>
      <c r="BK76" s="160" t="str">
        <f t="shared" si="10"/>
        <v/>
      </c>
    </row>
    <row r="77" spans="1:63">
      <c r="A77" s="179"/>
      <c r="B77" s="580" t="s">
        <v>298</v>
      </c>
      <c r="C77" s="479"/>
      <c r="D77" s="224"/>
      <c r="E77" s="97" t="str">
        <f t="shared" si="11"/>
        <v/>
      </c>
      <c r="F77" s="183"/>
      <c r="G77" s="97" t="str">
        <f t="shared" si="3"/>
        <v/>
      </c>
      <c r="H77" s="307"/>
      <c r="I77" s="182"/>
      <c r="J77" s="184"/>
      <c r="K77" s="110" t="str">
        <f t="shared" si="12"/>
        <v/>
      </c>
      <c r="L77" s="184"/>
      <c r="M77" s="96" t="str">
        <f t="shared" si="13"/>
        <v/>
      </c>
      <c r="N77" s="184"/>
      <c r="O77" s="515"/>
      <c r="P77" s="184"/>
      <c r="Q77" s="185"/>
      <c r="R77" s="185"/>
      <c r="S77" s="271"/>
      <c r="T77" s="499" t="e">
        <f ca="1" xml:space="preserve"> _xll.EPMOlapMemberO("[FILA_NOTA].[PARENTH1].[09901057]","","09901057","","000;001;002")</f>
        <v>#NAME?</v>
      </c>
      <c r="U77" s="271"/>
      <c r="V77" s="271"/>
      <c r="W77" s="428">
        <f t="shared" si="4"/>
        <v>0</v>
      </c>
      <c r="X77" s="291"/>
      <c r="Y77" s="526"/>
      <c r="Z77" s="526"/>
      <c r="AA77" s="428">
        <f t="shared" si="5"/>
        <v>0</v>
      </c>
      <c r="AB77" s="526"/>
      <c r="AC77" s="428">
        <f t="shared" si="6"/>
        <v>0</v>
      </c>
      <c r="AD77" s="271"/>
      <c r="AE77" s="271"/>
      <c r="AF77" s="428">
        <f t="shared" si="7"/>
        <v>0</v>
      </c>
      <c r="AG77" s="526"/>
      <c r="AH77" s="526"/>
      <c r="AI77" s="526"/>
      <c r="AJ77" s="526"/>
      <c r="AK77" s="234"/>
      <c r="AL77" s="433"/>
      <c r="AM77" s="433"/>
      <c r="AN77" s="416" t="e">
        <f ca="1">_xll.EPMSaveComment(C77,,B77,C$19)</f>
        <v>#NAME?</v>
      </c>
      <c r="AO77" s="416" t="e">
        <f ca="1">_xll.EPMSaveComment(D77,,B77,D$19)</f>
        <v>#NAME?</v>
      </c>
      <c r="AP77" s="416" t="e">
        <f ca="1">_xll.EPMSaveComment(E77,,B77,E$19)</f>
        <v>#NAME?</v>
      </c>
      <c r="AQ77" s="416" t="e">
        <f ca="1">_xll.EPMSaveComment(F77,,$B77,F$19)</f>
        <v>#NAME?</v>
      </c>
      <c r="AR77" s="416" t="e">
        <f ca="1">_xll.EPMSaveComment(#REF!,,$B77,G$19)</f>
        <v>#NAME?</v>
      </c>
      <c r="AS77" s="416" t="e">
        <f ca="1">_xll.EPMSaveComment(H77,,$B77,H$19)</f>
        <v>#NAME?</v>
      </c>
      <c r="AT77" s="416" t="e">
        <f ca="1">_xll.EPMSaveData(I77,,I$19,$B77)</f>
        <v>#NAME?</v>
      </c>
      <c r="AU77" s="416" t="e">
        <f ca="1">_xll.EPMSaveComment(J77,,$B77,J$19)</f>
        <v>#NAME?</v>
      </c>
      <c r="AV77" s="416" t="e">
        <f ca="1">_xll.EPMSaveComment(K77,,$B77,K$19)</f>
        <v>#NAME?</v>
      </c>
      <c r="AW77" s="416" t="e">
        <f ca="1">_xll.EPMSaveComment(L77,,$B77,L$19)</f>
        <v>#NAME?</v>
      </c>
      <c r="AX77" s="416" t="e">
        <f ca="1">_xll.EPMSaveComment(M77,,$B77,M$19)</f>
        <v>#NAME?</v>
      </c>
      <c r="AY77" s="416" t="e">
        <f ca="1">_xll.EPMSaveComment(N77,,$B77,N$19)</f>
        <v>#NAME?</v>
      </c>
      <c r="AZ77" s="416" t="e">
        <f ca="1">_xll.EPMSaveData(O77,,O$19,$B77)</f>
        <v>#NAME?</v>
      </c>
      <c r="BA77" s="416" t="e">
        <f ca="1">_xll.EPMSaveComment(P77,,$B77,P$19)</f>
        <v>#NAME?</v>
      </c>
      <c r="BB77" s="416" t="e">
        <f ca="1">_xll.EPMSaveComment(Q77,,$B77,Q$19)</f>
        <v>#NAME?</v>
      </c>
      <c r="BC77" s="416" t="e">
        <f ca="1">_xll.EPMSaveComment(R77,,$B77,R$19)</f>
        <v>#NAME?</v>
      </c>
      <c r="BD77" s="416" t="e">
        <f ca="1">_xll.EPMSaveData(S77,,$F$19,$B77)</f>
        <v>#NAME?</v>
      </c>
      <c r="BE77" s="416" t="e">
        <f ca="1">_xll.EPMSaveComment(AK77,,B77,AF$15)</f>
        <v>#NAME?</v>
      </c>
      <c r="BF77" s="416"/>
      <c r="BG77" s="416"/>
      <c r="BH77" s="157" t="str">
        <f t="shared" si="8"/>
        <v>Ok</v>
      </c>
      <c r="BI77" s="347">
        <f t="shared" si="9"/>
        <v>0</v>
      </c>
      <c r="BK77" s="160" t="str">
        <f t="shared" si="10"/>
        <v/>
      </c>
    </row>
    <row r="78" spans="1:63">
      <c r="A78" s="179"/>
      <c r="B78" s="580" t="s">
        <v>299</v>
      </c>
      <c r="C78" s="479"/>
      <c r="D78" s="224"/>
      <c r="E78" s="97" t="str">
        <f t="shared" si="11"/>
        <v/>
      </c>
      <c r="F78" s="183"/>
      <c r="G78" s="97" t="str">
        <f t="shared" si="3"/>
        <v/>
      </c>
      <c r="H78" s="307"/>
      <c r="I78" s="182"/>
      <c r="J78" s="184"/>
      <c r="K78" s="110" t="str">
        <f t="shared" si="12"/>
        <v/>
      </c>
      <c r="L78" s="184"/>
      <c r="M78" s="96" t="str">
        <f t="shared" si="13"/>
        <v/>
      </c>
      <c r="N78" s="184"/>
      <c r="O78" s="515"/>
      <c r="P78" s="184"/>
      <c r="Q78" s="185"/>
      <c r="R78" s="185"/>
      <c r="S78" s="271"/>
      <c r="T78" s="499" t="e">
        <f ca="1" xml:space="preserve"> _xll.EPMOlapMemberO("[FILA_NOTA].[PARENTH1].[09901058]","","09901058","","000;001;002")</f>
        <v>#NAME?</v>
      </c>
      <c r="U78" s="271"/>
      <c r="V78" s="271"/>
      <c r="W78" s="428">
        <f t="shared" si="4"/>
        <v>0</v>
      </c>
      <c r="X78" s="291"/>
      <c r="Y78" s="526"/>
      <c r="Z78" s="526"/>
      <c r="AA78" s="428">
        <f t="shared" si="5"/>
        <v>0</v>
      </c>
      <c r="AB78" s="526"/>
      <c r="AC78" s="428">
        <f t="shared" si="6"/>
        <v>0</v>
      </c>
      <c r="AD78" s="271"/>
      <c r="AE78" s="271"/>
      <c r="AF78" s="428">
        <f t="shared" si="7"/>
        <v>0</v>
      </c>
      <c r="AG78" s="526"/>
      <c r="AH78" s="526"/>
      <c r="AI78" s="526"/>
      <c r="AJ78" s="526"/>
      <c r="AK78" s="234"/>
      <c r="AL78" s="433"/>
      <c r="AM78" s="433"/>
      <c r="AN78" s="416" t="e">
        <f ca="1">_xll.EPMSaveComment(C78,,B78,C$19)</f>
        <v>#NAME?</v>
      </c>
      <c r="AO78" s="416" t="e">
        <f ca="1">_xll.EPMSaveComment(D78,,B78,D$19)</f>
        <v>#NAME?</v>
      </c>
      <c r="AP78" s="416" t="e">
        <f ca="1">_xll.EPMSaveComment(E78,,B78,E$19)</f>
        <v>#NAME?</v>
      </c>
      <c r="AQ78" s="416" t="e">
        <f ca="1">_xll.EPMSaveComment(F78,,$B78,F$19)</f>
        <v>#NAME?</v>
      </c>
      <c r="AR78" s="416" t="e">
        <f ca="1">_xll.EPMSaveComment(#REF!,,$B78,G$19)</f>
        <v>#NAME?</v>
      </c>
      <c r="AS78" s="416" t="e">
        <f ca="1">_xll.EPMSaveComment(H78,,$B78,H$19)</f>
        <v>#NAME?</v>
      </c>
      <c r="AT78" s="416" t="e">
        <f ca="1">_xll.EPMSaveData(I78,,I$19,$B78)</f>
        <v>#NAME?</v>
      </c>
      <c r="AU78" s="416" t="e">
        <f ca="1">_xll.EPMSaveComment(J78,,$B78,J$19)</f>
        <v>#NAME?</v>
      </c>
      <c r="AV78" s="416" t="e">
        <f ca="1">_xll.EPMSaveComment(K78,,$B78,K$19)</f>
        <v>#NAME?</v>
      </c>
      <c r="AW78" s="416" t="e">
        <f ca="1">_xll.EPMSaveComment(L78,,$B78,L$19)</f>
        <v>#NAME?</v>
      </c>
      <c r="AX78" s="416" t="e">
        <f ca="1">_xll.EPMSaveComment(M78,,$B78,M$19)</f>
        <v>#NAME?</v>
      </c>
      <c r="AY78" s="416" t="e">
        <f ca="1">_xll.EPMSaveComment(N78,,$B78,N$19)</f>
        <v>#NAME?</v>
      </c>
      <c r="AZ78" s="416" t="e">
        <f ca="1">_xll.EPMSaveData(O78,,O$19,$B78)</f>
        <v>#NAME?</v>
      </c>
      <c r="BA78" s="416" t="e">
        <f ca="1">_xll.EPMSaveComment(P78,,$B78,P$19)</f>
        <v>#NAME?</v>
      </c>
      <c r="BB78" s="416" t="e">
        <f ca="1">_xll.EPMSaveComment(Q78,,$B78,Q$19)</f>
        <v>#NAME?</v>
      </c>
      <c r="BC78" s="416" t="e">
        <f ca="1">_xll.EPMSaveComment(R78,,$B78,R$19)</f>
        <v>#NAME?</v>
      </c>
      <c r="BD78" s="416" t="e">
        <f ca="1">_xll.EPMSaveData(S78,,$F$19,$B78)</f>
        <v>#NAME?</v>
      </c>
      <c r="BE78" s="416" t="e">
        <f ca="1">_xll.EPMSaveComment(AK78,,B78,AF$15)</f>
        <v>#NAME?</v>
      </c>
      <c r="BF78" s="416"/>
      <c r="BG78" s="416"/>
      <c r="BH78" s="157" t="str">
        <f t="shared" si="8"/>
        <v>Ok</v>
      </c>
      <c r="BI78" s="347">
        <f t="shared" si="9"/>
        <v>0</v>
      </c>
      <c r="BK78" s="160" t="str">
        <f t="shared" si="10"/>
        <v/>
      </c>
    </row>
    <row r="79" spans="1:63">
      <c r="A79" s="179"/>
      <c r="B79" s="580" t="s">
        <v>300</v>
      </c>
      <c r="C79" s="479"/>
      <c r="D79" s="224"/>
      <c r="E79" s="97" t="str">
        <f t="shared" si="11"/>
        <v/>
      </c>
      <c r="F79" s="183"/>
      <c r="G79" s="97" t="str">
        <f t="shared" si="3"/>
        <v/>
      </c>
      <c r="H79" s="307"/>
      <c r="I79" s="182"/>
      <c r="J79" s="184"/>
      <c r="K79" s="110" t="str">
        <f t="shared" si="12"/>
        <v/>
      </c>
      <c r="L79" s="184"/>
      <c r="M79" s="96" t="str">
        <f t="shared" si="13"/>
        <v/>
      </c>
      <c r="N79" s="184"/>
      <c r="O79" s="515"/>
      <c r="P79" s="184"/>
      <c r="Q79" s="185"/>
      <c r="R79" s="185"/>
      <c r="S79" s="271"/>
      <c r="T79" s="499" t="e">
        <f ca="1" xml:space="preserve"> _xll.EPMOlapMemberO("[FILA_NOTA].[PARENTH1].[09901059]","","09901059","","000;001;002")</f>
        <v>#NAME?</v>
      </c>
      <c r="U79" s="271"/>
      <c r="V79" s="271"/>
      <c r="W79" s="428">
        <f t="shared" si="4"/>
        <v>0</v>
      </c>
      <c r="X79" s="291"/>
      <c r="Y79" s="526"/>
      <c r="Z79" s="526"/>
      <c r="AA79" s="428">
        <f t="shared" si="5"/>
        <v>0</v>
      </c>
      <c r="AB79" s="526"/>
      <c r="AC79" s="428">
        <f t="shared" si="6"/>
        <v>0</v>
      </c>
      <c r="AD79" s="271"/>
      <c r="AE79" s="271"/>
      <c r="AF79" s="428">
        <f t="shared" si="7"/>
        <v>0</v>
      </c>
      <c r="AG79" s="526"/>
      <c r="AH79" s="526"/>
      <c r="AI79" s="526"/>
      <c r="AJ79" s="526"/>
      <c r="AK79" s="234"/>
      <c r="AL79" s="433"/>
      <c r="AM79" s="433"/>
      <c r="AN79" s="416" t="e">
        <f ca="1">_xll.EPMSaveComment(C79,,B79,C$19)</f>
        <v>#NAME?</v>
      </c>
      <c r="AO79" s="416" t="e">
        <f ca="1">_xll.EPMSaveComment(D79,,B79,D$19)</f>
        <v>#NAME?</v>
      </c>
      <c r="AP79" s="416" t="e">
        <f ca="1">_xll.EPMSaveComment(E79,,B79,E$19)</f>
        <v>#NAME?</v>
      </c>
      <c r="AQ79" s="416" t="e">
        <f ca="1">_xll.EPMSaveComment(F79,,$B79,F$19)</f>
        <v>#NAME?</v>
      </c>
      <c r="AR79" s="416" t="e">
        <f ca="1">_xll.EPMSaveComment(#REF!,,$B79,G$19)</f>
        <v>#NAME?</v>
      </c>
      <c r="AS79" s="416" t="e">
        <f ca="1">_xll.EPMSaveComment(H79,,$B79,H$19)</f>
        <v>#NAME?</v>
      </c>
      <c r="AT79" s="416" t="e">
        <f ca="1">_xll.EPMSaveData(I79,,I$19,$B79)</f>
        <v>#NAME?</v>
      </c>
      <c r="AU79" s="416" t="e">
        <f ca="1">_xll.EPMSaveComment(J79,,$B79,J$19)</f>
        <v>#NAME?</v>
      </c>
      <c r="AV79" s="416" t="e">
        <f ca="1">_xll.EPMSaveComment(K79,,$B79,K$19)</f>
        <v>#NAME?</v>
      </c>
      <c r="AW79" s="416" t="e">
        <f ca="1">_xll.EPMSaveComment(L79,,$B79,L$19)</f>
        <v>#NAME?</v>
      </c>
      <c r="AX79" s="416" t="e">
        <f ca="1">_xll.EPMSaveComment(M79,,$B79,M$19)</f>
        <v>#NAME?</v>
      </c>
      <c r="AY79" s="416" t="e">
        <f ca="1">_xll.EPMSaveComment(N79,,$B79,N$19)</f>
        <v>#NAME?</v>
      </c>
      <c r="AZ79" s="416" t="e">
        <f ca="1">_xll.EPMSaveData(O79,,O$19,$B79)</f>
        <v>#NAME?</v>
      </c>
      <c r="BA79" s="416" t="e">
        <f ca="1">_xll.EPMSaveComment(P79,,$B79,P$19)</f>
        <v>#NAME?</v>
      </c>
      <c r="BB79" s="416" t="e">
        <f ca="1">_xll.EPMSaveComment(Q79,,$B79,Q$19)</f>
        <v>#NAME?</v>
      </c>
      <c r="BC79" s="416" t="e">
        <f ca="1">_xll.EPMSaveComment(R79,,$B79,R$19)</f>
        <v>#NAME?</v>
      </c>
      <c r="BD79" s="416" t="e">
        <f ca="1">_xll.EPMSaveData(S79,,$F$19,$B79)</f>
        <v>#NAME?</v>
      </c>
      <c r="BE79" s="416" t="e">
        <f ca="1">_xll.EPMSaveComment(AK79,,B79,AF$15)</f>
        <v>#NAME?</v>
      </c>
      <c r="BF79" s="416"/>
      <c r="BG79" s="416"/>
      <c r="BH79" s="157" t="str">
        <f t="shared" si="8"/>
        <v>Ok</v>
      </c>
      <c r="BI79" s="347">
        <f t="shared" si="9"/>
        <v>0</v>
      </c>
      <c r="BK79" s="160" t="str">
        <f t="shared" si="10"/>
        <v/>
      </c>
    </row>
    <row r="80" spans="1:63">
      <c r="A80" s="179"/>
      <c r="B80" s="580" t="s">
        <v>301</v>
      </c>
      <c r="C80" s="479"/>
      <c r="D80" s="224"/>
      <c r="E80" s="97" t="str">
        <f t="shared" si="11"/>
        <v/>
      </c>
      <c r="F80" s="183"/>
      <c r="G80" s="97" t="str">
        <f t="shared" si="3"/>
        <v/>
      </c>
      <c r="H80" s="307"/>
      <c r="I80" s="182"/>
      <c r="J80" s="184"/>
      <c r="K80" s="110" t="str">
        <f t="shared" si="12"/>
        <v/>
      </c>
      <c r="L80" s="184"/>
      <c r="M80" s="96" t="str">
        <f t="shared" si="13"/>
        <v/>
      </c>
      <c r="N80" s="184"/>
      <c r="O80" s="515"/>
      <c r="P80" s="184"/>
      <c r="Q80" s="185"/>
      <c r="R80" s="185"/>
      <c r="S80" s="271"/>
      <c r="T80" s="499" t="e">
        <f ca="1" xml:space="preserve"> _xll.EPMOlapMemberO("[FILA_NOTA].[PARENTH1].[09901060]","","09901060","","000;001;002")</f>
        <v>#NAME?</v>
      </c>
      <c r="U80" s="271"/>
      <c r="V80" s="271"/>
      <c r="W80" s="428">
        <f t="shared" si="4"/>
        <v>0</v>
      </c>
      <c r="X80" s="291"/>
      <c r="Y80" s="526"/>
      <c r="Z80" s="526"/>
      <c r="AA80" s="428">
        <f t="shared" si="5"/>
        <v>0</v>
      </c>
      <c r="AB80" s="526"/>
      <c r="AC80" s="428">
        <f t="shared" si="6"/>
        <v>0</v>
      </c>
      <c r="AD80" s="271"/>
      <c r="AE80" s="271"/>
      <c r="AF80" s="428">
        <f t="shared" si="7"/>
        <v>0</v>
      </c>
      <c r="AG80" s="526"/>
      <c r="AH80" s="526"/>
      <c r="AI80" s="526"/>
      <c r="AJ80" s="526"/>
      <c r="AK80" s="234"/>
      <c r="AL80" s="433"/>
      <c r="AM80" s="433"/>
      <c r="AN80" s="416" t="e">
        <f ca="1">_xll.EPMSaveComment(C80,,B80,C$19)</f>
        <v>#NAME?</v>
      </c>
      <c r="AO80" s="416" t="e">
        <f ca="1">_xll.EPMSaveComment(D80,,B80,D$19)</f>
        <v>#NAME?</v>
      </c>
      <c r="AP80" s="416" t="e">
        <f ca="1">_xll.EPMSaveComment(E80,,B80,E$19)</f>
        <v>#NAME?</v>
      </c>
      <c r="AQ80" s="416" t="e">
        <f ca="1">_xll.EPMSaveComment(F80,,$B80,F$19)</f>
        <v>#NAME?</v>
      </c>
      <c r="AR80" s="416" t="e">
        <f ca="1">_xll.EPMSaveComment(#REF!,,$B80,G$19)</f>
        <v>#NAME?</v>
      </c>
      <c r="AS80" s="416" t="e">
        <f ca="1">_xll.EPMSaveComment(H80,,$B80,H$19)</f>
        <v>#NAME?</v>
      </c>
      <c r="AT80" s="416" t="e">
        <f ca="1">_xll.EPMSaveData(I80,,I$19,$B80)</f>
        <v>#NAME?</v>
      </c>
      <c r="AU80" s="416" t="e">
        <f ca="1">_xll.EPMSaveComment(J80,,$B80,J$19)</f>
        <v>#NAME?</v>
      </c>
      <c r="AV80" s="416" t="e">
        <f ca="1">_xll.EPMSaveComment(K80,,$B80,K$19)</f>
        <v>#NAME?</v>
      </c>
      <c r="AW80" s="416" t="e">
        <f ca="1">_xll.EPMSaveComment(L80,,$B80,L$19)</f>
        <v>#NAME?</v>
      </c>
      <c r="AX80" s="416" t="e">
        <f ca="1">_xll.EPMSaveComment(M80,,$B80,M$19)</f>
        <v>#NAME?</v>
      </c>
      <c r="AY80" s="416" t="e">
        <f ca="1">_xll.EPMSaveComment(N80,,$B80,N$19)</f>
        <v>#NAME?</v>
      </c>
      <c r="AZ80" s="416" t="e">
        <f ca="1">_xll.EPMSaveData(O80,,O$19,$B80)</f>
        <v>#NAME?</v>
      </c>
      <c r="BA80" s="416" t="e">
        <f ca="1">_xll.EPMSaveComment(P80,,$B80,P$19)</f>
        <v>#NAME?</v>
      </c>
      <c r="BB80" s="416" t="e">
        <f ca="1">_xll.EPMSaveComment(Q80,,$B80,Q$19)</f>
        <v>#NAME?</v>
      </c>
      <c r="BC80" s="416" t="e">
        <f ca="1">_xll.EPMSaveComment(R80,,$B80,R$19)</f>
        <v>#NAME?</v>
      </c>
      <c r="BD80" s="416" t="e">
        <f ca="1">_xll.EPMSaveData(S80,,$F$19,$B80)</f>
        <v>#NAME?</v>
      </c>
      <c r="BE80" s="416" t="e">
        <f ca="1">_xll.EPMSaveComment(AK80,,B80,AF$15)</f>
        <v>#NAME?</v>
      </c>
      <c r="BF80" s="416"/>
      <c r="BG80" s="416"/>
      <c r="BH80" s="157" t="str">
        <f t="shared" si="8"/>
        <v>Ok</v>
      </c>
      <c r="BI80" s="347">
        <f t="shared" si="9"/>
        <v>0</v>
      </c>
      <c r="BK80" s="160" t="str">
        <f t="shared" si="10"/>
        <v/>
      </c>
    </row>
    <row r="81" spans="1:63">
      <c r="A81" s="179"/>
      <c r="B81" s="580" t="s">
        <v>302</v>
      </c>
      <c r="C81" s="479"/>
      <c r="D81" s="224"/>
      <c r="E81" s="97" t="str">
        <f t="shared" si="11"/>
        <v/>
      </c>
      <c r="F81" s="183"/>
      <c r="G81" s="97" t="str">
        <f t="shared" si="3"/>
        <v/>
      </c>
      <c r="H81" s="307"/>
      <c r="I81" s="182"/>
      <c r="J81" s="184"/>
      <c r="K81" s="110" t="str">
        <f t="shared" si="12"/>
        <v/>
      </c>
      <c r="L81" s="184"/>
      <c r="M81" s="96" t="str">
        <f t="shared" si="13"/>
        <v/>
      </c>
      <c r="N81" s="184"/>
      <c r="O81" s="515"/>
      <c r="P81" s="184"/>
      <c r="Q81" s="185"/>
      <c r="R81" s="185"/>
      <c r="S81" s="271"/>
      <c r="T81" s="499" t="e">
        <f ca="1" xml:space="preserve"> _xll.EPMOlapMemberO("[FILA_NOTA].[PARENTH1].[09901061]","","09901061","","000;001;002")</f>
        <v>#NAME?</v>
      </c>
      <c r="U81" s="271"/>
      <c r="V81" s="271"/>
      <c r="W81" s="428">
        <f t="shared" si="4"/>
        <v>0</v>
      </c>
      <c r="X81" s="291"/>
      <c r="Y81" s="526"/>
      <c r="Z81" s="526"/>
      <c r="AA81" s="428">
        <f t="shared" si="5"/>
        <v>0</v>
      </c>
      <c r="AB81" s="526"/>
      <c r="AC81" s="428">
        <f t="shared" si="6"/>
        <v>0</v>
      </c>
      <c r="AD81" s="271"/>
      <c r="AE81" s="271"/>
      <c r="AF81" s="428">
        <f t="shared" si="7"/>
        <v>0</v>
      </c>
      <c r="AG81" s="526"/>
      <c r="AH81" s="526"/>
      <c r="AI81" s="526"/>
      <c r="AJ81" s="526"/>
      <c r="AK81" s="234"/>
      <c r="AL81" s="433"/>
      <c r="AM81" s="433"/>
      <c r="AN81" s="416" t="e">
        <f ca="1">_xll.EPMSaveComment(C81,,B81,C$19)</f>
        <v>#NAME?</v>
      </c>
      <c r="AO81" s="416" t="e">
        <f ca="1">_xll.EPMSaveComment(D81,,B81,D$19)</f>
        <v>#NAME?</v>
      </c>
      <c r="AP81" s="416" t="e">
        <f ca="1">_xll.EPMSaveComment(E81,,B81,E$19)</f>
        <v>#NAME?</v>
      </c>
      <c r="AQ81" s="416" t="e">
        <f ca="1">_xll.EPMSaveComment(F81,,$B81,F$19)</f>
        <v>#NAME?</v>
      </c>
      <c r="AR81" s="416" t="e">
        <f ca="1">_xll.EPMSaveComment(#REF!,,$B81,G$19)</f>
        <v>#NAME?</v>
      </c>
      <c r="AS81" s="416" t="e">
        <f ca="1">_xll.EPMSaveComment(H81,,$B81,H$19)</f>
        <v>#NAME?</v>
      </c>
      <c r="AT81" s="416" t="e">
        <f ca="1">_xll.EPMSaveData(I81,,I$19,$B81)</f>
        <v>#NAME?</v>
      </c>
      <c r="AU81" s="416" t="e">
        <f ca="1">_xll.EPMSaveComment(J81,,$B81,J$19)</f>
        <v>#NAME?</v>
      </c>
      <c r="AV81" s="416" t="e">
        <f ca="1">_xll.EPMSaveComment(K81,,$B81,K$19)</f>
        <v>#NAME?</v>
      </c>
      <c r="AW81" s="416" t="e">
        <f ca="1">_xll.EPMSaveComment(L81,,$B81,L$19)</f>
        <v>#NAME?</v>
      </c>
      <c r="AX81" s="416" t="e">
        <f ca="1">_xll.EPMSaveComment(M81,,$B81,M$19)</f>
        <v>#NAME?</v>
      </c>
      <c r="AY81" s="416" t="e">
        <f ca="1">_xll.EPMSaveComment(N81,,$B81,N$19)</f>
        <v>#NAME?</v>
      </c>
      <c r="AZ81" s="416" t="e">
        <f ca="1">_xll.EPMSaveData(O81,,O$19,$B81)</f>
        <v>#NAME?</v>
      </c>
      <c r="BA81" s="416" t="e">
        <f ca="1">_xll.EPMSaveComment(P81,,$B81,P$19)</f>
        <v>#NAME?</v>
      </c>
      <c r="BB81" s="416" t="e">
        <f ca="1">_xll.EPMSaveComment(Q81,,$B81,Q$19)</f>
        <v>#NAME?</v>
      </c>
      <c r="BC81" s="416" t="e">
        <f ca="1">_xll.EPMSaveComment(R81,,$B81,R$19)</f>
        <v>#NAME?</v>
      </c>
      <c r="BD81" s="416" t="e">
        <f ca="1">_xll.EPMSaveData(S81,,$F$19,$B81)</f>
        <v>#NAME?</v>
      </c>
      <c r="BE81" s="416" t="e">
        <f ca="1">_xll.EPMSaveComment(AK81,,B81,AF$15)</f>
        <v>#NAME?</v>
      </c>
      <c r="BF81" s="416"/>
      <c r="BG81" s="416"/>
      <c r="BH81" s="157" t="str">
        <f t="shared" si="8"/>
        <v>Ok</v>
      </c>
      <c r="BI81" s="347">
        <f t="shared" si="9"/>
        <v>0</v>
      </c>
      <c r="BK81" s="160" t="str">
        <f t="shared" si="10"/>
        <v/>
      </c>
    </row>
    <row r="82" spans="1:63">
      <c r="A82" s="179"/>
      <c r="B82" s="580" t="s">
        <v>303</v>
      </c>
      <c r="C82" s="479"/>
      <c r="D82" s="224"/>
      <c r="E82" s="97" t="str">
        <f t="shared" si="11"/>
        <v/>
      </c>
      <c r="F82" s="183"/>
      <c r="G82" s="97" t="str">
        <f t="shared" si="3"/>
        <v/>
      </c>
      <c r="H82" s="307"/>
      <c r="I82" s="182"/>
      <c r="J82" s="184"/>
      <c r="K82" s="110" t="str">
        <f t="shared" si="12"/>
        <v/>
      </c>
      <c r="L82" s="184"/>
      <c r="M82" s="96" t="str">
        <f t="shared" si="13"/>
        <v/>
      </c>
      <c r="N82" s="184"/>
      <c r="O82" s="515"/>
      <c r="P82" s="184"/>
      <c r="Q82" s="185"/>
      <c r="R82" s="185"/>
      <c r="S82" s="271"/>
      <c r="T82" s="499" t="e">
        <f ca="1" xml:space="preserve"> _xll.EPMOlapMemberO("[FILA_NOTA].[PARENTH1].[09901062]","","09901062","","000;001;002")</f>
        <v>#NAME?</v>
      </c>
      <c r="U82" s="271"/>
      <c r="V82" s="271"/>
      <c r="W82" s="428">
        <f t="shared" si="4"/>
        <v>0</v>
      </c>
      <c r="X82" s="291"/>
      <c r="Y82" s="526"/>
      <c r="Z82" s="526"/>
      <c r="AA82" s="428">
        <f t="shared" si="5"/>
        <v>0</v>
      </c>
      <c r="AB82" s="526"/>
      <c r="AC82" s="428">
        <f t="shared" si="6"/>
        <v>0</v>
      </c>
      <c r="AD82" s="271"/>
      <c r="AE82" s="271"/>
      <c r="AF82" s="428">
        <f t="shared" si="7"/>
        <v>0</v>
      </c>
      <c r="AG82" s="526"/>
      <c r="AH82" s="526"/>
      <c r="AI82" s="526"/>
      <c r="AJ82" s="526"/>
      <c r="AK82" s="234"/>
      <c r="AL82" s="433"/>
      <c r="AM82" s="433"/>
      <c r="AN82" s="416" t="e">
        <f ca="1">_xll.EPMSaveComment(C82,,B82,C$19)</f>
        <v>#NAME?</v>
      </c>
      <c r="AO82" s="416" t="e">
        <f ca="1">_xll.EPMSaveComment(D82,,B82,D$19)</f>
        <v>#NAME?</v>
      </c>
      <c r="AP82" s="416" t="e">
        <f ca="1">_xll.EPMSaveComment(E82,,B82,E$19)</f>
        <v>#NAME?</v>
      </c>
      <c r="AQ82" s="416" t="e">
        <f ca="1">_xll.EPMSaveComment(F82,,$B82,F$19)</f>
        <v>#NAME?</v>
      </c>
      <c r="AR82" s="416" t="e">
        <f ca="1">_xll.EPMSaveComment(#REF!,,$B82,G$19)</f>
        <v>#NAME?</v>
      </c>
      <c r="AS82" s="416" t="e">
        <f ca="1">_xll.EPMSaveComment(H82,,$B82,H$19)</f>
        <v>#NAME?</v>
      </c>
      <c r="AT82" s="416" t="e">
        <f ca="1">_xll.EPMSaveData(I82,,I$19,$B82)</f>
        <v>#NAME?</v>
      </c>
      <c r="AU82" s="416" t="e">
        <f ca="1">_xll.EPMSaveComment(J82,,$B82,J$19)</f>
        <v>#NAME?</v>
      </c>
      <c r="AV82" s="416" t="e">
        <f ca="1">_xll.EPMSaveComment(K82,,$B82,K$19)</f>
        <v>#NAME?</v>
      </c>
      <c r="AW82" s="416" t="e">
        <f ca="1">_xll.EPMSaveComment(L82,,$B82,L$19)</f>
        <v>#NAME?</v>
      </c>
      <c r="AX82" s="416" t="e">
        <f ca="1">_xll.EPMSaveComment(M82,,$B82,M$19)</f>
        <v>#NAME?</v>
      </c>
      <c r="AY82" s="416" t="e">
        <f ca="1">_xll.EPMSaveComment(N82,,$B82,N$19)</f>
        <v>#NAME?</v>
      </c>
      <c r="AZ82" s="416" t="e">
        <f ca="1">_xll.EPMSaveData(O82,,O$19,$B82)</f>
        <v>#NAME?</v>
      </c>
      <c r="BA82" s="416" t="e">
        <f ca="1">_xll.EPMSaveComment(P82,,$B82,P$19)</f>
        <v>#NAME?</v>
      </c>
      <c r="BB82" s="416" t="e">
        <f ca="1">_xll.EPMSaveComment(Q82,,$B82,Q$19)</f>
        <v>#NAME?</v>
      </c>
      <c r="BC82" s="416" t="e">
        <f ca="1">_xll.EPMSaveComment(R82,,$B82,R$19)</f>
        <v>#NAME?</v>
      </c>
      <c r="BD82" s="416" t="e">
        <f ca="1">_xll.EPMSaveData(S82,,$F$19,$B82)</f>
        <v>#NAME?</v>
      </c>
      <c r="BE82" s="416" t="e">
        <f ca="1">_xll.EPMSaveComment(AK82,,B82,AF$15)</f>
        <v>#NAME?</v>
      </c>
      <c r="BF82" s="416"/>
      <c r="BG82" s="416"/>
      <c r="BH82" s="157" t="str">
        <f t="shared" si="8"/>
        <v>Ok</v>
      </c>
      <c r="BI82" s="347">
        <f t="shared" si="9"/>
        <v>0</v>
      </c>
      <c r="BK82" s="160" t="str">
        <f t="shared" si="10"/>
        <v/>
      </c>
    </row>
    <row r="83" spans="1:63">
      <c r="A83" s="179"/>
      <c r="B83" s="580" t="s">
        <v>304</v>
      </c>
      <c r="C83" s="479"/>
      <c r="D83" s="224"/>
      <c r="E83" s="97" t="str">
        <f t="shared" si="11"/>
        <v/>
      </c>
      <c r="F83" s="183"/>
      <c r="G83" s="97" t="str">
        <f t="shared" si="3"/>
        <v/>
      </c>
      <c r="H83" s="307"/>
      <c r="I83" s="182"/>
      <c r="J83" s="184"/>
      <c r="K83" s="110" t="str">
        <f t="shared" si="12"/>
        <v/>
      </c>
      <c r="L83" s="184"/>
      <c r="M83" s="96" t="str">
        <f t="shared" si="13"/>
        <v/>
      </c>
      <c r="N83" s="184"/>
      <c r="O83" s="515"/>
      <c r="P83" s="184"/>
      <c r="Q83" s="185"/>
      <c r="R83" s="185"/>
      <c r="S83" s="271"/>
      <c r="T83" s="499" t="e">
        <f ca="1" xml:space="preserve"> _xll.EPMOlapMemberO("[FILA_NOTA].[PARENTH1].[09901063]","","09901063","","000;001;002")</f>
        <v>#NAME?</v>
      </c>
      <c r="U83" s="271"/>
      <c r="V83" s="271"/>
      <c r="W83" s="428">
        <f t="shared" si="4"/>
        <v>0</v>
      </c>
      <c r="X83" s="291"/>
      <c r="Y83" s="526"/>
      <c r="Z83" s="526"/>
      <c r="AA83" s="428">
        <f t="shared" si="5"/>
        <v>0</v>
      </c>
      <c r="AB83" s="526"/>
      <c r="AC83" s="428">
        <f t="shared" si="6"/>
        <v>0</v>
      </c>
      <c r="AD83" s="271"/>
      <c r="AE83" s="271"/>
      <c r="AF83" s="428">
        <f t="shared" si="7"/>
        <v>0</v>
      </c>
      <c r="AG83" s="526"/>
      <c r="AH83" s="526"/>
      <c r="AI83" s="526"/>
      <c r="AJ83" s="526"/>
      <c r="AK83" s="234"/>
      <c r="AL83" s="433"/>
      <c r="AM83" s="433"/>
      <c r="AN83" s="416" t="e">
        <f ca="1">_xll.EPMSaveComment(C83,,B83,C$19)</f>
        <v>#NAME?</v>
      </c>
      <c r="AO83" s="416" t="e">
        <f ca="1">_xll.EPMSaveComment(D83,,B83,D$19)</f>
        <v>#NAME?</v>
      </c>
      <c r="AP83" s="416" t="e">
        <f ca="1">_xll.EPMSaveComment(E83,,B83,E$19)</f>
        <v>#NAME?</v>
      </c>
      <c r="AQ83" s="416" t="e">
        <f ca="1">_xll.EPMSaveComment(F83,,$B83,F$19)</f>
        <v>#NAME?</v>
      </c>
      <c r="AR83" s="416" t="e">
        <f ca="1">_xll.EPMSaveComment(#REF!,,$B83,G$19)</f>
        <v>#NAME?</v>
      </c>
      <c r="AS83" s="416" t="e">
        <f ca="1">_xll.EPMSaveComment(H83,,$B83,H$19)</f>
        <v>#NAME?</v>
      </c>
      <c r="AT83" s="416" t="e">
        <f ca="1">_xll.EPMSaveData(I83,,I$19,$B83)</f>
        <v>#NAME?</v>
      </c>
      <c r="AU83" s="416" t="e">
        <f ca="1">_xll.EPMSaveComment(J83,,$B83,J$19)</f>
        <v>#NAME?</v>
      </c>
      <c r="AV83" s="416" t="e">
        <f ca="1">_xll.EPMSaveComment(K83,,$B83,K$19)</f>
        <v>#NAME?</v>
      </c>
      <c r="AW83" s="416" t="e">
        <f ca="1">_xll.EPMSaveComment(L83,,$B83,L$19)</f>
        <v>#NAME?</v>
      </c>
      <c r="AX83" s="416" t="e">
        <f ca="1">_xll.EPMSaveComment(M83,,$B83,M$19)</f>
        <v>#NAME?</v>
      </c>
      <c r="AY83" s="416" t="e">
        <f ca="1">_xll.EPMSaveComment(N83,,$B83,N$19)</f>
        <v>#NAME?</v>
      </c>
      <c r="AZ83" s="416" t="e">
        <f ca="1">_xll.EPMSaveData(O83,,O$19,$B83)</f>
        <v>#NAME?</v>
      </c>
      <c r="BA83" s="416" t="e">
        <f ca="1">_xll.EPMSaveComment(P83,,$B83,P$19)</f>
        <v>#NAME?</v>
      </c>
      <c r="BB83" s="416" t="e">
        <f ca="1">_xll.EPMSaveComment(Q83,,$B83,Q$19)</f>
        <v>#NAME?</v>
      </c>
      <c r="BC83" s="416" t="e">
        <f ca="1">_xll.EPMSaveComment(R83,,$B83,R$19)</f>
        <v>#NAME?</v>
      </c>
      <c r="BD83" s="416" t="e">
        <f ca="1">_xll.EPMSaveData(S83,,$F$19,$B83)</f>
        <v>#NAME?</v>
      </c>
      <c r="BE83" s="416" t="e">
        <f ca="1">_xll.EPMSaveComment(AK83,,B83,AF$15)</f>
        <v>#NAME?</v>
      </c>
      <c r="BF83" s="416"/>
      <c r="BG83" s="416"/>
      <c r="BH83" s="157" t="str">
        <f t="shared" si="8"/>
        <v>Ok</v>
      </c>
      <c r="BI83" s="347">
        <f t="shared" si="9"/>
        <v>0</v>
      </c>
      <c r="BK83" s="160" t="str">
        <f t="shared" si="10"/>
        <v/>
      </c>
    </row>
    <row r="84" spans="1:63">
      <c r="A84" s="179"/>
      <c r="B84" s="580" t="s">
        <v>305</v>
      </c>
      <c r="C84" s="479"/>
      <c r="D84" s="224"/>
      <c r="E84" s="97" t="str">
        <f t="shared" si="11"/>
        <v/>
      </c>
      <c r="F84" s="183"/>
      <c r="G84" s="97" t="str">
        <f t="shared" si="3"/>
        <v/>
      </c>
      <c r="H84" s="307"/>
      <c r="I84" s="182"/>
      <c r="J84" s="184"/>
      <c r="K84" s="110" t="str">
        <f t="shared" si="12"/>
        <v/>
      </c>
      <c r="L84" s="184"/>
      <c r="M84" s="96" t="str">
        <f t="shared" si="13"/>
        <v/>
      </c>
      <c r="N84" s="184"/>
      <c r="O84" s="515"/>
      <c r="P84" s="184"/>
      <c r="Q84" s="185"/>
      <c r="R84" s="185"/>
      <c r="S84" s="271"/>
      <c r="T84" s="499" t="e">
        <f ca="1" xml:space="preserve"> _xll.EPMOlapMemberO("[FILA_NOTA].[PARENTH1].[09901064]","","09901064","","000;001;002")</f>
        <v>#NAME?</v>
      </c>
      <c r="U84" s="271"/>
      <c r="V84" s="271"/>
      <c r="W84" s="428">
        <f t="shared" si="4"/>
        <v>0</v>
      </c>
      <c r="X84" s="291"/>
      <c r="Y84" s="526"/>
      <c r="Z84" s="526"/>
      <c r="AA84" s="428">
        <f t="shared" si="5"/>
        <v>0</v>
      </c>
      <c r="AB84" s="526"/>
      <c r="AC84" s="428">
        <f t="shared" si="6"/>
        <v>0</v>
      </c>
      <c r="AD84" s="271"/>
      <c r="AE84" s="271"/>
      <c r="AF84" s="428">
        <f t="shared" si="7"/>
        <v>0</v>
      </c>
      <c r="AG84" s="526"/>
      <c r="AH84" s="526"/>
      <c r="AI84" s="526"/>
      <c r="AJ84" s="526"/>
      <c r="AK84" s="234"/>
      <c r="AL84" s="433"/>
      <c r="AM84" s="433"/>
      <c r="AN84" s="416" t="e">
        <f ca="1">_xll.EPMSaveComment(C84,,B84,C$19)</f>
        <v>#NAME?</v>
      </c>
      <c r="AO84" s="416" t="e">
        <f ca="1">_xll.EPMSaveComment(D84,,B84,D$19)</f>
        <v>#NAME?</v>
      </c>
      <c r="AP84" s="416" t="e">
        <f ca="1">_xll.EPMSaveComment(E84,,B84,E$19)</f>
        <v>#NAME?</v>
      </c>
      <c r="AQ84" s="416" t="e">
        <f ca="1">_xll.EPMSaveComment(F84,,$B84,F$19)</f>
        <v>#NAME?</v>
      </c>
      <c r="AR84" s="416" t="e">
        <f ca="1">_xll.EPMSaveComment(#REF!,,$B84,G$19)</f>
        <v>#NAME?</v>
      </c>
      <c r="AS84" s="416" t="e">
        <f ca="1">_xll.EPMSaveComment(H84,,$B84,H$19)</f>
        <v>#NAME?</v>
      </c>
      <c r="AT84" s="416" t="e">
        <f ca="1">_xll.EPMSaveData(I84,,I$19,$B84)</f>
        <v>#NAME?</v>
      </c>
      <c r="AU84" s="416" t="e">
        <f ca="1">_xll.EPMSaveComment(J84,,$B84,J$19)</f>
        <v>#NAME?</v>
      </c>
      <c r="AV84" s="416" t="e">
        <f ca="1">_xll.EPMSaveComment(K84,,$B84,K$19)</f>
        <v>#NAME?</v>
      </c>
      <c r="AW84" s="416" t="e">
        <f ca="1">_xll.EPMSaveComment(L84,,$B84,L$19)</f>
        <v>#NAME?</v>
      </c>
      <c r="AX84" s="416" t="e">
        <f ca="1">_xll.EPMSaveComment(M84,,$B84,M$19)</f>
        <v>#NAME?</v>
      </c>
      <c r="AY84" s="416" t="e">
        <f ca="1">_xll.EPMSaveComment(N84,,$B84,N$19)</f>
        <v>#NAME?</v>
      </c>
      <c r="AZ84" s="416" t="e">
        <f ca="1">_xll.EPMSaveData(O84,,O$19,$B84)</f>
        <v>#NAME?</v>
      </c>
      <c r="BA84" s="416" t="e">
        <f ca="1">_xll.EPMSaveComment(P84,,$B84,P$19)</f>
        <v>#NAME?</v>
      </c>
      <c r="BB84" s="416" t="e">
        <f ca="1">_xll.EPMSaveComment(Q84,,$B84,Q$19)</f>
        <v>#NAME?</v>
      </c>
      <c r="BC84" s="416" t="e">
        <f ca="1">_xll.EPMSaveComment(R84,,$B84,R$19)</f>
        <v>#NAME?</v>
      </c>
      <c r="BD84" s="416" t="e">
        <f ca="1">_xll.EPMSaveData(S84,,$F$19,$B84)</f>
        <v>#NAME?</v>
      </c>
      <c r="BE84" s="416" t="e">
        <f ca="1">_xll.EPMSaveComment(AK84,,B84,AF$15)</f>
        <v>#NAME?</v>
      </c>
      <c r="BF84" s="416"/>
      <c r="BG84" s="416"/>
      <c r="BH84" s="157" t="str">
        <f t="shared" si="8"/>
        <v>Ok</v>
      </c>
      <c r="BI84" s="347">
        <f t="shared" si="9"/>
        <v>0</v>
      </c>
      <c r="BK84" s="160" t="str">
        <f t="shared" si="10"/>
        <v/>
      </c>
    </row>
    <row r="85" spans="1:63">
      <c r="A85" s="179"/>
      <c r="B85" s="580" t="s">
        <v>306</v>
      </c>
      <c r="C85" s="479"/>
      <c r="D85" s="224"/>
      <c r="E85" s="97" t="str">
        <f t="shared" si="11"/>
        <v/>
      </c>
      <c r="F85" s="183"/>
      <c r="G85" s="97" t="str">
        <f t="shared" si="3"/>
        <v/>
      </c>
      <c r="H85" s="307"/>
      <c r="I85" s="182"/>
      <c r="J85" s="184"/>
      <c r="K85" s="110" t="str">
        <f t="shared" si="12"/>
        <v/>
      </c>
      <c r="L85" s="184"/>
      <c r="M85" s="96" t="str">
        <f t="shared" si="13"/>
        <v/>
      </c>
      <c r="N85" s="184"/>
      <c r="O85" s="515"/>
      <c r="P85" s="184"/>
      <c r="Q85" s="185"/>
      <c r="R85" s="185"/>
      <c r="S85" s="271"/>
      <c r="T85" s="499" t="e">
        <f ca="1" xml:space="preserve"> _xll.EPMOlapMemberO("[FILA_NOTA].[PARENTH1].[09901065]","","09901065","","000;001;002")</f>
        <v>#NAME?</v>
      </c>
      <c r="U85" s="271"/>
      <c r="V85" s="271"/>
      <c r="W85" s="428">
        <f t="shared" si="4"/>
        <v>0</v>
      </c>
      <c r="X85" s="291"/>
      <c r="Y85" s="526"/>
      <c r="Z85" s="526"/>
      <c r="AA85" s="428">
        <f t="shared" si="5"/>
        <v>0</v>
      </c>
      <c r="AB85" s="526"/>
      <c r="AC85" s="428">
        <f t="shared" si="6"/>
        <v>0</v>
      </c>
      <c r="AD85" s="271"/>
      <c r="AE85" s="271"/>
      <c r="AF85" s="428">
        <f t="shared" si="7"/>
        <v>0</v>
      </c>
      <c r="AG85" s="526"/>
      <c r="AH85" s="526"/>
      <c r="AI85" s="526"/>
      <c r="AJ85" s="526"/>
      <c r="AK85" s="234"/>
      <c r="AL85" s="433"/>
      <c r="AM85" s="433"/>
      <c r="AN85" s="416" t="e">
        <f ca="1">_xll.EPMSaveComment(C85,,B85,C$19)</f>
        <v>#NAME?</v>
      </c>
      <c r="AO85" s="416" t="e">
        <f ca="1">_xll.EPMSaveComment(D85,,B85,D$19)</f>
        <v>#NAME?</v>
      </c>
      <c r="AP85" s="416" t="e">
        <f ca="1">_xll.EPMSaveComment(E85,,B85,E$19)</f>
        <v>#NAME?</v>
      </c>
      <c r="AQ85" s="416" t="e">
        <f ca="1">_xll.EPMSaveComment(F85,,$B85,F$19)</f>
        <v>#NAME?</v>
      </c>
      <c r="AR85" s="416" t="e">
        <f ca="1">_xll.EPMSaveComment(#REF!,,$B85,G$19)</f>
        <v>#NAME?</v>
      </c>
      <c r="AS85" s="416" t="e">
        <f ca="1">_xll.EPMSaveComment(H85,,$B85,H$19)</f>
        <v>#NAME?</v>
      </c>
      <c r="AT85" s="416" t="e">
        <f ca="1">_xll.EPMSaveData(I85,,I$19,$B85)</f>
        <v>#NAME?</v>
      </c>
      <c r="AU85" s="416" t="e">
        <f ca="1">_xll.EPMSaveComment(J85,,$B85,J$19)</f>
        <v>#NAME?</v>
      </c>
      <c r="AV85" s="416" t="e">
        <f ca="1">_xll.EPMSaveComment(K85,,$B85,K$19)</f>
        <v>#NAME?</v>
      </c>
      <c r="AW85" s="416" t="e">
        <f ca="1">_xll.EPMSaveComment(L85,,$B85,L$19)</f>
        <v>#NAME?</v>
      </c>
      <c r="AX85" s="416" t="e">
        <f ca="1">_xll.EPMSaveComment(M85,,$B85,M$19)</f>
        <v>#NAME?</v>
      </c>
      <c r="AY85" s="416" t="e">
        <f ca="1">_xll.EPMSaveComment(N85,,$B85,N$19)</f>
        <v>#NAME?</v>
      </c>
      <c r="AZ85" s="416" t="e">
        <f ca="1">_xll.EPMSaveData(O85,,O$19,$B85)</f>
        <v>#NAME?</v>
      </c>
      <c r="BA85" s="416" t="e">
        <f ca="1">_xll.EPMSaveComment(P85,,$B85,P$19)</f>
        <v>#NAME?</v>
      </c>
      <c r="BB85" s="416" t="e">
        <f ca="1">_xll.EPMSaveComment(Q85,,$B85,Q$19)</f>
        <v>#NAME?</v>
      </c>
      <c r="BC85" s="416" t="e">
        <f ca="1">_xll.EPMSaveComment(R85,,$B85,R$19)</f>
        <v>#NAME?</v>
      </c>
      <c r="BD85" s="416" t="e">
        <f ca="1">_xll.EPMSaveData(S85,,$F$19,$B85)</f>
        <v>#NAME?</v>
      </c>
      <c r="BE85" s="416" t="e">
        <f ca="1">_xll.EPMSaveComment(AK85,,B85,AF$15)</f>
        <v>#NAME?</v>
      </c>
      <c r="BF85" s="416"/>
      <c r="BG85" s="416"/>
      <c r="BH85" s="157" t="str">
        <f t="shared" si="8"/>
        <v>Ok</v>
      </c>
      <c r="BI85" s="347">
        <f t="shared" si="9"/>
        <v>0</v>
      </c>
      <c r="BK85" s="160" t="str">
        <f t="shared" si="10"/>
        <v/>
      </c>
    </row>
    <row r="86" spans="1:63">
      <c r="A86" s="179"/>
      <c r="B86" s="580" t="s">
        <v>307</v>
      </c>
      <c r="C86" s="479"/>
      <c r="D86" s="224"/>
      <c r="E86" s="97" t="str">
        <f t="shared" ref="E86:E117" si="14">IF(C86="","",IF(D86="","",IF(D86="Si","No","Si")))</f>
        <v/>
      </c>
      <c r="F86" s="183"/>
      <c r="G86" s="97" t="str">
        <f t="shared" si="3"/>
        <v/>
      </c>
      <c r="H86" s="307"/>
      <c r="I86" s="182"/>
      <c r="J86" s="184"/>
      <c r="K86" s="110" t="str">
        <f t="shared" ref="K86:K117" si="15">IF(C86="","",IF(J86="X","","X"))</f>
        <v/>
      </c>
      <c r="L86" s="184"/>
      <c r="M86" s="96" t="str">
        <f t="shared" ref="M86:M117" si="16">IF(C86="","",IF(L86="","",IF(L86="Si","No","Si")))</f>
        <v/>
      </c>
      <c r="N86" s="184"/>
      <c r="O86" s="515"/>
      <c r="P86" s="184"/>
      <c r="Q86" s="185"/>
      <c r="R86" s="185"/>
      <c r="S86" s="271"/>
      <c r="T86" s="499" t="e">
        <f ca="1" xml:space="preserve"> _xll.EPMOlapMemberO("[FILA_NOTA].[PARENTH1].[09901066]","","09901066","","000;001;002")</f>
        <v>#NAME?</v>
      </c>
      <c r="U86" s="271"/>
      <c r="V86" s="271"/>
      <c r="W86" s="428">
        <f t="shared" si="4"/>
        <v>0</v>
      </c>
      <c r="X86" s="291"/>
      <c r="Y86" s="526"/>
      <c r="Z86" s="526"/>
      <c r="AA86" s="428">
        <f t="shared" si="5"/>
        <v>0</v>
      </c>
      <c r="AB86" s="526"/>
      <c r="AC86" s="428">
        <f t="shared" si="6"/>
        <v>0</v>
      </c>
      <c r="AD86" s="271"/>
      <c r="AE86" s="271"/>
      <c r="AF86" s="428">
        <f t="shared" si="7"/>
        <v>0</v>
      </c>
      <c r="AG86" s="526"/>
      <c r="AH86" s="526"/>
      <c r="AI86" s="526"/>
      <c r="AJ86" s="526"/>
      <c r="AK86" s="234"/>
      <c r="AL86" s="433"/>
      <c r="AM86" s="433"/>
      <c r="AN86" s="416" t="e">
        <f ca="1">_xll.EPMSaveComment(C86,,B86,C$19)</f>
        <v>#NAME?</v>
      </c>
      <c r="AO86" s="416" t="e">
        <f ca="1">_xll.EPMSaveComment(D86,,B86,D$19)</f>
        <v>#NAME?</v>
      </c>
      <c r="AP86" s="416" t="e">
        <f ca="1">_xll.EPMSaveComment(E86,,B86,E$19)</f>
        <v>#NAME?</v>
      </c>
      <c r="AQ86" s="416" t="e">
        <f ca="1">_xll.EPMSaveComment(F86,,$B86,F$19)</f>
        <v>#NAME?</v>
      </c>
      <c r="AR86" s="416" t="e">
        <f ca="1">_xll.EPMSaveComment(#REF!,,$B86,G$19)</f>
        <v>#NAME?</v>
      </c>
      <c r="AS86" s="416" t="e">
        <f ca="1">_xll.EPMSaveComment(H86,,$B86,H$19)</f>
        <v>#NAME?</v>
      </c>
      <c r="AT86" s="416" t="e">
        <f ca="1">_xll.EPMSaveData(I86,,I$19,$B86)</f>
        <v>#NAME?</v>
      </c>
      <c r="AU86" s="416" t="e">
        <f ca="1">_xll.EPMSaveComment(J86,,$B86,J$19)</f>
        <v>#NAME?</v>
      </c>
      <c r="AV86" s="416" t="e">
        <f ca="1">_xll.EPMSaveComment(K86,,$B86,K$19)</f>
        <v>#NAME?</v>
      </c>
      <c r="AW86" s="416" t="e">
        <f ca="1">_xll.EPMSaveComment(L86,,$B86,L$19)</f>
        <v>#NAME?</v>
      </c>
      <c r="AX86" s="416" t="e">
        <f ca="1">_xll.EPMSaveComment(M86,,$B86,M$19)</f>
        <v>#NAME?</v>
      </c>
      <c r="AY86" s="416" t="e">
        <f ca="1">_xll.EPMSaveComment(N86,,$B86,N$19)</f>
        <v>#NAME?</v>
      </c>
      <c r="AZ86" s="416" t="e">
        <f ca="1">_xll.EPMSaveData(O86,,O$19,$B86)</f>
        <v>#NAME?</v>
      </c>
      <c r="BA86" s="416" t="e">
        <f ca="1">_xll.EPMSaveComment(P86,,$B86,P$19)</f>
        <v>#NAME?</v>
      </c>
      <c r="BB86" s="416" t="e">
        <f ca="1">_xll.EPMSaveComment(Q86,,$B86,Q$19)</f>
        <v>#NAME?</v>
      </c>
      <c r="BC86" s="416" t="e">
        <f ca="1">_xll.EPMSaveComment(R86,,$B86,R$19)</f>
        <v>#NAME?</v>
      </c>
      <c r="BD86" s="416" t="e">
        <f ca="1">_xll.EPMSaveData(S86,,$F$19,$B86)</f>
        <v>#NAME?</v>
      </c>
      <c r="BE86" s="416" t="e">
        <f ca="1">_xll.EPMSaveComment(AK86,,B86,AF$15)</f>
        <v>#NAME?</v>
      </c>
      <c r="BF86" s="416"/>
      <c r="BG86" s="416"/>
      <c r="BH86" s="157" t="str">
        <f t="shared" si="8"/>
        <v>Ok</v>
      </c>
      <c r="BI86" s="347">
        <f t="shared" si="9"/>
        <v>0</v>
      </c>
      <c r="BK86" s="160" t="str">
        <f t="shared" si="10"/>
        <v/>
      </c>
    </row>
    <row r="87" spans="1:63">
      <c r="A87" s="179"/>
      <c r="B87" s="580" t="s">
        <v>308</v>
      </c>
      <c r="C87" s="479"/>
      <c r="D87" s="224"/>
      <c r="E87" s="97" t="str">
        <f t="shared" si="14"/>
        <v/>
      </c>
      <c r="F87" s="183"/>
      <c r="G87" s="97" t="str">
        <f t="shared" ref="G87:G121" si="17">IF(C87="","",IF(F87="","",IF(F87="Si","No","Si")))</f>
        <v/>
      </c>
      <c r="H87" s="307"/>
      <c r="I87" s="182"/>
      <c r="J87" s="184"/>
      <c r="K87" s="110" t="str">
        <f t="shared" si="15"/>
        <v/>
      </c>
      <c r="L87" s="184"/>
      <c r="M87" s="96" t="str">
        <f t="shared" si="16"/>
        <v/>
      </c>
      <c r="N87" s="184"/>
      <c r="O87" s="515"/>
      <c r="P87" s="184"/>
      <c r="Q87" s="185"/>
      <c r="R87" s="185"/>
      <c r="S87" s="271"/>
      <c r="T87" s="499" t="e">
        <f ca="1" xml:space="preserve"> _xll.EPMOlapMemberO("[FILA_NOTA].[PARENTH1].[09901067]","","09901067","","000;001;002")</f>
        <v>#NAME?</v>
      </c>
      <c r="U87" s="271"/>
      <c r="V87" s="271"/>
      <c r="W87" s="428">
        <f t="shared" ref="W87:W121" si="18">SUM(U87:V87)</f>
        <v>0</v>
      </c>
      <c r="X87" s="291"/>
      <c r="Y87" s="526"/>
      <c r="Z87" s="526"/>
      <c r="AA87" s="428">
        <f t="shared" ref="AA87:AA121" si="19">IFERROR(SUM(Y87,-Z87),0)</f>
        <v>0</v>
      </c>
      <c r="AB87" s="526"/>
      <c r="AC87" s="428">
        <f t="shared" ref="AC87:AC121" si="20">SUM(AD87)</f>
        <v>0</v>
      </c>
      <c r="AD87" s="271"/>
      <c r="AE87" s="271"/>
      <c r="AF87" s="428">
        <f t="shared" ref="AF87:AF121" si="21">SUM(AG87:AJ87)</f>
        <v>0</v>
      </c>
      <c r="AG87" s="526"/>
      <c r="AH87" s="526"/>
      <c r="AI87" s="526"/>
      <c r="AJ87" s="526"/>
      <c r="AK87" s="234"/>
      <c r="AL87" s="433"/>
      <c r="AM87" s="433"/>
      <c r="AN87" s="416" t="e">
        <f ca="1">_xll.EPMSaveComment(C87,,B87,C$19)</f>
        <v>#NAME?</v>
      </c>
      <c r="AO87" s="416" t="e">
        <f ca="1">_xll.EPMSaveComment(D87,,B87,D$19)</f>
        <v>#NAME?</v>
      </c>
      <c r="AP87" s="416" t="e">
        <f ca="1">_xll.EPMSaveComment(E87,,B87,E$19)</f>
        <v>#NAME?</v>
      </c>
      <c r="AQ87" s="416" t="e">
        <f ca="1">_xll.EPMSaveComment(F87,,$B87,F$19)</f>
        <v>#NAME?</v>
      </c>
      <c r="AR87" s="416" t="e">
        <f ca="1">_xll.EPMSaveComment(#REF!,,$B87,G$19)</f>
        <v>#NAME?</v>
      </c>
      <c r="AS87" s="416" t="e">
        <f ca="1">_xll.EPMSaveComment(H87,,$B87,H$19)</f>
        <v>#NAME?</v>
      </c>
      <c r="AT87" s="416" t="e">
        <f ca="1">_xll.EPMSaveData(I87,,I$19,$B87)</f>
        <v>#NAME?</v>
      </c>
      <c r="AU87" s="416" t="e">
        <f ca="1">_xll.EPMSaveComment(J87,,$B87,J$19)</f>
        <v>#NAME?</v>
      </c>
      <c r="AV87" s="416" t="e">
        <f ca="1">_xll.EPMSaveComment(K87,,$B87,K$19)</f>
        <v>#NAME?</v>
      </c>
      <c r="AW87" s="416" t="e">
        <f ca="1">_xll.EPMSaveComment(L87,,$B87,L$19)</f>
        <v>#NAME?</v>
      </c>
      <c r="AX87" s="416" t="e">
        <f ca="1">_xll.EPMSaveComment(M87,,$B87,M$19)</f>
        <v>#NAME?</v>
      </c>
      <c r="AY87" s="416" t="e">
        <f ca="1">_xll.EPMSaveComment(N87,,$B87,N$19)</f>
        <v>#NAME?</v>
      </c>
      <c r="AZ87" s="416" t="e">
        <f ca="1">_xll.EPMSaveData(O87,,O$19,$B87)</f>
        <v>#NAME?</v>
      </c>
      <c r="BA87" s="416" t="e">
        <f ca="1">_xll.EPMSaveComment(P87,,$B87,P$19)</f>
        <v>#NAME?</v>
      </c>
      <c r="BB87" s="416" t="e">
        <f ca="1">_xll.EPMSaveComment(Q87,,$B87,Q$19)</f>
        <v>#NAME?</v>
      </c>
      <c r="BC87" s="416" t="e">
        <f ca="1">_xll.EPMSaveComment(R87,,$B87,R$19)</f>
        <v>#NAME?</v>
      </c>
      <c r="BD87" s="416" t="e">
        <f ca="1">_xll.EPMSaveData(S87,,$F$19,$B87)</f>
        <v>#NAME?</v>
      </c>
      <c r="BE87" s="416" t="e">
        <f ca="1">_xll.EPMSaveComment(AK87,,B87,AF$15)</f>
        <v>#NAME?</v>
      </c>
      <c r="BF87" s="416"/>
      <c r="BG87" s="416"/>
      <c r="BH87" s="157" t="str">
        <f t="shared" ref="BH87:BH121" si="22">IF(OR(AND(W87&lt;&gt;0,OR(LEN(C87)&lt;8,D87="",F87="",L87="",N87="",O87="",P87="",Q87="",R87="",AK87="")),AND(G87="Si",H87="")),"Error",IF(BK87="","Ok","Error"))</f>
        <v>Ok</v>
      </c>
      <c r="BI87" s="347">
        <f t="shared" ref="BI87:BI122" si="23">IF(BH87="Error",1,0)</f>
        <v>0</v>
      </c>
      <c r="BK87" s="160" t="str">
        <f t="shared" ref="BK87:BK121" si="24">IF(W87&lt;&gt;0,IF(LEN(C87)&lt;8,"El banco es obligatorio",IF(D87="","El banco es nacional?",IF(F87="","El tipo de moneda es COP",IF(L87="","El Tipo de tasa es Fija?",IF(N87="","La Tasa de Interes nominal es Obligatoria",IF(O87="","La tasa Efectiva es Obligatoria",IF(P87="","La Garantia es Obligatoria",IF(Q87="","La fecha de desembolso es Obligatoria",IF(R87="","La fecha de Venciento es Obligatoria",IF(AK87="","La Destinacion es Obligatoria",IF(AND(G87="Si",H87="")," **Por favor indique la moneda Extrangera",IF(Y87&lt;=0,"Verifique el analisis de sensibilidad (Si se sube la tasa 1% debe ser positivo)",IF(VALUE(AB87)=0,"Verifique el valor razonable de la deuda",IF(AND(AC87=0,AF87=0),"Verifique los flujos por Riesgo de liquidez",IF((AC87+AF87)&lt;AB87,"Verifique el valor de los flujos frente a el valor razonable de la deuda",IF((AC87+AF87)&lt;W87,"Verifique el valor de los flujos frente a Total obligacion",IF(O87=0,"El cálculo de la tasa efectiva anual es obligatorio ",IF(S87=0,"El monto original de la deuda es obligatorio ",IF(Z87&gt;=0,"Verifique el analisis de sensibilidad (Si se baja la tasa 1% el efecto en los gastos debe ser negativo)",""))))))))))))))))))),"")</f>
        <v/>
      </c>
    </row>
    <row r="88" spans="1:63">
      <c r="A88" s="179"/>
      <c r="B88" s="580" t="s">
        <v>309</v>
      </c>
      <c r="C88" s="479"/>
      <c r="D88" s="224"/>
      <c r="E88" s="97" t="str">
        <f t="shared" si="14"/>
        <v/>
      </c>
      <c r="F88" s="183"/>
      <c r="G88" s="97" t="str">
        <f t="shared" si="17"/>
        <v/>
      </c>
      <c r="H88" s="307"/>
      <c r="I88" s="182"/>
      <c r="J88" s="184"/>
      <c r="K88" s="110" t="str">
        <f t="shared" si="15"/>
        <v/>
      </c>
      <c r="L88" s="184"/>
      <c r="M88" s="96" t="str">
        <f t="shared" si="16"/>
        <v/>
      </c>
      <c r="N88" s="184"/>
      <c r="O88" s="515"/>
      <c r="P88" s="184"/>
      <c r="Q88" s="185"/>
      <c r="R88" s="185"/>
      <c r="S88" s="271"/>
      <c r="T88" s="499" t="e">
        <f ca="1" xml:space="preserve"> _xll.EPMOlapMemberO("[FILA_NOTA].[PARENTH1].[09901068]","","09901068","","000;001;002")</f>
        <v>#NAME?</v>
      </c>
      <c r="U88" s="271"/>
      <c r="V88" s="271"/>
      <c r="W88" s="428">
        <f t="shared" si="18"/>
        <v>0</v>
      </c>
      <c r="X88" s="291"/>
      <c r="Y88" s="526"/>
      <c r="Z88" s="526"/>
      <c r="AA88" s="428">
        <f t="shared" si="19"/>
        <v>0</v>
      </c>
      <c r="AB88" s="526"/>
      <c r="AC88" s="428">
        <f t="shared" si="20"/>
        <v>0</v>
      </c>
      <c r="AD88" s="271"/>
      <c r="AE88" s="271"/>
      <c r="AF88" s="428">
        <f t="shared" si="21"/>
        <v>0</v>
      </c>
      <c r="AG88" s="526"/>
      <c r="AH88" s="526"/>
      <c r="AI88" s="526"/>
      <c r="AJ88" s="526"/>
      <c r="AK88" s="234"/>
      <c r="AL88" s="433"/>
      <c r="AM88" s="433"/>
      <c r="AN88" s="416" t="e">
        <f ca="1">_xll.EPMSaveComment(C88,,B88,C$19)</f>
        <v>#NAME?</v>
      </c>
      <c r="AO88" s="416" t="e">
        <f ca="1">_xll.EPMSaveComment(D88,,B88,D$19)</f>
        <v>#NAME?</v>
      </c>
      <c r="AP88" s="416" t="e">
        <f ca="1">_xll.EPMSaveComment(E88,,B88,E$19)</f>
        <v>#NAME?</v>
      </c>
      <c r="AQ88" s="416" t="e">
        <f ca="1">_xll.EPMSaveComment(F88,,$B88,F$19)</f>
        <v>#NAME?</v>
      </c>
      <c r="AR88" s="416" t="e">
        <f ca="1">_xll.EPMSaveComment(#REF!,,$B88,G$19)</f>
        <v>#NAME?</v>
      </c>
      <c r="AS88" s="416" t="e">
        <f ca="1">_xll.EPMSaveComment(H88,,$B88,H$19)</f>
        <v>#NAME?</v>
      </c>
      <c r="AT88" s="416" t="e">
        <f ca="1">_xll.EPMSaveData(I88,,I$19,$B88)</f>
        <v>#NAME?</v>
      </c>
      <c r="AU88" s="416" t="e">
        <f ca="1">_xll.EPMSaveComment(J88,,$B88,J$19)</f>
        <v>#NAME?</v>
      </c>
      <c r="AV88" s="416" t="e">
        <f ca="1">_xll.EPMSaveComment(K88,,$B88,K$19)</f>
        <v>#NAME?</v>
      </c>
      <c r="AW88" s="416" t="e">
        <f ca="1">_xll.EPMSaveComment(L88,,$B88,L$19)</f>
        <v>#NAME?</v>
      </c>
      <c r="AX88" s="416" t="e">
        <f ca="1">_xll.EPMSaveComment(M88,,$B88,M$19)</f>
        <v>#NAME?</v>
      </c>
      <c r="AY88" s="416" t="e">
        <f ca="1">_xll.EPMSaveComment(N88,,$B88,N$19)</f>
        <v>#NAME?</v>
      </c>
      <c r="AZ88" s="416" t="e">
        <f ca="1">_xll.EPMSaveData(O88,,O$19,$B88)</f>
        <v>#NAME?</v>
      </c>
      <c r="BA88" s="416" t="e">
        <f ca="1">_xll.EPMSaveComment(P88,,$B88,P$19)</f>
        <v>#NAME?</v>
      </c>
      <c r="BB88" s="416" t="e">
        <f ca="1">_xll.EPMSaveComment(Q88,,$B88,Q$19)</f>
        <v>#NAME?</v>
      </c>
      <c r="BC88" s="416" t="e">
        <f ca="1">_xll.EPMSaveComment(R88,,$B88,R$19)</f>
        <v>#NAME?</v>
      </c>
      <c r="BD88" s="416" t="e">
        <f ca="1">_xll.EPMSaveData(S88,,$F$19,$B88)</f>
        <v>#NAME?</v>
      </c>
      <c r="BE88" s="416" t="e">
        <f ca="1">_xll.EPMSaveComment(AK88,,B88,AF$15)</f>
        <v>#NAME?</v>
      </c>
      <c r="BF88" s="416"/>
      <c r="BG88" s="416"/>
      <c r="BH88" s="157" t="str">
        <f t="shared" si="22"/>
        <v>Ok</v>
      </c>
      <c r="BI88" s="347">
        <f t="shared" si="23"/>
        <v>0</v>
      </c>
      <c r="BK88" s="160" t="str">
        <f t="shared" si="24"/>
        <v/>
      </c>
    </row>
    <row r="89" spans="1:63">
      <c r="A89" s="179"/>
      <c r="B89" s="580" t="s">
        <v>310</v>
      </c>
      <c r="C89" s="479"/>
      <c r="D89" s="224"/>
      <c r="E89" s="97" t="str">
        <f t="shared" si="14"/>
        <v/>
      </c>
      <c r="F89" s="183"/>
      <c r="G89" s="97" t="str">
        <f t="shared" si="17"/>
        <v/>
      </c>
      <c r="H89" s="307"/>
      <c r="I89" s="182"/>
      <c r="J89" s="184"/>
      <c r="K89" s="110" t="str">
        <f t="shared" si="15"/>
        <v/>
      </c>
      <c r="L89" s="184"/>
      <c r="M89" s="96" t="str">
        <f t="shared" si="16"/>
        <v/>
      </c>
      <c r="N89" s="184"/>
      <c r="O89" s="515"/>
      <c r="P89" s="184"/>
      <c r="Q89" s="185"/>
      <c r="R89" s="185"/>
      <c r="S89" s="271"/>
      <c r="T89" s="499" t="e">
        <f ca="1" xml:space="preserve"> _xll.EPMOlapMemberO("[FILA_NOTA].[PARENTH1].[09901069]","","09901069","","000;001;002")</f>
        <v>#NAME?</v>
      </c>
      <c r="U89" s="271"/>
      <c r="V89" s="271"/>
      <c r="W89" s="428">
        <f t="shared" si="18"/>
        <v>0</v>
      </c>
      <c r="X89" s="291"/>
      <c r="Y89" s="526"/>
      <c r="Z89" s="526"/>
      <c r="AA89" s="428">
        <f t="shared" si="19"/>
        <v>0</v>
      </c>
      <c r="AB89" s="526"/>
      <c r="AC89" s="428">
        <f t="shared" si="20"/>
        <v>0</v>
      </c>
      <c r="AD89" s="271"/>
      <c r="AE89" s="271"/>
      <c r="AF89" s="428">
        <f t="shared" si="21"/>
        <v>0</v>
      </c>
      <c r="AG89" s="526"/>
      <c r="AH89" s="526"/>
      <c r="AI89" s="526"/>
      <c r="AJ89" s="526"/>
      <c r="AK89" s="234"/>
      <c r="AL89" s="433"/>
      <c r="AM89" s="433"/>
      <c r="AN89" s="416" t="e">
        <f ca="1">_xll.EPMSaveComment(C89,,B89,C$19)</f>
        <v>#NAME?</v>
      </c>
      <c r="AO89" s="416" t="e">
        <f ca="1">_xll.EPMSaveComment(D89,,B89,D$19)</f>
        <v>#NAME?</v>
      </c>
      <c r="AP89" s="416" t="e">
        <f ca="1">_xll.EPMSaveComment(E89,,B89,E$19)</f>
        <v>#NAME?</v>
      </c>
      <c r="AQ89" s="416" t="e">
        <f ca="1">_xll.EPMSaveComment(F89,,$B89,F$19)</f>
        <v>#NAME?</v>
      </c>
      <c r="AR89" s="416" t="e">
        <f ca="1">_xll.EPMSaveComment(#REF!,,$B89,G$19)</f>
        <v>#NAME?</v>
      </c>
      <c r="AS89" s="416" t="e">
        <f ca="1">_xll.EPMSaveComment(H89,,$B89,H$19)</f>
        <v>#NAME?</v>
      </c>
      <c r="AT89" s="416" t="e">
        <f ca="1">_xll.EPMSaveData(I89,,I$19,$B89)</f>
        <v>#NAME?</v>
      </c>
      <c r="AU89" s="416" t="e">
        <f ca="1">_xll.EPMSaveComment(J89,,$B89,J$19)</f>
        <v>#NAME?</v>
      </c>
      <c r="AV89" s="416" t="e">
        <f ca="1">_xll.EPMSaveComment(K89,,$B89,K$19)</f>
        <v>#NAME?</v>
      </c>
      <c r="AW89" s="416" t="e">
        <f ca="1">_xll.EPMSaveComment(L89,,$B89,L$19)</f>
        <v>#NAME?</v>
      </c>
      <c r="AX89" s="416" t="e">
        <f ca="1">_xll.EPMSaveComment(M89,,$B89,M$19)</f>
        <v>#NAME?</v>
      </c>
      <c r="AY89" s="416" t="e">
        <f ca="1">_xll.EPMSaveComment(N89,,$B89,N$19)</f>
        <v>#NAME?</v>
      </c>
      <c r="AZ89" s="416" t="e">
        <f ca="1">_xll.EPMSaveData(O89,,O$19,$B89)</f>
        <v>#NAME?</v>
      </c>
      <c r="BA89" s="416" t="e">
        <f ca="1">_xll.EPMSaveComment(P89,,$B89,P$19)</f>
        <v>#NAME?</v>
      </c>
      <c r="BB89" s="416" t="e">
        <f ca="1">_xll.EPMSaveComment(Q89,,$B89,Q$19)</f>
        <v>#NAME?</v>
      </c>
      <c r="BC89" s="416" t="e">
        <f ca="1">_xll.EPMSaveComment(R89,,$B89,R$19)</f>
        <v>#NAME?</v>
      </c>
      <c r="BD89" s="416" t="e">
        <f ca="1">_xll.EPMSaveData(S89,,$F$19,$B89)</f>
        <v>#NAME?</v>
      </c>
      <c r="BE89" s="416" t="e">
        <f ca="1">_xll.EPMSaveComment(AK89,,B89,AF$15)</f>
        <v>#NAME?</v>
      </c>
      <c r="BF89" s="416"/>
      <c r="BG89" s="416"/>
      <c r="BH89" s="157" t="str">
        <f t="shared" si="22"/>
        <v>Ok</v>
      </c>
      <c r="BI89" s="347">
        <f t="shared" si="23"/>
        <v>0</v>
      </c>
      <c r="BK89" s="160" t="str">
        <f t="shared" si="24"/>
        <v/>
      </c>
    </row>
    <row r="90" spans="1:63">
      <c r="A90" s="179"/>
      <c r="B90" s="580" t="s">
        <v>311</v>
      </c>
      <c r="C90" s="479"/>
      <c r="D90" s="224"/>
      <c r="E90" s="97" t="str">
        <f t="shared" si="14"/>
        <v/>
      </c>
      <c r="F90" s="183"/>
      <c r="G90" s="97" t="str">
        <f t="shared" si="17"/>
        <v/>
      </c>
      <c r="H90" s="307"/>
      <c r="I90" s="182"/>
      <c r="J90" s="184"/>
      <c r="K90" s="110" t="str">
        <f t="shared" si="15"/>
        <v/>
      </c>
      <c r="L90" s="184"/>
      <c r="M90" s="96" t="str">
        <f t="shared" si="16"/>
        <v/>
      </c>
      <c r="N90" s="184"/>
      <c r="O90" s="515"/>
      <c r="P90" s="184"/>
      <c r="Q90" s="185"/>
      <c r="R90" s="185"/>
      <c r="S90" s="271"/>
      <c r="T90" s="499" t="e">
        <f ca="1" xml:space="preserve"> _xll.EPMOlapMemberO("[FILA_NOTA].[PARENTH1].[09901070]","","09901070","","000;001;002")</f>
        <v>#NAME?</v>
      </c>
      <c r="U90" s="271"/>
      <c r="V90" s="271"/>
      <c r="W90" s="428">
        <f t="shared" si="18"/>
        <v>0</v>
      </c>
      <c r="X90" s="291"/>
      <c r="Y90" s="526"/>
      <c r="Z90" s="526"/>
      <c r="AA90" s="428">
        <f t="shared" si="19"/>
        <v>0</v>
      </c>
      <c r="AB90" s="526"/>
      <c r="AC90" s="428">
        <f t="shared" si="20"/>
        <v>0</v>
      </c>
      <c r="AD90" s="271"/>
      <c r="AE90" s="271"/>
      <c r="AF90" s="428">
        <f t="shared" si="21"/>
        <v>0</v>
      </c>
      <c r="AG90" s="526"/>
      <c r="AH90" s="526"/>
      <c r="AI90" s="526"/>
      <c r="AJ90" s="526"/>
      <c r="AK90" s="234"/>
      <c r="AL90" s="433"/>
      <c r="AM90" s="433"/>
      <c r="AN90" s="416" t="e">
        <f ca="1">_xll.EPMSaveComment(C90,,B90,C$19)</f>
        <v>#NAME?</v>
      </c>
      <c r="AO90" s="416" t="e">
        <f ca="1">_xll.EPMSaveComment(D90,,B90,D$19)</f>
        <v>#NAME?</v>
      </c>
      <c r="AP90" s="416" t="e">
        <f ca="1">_xll.EPMSaveComment(E90,,B90,E$19)</f>
        <v>#NAME?</v>
      </c>
      <c r="AQ90" s="416" t="e">
        <f ca="1">_xll.EPMSaveComment(F90,,$B90,F$19)</f>
        <v>#NAME?</v>
      </c>
      <c r="AR90" s="416" t="e">
        <f ca="1">_xll.EPMSaveComment(#REF!,,$B90,G$19)</f>
        <v>#NAME?</v>
      </c>
      <c r="AS90" s="416" t="e">
        <f ca="1">_xll.EPMSaveComment(H90,,$B90,H$19)</f>
        <v>#NAME?</v>
      </c>
      <c r="AT90" s="416" t="e">
        <f ca="1">_xll.EPMSaveData(I90,,I$19,$B90)</f>
        <v>#NAME?</v>
      </c>
      <c r="AU90" s="416" t="e">
        <f ca="1">_xll.EPMSaveComment(J90,,$B90,J$19)</f>
        <v>#NAME?</v>
      </c>
      <c r="AV90" s="416" t="e">
        <f ca="1">_xll.EPMSaveComment(K90,,$B90,K$19)</f>
        <v>#NAME?</v>
      </c>
      <c r="AW90" s="416" t="e">
        <f ca="1">_xll.EPMSaveComment(L90,,$B90,L$19)</f>
        <v>#NAME?</v>
      </c>
      <c r="AX90" s="416" t="e">
        <f ca="1">_xll.EPMSaveComment(M90,,$B90,M$19)</f>
        <v>#NAME?</v>
      </c>
      <c r="AY90" s="416" t="e">
        <f ca="1">_xll.EPMSaveComment(N90,,$B90,N$19)</f>
        <v>#NAME?</v>
      </c>
      <c r="AZ90" s="416" t="e">
        <f ca="1">_xll.EPMSaveData(O90,,O$19,$B90)</f>
        <v>#NAME?</v>
      </c>
      <c r="BA90" s="416" t="e">
        <f ca="1">_xll.EPMSaveComment(P90,,$B90,P$19)</f>
        <v>#NAME?</v>
      </c>
      <c r="BB90" s="416" t="e">
        <f ca="1">_xll.EPMSaveComment(Q90,,$B90,Q$19)</f>
        <v>#NAME?</v>
      </c>
      <c r="BC90" s="416" t="e">
        <f ca="1">_xll.EPMSaveComment(R90,,$B90,R$19)</f>
        <v>#NAME?</v>
      </c>
      <c r="BD90" s="416" t="e">
        <f ca="1">_xll.EPMSaveData(S90,,$F$19,$B90)</f>
        <v>#NAME?</v>
      </c>
      <c r="BE90" s="416" t="e">
        <f ca="1">_xll.EPMSaveComment(AK90,,B90,AF$15)</f>
        <v>#NAME?</v>
      </c>
      <c r="BF90" s="416"/>
      <c r="BG90" s="416"/>
      <c r="BH90" s="157" t="str">
        <f t="shared" si="22"/>
        <v>Ok</v>
      </c>
      <c r="BI90" s="347">
        <f t="shared" si="23"/>
        <v>0</v>
      </c>
      <c r="BK90" s="160" t="str">
        <f t="shared" si="24"/>
        <v/>
      </c>
    </row>
    <row r="91" spans="1:63">
      <c r="A91" s="179"/>
      <c r="B91" s="580" t="s">
        <v>312</v>
      </c>
      <c r="C91" s="479"/>
      <c r="D91" s="224"/>
      <c r="E91" s="97" t="str">
        <f t="shared" si="14"/>
        <v/>
      </c>
      <c r="F91" s="183"/>
      <c r="G91" s="97" t="str">
        <f t="shared" si="17"/>
        <v/>
      </c>
      <c r="H91" s="307"/>
      <c r="I91" s="182"/>
      <c r="J91" s="184"/>
      <c r="K91" s="110" t="str">
        <f t="shared" si="15"/>
        <v/>
      </c>
      <c r="L91" s="184"/>
      <c r="M91" s="96" t="str">
        <f t="shared" si="16"/>
        <v/>
      </c>
      <c r="N91" s="184"/>
      <c r="O91" s="515"/>
      <c r="P91" s="184"/>
      <c r="Q91" s="185"/>
      <c r="R91" s="185"/>
      <c r="S91" s="271"/>
      <c r="T91" s="499" t="e">
        <f ca="1" xml:space="preserve"> _xll.EPMOlapMemberO("[FILA_NOTA].[PARENTH1].[09901071]","","09901071","","000;001;002")</f>
        <v>#NAME?</v>
      </c>
      <c r="U91" s="271"/>
      <c r="V91" s="271"/>
      <c r="W91" s="428">
        <f t="shared" si="18"/>
        <v>0</v>
      </c>
      <c r="X91" s="291"/>
      <c r="Y91" s="526"/>
      <c r="Z91" s="526"/>
      <c r="AA91" s="428">
        <f t="shared" si="19"/>
        <v>0</v>
      </c>
      <c r="AB91" s="526"/>
      <c r="AC91" s="428">
        <f t="shared" si="20"/>
        <v>0</v>
      </c>
      <c r="AD91" s="271"/>
      <c r="AE91" s="271"/>
      <c r="AF91" s="428">
        <f t="shared" si="21"/>
        <v>0</v>
      </c>
      <c r="AG91" s="526"/>
      <c r="AH91" s="526"/>
      <c r="AI91" s="526"/>
      <c r="AJ91" s="526"/>
      <c r="AK91" s="234"/>
      <c r="AL91" s="433"/>
      <c r="AM91" s="433"/>
      <c r="AN91" s="416" t="e">
        <f ca="1">_xll.EPMSaveComment(C91,,B91,C$19)</f>
        <v>#NAME?</v>
      </c>
      <c r="AO91" s="416" t="e">
        <f ca="1">_xll.EPMSaveComment(D91,,B91,D$19)</f>
        <v>#NAME?</v>
      </c>
      <c r="AP91" s="416" t="e">
        <f ca="1">_xll.EPMSaveComment(E91,,B91,E$19)</f>
        <v>#NAME?</v>
      </c>
      <c r="AQ91" s="416" t="e">
        <f ca="1">_xll.EPMSaveComment(F91,,$B91,F$19)</f>
        <v>#NAME?</v>
      </c>
      <c r="AR91" s="416" t="e">
        <f ca="1">_xll.EPMSaveComment(#REF!,,$B91,G$19)</f>
        <v>#NAME?</v>
      </c>
      <c r="AS91" s="416" t="e">
        <f ca="1">_xll.EPMSaveComment(H91,,$B91,H$19)</f>
        <v>#NAME?</v>
      </c>
      <c r="AT91" s="416" t="e">
        <f ca="1">_xll.EPMSaveData(I91,,I$19,$B91)</f>
        <v>#NAME?</v>
      </c>
      <c r="AU91" s="416" t="e">
        <f ca="1">_xll.EPMSaveComment(J91,,$B91,J$19)</f>
        <v>#NAME?</v>
      </c>
      <c r="AV91" s="416" t="e">
        <f ca="1">_xll.EPMSaveComment(K91,,$B91,K$19)</f>
        <v>#NAME?</v>
      </c>
      <c r="AW91" s="416" t="e">
        <f ca="1">_xll.EPMSaveComment(L91,,$B91,L$19)</f>
        <v>#NAME?</v>
      </c>
      <c r="AX91" s="416" t="e">
        <f ca="1">_xll.EPMSaveComment(M91,,$B91,M$19)</f>
        <v>#NAME?</v>
      </c>
      <c r="AY91" s="416" t="e">
        <f ca="1">_xll.EPMSaveComment(N91,,$B91,N$19)</f>
        <v>#NAME?</v>
      </c>
      <c r="AZ91" s="416" t="e">
        <f ca="1">_xll.EPMSaveData(O91,,O$19,$B91)</f>
        <v>#NAME?</v>
      </c>
      <c r="BA91" s="416" t="e">
        <f ca="1">_xll.EPMSaveComment(P91,,$B91,P$19)</f>
        <v>#NAME?</v>
      </c>
      <c r="BB91" s="416" t="e">
        <f ca="1">_xll.EPMSaveComment(Q91,,$B91,Q$19)</f>
        <v>#NAME?</v>
      </c>
      <c r="BC91" s="416" t="e">
        <f ca="1">_xll.EPMSaveComment(R91,,$B91,R$19)</f>
        <v>#NAME?</v>
      </c>
      <c r="BD91" s="416" t="e">
        <f ca="1">_xll.EPMSaveData(S91,,$F$19,$B91)</f>
        <v>#NAME?</v>
      </c>
      <c r="BE91" s="416" t="e">
        <f ca="1">_xll.EPMSaveComment(AK91,,B91,AF$15)</f>
        <v>#NAME?</v>
      </c>
      <c r="BF91" s="416"/>
      <c r="BG91" s="416"/>
      <c r="BH91" s="157" t="str">
        <f t="shared" si="22"/>
        <v>Ok</v>
      </c>
      <c r="BI91" s="347">
        <f t="shared" si="23"/>
        <v>0</v>
      </c>
      <c r="BK91" s="160" t="str">
        <f t="shared" si="24"/>
        <v/>
      </c>
    </row>
    <row r="92" spans="1:63">
      <c r="A92" s="179"/>
      <c r="B92" s="580" t="s">
        <v>313</v>
      </c>
      <c r="C92" s="479"/>
      <c r="D92" s="224"/>
      <c r="E92" s="97" t="str">
        <f t="shared" si="14"/>
        <v/>
      </c>
      <c r="F92" s="183"/>
      <c r="G92" s="97" t="str">
        <f t="shared" si="17"/>
        <v/>
      </c>
      <c r="H92" s="307"/>
      <c r="I92" s="182"/>
      <c r="J92" s="184"/>
      <c r="K92" s="110" t="str">
        <f t="shared" si="15"/>
        <v/>
      </c>
      <c r="L92" s="184"/>
      <c r="M92" s="96" t="str">
        <f t="shared" si="16"/>
        <v/>
      </c>
      <c r="N92" s="184"/>
      <c r="O92" s="515"/>
      <c r="P92" s="184"/>
      <c r="Q92" s="185"/>
      <c r="R92" s="185"/>
      <c r="S92" s="271"/>
      <c r="T92" s="499" t="e">
        <f ca="1" xml:space="preserve"> _xll.EPMOlapMemberO("[FILA_NOTA].[PARENTH1].[09901072]","","09901072","","000;001;002")</f>
        <v>#NAME?</v>
      </c>
      <c r="U92" s="271"/>
      <c r="V92" s="271"/>
      <c r="W92" s="428">
        <f t="shared" si="18"/>
        <v>0</v>
      </c>
      <c r="X92" s="291"/>
      <c r="Y92" s="526"/>
      <c r="Z92" s="526"/>
      <c r="AA92" s="428">
        <f t="shared" si="19"/>
        <v>0</v>
      </c>
      <c r="AB92" s="526"/>
      <c r="AC92" s="428">
        <f t="shared" si="20"/>
        <v>0</v>
      </c>
      <c r="AD92" s="271"/>
      <c r="AE92" s="271"/>
      <c r="AF92" s="428">
        <f t="shared" si="21"/>
        <v>0</v>
      </c>
      <c r="AG92" s="526"/>
      <c r="AH92" s="526"/>
      <c r="AI92" s="526"/>
      <c r="AJ92" s="526"/>
      <c r="AK92" s="234"/>
      <c r="AL92" s="433"/>
      <c r="AM92" s="433"/>
      <c r="AN92" s="416" t="e">
        <f ca="1">_xll.EPMSaveComment(C92,,B92,C$19)</f>
        <v>#NAME?</v>
      </c>
      <c r="AO92" s="416" t="e">
        <f ca="1">_xll.EPMSaveComment(D92,,B92,D$19)</f>
        <v>#NAME?</v>
      </c>
      <c r="AP92" s="416" t="e">
        <f ca="1">_xll.EPMSaveComment(E92,,B92,E$19)</f>
        <v>#NAME?</v>
      </c>
      <c r="AQ92" s="416" t="e">
        <f ca="1">_xll.EPMSaveComment(F92,,$B92,F$19)</f>
        <v>#NAME?</v>
      </c>
      <c r="AR92" s="416" t="e">
        <f ca="1">_xll.EPMSaveComment(#REF!,,$B92,G$19)</f>
        <v>#NAME?</v>
      </c>
      <c r="AS92" s="416" t="e">
        <f ca="1">_xll.EPMSaveComment(H92,,$B92,H$19)</f>
        <v>#NAME?</v>
      </c>
      <c r="AT92" s="416" t="e">
        <f ca="1">_xll.EPMSaveData(I92,,I$19,$B92)</f>
        <v>#NAME?</v>
      </c>
      <c r="AU92" s="416" t="e">
        <f ca="1">_xll.EPMSaveComment(J92,,$B92,J$19)</f>
        <v>#NAME?</v>
      </c>
      <c r="AV92" s="416" t="e">
        <f ca="1">_xll.EPMSaveComment(K92,,$B92,K$19)</f>
        <v>#NAME?</v>
      </c>
      <c r="AW92" s="416" t="e">
        <f ca="1">_xll.EPMSaveComment(L92,,$B92,L$19)</f>
        <v>#NAME?</v>
      </c>
      <c r="AX92" s="416" t="e">
        <f ca="1">_xll.EPMSaveComment(M92,,$B92,M$19)</f>
        <v>#NAME?</v>
      </c>
      <c r="AY92" s="416" t="e">
        <f ca="1">_xll.EPMSaveComment(N92,,$B92,N$19)</f>
        <v>#NAME?</v>
      </c>
      <c r="AZ92" s="416" t="e">
        <f ca="1">_xll.EPMSaveData(O92,,O$19,$B92)</f>
        <v>#NAME?</v>
      </c>
      <c r="BA92" s="416" t="e">
        <f ca="1">_xll.EPMSaveComment(P92,,$B92,P$19)</f>
        <v>#NAME?</v>
      </c>
      <c r="BB92" s="416" t="e">
        <f ca="1">_xll.EPMSaveComment(Q92,,$B92,Q$19)</f>
        <v>#NAME?</v>
      </c>
      <c r="BC92" s="416" t="e">
        <f ca="1">_xll.EPMSaveComment(R92,,$B92,R$19)</f>
        <v>#NAME?</v>
      </c>
      <c r="BD92" s="416" t="e">
        <f ca="1">_xll.EPMSaveData(S92,,$F$19,$B92)</f>
        <v>#NAME?</v>
      </c>
      <c r="BE92" s="416" t="e">
        <f ca="1">_xll.EPMSaveComment(AK92,,B92,AF$15)</f>
        <v>#NAME?</v>
      </c>
      <c r="BF92" s="416"/>
      <c r="BG92" s="416"/>
      <c r="BH92" s="157" t="str">
        <f t="shared" si="22"/>
        <v>Ok</v>
      </c>
      <c r="BI92" s="347">
        <f t="shared" si="23"/>
        <v>0</v>
      </c>
      <c r="BK92" s="160" t="str">
        <f t="shared" si="24"/>
        <v/>
      </c>
    </row>
    <row r="93" spans="1:63">
      <c r="A93" s="179"/>
      <c r="B93" s="580" t="s">
        <v>314</v>
      </c>
      <c r="C93" s="479"/>
      <c r="D93" s="224"/>
      <c r="E93" s="97" t="str">
        <f t="shared" si="14"/>
        <v/>
      </c>
      <c r="F93" s="183"/>
      <c r="G93" s="97" t="str">
        <f t="shared" si="17"/>
        <v/>
      </c>
      <c r="H93" s="307"/>
      <c r="I93" s="182"/>
      <c r="J93" s="184"/>
      <c r="K93" s="110" t="str">
        <f t="shared" si="15"/>
        <v/>
      </c>
      <c r="L93" s="184"/>
      <c r="M93" s="96" t="str">
        <f t="shared" si="16"/>
        <v/>
      </c>
      <c r="N93" s="184"/>
      <c r="O93" s="515"/>
      <c r="P93" s="184"/>
      <c r="Q93" s="185"/>
      <c r="R93" s="185"/>
      <c r="S93" s="271"/>
      <c r="T93" s="499" t="e">
        <f ca="1" xml:space="preserve"> _xll.EPMOlapMemberO("[FILA_NOTA].[PARENTH1].[09901073]","","09901073","","000;001;002")</f>
        <v>#NAME?</v>
      </c>
      <c r="U93" s="271"/>
      <c r="V93" s="271"/>
      <c r="W93" s="428">
        <f t="shared" si="18"/>
        <v>0</v>
      </c>
      <c r="X93" s="291"/>
      <c r="Y93" s="526"/>
      <c r="Z93" s="526"/>
      <c r="AA93" s="428">
        <f t="shared" si="19"/>
        <v>0</v>
      </c>
      <c r="AB93" s="526"/>
      <c r="AC93" s="428">
        <f t="shared" si="20"/>
        <v>0</v>
      </c>
      <c r="AD93" s="271"/>
      <c r="AE93" s="271"/>
      <c r="AF93" s="428">
        <f t="shared" si="21"/>
        <v>0</v>
      </c>
      <c r="AG93" s="526"/>
      <c r="AH93" s="526"/>
      <c r="AI93" s="526"/>
      <c r="AJ93" s="526"/>
      <c r="AK93" s="234"/>
      <c r="AL93" s="433"/>
      <c r="AM93" s="433"/>
      <c r="AN93" s="416" t="e">
        <f ca="1">_xll.EPMSaveComment(C93,,B93,C$19)</f>
        <v>#NAME?</v>
      </c>
      <c r="AO93" s="416" t="e">
        <f ca="1">_xll.EPMSaveComment(D93,,B93,D$19)</f>
        <v>#NAME?</v>
      </c>
      <c r="AP93" s="416" t="e">
        <f ca="1">_xll.EPMSaveComment(E93,,B93,E$19)</f>
        <v>#NAME?</v>
      </c>
      <c r="AQ93" s="416" t="e">
        <f ca="1">_xll.EPMSaveComment(F93,,$B93,F$19)</f>
        <v>#NAME?</v>
      </c>
      <c r="AR93" s="416" t="e">
        <f ca="1">_xll.EPMSaveComment(#REF!,,$B93,G$19)</f>
        <v>#NAME?</v>
      </c>
      <c r="AS93" s="416" t="e">
        <f ca="1">_xll.EPMSaveComment(H93,,$B93,H$19)</f>
        <v>#NAME?</v>
      </c>
      <c r="AT93" s="416" t="e">
        <f ca="1">_xll.EPMSaveData(I93,,I$19,$B93)</f>
        <v>#NAME?</v>
      </c>
      <c r="AU93" s="416" t="e">
        <f ca="1">_xll.EPMSaveComment(J93,,$B93,J$19)</f>
        <v>#NAME?</v>
      </c>
      <c r="AV93" s="416" t="e">
        <f ca="1">_xll.EPMSaveComment(K93,,$B93,K$19)</f>
        <v>#NAME?</v>
      </c>
      <c r="AW93" s="416" t="e">
        <f ca="1">_xll.EPMSaveComment(L93,,$B93,L$19)</f>
        <v>#NAME?</v>
      </c>
      <c r="AX93" s="416" t="e">
        <f ca="1">_xll.EPMSaveComment(M93,,$B93,M$19)</f>
        <v>#NAME?</v>
      </c>
      <c r="AY93" s="416" t="e">
        <f ca="1">_xll.EPMSaveComment(N93,,$B93,N$19)</f>
        <v>#NAME?</v>
      </c>
      <c r="AZ93" s="416" t="e">
        <f ca="1">_xll.EPMSaveData(O93,,O$19,$B93)</f>
        <v>#NAME?</v>
      </c>
      <c r="BA93" s="416" t="e">
        <f ca="1">_xll.EPMSaveComment(P93,,$B93,P$19)</f>
        <v>#NAME?</v>
      </c>
      <c r="BB93" s="416" t="e">
        <f ca="1">_xll.EPMSaveComment(Q93,,$B93,Q$19)</f>
        <v>#NAME?</v>
      </c>
      <c r="BC93" s="416" t="e">
        <f ca="1">_xll.EPMSaveComment(R93,,$B93,R$19)</f>
        <v>#NAME?</v>
      </c>
      <c r="BD93" s="416" t="e">
        <f ca="1">_xll.EPMSaveData(S93,,$F$19,$B93)</f>
        <v>#NAME?</v>
      </c>
      <c r="BE93" s="416" t="e">
        <f ca="1">_xll.EPMSaveComment(AK93,,B93,AF$15)</f>
        <v>#NAME?</v>
      </c>
      <c r="BF93" s="416"/>
      <c r="BG93" s="416"/>
      <c r="BH93" s="157" t="str">
        <f t="shared" si="22"/>
        <v>Ok</v>
      </c>
      <c r="BI93" s="347">
        <f t="shared" si="23"/>
        <v>0</v>
      </c>
      <c r="BK93" s="160" t="str">
        <f t="shared" si="24"/>
        <v/>
      </c>
    </row>
    <row r="94" spans="1:63">
      <c r="A94" s="179"/>
      <c r="B94" s="580" t="s">
        <v>315</v>
      </c>
      <c r="C94" s="479"/>
      <c r="D94" s="224"/>
      <c r="E94" s="97" t="str">
        <f t="shared" si="14"/>
        <v/>
      </c>
      <c r="F94" s="183"/>
      <c r="G94" s="97" t="str">
        <f t="shared" si="17"/>
        <v/>
      </c>
      <c r="H94" s="307"/>
      <c r="I94" s="182"/>
      <c r="J94" s="184"/>
      <c r="K94" s="110" t="str">
        <f t="shared" si="15"/>
        <v/>
      </c>
      <c r="L94" s="184"/>
      <c r="M94" s="96" t="str">
        <f t="shared" si="16"/>
        <v/>
      </c>
      <c r="N94" s="184"/>
      <c r="O94" s="515"/>
      <c r="P94" s="184"/>
      <c r="Q94" s="185"/>
      <c r="R94" s="185"/>
      <c r="S94" s="271"/>
      <c r="T94" s="499" t="e">
        <f ca="1" xml:space="preserve"> _xll.EPMOlapMemberO("[FILA_NOTA].[PARENTH1].[09901074]","","09901074","","000;001;002")</f>
        <v>#NAME?</v>
      </c>
      <c r="U94" s="271"/>
      <c r="V94" s="271"/>
      <c r="W94" s="428">
        <f t="shared" si="18"/>
        <v>0</v>
      </c>
      <c r="X94" s="291"/>
      <c r="Y94" s="526"/>
      <c r="Z94" s="526"/>
      <c r="AA94" s="428">
        <f t="shared" si="19"/>
        <v>0</v>
      </c>
      <c r="AB94" s="526"/>
      <c r="AC94" s="428">
        <f t="shared" si="20"/>
        <v>0</v>
      </c>
      <c r="AD94" s="271"/>
      <c r="AE94" s="271"/>
      <c r="AF94" s="428">
        <f t="shared" si="21"/>
        <v>0</v>
      </c>
      <c r="AG94" s="526"/>
      <c r="AH94" s="526"/>
      <c r="AI94" s="526"/>
      <c r="AJ94" s="526"/>
      <c r="AK94" s="234"/>
      <c r="AL94" s="433"/>
      <c r="AM94" s="433"/>
      <c r="AN94" s="416" t="e">
        <f ca="1">_xll.EPMSaveComment(C94,,B94,C$19)</f>
        <v>#NAME?</v>
      </c>
      <c r="AO94" s="416" t="e">
        <f ca="1">_xll.EPMSaveComment(D94,,B94,D$19)</f>
        <v>#NAME?</v>
      </c>
      <c r="AP94" s="416" t="e">
        <f ca="1">_xll.EPMSaveComment(E94,,B94,E$19)</f>
        <v>#NAME?</v>
      </c>
      <c r="AQ94" s="416" t="e">
        <f ca="1">_xll.EPMSaveComment(F94,,$B94,F$19)</f>
        <v>#NAME?</v>
      </c>
      <c r="AR94" s="416" t="e">
        <f ca="1">_xll.EPMSaveComment(#REF!,,$B94,G$19)</f>
        <v>#NAME?</v>
      </c>
      <c r="AS94" s="416" t="e">
        <f ca="1">_xll.EPMSaveComment(H94,,$B94,H$19)</f>
        <v>#NAME?</v>
      </c>
      <c r="AT94" s="416" t="e">
        <f ca="1">_xll.EPMSaveData(I94,,I$19,$B94)</f>
        <v>#NAME?</v>
      </c>
      <c r="AU94" s="416" t="e">
        <f ca="1">_xll.EPMSaveComment(J94,,$B94,J$19)</f>
        <v>#NAME?</v>
      </c>
      <c r="AV94" s="416" t="e">
        <f ca="1">_xll.EPMSaveComment(K94,,$B94,K$19)</f>
        <v>#NAME?</v>
      </c>
      <c r="AW94" s="416" t="e">
        <f ca="1">_xll.EPMSaveComment(L94,,$B94,L$19)</f>
        <v>#NAME?</v>
      </c>
      <c r="AX94" s="416" t="e">
        <f ca="1">_xll.EPMSaveComment(M94,,$B94,M$19)</f>
        <v>#NAME?</v>
      </c>
      <c r="AY94" s="416" t="e">
        <f ca="1">_xll.EPMSaveComment(N94,,$B94,N$19)</f>
        <v>#NAME?</v>
      </c>
      <c r="AZ94" s="416" t="e">
        <f ca="1">_xll.EPMSaveData(O94,,O$19,$B94)</f>
        <v>#NAME?</v>
      </c>
      <c r="BA94" s="416" t="e">
        <f ca="1">_xll.EPMSaveComment(P94,,$B94,P$19)</f>
        <v>#NAME?</v>
      </c>
      <c r="BB94" s="416" t="e">
        <f ca="1">_xll.EPMSaveComment(Q94,,$B94,Q$19)</f>
        <v>#NAME?</v>
      </c>
      <c r="BC94" s="416" t="e">
        <f ca="1">_xll.EPMSaveComment(R94,,$B94,R$19)</f>
        <v>#NAME?</v>
      </c>
      <c r="BD94" s="416" t="e">
        <f ca="1">_xll.EPMSaveData(S94,,$F$19,$B94)</f>
        <v>#NAME?</v>
      </c>
      <c r="BE94" s="416" t="e">
        <f ca="1">_xll.EPMSaveComment(AK94,,B94,AF$15)</f>
        <v>#NAME?</v>
      </c>
      <c r="BF94" s="416"/>
      <c r="BG94" s="416"/>
      <c r="BH94" s="157" t="str">
        <f t="shared" si="22"/>
        <v>Ok</v>
      </c>
      <c r="BI94" s="347">
        <f t="shared" si="23"/>
        <v>0</v>
      </c>
      <c r="BK94" s="160" t="str">
        <f t="shared" si="24"/>
        <v/>
      </c>
    </row>
    <row r="95" spans="1:63">
      <c r="A95" s="179"/>
      <c r="B95" s="580" t="s">
        <v>316</v>
      </c>
      <c r="C95" s="479"/>
      <c r="D95" s="224"/>
      <c r="E95" s="97" t="str">
        <f t="shared" si="14"/>
        <v/>
      </c>
      <c r="F95" s="183"/>
      <c r="G95" s="97" t="str">
        <f t="shared" si="17"/>
        <v/>
      </c>
      <c r="H95" s="307"/>
      <c r="I95" s="182"/>
      <c r="J95" s="184"/>
      <c r="K95" s="110" t="str">
        <f t="shared" si="15"/>
        <v/>
      </c>
      <c r="L95" s="184"/>
      <c r="M95" s="96" t="str">
        <f t="shared" si="16"/>
        <v/>
      </c>
      <c r="N95" s="184"/>
      <c r="O95" s="515"/>
      <c r="P95" s="184"/>
      <c r="Q95" s="185"/>
      <c r="R95" s="185"/>
      <c r="S95" s="271"/>
      <c r="T95" s="499" t="e">
        <f ca="1" xml:space="preserve"> _xll.EPMOlapMemberO("[FILA_NOTA].[PARENTH1].[09901075]","","09901075","","000;001;002")</f>
        <v>#NAME?</v>
      </c>
      <c r="U95" s="271"/>
      <c r="V95" s="271"/>
      <c r="W95" s="428">
        <f t="shared" si="18"/>
        <v>0</v>
      </c>
      <c r="X95" s="291"/>
      <c r="Y95" s="526"/>
      <c r="Z95" s="526"/>
      <c r="AA95" s="428">
        <f t="shared" si="19"/>
        <v>0</v>
      </c>
      <c r="AB95" s="526"/>
      <c r="AC95" s="428">
        <f t="shared" si="20"/>
        <v>0</v>
      </c>
      <c r="AD95" s="271"/>
      <c r="AE95" s="271"/>
      <c r="AF95" s="428">
        <f t="shared" si="21"/>
        <v>0</v>
      </c>
      <c r="AG95" s="526"/>
      <c r="AH95" s="526"/>
      <c r="AI95" s="526"/>
      <c r="AJ95" s="526"/>
      <c r="AK95" s="234"/>
      <c r="AL95" s="433"/>
      <c r="AM95" s="433"/>
      <c r="AN95" s="416" t="e">
        <f ca="1">_xll.EPMSaveComment(C95,,B95,C$19)</f>
        <v>#NAME?</v>
      </c>
      <c r="AO95" s="416" t="e">
        <f ca="1">_xll.EPMSaveComment(D95,,B95,D$19)</f>
        <v>#NAME?</v>
      </c>
      <c r="AP95" s="416" t="e">
        <f ca="1">_xll.EPMSaveComment(E95,,B95,E$19)</f>
        <v>#NAME?</v>
      </c>
      <c r="AQ95" s="416" t="e">
        <f ca="1">_xll.EPMSaveComment(F95,,$B95,F$19)</f>
        <v>#NAME?</v>
      </c>
      <c r="AR95" s="416" t="e">
        <f ca="1">_xll.EPMSaveComment(#REF!,,$B95,G$19)</f>
        <v>#NAME?</v>
      </c>
      <c r="AS95" s="416" t="e">
        <f ca="1">_xll.EPMSaveComment(H95,,$B95,H$19)</f>
        <v>#NAME?</v>
      </c>
      <c r="AT95" s="416" t="e">
        <f ca="1">_xll.EPMSaveData(I95,,I$19,$B95)</f>
        <v>#NAME?</v>
      </c>
      <c r="AU95" s="416" t="e">
        <f ca="1">_xll.EPMSaveComment(J95,,$B95,J$19)</f>
        <v>#NAME?</v>
      </c>
      <c r="AV95" s="416" t="e">
        <f ca="1">_xll.EPMSaveComment(K95,,$B95,K$19)</f>
        <v>#NAME?</v>
      </c>
      <c r="AW95" s="416" t="e">
        <f ca="1">_xll.EPMSaveComment(L95,,$B95,L$19)</f>
        <v>#NAME?</v>
      </c>
      <c r="AX95" s="416" t="e">
        <f ca="1">_xll.EPMSaveComment(M95,,$B95,M$19)</f>
        <v>#NAME?</v>
      </c>
      <c r="AY95" s="416" t="e">
        <f ca="1">_xll.EPMSaveComment(N95,,$B95,N$19)</f>
        <v>#NAME?</v>
      </c>
      <c r="AZ95" s="416" t="e">
        <f ca="1">_xll.EPMSaveData(O95,,O$19,$B95)</f>
        <v>#NAME?</v>
      </c>
      <c r="BA95" s="416" t="e">
        <f ca="1">_xll.EPMSaveComment(P95,,$B95,P$19)</f>
        <v>#NAME?</v>
      </c>
      <c r="BB95" s="416" t="e">
        <f ca="1">_xll.EPMSaveComment(Q95,,$B95,Q$19)</f>
        <v>#NAME?</v>
      </c>
      <c r="BC95" s="416" t="e">
        <f ca="1">_xll.EPMSaveComment(R95,,$B95,R$19)</f>
        <v>#NAME?</v>
      </c>
      <c r="BD95" s="416" t="e">
        <f ca="1">_xll.EPMSaveData(S95,,$F$19,$B95)</f>
        <v>#NAME?</v>
      </c>
      <c r="BE95" s="416" t="e">
        <f ca="1">_xll.EPMSaveComment(AK95,,B95,AF$15)</f>
        <v>#NAME?</v>
      </c>
      <c r="BF95" s="416"/>
      <c r="BG95" s="416"/>
      <c r="BH95" s="157" t="str">
        <f t="shared" si="22"/>
        <v>Ok</v>
      </c>
      <c r="BI95" s="347">
        <f t="shared" si="23"/>
        <v>0</v>
      </c>
      <c r="BK95" s="160" t="str">
        <f t="shared" si="24"/>
        <v/>
      </c>
    </row>
    <row r="96" spans="1:63">
      <c r="A96" s="179"/>
      <c r="B96" s="580" t="s">
        <v>317</v>
      </c>
      <c r="C96" s="479"/>
      <c r="D96" s="224"/>
      <c r="E96" s="97" t="str">
        <f t="shared" si="14"/>
        <v/>
      </c>
      <c r="F96" s="183"/>
      <c r="G96" s="97" t="str">
        <f t="shared" si="17"/>
        <v/>
      </c>
      <c r="H96" s="307"/>
      <c r="I96" s="182"/>
      <c r="J96" s="184"/>
      <c r="K96" s="110" t="str">
        <f t="shared" si="15"/>
        <v/>
      </c>
      <c r="L96" s="184"/>
      <c r="M96" s="96" t="str">
        <f t="shared" si="16"/>
        <v/>
      </c>
      <c r="N96" s="184"/>
      <c r="O96" s="515"/>
      <c r="P96" s="184"/>
      <c r="Q96" s="185"/>
      <c r="R96" s="185"/>
      <c r="S96" s="271"/>
      <c r="T96" s="499" t="e">
        <f ca="1" xml:space="preserve"> _xll.EPMOlapMemberO("[FILA_NOTA].[PARENTH1].[09901076]","","09901076","","000;001;002")</f>
        <v>#NAME?</v>
      </c>
      <c r="U96" s="271"/>
      <c r="V96" s="271"/>
      <c r="W96" s="428">
        <f t="shared" si="18"/>
        <v>0</v>
      </c>
      <c r="X96" s="291"/>
      <c r="Y96" s="526"/>
      <c r="Z96" s="526"/>
      <c r="AA96" s="428">
        <f t="shared" si="19"/>
        <v>0</v>
      </c>
      <c r="AB96" s="526"/>
      <c r="AC96" s="428">
        <f t="shared" si="20"/>
        <v>0</v>
      </c>
      <c r="AD96" s="271"/>
      <c r="AE96" s="271"/>
      <c r="AF96" s="428">
        <f t="shared" si="21"/>
        <v>0</v>
      </c>
      <c r="AG96" s="526"/>
      <c r="AH96" s="526"/>
      <c r="AI96" s="526"/>
      <c r="AJ96" s="526"/>
      <c r="AK96" s="234"/>
      <c r="AL96" s="433"/>
      <c r="AM96" s="433"/>
      <c r="AN96" s="416" t="e">
        <f ca="1">_xll.EPMSaveComment(C96,,B96,C$19)</f>
        <v>#NAME?</v>
      </c>
      <c r="AO96" s="416" t="e">
        <f ca="1">_xll.EPMSaveComment(D96,,B96,D$19)</f>
        <v>#NAME?</v>
      </c>
      <c r="AP96" s="416" t="e">
        <f ca="1">_xll.EPMSaveComment(E96,,B96,E$19)</f>
        <v>#NAME?</v>
      </c>
      <c r="AQ96" s="416" t="e">
        <f ca="1">_xll.EPMSaveComment(F96,,$B96,F$19)</f>
        <v>#NAME?</v>
      </c>
      <c r="AR96" s="416" t="e">
        <f ca="1">_xll.EPMSaveComment(#REF!,,$B96,G$19)</f>
        <v>#NAME?</v>
      </c>
      <c r="AS96" s="416" t="e">
        <f ca="1">_xll.EPMSaveComment(H96,,$B96,H$19)</f>
        <v>#NAME?</v>
      </c>
      <c r="AT96" s="416" t="e">
        <f ca="1">_xll.EPMSaveData(I96,,I$19,$B96)</f>
        <v>#NAME?</v>
      </c>
      <c r="AU96" s="416" t="e">
        <f ca="1">_xll.EPMSaveComment(J96,,$B96,J$19)</f>
        <v>#NAME?</v>
      </c>
      <c r="AV96" s="416" t="e">
        <f ca="1">_xll.EPMSaveComment(K96,,$B96,K$19)</f>
        <v>#NAME?</v>
      </c>
      <c r="AW96" s="416" t="e">
        <f ca="1">_xll.EPMSaveComment(L96,,$B96,L$19)</f>
        <v>#NAME?</v>
      </c>
      <c r="AX96" s="416" t="e">
        <f ca="1">_xll.EPMSaveComment(M96,,$B96,M$19)</f>
        <v>#NAME?</v>
      </c>
      <c r="AY96" s="416" t="e">
        <f ca="1">_xll.EPMSaveComment(N96,,$B96,N$19)</f>
        <v>#NAME?</v>
      </c>
      <c r="AZ96" s="416" t="e">
        <f ca="1">_xll.EPMSaveData(O96,,O$19,$B96)</f>
        <v>#NAME?</v>
      </c>
      <c r="BA96" s="416" t="e">
        <f ca="1">_xll.EPMSaveComment(P96,,$B96,P$19)</f>
        <v>#NAME?</v>
      </c>
      <c r="BB96" s="416" t="e">
        <f ca="1">_xll.EPMSaveComment(Q96,,$B96,Q$19)</f>
        <v>#NAME?</v>
      </c>
      <c r="BC96" s="416" t="e">
        <f ca="1">_xll.EPMSaveComment(R96,,$B96,R$19)</f>
        <v>#NAME?</v>
      </c>
      <c r="BD96" s="416" t="e">
        <f ca="1">_xll.EPMSaveData(S96,,$F$19,$B96)</f>
        <v>#NAME?</v>
      </c>
      <c r="BE96" s="416" t="e">
        <f ca="1">_xll.EPMSaveComment(AK96,,B96,AF$15)</f>
        <v>#NAME?</v>
      </c>
      <c r="BF96" s="416"/>
      <c r="BG96" s="416"/>
      <c r="BH96" s="157" t="str">
        <f t="shared" si="22"/>
        <v>Ok</v>
      </c>
      <c r="BI96" s="347">
        <f t="shared" si="23"/>
        <v>0</v>
      </c>
      <c r="BK96" s="160" t="str">
        <f t="shared" si="24"/>
        <v/>
      </c>
    </row>
    <row r="97" spans="1:63">
      <c r="A97" s="179"/>
      <c r="B97" s="580" t="s">
        <v>318</v>
      </c>
      <c r="C97" s="479"/>
      <c r="D97" s="224"/>
      <c r="E97" s="97" t="str">
        <f t="shared" si="14"/>
        <v/>
      </c>
      <c r="F97" s="183"/>
      <c r="G97" s="97" t="str">
        <f t="shared" si="17"/>
        <v/>
      </c>
      <c r="H97" s="307"/>
      <c r="I97" s="182"/>
      <c r="J97" s="184"/>
      <c r="K97" s="110" t="str">
        <f t="shared" si="15"/>
        <v/>
      </c>
      <c r="L97" s="184"/>
      <c r="M97" s="96" t="str">
        <f t="shared" si="16"/>
        <v/>
      </c>
      <c r="N97" s="184"/>
      <c r="O97" s="515"/>
      <c r="P97" s="184"/>
      <c r="Q97" s="185"/>
      <c r="R97" s="185"/>
      <c r="S97" s="271"/>
      <c r="T97" s="499" t="e">
        <f ca="1" xml:space="preserve"> _xll.EPMOlapMemberO("[FILA_NOTA].[PARENTH1].[09901077]","","09901077","","000;001;002")</f>
        <v>#NAME?</v>
      </c>
      <c r="U97" s="271"/>
      <c r="V97" s="271"/>
      <c r="W97" s="428">
        <f t="shared" si="18"/>
        <v>0</v>
      </c>
      <c r="X97" s="291"/>
      <c r="Y97" s="526"/>
      <c r="Z97" s="526"/>
      <c r="AA97" s="428">
        <f t="shared" si="19"/>
        <v>0</v>
      </c>
      <c r="AB97" s="526"/>
      <c r="AC97" s="428">
        <f t="shared" si="20"/>
        <v>0</v>
      </c>
      <c r="AD97" s="271"/>
      <c r="AE97" s="271"/>
      <c r="AF97" s="428">
        <f t="shared" si="21"/>
        <v>0</v>
      </c>
      <c r="AG97" s="526"/>
      <c r="AH97" s="526"/>
      <c r="AI97" s="526"/>
      <c r="AJ97" s="526"/>
      <c r="AK97" s="234"/>
      <c r="AL97" s="433"/>
      <c r="AM97" s="433"/>
      <c r="AN97" s="416" t="e">
        <f ca="1">_xll.EPMSaveComment(C97,,B97,C$19)</f>
        <v>#NAME?</v>
      </c>
      <c r="AO97" s="416" t="e">
        <f ca="1">_xll.EPMSaveComment(D97,,B97,D$19)</f>
        <v>#NAME?</v>
      </c>
      <c r="AP97" s="416" t="e">
        <f ca="1">_xll.EPMSaveComment(E97,,B97,E$19)</f>
        <v>#NAME?</v>
      </c>
      <c r="AQ97" s="416" t="e">
        <f ca="1">_xll.EPMSaveComment(F97,,$B97,F$19)</f>
        <v>#NAME?</v>
      </c>
      <c r="AR97" s="416" t="e">
        <f ca="1">_xll.EPMSaveComment(#REF!,,$B97,G$19)</f>
        <v>#NAME?</v>
      </c>
      <c r="AS97" s="416" t="e">
        <f ca="1">_xll.EPMSaveComment(H97,,$B97,H$19)</f>
        <v>#NAME?</v>
      </c>
      <c r="AT97" s="416" t="e">
        <f ca="1">_xll.EPMSaveData(I97,,I$19,$B97)</f>
        <v>#NAME?</v>
      </c>
      <c r="AU97" s="416" t="e">
        <f ca="1">_xll.EPMSaveComment(J97,,$B97,J$19)</f>
        <v>#NAME?</v>
      </c>
      <c r="AV97" s="416" t="e">
        <f ca="1">_xll.EPMSaveComment(K97,,$B97,K$19)</f>
        <v>#NAME?</v>
      </c>
      <c r="AW97" s="416" t="e">
        <f ca="1">_xll.EPMSaveComment(L97,,$B97,L$19)</f>
        <v>#NAME?</v>
      </c>
      <c r="AX97" s="416" t="e">
        <f ca="1">_xll.EPMSaveComment(M97,,$B97,M$19)</f>
        <v>#NAME?</v>
      </c>
      <c r="AY97" s="416" t="e">
        <f ca="1">_xll.EPMSaveComment(N97,,$B97,N$19)</f>
        <v>#NAME?</v>
      </c>
      <c r="AZ97" s="416" t="e">
        <f ca="1">_xll.EPMSaveData(O97,,O$19,$B97)</f>
        <v>#NAME?</v>
      </c>
      <c r="BA97" s="416" t="e">
        <f ca="1">_xll.EPMSaveComment(P97,,$B97,P$19)</f>
        <v>#NAME?</v>
      </c>
      <c r="BB97" s="416" t="e">
        <f ca="1">_xll.EPMSaveComment(Q97,,$B97,Q$19)</f>
        <v>#NAME?</v>
      </c>
      <c r="BC97" s="416" t="e">
        <f ca="1">_xll.EPMSaveComment(R97,,$B97,R$19)</f>
        <v>#NAME?</v>
      </c>
      <c r="BD97" s="416" t="e">
        <f ca="1">_xll.EPMSaveData(S97,,$F$19,$B97)</f>
        <v>#NAME?</v>
      </c>
      <c r="BE97" s="416" t="e">
        <f ca="1">_xll.EPMSaveComment(AK97,,B97,AF$15)</f>
        <v>#NAME?</v>
      </c>
      <c r="BF97" s="416"/>
      <c r="BG97" s="416"/>
      <c r="BH97" s="157" t="str">
        <f t="shared" si="22"/>
        <v>Ok</v>
      </c>
      <c r="BI97" s="347">
        <f t="shared" si="23"/>
        <v>0</v>
      </c>
      <c r="BK97" s="160" t="str">
        <f t="shared" si="24"/>
        <v/>
      </c>
    </row>
    <row r="98" spans="1:63">
      <c r="A98" s="179"/>
      <c r="B98" s="580" t="s">
        <v>319</v>
      </c>
      <c r="C98" s="479"/>
      <c r="D98" s="224"/>
      <c r="E98" s="97" t="str">
        <f t="shared" si="14"/>
        <v/>
      </c>
      <c r="F98" s="183"/>
      <c r="G98" s="97" t="str">
        <f t="shared" si="17"/>
        <v/>
      </c>
      <c r="H98" s="307"/>
      <c r="I98" s="182"/>
      <c r="J98" s="184"/>
      <c r="K98" s="110" t="str">
        <f t="shared" si="15"/>
        <v/>
      </c>
      <c r="L98" s="184"/>
      <c r="M98" s="96" t="str">
        <f t="shared" si="16"/>
        <v/>
      </c>
      <c r="N98" s="184"/>
      <c r="O98" s="515"/>
      <c r="P98" s="184"/>
      <c r="Q98" s="185"/>
      <c r="R98" s="185"/>
      <c r="S98" s="271"/>
      <c r="T98" s="499" t="e">
        <f ca="1" xml:space="preserve"> _xll.EPMOlapMemberO("[FILA_NOTA].[PARENTH1].[09901078]","","09901078","","000;001;002")</f>
        <v>#NAME?</v>
      </c>
      <c r="U98" s="271"/>
      <c r="V98" s="271"/>
      <c r="W98" s="428">
        <f t="shared" si="18"/>
        <v>0</v>
      </c>
      <c r="X98" s="291"/>
      <c r="Y98" s="526"/>
      <c r="Z98" s="526"/>
      <c r="AA98" s="428">
        <f t="shared" si="19"/>
        <v>0</v>
      </c>
      <c r="AB98" s="526"/>
      <c r="AC98" s="428">
        <f t="shared" si="20"/>
        <v>0</v>
      </c>
      <c r="AD98" s="271"/>
      <c r="AE98" s="271"/>
      <c r="AF98" s="428">
        <f t="shared" si="21"/>
        <v>0</v>
      </c>
      <c r="AG98" s="526"/>
      <c r="AH98" s="526"/>
      <c r="AI98" s="526"/>
      <c r="AJ98" s="526"/>
      <c r="AK98" s="234"/>
      <c r="AL98" s="433"/>
      <c r="AM98" s="433"/>
      <c r="AN98" s="416" t="e">
        <f ca="1">_xll.EPMSaveComment(C98,,B98,C$19)</f>
        <v>#NAME?</v>
      </c>
      <c r="AO98" s="416" t="e">
        <f ca="1">_xll.EPMSaveComment(D98,,B98,D$19)</f>
        <v>#NAME?</v>
      </c>
      <c r="AP98" s="416" t="e">
        <f ca="1">_xll.EPMSaveComment(E98,,B98,E$19)</f>
        <v>#NAME?</v>
      </c>
      <c r="AQ98" s="416" t="e">
        <f ca="1">_xll.EPMSaveComment(F98,,$B98,F$19)</f>
        <v>#NAME?</v>
      </c>
      <c r="AR98" s="416" t="e">
        <f ca="1">_xll.EPMSaveComment(#REF!,,$B98,G$19)</f>
        <v>#NAME?</v>
      </c>
      <c r="AS98" s="416" t="e">
        <f ca="1">_xll.EPMSaveComment(H98,,$B98,H$19)</f>
        <v>#NAME?</v>
      </c>
      <c r="AT98" s="416" t="e">
        <f ca="1">_xll.EPMSaveData(I98,,I$19,$B98)</f>
        <v>#NAME?</v>
      </c>
      <c r="AU98" s="416" t="e">
        <f ca="1">_xll.EPMSaveComment(J98,,$B98,J$19)</f>
        <v>#NAME?</v>
      </c>
      <c r="AV98" s="416" t="e">
        <f ca="1">_xll.EPMSaveComment(K98,,$B98,K$19)</f>
        <v>#NAME?</v>
      </c>
      <c r="AW98" s="416" t="e">
        <f ca="1">_xll.EPMSaveComment(L98,,$B98,L$19)</f>
        <v>#NAME?</v>
      </c>
      <c r="AX98" s="416" t="e">
        <f ca="1">_xll.EPMSaveComment(M98,,$B98,M$19)</f>
        <v>#NAME?</v>
      </c>
      <c r="AY98" s="416" t="e">
        <f ca="1">_xll.EPMSaveComment(N98,,$B98,N$19)</f>
        <v>#NAME?</v>
      </c>
      <c r="AZ98" s="416" t="e">
        <f ca="1">_xll.EPMSaveData(O98,,O$19,$B98)</f>
        <v>#NAME?</v>
      </c>
      <c r="BA98" s="416" t="e">
        <f ca="1">_xll.EPMSaveComment(P98,,$B98,P$19)</f>
        <v>#NAME?</v>
      </c>
      <c r="BB98" s="416" t="e">
        <f ca="1">_xll.EPMSaveComment(Q98,,$B98,Q$19)</f>
        <v>#NAME?</v>
      </c>
      <c r="BC98" s="416" t="e">
        <f ca="1">_xll.EPMSaveComment(R98,,$B98,R$19)</f>
        <v>#NAME?</v>
      </c>
      <c r="BD98" s="416" t="e">
        <f ca="1">_xll.EPMSaveData(S98,,$F$19,$B98)</f>
        <v>#NAME?</v>
      </c>
      <c r="BE98" s="416" t="e">
        <f ca="1">_xll.EPMSaveComment(AK98,,B98,AF$15)</f>
        <v>#NAME?</v>
      </c>
      <c r="BF98" s="416"/>
      <c r="BG98" s="416"/>
      <c r="BH98" s="157" t="str">
        <f t="shared" si="22"/>
        <v>Ok</v>
      </c>
      <c r="BI98" s="347">
        <f t="shared" si="23"/>
        <v>0</v>
      </c>
      <c r="BK98" s="160" t="str">
        <f t="shared" si="24"/>
        <v/>
      </c>
    </row>
    <row r="99" spans="1:63">
      <c r="A99" s="179"/>
      <c r="B99" s="580" t="s">
        <v>320</v>
      </c>
      <c r="C99" s="479"/>
      <c r="D99" s="224"/>
      <c r="E99" s="97" t="str">
        <f t="shared" si="14"/>
        <v/>
      </c>
      <c r="F99" s="183"/>
      <c r="G99" s="97" t="str">
        <f t="shared" si="17"/>
        <v/>
      </c>
      <c r="H99" s="307"/>
      <c r="I99" s="182"/>
      <c r="J99" s="184"/>
      <c r="K99" s="110" t="str">
        <f t="shared" si="15"/>
        <v/>
      </c>
      <c r="L99" s="184"/>
      <c r="M99" s="96" t="str">
        <f t="shared" si="16"/>
        <v/>
      </c>
      <c r="N99" s="184"/>
      <c r="O99" s="515"/>
      <c r="P99" s="184"/>
      <c r="Q99" s="185"/>
      <c r="R99" s="185"/>
      <c r="S99" s="271"/>
      <c r="T99" s="499" t="e">
        <f ca="1" xml:space="preserve"> _xll.EPMOlapMemberO("[FILA_NOTA].[PARENTH1].[09901079]","","09901079","","000;001;002")</f>
        <v>#NAME?</v>
      </c>
      <c r="U99" s="271"/>
      <c r="V99" s="271"/>
      <c r="W99" s="428">
        <f t="shared" si="18"/>
        <v>0</v>
      </c>
      <c r="X99" s="291"/>
      <c r="Y99" s="526"/>
      <c r="Z99" s="526"/>
      <c r="AA99" s="428">
        <f t="shared" si="19"/>
        <v>0</v>
      </c>
      <c r="AB99" s="526"/>
      <c r="AC99" s="428">
        <f t="shared" si="20"/>
        <v>0</v>
      </c>
      <c r="AD99" s="271"/>
      <c r="AE99" s="271"/>
      <c r="AF99" s="428">
        <f t="shared" si="21"/>
        <v>0</v>
      </c>
      <c r="AG99" s="526"/>
      <c r="AH99" s="526"/>
      <c r="AI99" s="526"/>
      <c r="AJ99" s="526"/>
      <c r="AK99" s="234"/>
      <c r="AL99" s="433"/>
      <c r="AM99" s="433"/>
      <c r="AN99" s="416" t="e">
        <f ca="1">_xll.EPMSaveComment(C99,,B99,C$19)</f>
        <v>#NAME?</v>
      </c>
      <c r="AO99" s="416" t="e">
        <f ca="1">_xll.EPMSaveComment(D99,,B99,D$19)</f>
        <v>#NAME?</v>
      </c>
      <c r="AP99" s="416" t="e">
        <f ca="1">_xll.EPMSaveComment(E99,,B99,E$19)</f>
        <v>#NAME?</v>
      </c>
      <c r="AQ99" s="416" t="e">
        <f ca="1">_xll.EPMSaveComment(F99,,$B99,F$19)</f>
        <v>#NAME?</v>
      </c>
      <c r="AR99" s="416" t="e">
        <f ca="1">_xll.EPMSaveComment(#REF!,,$B99,G$19)</f>
        <v>#NAME?</v>
      </c>
      <c r="AS99" s="416" t="e">
        <f ca="1">_xll.EPMSaveComment(H99,,$B99,H$19)</f>
        <v>#NAME?</v>
      </c>
      <c r="AT99" s="416" t="e">
        <f ca="1">_xll.EPMSaveData(I99,,I$19,$B99)</f>
        <v>#NAME?</v>
      </c>
      <c r="AU99" s="416" t="e">
        <f ca="1">_xll.EPMSaveComment(J99,,$B99,J$19)</f>
        <v>#NAME?</v>
      </c>
      <c r="AV99" s="416" t="e">
        <f ca="1">_xll.EPMSaveComment(K99,,$B99,K$19)</f>
        <v>#NAME?</v>
      </c>
      <c r="AW99" s="416" t="e">
        <f ca="1">_xll.EPMSaveComment(L99,,$B99,L$19)</f>
        <v>#NAME?</v>
      </c>
      <c r="AX99" s="416" t="e">
        <f ca="1">_xll.EPMSaveComment(M99,,$B99,M$19)</f>
        <v>#NAME?</v>
      </c>
      <c r="AY99" s="416" t="e">
        <f ca="1">_xll.EPMSaveComment(N99,,$B99,N$19)</f>
        <v>#NAME?</v>
      </c>
      <c r="AZ99" s="416" t="e">
        <f ca="1">_xll.EPMSaveData(O99,,O$19,$B99)</f>
        <v>#NAME?</v>
      </c>
      <c r="BA99" s="416" t="e">
        <f ca="1">_xll.EPMSaveComment(P99,,$B99,P$19)</f>
        <v>#NAME?</v>
      </c>
      <c r="BB99" s="416" t="e">
        <f ca="1">_xll.EPMSaveComment(Q99,,$B99,Q$19)</f>
        <v>#NAME?</v>
      </c>
      <c r="BC99" s="416" t="e">
        <f ca="1">_xll.EPMSaveComment(R99,,$B99,R$19)</f>
        <v>#NAME?</v>
      </c>
      <c r="BD99" s="416" t="e">
        <f ca="1">_xll.EPMSaveData(S99,,$F$19,$B99)</f>
        <v>#NAME?</v>
      </c>
      <c r="BE99" s="416" t="e">
        <f ca="1">_xll.EPMSaveComment(AK99,,B99,AF$15)</f>
        <v>#NAME?</v>
      </c>
      <c r="BF99" s="416"/>
      <c r="BG99" s="416"/>
      <c r="BH99" s="157" t="str">
        <f t="shared" si="22"/>
        <v>Ok</v>
      </c>
      <c r="BI99" s="347">
        <f t="shared" si="23"/>
        <v>0</v>
      </c>
      <c r="BK99" s="160" t="str">
        <f t="shared" si="24"/>
        <v/>
      </c>
    </row>
    <row r="100" spans="1:63">
      <c r="A100" s="179"/>
      <c r="B100" s="580" t="s">
        <v>321</v>
      </c>
      <c r="C100" s="479"/>
      <c r="D100" s="224"/>
      <c r="E100" s="97" t="str">
        <f t="shared" si="14"/>
        <v/>
      </c>
      <c r="F100" s="183"/>
      <c r="G100" s="97" t="str">
        <f t="shared" si="17"/>
        <v/>
      </c>
      <c r="H100" s="307"/>
      <c r="I100" s="182"/>
      <c r="J100" s="184"/>
      <c r="K100" s="110" t="str">
        <f t="shared" si="15"/>
        <v/>
      </c>
      <c r="L100" s="184"/>
      <c r="M100" s="96" t="str">
        <f t="shared" si="16"/>
        <v/>
      </c>
      <c r="N100" s="184"/>
      <c r="O100" s="515"/>
      <c r="P100" s="184"/>
      <c r="Q100" s="185"/>
      <c r="R100" s="185"/>
      <c r="S100" s="271"/>
      <c r="T100" s="499" t="e">
        <f ca="1" xml:space="preserve"> _xll.EPMOlapMemberO("[FILA_NOTA].[PARENTH1].[09901080]","","09901080","","000;001;002")</f>
        <v>#NAME?</v>
      </c>
      <c r="U100" s="271"/>
      <c r="V100" s="271"/>
      <c r="W100" s="428">
        <f t="shared" si="18"/>
        <v>0</v>
      </c>
      <c r="X100" s="291"/>
      <c r="Y100" s="526"/>
      <c r="Z100" s="526"/>
      <c r="AA100" s="428">
        <f t="shared" si="19"/>
        <v>0</v>
      </c>
      <c r="AB100" s="526"/>
      <c r="AC100" s="428">
        <f t="shared" si="20"/>
        <v>0</v>
      </c>
      <c r="AD100" s="271"/>
      <c r="AE100" s="271"/>
      <c r="AF100" s="428">
        <f t="shared" si="21"/>
        <v>0</v>
      </c>
      <c r="AG100" s="526"/>
      <c r="AH100" s="526"/>
      <c r="AI100" s="526"/>
      <c r="AJ100" s="526"/>
      <c r="AK100" s="234"/>
      <c r="AL100" s="433"/>
      <c r="AM100" s="433"/>
      <c r="AN100" s="416" t="e">
        <f ca="1">_xll.EPMSaveComment(C100,,B100,C$19)</f>
        <v>#NAME?</v>
      </c>
      <c r="AO100" s="416" t="e">
        <f ca="1">_xll.EPMSaveComment(D100,,B100,D$19)</f>
        <v>#NAME?</v>
      </c>
      <c r="AP100" s="416" t="e">
        <f ca="1">_xll.EPMSaveComment(E100,,B100,E$19)</f>
        <v>#NAME?</v>
      </c>
      <c r="AQ100" s="416" t="e">
        <f ca="1">_xll.EPMSaveComment(F100,,$B100,F$19)</f>
        <v>#NAME?</v>
      </c>
      <c r="AR100" s="416" t="e">
        <f ca="1">_xll.EPMSaveComment(#REF!,,$B100,G$19)</f>
        <v>#NAME?</v>
      </c>
      <c r="AS100" s="416" t="e">
        <f ca="1">_xll.EPMSaveComment(H100,,$B100,H$19)</f>
        <v>#NAME?</v>
      </c>
      <c r="AT100" s="416" t="e">
        <f ca="1">_xll.EPMSaveData(I100,,I$19,$B100)</f>
        <v>#NAME?</v>
      </c>
      <c r="AU100" s="416" t="e">
        <f ca="1">_xll.EPMSaveComment(J100,,$B100,J$19)</f>
        <v>#NAME?</v>
      </c>
      <c r="AV100" s="416" t="e">
        <f ca="1">_xll.EPMSaveComment(K100,,$B100,K$19)</f>
        <v>#NAME?</v>
      </c>
      <c r="AW100" s="416" t="e">
        <f ca="1">_xll.EPMSaveComment(L100,,$B100,L$19)</f>
        <v>#NAME?</v>
      </c>
      <c r="AX100" s="416" t="e">
        <f ca="1">_xll.EPMSaveComment(M100,,$B100,M$19)</f>
        <v>#NAME?</v>
      </c>
      <c r="AY100" s="416" t="e">
        <f ca="1">_xll.EPMSaveComment(N100,,$B100,N$19)</f>
        <v>#NAME?</v>
      </c>
      <c r="AZ100" s="416" t="e">
        <f ca="1">_xll.EPMSaveData(O100,,O$19,$B100)</f>
        <v>#NAME?</v>
      </c>
      <c r="BA100" s="416" t="e">
        <f ca="1">_xll.EPMSaveComment(P100,,$B100,P$19)</f>
        <v>#NAME?</v>
      </c>
      <c r="BB100" s="416" t="e">
        <f ca="1">_xll.EPMSaveComment(Q100,,$B100,Q$19)</f>
        <v>#NAME?</v>
      </c>
      <c r="BC100" s="416" t="e">
        <f ca="1">_xll.EPMSaveComment(R100,,$B100,R$19)</f>
        <v>#NAME?</v>
      </c>
      <c r="BD100" s="416" t="e">
        <f ca="1">_xll.EPMSaveData(S100,,$F$19,$B100)</f>
        <v>#NAME?</v>
      </c>
      <c r="BE100" s="416" t="e">
        <f ca="1">_xll.EPMSaveComment(AK100,,B100,AF$15)</f>
        <v>#NAME?</v>
      </c>
      <c r="BF100" s="416"/>
      <c r="BG100" s="416"/>
      <c r="BH100" s="157" t="str">
        <f t="shared" si="22"/>
        <v>Ok</v>
      </c>
      <c r="BI100" s="347">
        <f t="shared" si="23"/>
        <v>0</v>
      </c>
      <c r="BK100" s="160" t="str">
        <f t="shared" si="24"/>
        <v/>
      </c>
    </row>
    <row r="101" spans="1:63">
      <c r="A101" s="179"/>
      <c r="B101" s="580" t="s">
        <v>322</v>
      </c>
      <c r="C101" s="479"/>
      <c r="D101" s="224"/>
      <c r="E101" s="97" t="str">
        <f t="shared" si="14"/>
        <v/>
      </c>
      <c r="F101" s="183"/>
      <c r="G101" s="97" t="str">
        <f t="shared" si="17"/>
        <v/>
      </c>
      <c r="H101" s="307"/>
      <c r="I101" s="182"/>
      <c r="J101" s="184"/>
      <c r="K101" s="110" t="str">
        <f t="shared" si="15"/>
        <v/>
      </c>
      <c r="L101" s="184"/>
      <c r="M101" s="96" t="str">
        <f t="shared" si="16"/>
        <v/>
      </c>
      <c r="N101" s="184"/>
      <c r="O101" s="515"/>
      <c r="P101" s="184"/>
      <c r="Q101" s="185"/>
      <c r="R101" s="185"/>
      <c r="S101" s="271"/>
      <c r="T101" s="499" t="e">
        <f ca="1" xml:space="preserve"> _xll.EPMOlapMemberO("[FILA_NOTA].[PARENTH1].[09901081]","","09901081","","000;001;002")</f>
        <v>#NAME?</v>
      </c>
      <c r="U101" s="271"/>
      <c r="V101" s="271"/>
      <c r="W101" s="428">
        <f t="shared" si="18"/>
        <v>0</v>
      </c>
      <c r="X101" s="291"/>
      <c r="Y101" s="526"/>
      <c r="Z101" s="526"/>
      <c r="AA101" s="428">
        <f t="shared" si="19"/>
        <v>0</v>
      </c>
      <c r="AB101" s="526"/>
      <c r="AC101" s="428">
        <f t="shared" si="20"/>
        <v>0</v>
      </c>
      <c r="AD101" s="271"/>
      <c r="AE101" s="271"/>
      <c r="AF101" s="428">
        <f t="shared" si="21"/>
        <v>0</v>
      </c>
      <c r="AG101" s="526"/>
      <c r="AH101" s="526"/>
      <c r="AI101" s="526"/>
      <c r="AJ101" s="526"/>
      <c r="AK101" s="234"/>
      <c r="AL101" s="433"/>
      <c r="AM101" s="433"/>
      <c r="AN101" s="416" t="e">
        <f ca="1">_xll.EPMSaveComment(C101,,B101,C$19)</f>
        <v>#NAME?</v>
      </c>
      <c r="AO101" s="416" t="e">
        <f ca="1">_xll.EPMSaveComment(D101,,B101,D$19)</f>
        <v>#NAME?</v>
      </c>
      <c r="AP101" s="416" t="e">
        <f ca="1">_xll.EPMSaveComment(E101,,B101,E$19)</f>
        <v>#NAME?</v>
      </c>
      <c r="AQ101" s="416" t="e">
        <f ca="1">_xll.EPMSaveComment(F101,,$B101,F$19)</f>
        <v>#NAME?</v>
      </c>
      <c r="AR101" s="416" t="e">
        <f ca="1">_xll.EPMSaveComment(#REF!,,$B101,G$19)</f>
        <v>#NAME?</v>
      </c>
      <c r="AS101" s="416" t="e">
        <f ca="1">_xll.EPMSaveComment(H101,,$B101,H$19)</f>
        <v>#NAME?</v>
      </c>
      <c r="AT101" s="416" t="e">
        <f ca="1">_xll.EPMSaveData(I101,,I$19,$B101)</f>
        <v>#NAME?</v>
      </c>
      <c r="AU101" s="416" t="e">
        <f ca="1">_xll.EPMSaveComment(J101,,$B101,J$19)</f>
        <v>#NAME?</v>
      </c>
      <c r="AV101" s="416" t="e">
        <f ca="1">_xll.EPMSaveComment(K101,,$B101,K$19)</f>
        <v>#NAME?</v>
      </c>
      <c r="AW101" s="416" t="e">
        <f ca="1">_xll.EPMSaveComment(L101,,$B101,L$19)</f>
        <v>#NAME?</v>
      </c>
      <c r="AX101" s="416" t="e">
        <f ca="1">_xll.EPMSaveComment(M101,,$B101,M$19)</f>
        <v>#NAME?</v>
      </c>
      <c r="AY101" s="416" t="e">
        <f ca="1">_xll.EPMSaveComment(N101,,$B101,N$19)</f>
        <v>#NAME?</v>
      </c>
      <c r="AZ101" s="416" t="e">
        <f ca="1">_xll.EPMSaveData(O101,,O$19,$B101)</f>
        <v>#NAME?</v>
      </c>
      <c r="BA101" s="416" t="e">
        <f ca="1">_xll.EPMSaveComment(P101,,$B101,P$19)</f>
        <v>#NAME?</v>
      </c>
      <c r="BB101" s="416" t="e">
        <f ca="1">_xll.EPMSaveComment(Q101,,$B101,Q$19)</f>
        <v>#NAME?</v>
      </c>
      <c r="BC101" s="416" t="e">
        <f ca="1">_xll.EPMSaveComment(R101,,$B101,R$19)</f>
        <v>#NAME?</v>
      </c>
      <c r="BD101" s="416" t="e">
        <f ca="1">_xll.EPMSaveData(S101,,$F$19,$B101)</f>
        <v>#NAME?</v>
      </c>
      <c r="BE101" s="416" t="e">
        <f ca="1">_xll.EPMSaveComment(AK101,,B101,AF$15)</f>
        <v>#NAME?</v>
      </c>
      <c r="BF101" s="416"/>
      <c r="BG101" s="416"/>
      <c r="BH101" s="157" t="str">
        <f t="shared" si="22"/>
        <v>Ok</v>
      </c>
      <c r="BI101" s="347">
        <f t="shared" si="23"/>
        <v>0</v>
      </c>
      <c r="BK101" s="160" t="str">
        <f t="shared" si="24"/>
        <v/>
      </c>
    </row>
    <row r="102" spans="1:63">
      <c r="A102" s="179"/>
      <c r="B102" s="580" t="s">
        <v>323</v>
      </c>
      <c r="C102" s="479"/>
      <c r="D102" s="224"/>
      <c r="E102" s="97" t="str">
        <f t="shared" si="14"/>
        <v/>
      </c>
      <c r="F102" s="183"/>
      <c r="G102" s="97" t="str">
        <f t="shared" si="17"/>
        <v/>
      </c>
      <c r="H102" s="307"/>
      <c r="I102" s="182"/>
      <c r="J102" s="184"/>
      <c r="K102" s="110" t="str">
        <f t="shared" si="15"/>
        <v/>
      </c>
      <c r="L102" s="184"/>
      <c r="M102" s="96" t="str">
        <f t="shared" si="16"/>
        <v/>
      </c>
      <c r="N102" s="184"/>
      <c r="O102" s="515"/>
      <c r="P102" s="184"/>
      <c r="Q102" s="185"/>
      <c r="R102" s="185"/>
      <c r="S102" s="271"/>
      <c r="T102" s="499" t="e">
        <f ca="1" xml:space="preserve"> _xll.EPMOlapMemberO("[FILA_NOTA].[PARENTH1].[09901082]","","09901082","","000;001;002")</f>
        <v>#NAME?</v>
      </c>
      <c r="U102" s="271"/>
      <c r="V102" s="271"/>
      <c r="W102" s="428">
        <f t="shared" si="18"/>
        <v>0</v>
      </c>
      <c r="X102" s="291"/>
      <c r="Y102" s="526"/>
      <c r="Z102" s="526"/>
      <c r="AA102" s="428">
        <f t="shared" si="19"/>
        <v>0</v>
      </c>
      <c r="AB102" s="526"/>
      <c r="AC102" s="428">
        <f t="shared" si="20"/>
        <v>0</v>
      </c>
      <c r="AD102" s="271"/>
      <c r="AE102" s="271"/>
      <c r="AF102" s="428">
        <f t="shared" si="21"/>
        <v>0</v>
      </c>
      <c r="AG102" s="526"/>
      <c r="AH102" s="526"/>
      <c r="AI102" s="526"/>
      <c r="AJ102" s="526"/>
      <c r="AK102" s="234"/>
      <c r="AL102" s="433"/>
      <c r="AM102" s="433"/>
      <c r="AN102" s="416" t="e">
        <f ca="1">_xll.EPMSaveComment(C102,,B102,C$19)</f>
        <v>#NAME?</v>
      </c>
      <c r="AO102" s="416" t="e">
        <f ca="1">_xll.EPMSaveComment(D102,,B102,D$19)</f>
        <v>#NAME?</v>
      </c>
      <c r="AP102" s="416" t="e">
        <f ca="1">_xll.EPMSaveComment(E102,,B102,E$19)</f>
        <v>#NAME?</v>
      </c>
      <c r="AQ102" s="416" t="e">
        <f ca="1">_xll.EPMSaveComment(F102,,$B102,F$19)</f>
        <v>#NAME?</v>
      </c>
      <c r="AR102" s="416" t="e">
        <f ca="1">_xll.EPMSaveComment(#REF!,,$B102,G$19)</f>
        <v>#NAME?</v>
      </c>
      <c r="AS102" s="416" t="e">
        <f ca="1">_xll.EPMSaveComment(H102,,$B102,H$19)</f>
        <v>#NAME?</v>
      </c>
      <c r="AT102" s="416" t="e">
        <f ca="1">_xll.EPMSaveData(I102,,I$19,$B102)</f>
        <v>#NAME?</v>
      </c>
      <c r="AU102" s="416" t="e">
        <f ca="1">_xll.EPMSaveComment(J102,,$B102,J$19)</f>
        <v>#NAME?</v>
      </c>
      <c r="AV102" s="416" t="e">
        <f ca="1">_xll.EPMSaveComment(K102,,$B102,K$19)</f>
        <v>#NAME?</v>
      </c>
      <c r="AW102" s="416" t="e">
        <f ca="1">_xll.EPMSaveComment(L102,,$B102,L$19)</f>
        <v>#NAME?</v>
      </c>
      <c r="AX102" s="416" t="e">
        <f ca="1">_xll.EPMSaveComment(M102,,$B102,M$19)</f>
        <v>#NAME?</v>
      </c>
      <c r="AY102" s="416" t="e">
        <f ca="1">_xll.EPMSaveComment(N102,,$B102,N$19)</f>
        <v>#NAME?</v>
      </c>
      <c r="AZ102" s="416" t="e">
        <f ca="1">_xll.EPMSaveData(O102,,O$19,$B102)</f>
        <v>#NAME?</v>
      </c>
      <c r="BA102" s="416" t="e">
        <f ca="1">_xll.EPMSaveComment(P102,,$B102,P$19)</f>
        <v>#NAME?</v>
      </c>
      <c r="BB102" s="416" t="e">
        <f ca="1">_xll.EPMSaveComment(Q102,,$B102,Q$19)</f>
        <v>#NAME?</v>
      </c>
      <c r="BC102" s="416" t="e">
        <f ca="1">_xll.EPMSaveComment(R102,,$B102,R$19)</f>
        <v>#NAME?</v>
      </c>
      <c r="BD102" s="416" t="e">
        <f ca="1">_xll.EPMSaveData(S102,,$F$19,$B102)</f>
        <v>#NAME?</v>
      </c>
      <c r="BE102" s="416" t="e">
        <f ca="1">_xll.EPMSaveComment(AK102,,B102,AF$15)</f>
        <v>#NAME?</v>
      </c>
      <c r="BF102" s="416"/>
      <c r="BG102" s="416"/>
      <c r="BH102" s="157" t="str">
        <f t="shared" si="22"/>
        <v>Ok</v>
      </c>
      <c r="BI102" s="347">
        <f t="shared" si="23"/>
        <v>0</v>
      </c>
      <c r="BK102" s="160" t="str">
        <f t="shared" si="24"/>
        <v/>
      </c>
    </row>
    <row r="103" spans="1:63">
      <c r="A103" s="179"/>
      <c r="B103" s="580" t="s">
        <v>324</v>
      </c>
      <c r="C103" s="479"/>
      <c r="D103" s="224"/>
      <c r="E103" s="97" t="str">
        <f t="shared" si="14"/>
        <v/>
      </c>
      <c r="F103" s="183"/>
      <c r="G103" s="97" t="str">
        <f t="shared" si="17"/>
        <v/>
      </c>
      <c r="H103" s="307"/>
      <c r="I103" s="182"/>
      <c r="J103" s="184"/>
      <c r="K103" s="110" t="str">
        <f t="shared" si="15"/>
        <v/>
      </c>
      <c r="L103" s="184"/>
      <c r="M103" s="96" t="str">
        <f t="shared" si="16"/>
        <v/>
      </c>
      <c r="N103" s="184"/>
      <c r="O103" s="515"/>
      <c r="P103" s="184"/>
      <c r="Q103" s="185"/>
      <c r="R103" s="185"/>
      <c r="S103" s="271"/>
      <c r="T103" s="499" t="e">
        <f ca="1" xml:space="preserve"> _xll.EPMOlapMemberO("[FILA_NOTA].[PARENTH1].[09901083]","","09901083","","000;001;002")</f>
        <v>#NAME?</v>
      </c>
      <c r="U103" s="271"/>
      <c r="V103" s="271"/>
      <c r="W103" s="428">
        <f t="shared" si="18"/>
        <v>0</v>
      </c>
      <c r="X103" s="291"/>
      <c r="Y103" s="526"/>
      <c r="Z103" s="526"/>
      <c r="AA103" s="428">
        <f t="shared" si="19"/>
        <v>0</v>
      </c>
      <c r="AB103" s="526"/>
      <c r="AC103" s="428">
        <f t="shared" si="20"/>
        <v>0</v>
      </c>
      <c r="AD103" s="271"/>
      <c r="AE103" s="271"/>
      <c r="AF103" s="428">
        <f t="shared" si="21"/>
        <v>0</v>
      </c>
      <c r="AG103" s="526"/>
      <c r="AH103" s="526"/>
      <c r="AI103" s="526"/>
      <c r="AJ103" s="526"/>
      <c r="AK103" s="234"/>
      <c r="AL103" s="433"/>
      <c r="AM103" s="433"/>
      <c r="AN103" s="416" t="e">
        <f ca="1">_xll.EPMSaveComment(C103,,B103,C$19)</f>
        <v>#NAME?</v>
      </c>
      <c r="AO103" s="416" t="e">
        <f ca="1">_xll.EPMSaveComment(D103,,B103,D$19)</f>
        <v>#NAME?</v>
      </c>
      <c r="AP103" s="416" t="e">
        <f ca="1">_xll.EPMSaveComment(E103,,B103,E$19)</f>
        <v>#NAME?</v>
      </c>
      <c r="AQ103" s="416" t="e">
        <f ca="1">_xll.EPMSaveComment(F103,,$B103,F$19)</f>
        <v>#NAME?</v>
      </c>
      <c r="AR103" s="416" t="e">
        <f ca="1">_xll.EPMSaveComment(#REF!,,$B103,G$19)</f>
        <v>#NAME?</v>
      </c>
      <c r="AS103" s="416" t="e">
        <f ca="1">_xll.EPMSaveComment(H103,,$B103,H$19)</f>
        <v>#NAME?</v>
      </c>
      <c r="AT103" s="416" t="e">
        <f ca="1">_xll.EPMSaveData(I103,,I$19,$B103)</f>
        <v>#NAME?</v>
      </c>
      <c r="AU103" s="416" t="e">
        <f ca="1">_xll.EPMSaveComment(J103,,$B103,J$19)</f>
        <v>#NAME?</v>
      </c>
      <c r="AV103" s="416" t="e">
        <f ca="1">_xll.EPMSaveComment(K103,,$B103,K$19)</f>
        <v>#NAME?</v>
      </c>
      <c r="AW103" s="416" t="e">
        <f ca="1">_xll.EPMSaveComment(L103,,$B103,L$19)</f>
        <v>#NAME?</v>
      </c>
      <c r="AX103" s="416" t="e">
        <f ca="1">_xll.EPMSaveComment(M103,,$B103,M$19)</f>
        <v>#NAME?</v>
      </c>
      <c r="AY103" s="416" t="e">
        <f ca="1">_xll.EPMSaveComment(N103,,$B103,N$19)</f>
        <v>#NAME?</v>
      </c>
      <c r="AZ103" s="416" t="e">
        <f ca="1">_xll.EPMSaveData(O103,,O$19,$B103)</f>
        <v>#NAME?</v>
      </c>
      <c r="BA103" s="416" t="e">
        <f ca="1">_xll.EPMSaveComment(P103,,$B103,P$19)</f>
        <v>#NAME?</v>
      </c>
      <c r="BB103" s="416" t="e">
        <f ca="1">_xll.EPMSaveComment(Q103,,$B103,Q$19)</f>
        <v>#NAME?</v>
      </c>
      <c r="BC103" s="416" t="e">
        <f ca="1">_xll.EPMSaveComment(R103,,$B103,R$19)</f>
        <v>#NAME?</v>
      </c>
      <c r="BD103" s="416" t="e">
        <f ca="1">_xll.EPMSaveData(S103,,$F$19,$B103)</f>
        <v>#NAME?</v>
      </c>
      <c r="BE103" s="416" t="e">
        <f ca="1">_xll.EPMSaveComment(AK103,,B103,AF$15)</f>
        <v>#NAME?</v>
      </c>
      <c r="BF103" s="416"/>
      <c r="BG103" s="416"/>
      <c r="BH103" s="157" t="str">
        <f t="shared" si="22"/>
        <v>Ok</v>
      </c>
      <c r="BI103" s="347">
        <f t="shared" si="23"/>
        <v>0</v>
      </c>
      <c r="BK103" s="160" t="str">
        <f t="shared" si="24"/>
        <v/>
      </c>
    </row>
    <row r="104" spans="1:63">
      <c r="A104" s="179"/>
      <c r="B104" s="580" t="s">
        <v>325</v>
      </c>
      <c r="C104" s="479"/>
      <c r="D104" s="224"/>
      <c r="E104" s="97" t="str">
        <f t="shared" si="14"/>
        <v/>
      </c>
      <c r="F104" s="183"/>
      <c r="G104" s="97" t="str">
        <f t="shared" si="17"/>
        <v/>
      </c>
      <c r="H104" s="307"/>
      <c r="I104" s="182"/>
      <c r="J104" s="184"/>
      <c r="K104" s="110" t="str">
        <f t="shared" si="15"/>
        <v/>
      </c>
      <c r="L104" s="184"/>
      <c r="M104" s="96" t="str">
        <f t="shared" si="16"/>
        <v/>
      </c>
      <c r="N104" s="184"/>
      <c r="O104" s="515"/>
      <c r="P104" s="184"/>
      <c r="Q104" s="185"/>
      <c r="R104" s="185"/>
      <c r="S104" s="271"/>
      <c r="T104" s="499" t="e">
        <f ca="1" xml:space="preserve"> _xll.EPMOlapMemberO("[FILA_NOTA].[PARENTH1].[09901084]","","09901084","","000;001;002")</f>
        <v>#NAME?</v>
      </c>
      <c r="U104" s="271"/>
      <c r="V104" s="271"/>
      <c r="W104" s="428">
        <f t="shared" si="18"/>
        <v>0</v>
      </c>
      <c r="X104" s="291"/>
      <c r="Y104" s="526"/>
      <c r="Z104" s="526"/>
      <c r="AA104" s="428">
        <f t="shared" si="19"/>
        <v>0</v>
      </c>
      <c r="AB104" s="526"/>
      <c r="AC104" s="428">
        <f t="shared" si="20"/>
        <v>0</v>
      </c>
      <c r="AD104" s="271"/>
      <c r="AE104" s="271"/>
      <c r="AF104" s="428">
        <f t="shared" si="21"/>
        <v>0</v>
      </c>
      <c r="AG104" s="526"/>
      <c r="AH104" s="526"/>
      <c r="AI104" s="526"/>
      <c r="AJ104" s="526"/>
      <c r="AK104" s="234"/>
      <c r="AL104" s="433"/>
      <c r="AM104" s="433"/>
      <c r="AN104" s="416" t="e">
        <f ca="1">_xll.EPMSaveComment(C104,,B104,C$19)</f>
        <v>#NAME?</v>
      </c>
      <c r="AO104" s="416" t="e">
        <f ca="1">_xll.EPMSaveComment(D104,,B104,D$19)</f>
        <v>#NAME?</v>
      </c>
      <c r="AP104" s="416" t="e">
        <f ca="1">_xll.EPMSaveComment(E104,,B104,E$19)</f>
        <v>#NAME?</v>
      </c>
      <c r="AQ104" s="416" t="e">
        <f ca="1">_xll.EPMSaveComment(F104,,$B104,F$19)</f>
        <v>#NAME?</v>
      </c>
      <c r="AR104" s="416" t="e">
        <f ca="1">_xll.EPMSaveComment(#REF!,,$B104,G$19)</f>
        <v>#NAME?</v>
      </c>
      <c r="AS104" s="416" t="e">
        <f ca="1">_xll.EPMSaveComment(H104,,$B104,H$19)</f>
        <v>#NAME?</v>
      </c>
      <c r="AT104" s="416" t="e">
        <f ca="1">_xll.EPMSaveData(I104,,I$19,$B104)</f>
        <v>#NAME?</v>
      </c>
      <c r="AU104" s="416" t="e">
        <f ca="1">_xll.EPMSaveComment(J104,,$B104,J$19)</f>
        <v>#NAME?</v>
      </c>
      <c r="AV104" s="416" t="e">
        <f ca="1">_xll.EPMSaveComment(K104,,$B104,K$19)</f>
        <v>#NAME?</v>
      </c>
      <c r="AW104" s="416" t="e">
        <f ca="1">_xll.EPMSaveComment(L104,,$B104,L$19)</f>
        <v>#NAME?</v>
      </c>
      <c r="AX104" s="416" t="e">
        <f ca="1">_xll.EPMSaveComment(M104,,$B104,M$19)</f>
        <v>#NAME?</v>
      </c>
      <c r="AY104" s="416" t="e">
        <f ca="1">_xll.EPMSaveComment(N104,,$B104,N$19)</f>
        <v>#NAME?</v>
      </c>
      <c r="AZ104" s="416" t="e">
        <f ca="1">_xll.EPMSaveData(O104,,O$19,$B104)</f>
        <v>#NAME?</v>
      </c>
      <c r="BA104" s="416" t="e">
        <f ca="1">_xll.EPMSaveComment(P104,,$B104,P$19)</f>
        <v>#NAME?</v>
      </c>
      <c r="BB104" s="416" t="e">
        <f ca="1">_xll.EPMSaveComment(Q104,,$B104,Q$19)</f>
        <v>#NAME?</v>
      </c>
      <c r="BC104" s="416" t="e">
        <f ca="1">_xll.EPMSaveComment(R104,,$B104,R$19)</f>
        <v>#NAME?</v>
      </c>
      <c r="BD104" s="416" t="e">
        <f ca="1">_xll.EPMSaveData(S104,,$F$19,$B104)</f>
        <v>#NAME?</v>
      </c>
      <c r="BE104" s="416" t="e">
        <f ca="1">_xll.EPMSaveComment(AK104,,B104,AF$15)</f>
        <v>#NAME?</v>
      </c>
      <c r="BF104" s="416"/>
      <c r="BG104" s="416"/>
      <c r="BH104" s="157" t="str">
        <f t="shared" si="22"/>
        <v>Ok</v>
      </c>
      <c r="BI104" s="347">
        <f t="shared" si="23"/>
        <v>0</v>
      </c>
      <c r="BK104" s="160" t="str">
        <f t="shared" si="24"/>
        <v/>
      </c>
    </row>
    <row r="105" spans="1:63" ht="15">
      <c r="A105" s="180" t="s">
        <v>17</v>
      </c>
      <c r="B105" s="580" t="s">
        <v>326</v>
      </c>
      <c r="C105" s="479"/>
      <c r="D105" s="224"/>
      <c r="E105" s="97" t="str">
        <f t="shared" si="14"/>
        <v/>
      </c>
      <c r="F105" s="183"/>
      <c r="G105" s="97" t="str">
        <f t="shared" si="17"/>
        <v/>
      </c>
      <c r="H105" s="307"/>
      <c r="I105" s="182"/>
      <c r="J105" s="184"/>
      <c r="K105" s="110" t="str">
        <f t="shared" si="15"/>
        <v/>
      </c>
      <c r="L105" s="184"/>
      <c r="M105" s="96" t="str">
        <f t="shared" si="16"/>
        <v/>
      </c>
      <c r="N105" s="184"/>
      <c r="O105" s="515"/>
      <c r="P105" s="184"/>
      <c r="Q105" s="185"/>
      <c r="R105" s="185"/>
      <c r="S105" s="271"/>
      <c r="T105" s="499" t="e">
        <f ca="1" xml:space="preserve"> _xll.EPMOlapMemberO("[FILA_NOTA].[PARENTH1].[09901085]","","09901085","","000;001;002")</f>
        <v>#NAME?</v>
      </c>
      <c r="U105" s="271"/>
      <c r="V105" s="271"/>
      <c r="W105" s="428">
        <f t="shared" si="18"/>
        <v>0</v>
      </c>
      <c r="X105" s="291"/>
      <c r="Y105" s="526"/>
      <c r="Z105" s="526"/>
      <c r="AA105" s="428">
        <f t="shared" si="19"/>
        <v>0</v>
      </c>
      <c r="AB105" s="526"/>
      <c r="AC105" s="428">
        <f t="shared" si="20"/>
        <v>0</v>
      </c>
      <c r="AD105" s="271"/>
      <c r="AE105" s="271"/>
      <c r="AF105" s="428">
        <f t="shared" si="21"/>
        <v>0</v>
      </c>
      <c r="AG105" s="526"/>
      <c r="AH105" s="526"/>
      <c r="AI105" s="526"/>
      <c r="AJ105" s="526"/>
      <c r="AK105" s="234"/>
      <c r="AL105" s="433"/>
      <c r="AM105" s="433"/>
      <c r="AN105" s="416" t="e">
        <f ca="1">_xll.EPMSaveComment(C105,,B105,C$19)</f>
        <v>#NAME?</v>
      </c>
      <c r="AO105" s="416" t="e">
        <f ca="1">_xll.EPMSaveComment(D105,,B105,D$19)</f>
        <v>#NAME?</v>
      </c>
      <c r="AP105" s="416" t="e">
        <f ca="1">_xll.EPMSaveComment(E105,,B105,E$19)</f>
        <v>#NAME?</v>
      </c>
      <c r="AQ105" s="416" t="e">
        <f ca="1">_xll.EPMSaveComment(F105,,$B105,F$19)</f>
        <v>#NAME?</v>
      </c>
      <c r="AR105" s="416" t="e">
        <f ca="1">_xll.EPMSaveComment(#REF!,,$B105,G$19)</f>
        <v>#NAME?</v>
      </c>
      <c r="AS105" s="416" t="e">
        <f ca="1">_xll.EPMSaveComment(H105,,$B105,H$19)</f>
        <v>#NAME?</v>
      </c>
      <c r="AT105" s="416" t="e">
        <f ca="1">_xll.EPMSaveData(I105,,I$19,$B105)</f>
        <v>#NAME?</v>
      </c>
      <c r="AU105" s="416" t="e">
        <f ca="1">_xll.EPMSaveComment(J105,,$B105,J$19)</f>
        <v>#NAME?</v>
      </c>
      <c r="AV105" s="416" t="e">
        <f ca="1">_xll.EPMSaveComment(K105,,$B105,K$19)</f>
        <v>#NAME?</v>
      </c>
      <c r="AW105" s="416" t="e">
        <f ca="1">_xll.EPMSaveComment(L105,,$B105,L$19)</f>
        <v>#NAME?</v>
      </c>
      <c r="AX105" s="416" t="e">
        <f ca="1">_xll.EPMSaveComment(M105,,$B105,M$19)</f>
        <v>#NAME?</v>
      </c>
      <c r="AY105" s="416" t="e">
        <f ca="1">_xll.EPMSaveComment(N105,,$B105,N$19)</f>
        <v>#NAME?</v>
      </c>
      <c r="AZ105" s="416" t="e">
        <f ca="1">_xll.EPMSaveData(O105,,O$19,$B105)</f>
        <v>#NAME?</v>
      </c>
      <c r="BA105" s="416" t="e">
        <f ca="1">_xll.EPMSaveComment(P105,,$B105,P$19)</f>
        <v>#NAME?</v>
      </c>
      <c r="BB105" s="416" t="e">
        <f ca="1">_xll.EPMSaveComment(Q105,,$B105,Q$19)</f>
        <v>#NAME?</v>
      </c>
      <c r="BC105" s="416" t="e">
        <f ca="1">_xll.EPMSaveComment(R105,,$B105,R$19)</f>
        <v>#NAME?</v>
      </c>
      <c r="BD105" s="416" t="e">
        <f ca="1">_xll.EPMSaveData(S105,,$F$19,$B105)</f>
        <v>#NAME?</v>
      </c>
      <c r="BE105" s="416" t="e">
        <f ca="1">_xll.EPMSaveComment(AK105,,B105,AF$15)</f>
        <v>#NAME?</v>
      </c>
      <c r="BF105" s="416"/>
      <c r="BG105" s="416"/>
      <c r="BH105" s="157" t="str">
        <f t="shared" si="22"/>
        <v>Ok</v>
      </c>
      <c r="BI105" s="347">
        <f t="shared" si="23"/>
        <v>0</v>
      </c>
      <c r="BK105" s="160" t="str">
        <f t="shared" si="24"/>
        <v/>
      </c>
    </row>
    <row r="106" spans="1:63">
      <c r="A106" s="179" t="s">
        <v>18</v>
      </c>
      <c r="B106" s="580" t="s">
        <v>327</v>
      </c>
      <c r="C106" s="479"/>
      <c r="D106" s="224"/>
      <c r="E106" s="97" t="str">
        <f t="shared" si="14"/>
        <v/>
      </c>
      <c r="F106" s="183"/>
      <c r="G106" s="97" t="str">
        <f t="shared" si="17"/>
        <v/>
      </c>
      <c r="H106" s="307"/>
      <c r="I106" s="182"/>
      <c r="J106" s="184"/>
      <c r="K106" s="110" t="str">
        <f t="shared" si="15"/>
        <v/>
      </c>
      <c r="L106" s="184"/>
      <c r="M106" s="96" t="str">
        <f t="shared" si="16"/>
        <v/>
      </c>
      <c r="N106" s="184"/>
      <c r="O106" s="515"/>
      <c r="P106" s="184"/>
      <c r="Q106" s="185"/>
      <c r="R106" s="185"/>
      <c r="S106" s="271"/>
      <c r="T106" s="499" t="e">
        <f ca="1" xml:space="preserve"> _xll.EPMOlapMemberO("[FILA_NOTA].[PARENTH1].[09901086]","","09901086","","000;001;002")</f>
        <v>#NAME?</v>
      </c>
      <c r="U106" s="271"/>
      <c r="V106" s="271"/>
      <c r="W106" s="428">
        <f t="shared" si="18"/>
        <v>0</v>
      </c>
      <c r="X106" s="291"/>
      <c r="Y106" s="526"/>
      <c r="Z106" s="526"/>
      <c r="AA106" s="428">
        <f t="shared" si="19"/>
        <v>0</v>
      </c>
      <c r="AB106" s="526"/>
      <c r="AC106" s="428">
        <f t="shared" si="20"/>
        <v>0</v>
      </c>
      <c r="AD106" s="271"/>
      <c r="AE106" s="271"/>
      <c r="AF106" s="428">
        <f t="shared" si="21"/>
        <v>0</v>
      </c>
      <c r="AG106" s="526"/>
      <c r="AH106" s="526"/>
      <c r="AI106" s="526"/>
      <c r="AJ106" s="526"/>
      <c r="AK106" s="234"/>
      <c r="AL106" s="433"/>
      <c r="AM106" s="433"/>
      <c r="AN106" s="416" t="e">
        <f ca="1">_xll.EPMSaveComment(C106,,B106,C$19)</f>
        <v>#NAME?</v>
      </c>
      <c r="AO106" s="416" t="e">
        <f ca="1">_xll.EPMSaveComment(D106,,B106,D$19)</f>
        <v>#NAME?</v>
      </c>
      <c r="AP106" s="416" t="e">
        <f ca="1">_xll.EPMSaveComment(E106,,B106,E$19)</f>
        <v>#NAME?</v>
      </c>
      <c r="AQ106" s="416" t="e">
        <f ca="1">_xll.EPMSaveComment(F106,,$B106,F$19)</f>
        <v>#NAME?</v>
      </c>
      <c r="AR106" s="416" t="e">
        <f ca="1">_xll.EPMSaveComment(#REF!,,$B106,G$19)</f>
        <v>#NAME?</v>
      </c>
      <c r="AS106" s="416" t="e">
        <f ca="1">_xll.EPMSaveComment(H106,,$B106,H$19)</f>
        <v>#NAME?</v>
      </c>
      <c r="AT106" s="416" t="e">
        <f ca="1">_xll.EPMSaveData(I106,,I$19,$B106)</f>
        <v>#NAME?</v>
      </c>
      <c r="AU106" s="416" t="e">
        <f ca="1">_xll.EPMSaveComment(J106,,$B106,J$19)</f>
        <v>#NAME?</v>
      </c>
      <c r="AV106" s="416" t="e">
        <f ca="1">_xll.EPMSaveComment(K106,,$B106,K$19)</f>
        <v>#NAME?</v>
      </c>
      <c r="AW106" s="416" t="e">
        <f ca="1">_xll.EPMSaveComment(L106,,$B106,L$19)</f>
        <v>#NAME?</v>
      </c>
      <c r="AX106" s="416" t="e">
        <f ca="1">_xll.EPMSaveComment(M106,,$B106,M$19)</f>
        <v>#NAME?</v>
      </c>
      <c r="AY106" s="416" t="e">
        <f ca="1">_xll.EPMSaveComment(N106,,$B106,N$19)</f>
        <v>#NAME?</v>
      </c>
      <c r="AZ106" s="416" t="e">
        <f ca="1">_xll.EPMSaveData(O106,,O$19,$B106)</f>
        <v>#NAME?</v>
      </c>
      <c r="BA106" s="416" t="e">
        <f ca="1">_xll.EPMSaveComment(P106,,$B106,P$19)</f>
        <v>#NAME?</v>
      </c>
      <c r="BB106" s="416" t="e">
        <f ca="1">_xll.EPMSaveComment(Q106,,$B106,Q$19)</f>
        <v>#NAME?</v>
      </c>
      <c r="BC106" s="416" t="e">
        <f ca="1">_xll.EPMSaveComment(R106,,$B106,R$19)</f>
        <v>#NAME?</v>
      </c>
      <c r="BD106" s="416" t="e">
        <f ca="1">_xll.EPMSaveData(S106,,$F$19,$B106)</f>
        <v>#NAME?</v>
      </c>
      <c r="BE106" s="416" t="e">
        <f ca="1">_xll.EPMSaveComment(AK106,,B106,AF$15)</f>
        <v>#NAME?</v>
      </c>
      <c r="BF106" s="416"/>
      <c r="BG106" s="416"/>
      <c r="BH106" s="157" t="str">
        <f t="shared" si="22"/>
        <v>Ok</v>
      </c>
      <c r="BI106" s="347">
        <f t="shared" si="23"/>
        <v>0</v>
      </c>
      <c r="BK106" s="160" t="str">
        <f t="shared" si="24"/>
        <v/>
      </c>
    </row>
    <row r="107" spans="1:63">
      <c r="A107" s="179" t="s">
        <v>19</v>
      </c>
      <c r="B107" s="580" t="s">
        <v>328</v>
      </c>
      <c r="C107" s="479"/>
      <c r="D107" s="224"/>
      <c r="E107" s="97" t="str">
        <f t="shared" si="14"/>
        <v/>
      </c>
      <c r="F107" s="183"/>
      <c r="G107" s="97" t="str">
        <f t="shared" si="17"/>
        <v/>
      </c>
      <c r="H107" s="307"/>
      <c r="I107" s="182"/>
      <c r="J107" s="184"/>
      <c r="K107" s="110" t="str">
        <f t="shared" si="15"/>
        <v/>
      </c>
      <c r="L107" s="184"/>
      <c r="M107" s="96" t="str">
        <f t="shared" si="16"/>
        <v/>
      </c>
      <c r="N107" s="184"/>
      <c r="O107" s="515"/>
      <c r="P107" s="184"/>
      <c r="Q107" s="185"/>
      <c r="R107" s="185"/>
      <c r="S107" s="271"/>
      <c r="T107" s="499" t="e">
        <f ca="1" xml:space="preserve"> _xll.EPMOlapMemberO("[FILA_NOTA].[PARENTH1].[09901087]","","09901087","","000;001;002")</f>
        <v>#NAME?</v>
      </c>
      <c r="U107" s="271"/>
      <c r="V107" s="271"/>
      <c r="W107" s="428">
        <f t="shared" si="18"/>
        <v>0</v>
      </c>
      <c r="X107" s="291"/>
      <c r="Y107" s="526"/>
      <c r="Z107" s="526"/>
      <c r="AA107" s="428">
        <f t="shared" si="19"/>
        <v>0</v>
      </c>
      <c r="AB107" s="526"/>
      <c r="AC107" s="428">
        <f t="shared" si="20"/>
        <v>0</v>
      </c>
      <c r="AD107" s="271"/>
      <c r="AE107" s="271"/>
      <c r="AF107" s="428">
        <f t="shared" si="21"/>
        <v>0</v>
      </c>
      <c r="AG107" s="526"/>
      <c r="AH107" s="526"/>
      <c r="AI107" s="526"/>
      <c r="AJ107" s="526"/>
      <c r="AK107" s="234"/>
      <c r="AL107" s="433"/>
      <c r="AM107" s="433"/>
      <c r="AN107" s="416" t="e">
        <f ca="1">_xll.EPMSaveComment(C107,,B107,C$19)</f>
        <v>#NAME?</v>
      </c>
      <c r="AO107" s="416" t="e">
        <f ca="1">_xll.EPMSaveComment(D107,,B107,D$19)</f>
        <v>#NAME?</v>
      </c>
      <c r="AP107" s="416" t="e">
        <f ca="1">_xll.EPMSaveComment(E107,,B107,E$19)</f>
        <v>#NAME?</v>
      </c>
      <c r="AQ107" s="416" t="e">
        <f ca="1">_xll.EPMSaveComment(F107,,$B107,F$19)</f>
        <v>#NAME?</v>
      </c>
      <c r="AR107" s="416" t="e">
        <f ca="1">_xll.EPMSaveComment(#REF!,,$B107,G$19)</f>
        <v>#NAME?</v>
      </c>
      <c r="AS107" s="416" t="e">
        <f ca="1">_xll.EPMSaveComment(H107,,$B107,H$19)</f>
        <v>#NAME?</v>
      </c>
      <c r="AT107" s="416" t="e">
        <f ca="1">_xll.EPMSaveData(I107,,I$19,$B107)</f>
        <v>#NAME?</v>
      </c>
      <c r="AU107" s="416" t="e">
        <f ca="1">_xll.EPMSaveComment(J107,,$B107,J$19)</f>
        <v>#NAME?</v>
      </c>
      <c r="AV107" s="416" t="e">
        <f ca="1">_xll.EPMSaveComment(K107,,$B107,K$19)</f>
        <v>#NAME?</v>
      </c>
      <c r="AW107" s="416" t="e">
        <f ca="1">_xll.EPMSaveComment(L107,,$B107,L$19)</f>
        <v>#NAME?</v>
      </c>
      <c r="AX107" s="416" t="e">
        <f ca="1">_xll.EPMSaveComment(M107,,$B107,M$19)</f>
        <v>#NAME?</v>
      </c>
      <c r="AY107" s="416" t="e">
        <f ca="1">_xll.EPMSaveComment(N107,,$B107,N$19)</f>
        <v>#NAME?</v>
      </c>
      <c r="AZ107" s="416" t="e">
        <f ca="1">_xll.EPMSaveData(O107,,O$19,$B107)</f>
        <v>#NAME?</v>
      </c>
      <c r="BA107" s="416" t="e">
        <f ca="1">_xll.EPMSaveComment(P107,,$B107,P$19)</f>
        <v>#NAME?</v>
      </c>
      <c r="BB107" s="416" t="e">
        <f ca="1">_xll.EPMSaveComment(Q107,,$B107,Q$19)</f>
        <v>#NAME?</v>
      </c>
      <c r="BC107" s="416" t="e">
        <f ca="1">_xll.EPMSaveComment(R107,,$B107,R$19)</f>
        <v>#NAME?</v>
      </c>
      <c r="BD107" s="416" t="e">
        <f ca="1">_xll.EPMSaveData(S107,,$F$19,$B107)</f>
        <v>#NAME?</v>
      </c>
      <c r="BE107" s="416" t="e">
        <f ca="1">_xll.EPMSaveComment(AK107,,B107,AF$15)</f>
        <v>#NAME?</v>
      </c>
      <c r="BF107" s="416"/>
      <c r="BG107" s="416"/>
      <c r="BH107" s="157" t="str">
        <f t="shared" si="22"/>
        <v>Ok</v>
      </c>
      <c r="BI107" s="347">
        <f t="shared" si="23"/>
        <v>0</v>
      </c>
      <c r="BK107" s="160" t="str">
        <f t="shared" si="24"/>
        <v/>
      </c>
    </row>
    <row r="108" spans="1:63">
      <c r="A108" s="179" t="e">
        <f ca="1">"FUENTE:"&amp;IF(A117="E","AJUST_HOMOGENIZADOS","TOTAL_FTES")</f>
        <v>#NAME?</v>
      </c>
      <c r="B108" s="580" t="s">
        <v>329</v>
      </c>
      <c r="C108" s="479"/>
      <c r="D108" s="224"/>
      <c r="E108" s="97" t="str">
        <f t="shared" si="14"/>
        <v/>
      </c>
      <c r="F108" s="183"/>
      <c r="G108" s="97" t="str">
        <f t="shared" si="17"/>
        <v/>
      </c>
      <c r="H108" s="307"/>
      <c r="I108" s="182"/>
      <c r="J108" s="184"/>
      <c r="K108" s="110" t="str">
        <f t="shared" si="15"/>
        <v/>
      </c>
      <c r="L108" s="184"/>
      <c r="M108" s="96" t="str">
        <f t="shared" si="16"/>
        <v/>
      </c>
      <c r="N108" s="184"/>
      <c r="O108" s="515"/>
      <c r="P108" s="184"/>
      <c r="Q108" s="185"/>
      <c r="R108" s="185"/>
      <c r="S108" s="271"/>
      <c r="T108" s="499" t="e">
        <f ca="1" xml:space="preserve"> _xll.EPMOlapMemberO("[FILA_NOTA].[PARENTH1].[09901088]","","09901088","","000;001;002")</f>
        <v>#NAME?</v>
      </c>
      <c r="U108" s="271"/>
      <c r="V108" s="271"/>
      <c r="W108" s="428">
        <f t="shared" si="18"/>
        <v>0</v>
      </c>
      <c r="X108" s="291"/>
      <c r="Y108" s="526"/>
      <c r="Z108" s="526"/>
      <c r="AA108" s="428">
        <f t="shared" si="19"/>
        <v>0</v>
      </c>
      <c r="AB108" s="526"/>
      <c r="AC108" s="428">
        <f t="shared" si="20"/>
        <v>0</v>
      </c>
      <c r="AD108" s="271"/>
      <c r="AE108" s="271"/>
      <c r="AF108" s="428">
        <f t="shared" si="21"/>
        <v>0</v>
      </c>
      <c r="AG108" s="526"/>
      <c r="AH108" s="526"/>
      <c r="AI108" s="526"/>
      <c r="AJ108" s="526"/>
      <c r="AK108" s="234"/>
      <c r="AL108" s="433"/>
      <c r="AM108" s="433"/>
      <c r="AN108" s="416" t="e">
        <f ca="1">_xll.EPMSaveComment(C108,,B108,C$19)</f>
        <v>#NAME?</v>
      </c>
      <c r="AO108" s="416" t="e">
        <f ca="1">_xll.EPMSaveComment(D108,,B108,D$19)</f>
        <v>#NAME?</v>
      </c>
      <c r="AP108" s="416" t="e">
        <f ca="1">_xll.EPMSaveComment(E108,,B108,E$19)</f>
        <v>#NAME?</v>
      </c>
      <c r="AQ108" s="416" t="e">
        <f ca="1">_xll.EPMSaveComment(F108,,$B108,F$19)</f>
        <v>#NAME?</v>
      </c>
      <c r="AR108" s="416" t="e">
        <f ca="1">_xll.EPMSaveComment(#REF!,,$B108,G$19)</f>
        <v>#NAME?</v>
      </c>
      <c r="AS108" s="416" t="e">
        <f ca="1">_xll.EPMSaveComment(H108,,$B108,H$19)</f>
        <v>#NAME?</v>
      </c>
      <c r="AT108" s="416" t="e">
        <f ca="1">_xll.EPMSaveData(I108,,I$19,$B108)</f>
        <v>#NAME?</v>
      </c>
      <c r="AU108" s="416" t="e">
        <f ca="1">_xll.EPMSaveComment(J108,,$B108,J$19)</f>
        <v>#NAME?</v>
      </c>
      <c r="AV108" s="416" t="e">
        <f ca="1">_xll.EPMSaveComment(K108,,$B108,K$19)</f>
        <v>#NAME?</v>
      </c>
      <c r="AW108" s="416" t="e">
        <f ca="1">_xll.EPMSaveComment(L108,,$B108,L$19)</f>
        <v>#NAME?</v>
      </c>
      <c r="AX108" s="416" t="e">
        <f ca="1">_xll.EPMSaveComment(M108,,$B108,M$19)</f>
        <v>#NAME?</v>
      </c>
      <c r="AY108" s="416" t="e">
        <f ca="1">_xll.EPMSaveComment(N108,,$B108,N$19)</f>
        <v>#NAME?</v>
      </c>
      <c r="AZ108" s="416" t="e">
        <f ca="1">_xll.EPMSaveData(O108,,O$19,$B108)</f>
        <v>#NAME?</v>
      </c>
      <c r="BA108" s="416" t="e">
        <f ca="1">_xll.EPMSaveComment(P108,,$B108,P$19)</f>
        <v>#NAME?</v>
      </c>
      <c r="BB108" s="416" t="e">
        <f ca="1">_xll.EPMSaveComment(Q108,,$B108,Q$19)</f>
        <v>#NAME?</v>
      </c>
      <c r="BC108" s="416" t="e">
        <f ca="1">_xll.EPMSaveComment(R108,,$B108,R$19)</f>
        <v>#NAME?</v>
      </c>
      <c r="BD108" s="416" t="e">
        <f ca="1">_xll.EPMSaveData(S108,,$F$19,$B108)</f>
        <v>#NAME?</v>
      </c>
      <c r="BE108" s="416" t="e">
        <f ca="1">_xll.EPMSaveComment(AK108,,B108,AF$15)</f>
        <v>#NAME?</v>
      </c>
      <c r="BF108" s="416"/>
      <c r="BG108" s="416"/>
      <c r="BH108" s="157" t="str">
        <f t="shared" si="22"/>
        <v>Ok</v>
      </c>
      <c r="BI108" s="347">
        <f t="shared" si="23"/>
        <v>0</v>
      </c>
      <c r="BK108" s="160" t="str">
        <f t="shared" si="24"/>
        <v/>
      </c>
    </row>
    <row r="109" spans="1:63">
      <c r="A109" s="179" t="e">
        <f ca="1">"MONEDA:"&amp;IF(A117="E","LC","COP")</f>
        <v>#NAME?</v>
      </c>
      <c r="B109" s="580" t="s">
        <v>330</v>
      </c>
      <c r="C109" s="479"/>
      <c r="D109" s="224"/>
      <c r="E109" s="97" t="str">
        <f t="shared" si="14"/>
        <v/>
      </c>
      <c r="F109" s="183"/>
      <c r="G109" s="97" t="str">
        <f t="shared" si="17"/>
        <v/>
      </c>
      <c r="H109" s="307"/>
      <c r="I109" s="182"/>
      <c r="J109" s="184"/>
      <c r="K109" s="110" t="str">
        <f t="shared" si="15"/>
        <v/>
      </c>
      <c r="L109" s="184"/>
      <c r="M109" s="96" t="str">
        <f t="shared" si="16"/>
        <v/>
      </c>
      <c r="N109" s="184"/>
      <c r="O109" s="515"/>
      <c r="P109" s="184"/>
      <c r="Q109" s="185"/>
      <c r="R109" s="185"/>
      <c r="S109" s="271"/>
      <c r="T109" s="499" t="e">
        <f ca="1" xml:space="preserve"> _xll.EPMOlapMemberO("[FILA_NOTA].[PARENTH1].[09901089]","","09901089","","000;001;002")</f>
        <v>#NAME?</v>
      </c>
      <c r="U109" s="271"/>
      <c r="V109" s="271"/>
      <c r="W109" s="428">
        <f t="shared" si="18"/>
        <v>0</v>
      </c>
      <c r="X109" s="291"/>
      <c r="Y109" s="526"/>
      <c r="Z109" s="526"/>
      <c r="AA109" s="428">
        <f t="shared" si="19"/>
        <v>0</v>
      </c>
      <c r="AB109" s="526"/>
      <c r="AC109" s="428">
        <f t="shared" si="20"/>
        <v>0</v>
      </c>
      <c r="AD109" s="271"/>
      <c r="AE109" s="271"/>
      <c r="AF109" s="428">
        <f t="shared" si="21"/>
        <v>0</v>
      </c>
      <c r="AG109" s="526"/>
      <c r="AH109" s="526"/>
      <c r="AI109" s="526"/>
      <c r="AJ109" s="526"/>
      <c r="AK109" s="234"/>
      <c r="AL109" s="433"/>
      <c r="AM109" s="433"/>
      <c r="AN109" s="416" t="e">
        <f ca="1">_xll.EPMSaveComment(C109,,B109,C$19)</f>
        <v>#NAME?</v>
      </c>
      <c r="AO109" s="416" t="e">
        <f ca="1">_xll.EPMSaveComment(D109,,B109,D$19)</f>
        <v>#NAME?</v>
      </c>
      <c r="AP109" s="416" t="e">
        <f ca="1">_xll.EPMSaveComment(E109,,B109,E$19)</f>
        <v>#NAME?</v>
      </c>
      <c r="AQ109" s="416" t="e">
        <f ca="1">_xll.EPMSaveComment(F109,,$B109,F$19)</f>
        <v>#NAME?</v>
      </c>
      <c r="AR109" s="416" t="e">
        <f ca="1">_xll.EPMSaveComment(#REF!,,$B109,G$19)</f>
        <v>#NAME?</v>
      </c>
      <c r="AS109" s="416" t="e">
        <f ca="1">_xll.EPMSaveComment(H109,,$B109,H$19)</f>
        <v>#NAME?</v>
      </c>
      <c r="AT109" s="416" t="e">
        <f ca="1">_xll.EPMSaveData(I109,,I$19,$B109)</f>
        <v>#NAME?</v>
      </c>
      <c r="AU109" s="416" t="e">
        <f ca="1">_xll.EPMSaveComment(J109,,$B109,J$19)</f>
        <v>#NAME?</v>
      </c>
      <c r="AV109" s="416" t="e">
        <f ca="1">_xll.EPMSaveComment(K109,,$B109,K$19)</f>
        <v>#NAME?</v>
      </c>
      <c r="AW109" s="416" t="e">
        <f ca="1">_xll.EPMSaveComment(L109,,$B109,L$19)</f>
        <v>#NAME?</v>
      </c>
      <c r="AX109" s="416" t="e">
        <f ca="1">_xll.EPMSaveComment(M109,,$B109,M$19)</f>
        <v>#NAME?</v>
      </c>
      <c r="AY109" s="416" t="e">
        <f ca="1">_xll.EPMSaveComment(N109,,$B109,N$19)</f>
        <v>#NAME?</v>
      </c>
      <c r="AZ109" s="416" t="e">
        <f ca="1">_xll.EPMSaveData(O109,,O$19,$B109)</f>
        <v>#NAME?</v>
      </c>
      <c r="BA109" s="416" t="e">
        <f ca="1">_xll.EPMSaveComment(P109,,$B109,P$19)</f>
        <v>#NAME?</v>
      </c>
      <c r="BB109" s="416" t="e">
        <f ca="1">_xll.EPMSaveComment(Q109,,$B109,Q$19)</f>
        <v>#NAME?</v>
      </c>
      <c r="BC109" s="416" t="e">
        <f ca="1">_xll.EPMSaveComment(R109,,$B109,R$19)</f>
        <v>#NAME?</v>
      </c>
      <c r="BD109" s="416" t="e">
        <f ca="1">_xll.EPMSaveData(S109,,$F$19,$B109)</f>
        <v>#NAME?</v>
      </c>
      <c r="BE109" s="416" t="e">
        <f ca="1">_xll.EPMSaveComment(AK109,,B109,AF$15)</f>
        <v>#NAME?</v>
      </c>
      <c r="BF109" s="416"/>
      <c r="BG109" s="416"/>
      <c r="BH109" s="157" t="str">
        <f t="shared" si="22"/>
        <v>Ok</v>
      </c>
      <c r="BI109" s="347">
        <f t="shared" si="23"/>
        <v>0</v>
      </c>
      <c r="BK109" s="160" t="str">
        <f t="shared" si="24"/>
        <v/>
      </c>
    </row>
    <row r="110" spans="1:63">
      <c r="A110" s="179" t="s">
        <v>20</v>
      </c>
      <c r="B110" s="580" t="s">
        <v>331</v>
      </c>
      <c r="C110" s="479"/>
      <c r="D110" s="224"/>
      <c r="E110" s="97" t="str">
        <f t="shared" si="14"/>
        <v/>
      </c>
      <c r="F110" s="183"/>
      <c r="G110" s="97" t="str">
        <f t="shared" si="17"/>
        <v/>
      </c>
      <c r="H110" s="307"/>
      <c r="I110" s="182"/>
      <c r="J110" s="184"/>
      <c r="K110" s="110" t="str">
        <f t="shared" si="15"/>
        <v/>
      </c>
      <c r="L110" s="184"/>
      <c r="M110" s="96" t="str">
        <f t="shared" si="16"/>
        <v/>
      </c>
      <c r="N110" s="184"/>
      <c r="O110" s="515"/>
      <c r="P110" s="184"/>
      <c r="Q110" s="185"/>
      <c r="R110" s="185"/>
      <c r="S110" s="271"/>
      <c r="T110" s="499" t="e">
        <f ca="1" xml:space="preserve"> _xll.EPMOlapMemberO("[FILA_NOTA].[PARENTH1].[09901090]","","09901090","","000;001;002")</f>
        <v>#NAME?</v>
      </c>
      <c r="U110" s="271"/>
      <c r="V110" s="271"/>
      <c r="W110" s="428">
        <f t="shared" si="18"/>
        <v>0</v>
      </c>
      <c r="X110" s="291"/>
      <c r="Y110" s="526"/>
      <c r="Z110" s="526"/>
      <c r="AA110" s="428">
        <f t="shared" si="19"/>
        <v>0</v>
      </c>
      <c r="AB110" s="526"/>
      <c r="AC110" s="428">
        <f t="shared" si="20"/>
        <v>0</v>
      </c>
      <c r="AD110" s="271"/>
      <c r="AE110" s="271"/>
      <c r="AF110" s="428">
        <f t="shared" si="21"/>
        <v>0</v>
      </c>
      <c r="AG110" s="526"/>
      <c r="AH110" s="526"/>
      <c r="AI110" s="526"/>
      <c r="AJ110" s="526"/>
      <c r="AK110" s="234"/>
      <c r="AL110" s="433"/>
      <c r="AM110" s="433"/>
      <c r="AN110" s="416" t="e">
        <f ca="1">_xll.EPMSaveComment(C110,,B110,C$19)</f>
        <v>#NAME?</v>
      </c>
      <c r="AO110" s="416" t="e">
        <f ca="1">_xll.EPMSaveComment(D110,,B110,D$19)</f>
        <v>#NAME?</v>
      </c>
      <c r="AP110" s="416" t="e">
        <f ca="1">_xll.EPMSaveComment(E110,,B110,E$19)</f>
        <v>#NAME?</v>
      </c>
      <c r="AQ110" s="416" t="e">
        <f ca="1">_xll.EPMSaveComment(F110,,$B110,F$19)</f>
        <v>#NAME?</v>
      </c>
      <c r="AR110" s="416" t="e">
        <f ca="1">_xll.EPMSaveComment(#REF!,,$B110,G$19)</f>
        <v>#NAME?</v>
      </c>
      <c r="AS110" s="416" t="e">
        <f ca="1">_xll.EPMSaveComment(H110,,$B110,H$19)</f>
        <v>#NAME?</v>
      </c>
      <c r="AT110" s="416" t="e">
        <f ca="1">_xll.EPMSaveData(I110,,I$19,$B110)</f>
        <v>#NAME?</v>
      </c>
      <c r="AU110" s="416" t="e">
        <f ca="1">_xll.EPMSaveComment(J110,,$B110,J$19)</f>
        <v>#NAME?</v>
      </c>
      <c r="AV110" s="416" t="e">
        <f ca="1">_xll.EPMSaveComment(K110,,$B110,K$19)</f>
        <v>#NAME?</v>
      </c>
      <c r="AW110" s="416" t="e">
        <f ca="1">_xll.EPMSaveComment(L110,,$B110,L$19)</f>
        <v>#NAME?</v>
      </c>
      <c r="AX110" s="416" t="e">
        <f ca="1">_xll.EPMSaveComment(M110,,$B110,M$19)</f>
        <v>#NAME?</v>
      </c>
      <c r="AY110" s="416" t="e">
        <f ca="1">_xll.EPMSaveComment(N110,,$B110,N$19)</f>
        <v>#NAME?</v>
      </c>
      <c r="AZ110" s="416" t="e">
        <f ca="1">_xll.EPMSaveData(O110,,O$19,$B110)</f>
        <v>#NAME?</v>
      </c>
      <c r="BA110" s="416" t="e">
        <f ca="1">_xll.EPMSaveComment(P110,,$B110,P$19)</f>
        <v>#NAME?</v>
      </c>
      <c r="BB110" s="416" t="e">
        <f ca="1">_xll.EPMSaveComment(Q110,,$B110,Q$19)</f>
        <v>#NAME?</v>
      </c>
      <c r="BC110" s="416" t="e">
        <f ca="1">_xll.EPMSaveComment(R110,,$B110,R$19)</f>
        <v>#NAME?</v>
      </c>
      <c r="BD110" s="416" t="e">
        <f ca="1">_xll.EPMSaveData(S110,,$F$19,$B110)</f>
        <v>#NAME?</v>
      </c>
      <c r="BE110" s="416" t="e">
        <f ca="1">_xll.EPMSaveComment(AK110,,B110,AF$15)</f>
        <v>#NAME?</v>
      </c>
      <c r="BF110" s="416"/>
      <c r="BG110" s="416"/>
      <c r="BH110" s="157" t="str">
        <f t="shared" si="22"/>
        <v>Ok</v>
      </c>
      <c r="BI110" s="347">
        <f t="shared" si="23"/>
        <v>0</v>
      </c>
      <c r="BK110" s="160" t="str">
        <f t="shared" si="24"/>
        <v/>
      </c>
    </row>
    <row r="111" spans="1:63">
      <c r="A111" s="179" t="s">
        <v>21</v>
      </c>
      <c r="B111" s="580" t="s">
        <v>332</v>
      </c>
      <c r="C111" s="479"/>
      <c r="D111" s="224"/>
      <c r="E111" s="97" t="str">
        <f t="shared" si="14"/>
        <v/>
      </c>
      <c r="F111" s="183"/>
      <c r="G111" s="97" t="str">
        <f t="shared" si="17"/>
        <v/>
      </c>
      <c r="H111" s="307"/>
      <c r="I111" s="182"/>
      <c r="J111" s="184"/>
      <c r="K111" s="110" t="str">
        <f t="shared" si="15"/>
        <v/>
      </c>
      <c r="L111" s="184"/>
      <c r="M111" s="96" t="str">
        <f t="shared" si="16"/>
        <v/>
      </c>
      <c r="N111" s="184"/>
      <c r="O111" s="515"/>
      <c r="P111" s="184"/>
      <c r="Q111" s="185"/>
      <c r="R111" s="185"/>
      <c r="S111" s="271"/>
      <c r="T111" s="499" t="e">
        <f ca="1" xml:space="preserve"> _xll.EPMOlapMemberO("[FILA_NOTA].[PARENTH1].[09901091]","","09901091","","000;001;002")</f>
        <v>#NAME?</v>
      </c>
      <c r="U111" s="271"/>
      <c r="V111" s="271"/>
      <c r="W111" s="428">
        <f t="shared" si="18"/>
        <v>0</v>
      </c>
      <c r="X111" s="291"/>
      <c r="Y111" s="526"/>
      <c r="Z111" s="526"/>
      <c r="AA111" s="428">
        <f t="shared" si="19"/>
        <v>0</v>
      </c>
      <c r="AB111" s="526"/>
      <c r="AC111" s="428">
        <f t="shared" si="20"/>
        <v>0</v>
      </c>
      <c r="AD111" s="271"/>
      <c r="AE111" s="271"/>
      <c r="AF111" s="428">
        <f t="shared" si="21"/>
        <v>0</v>
      </c>
      <c r="AG111" s="526"/>
      <c r="AH111" s="526"/>
      <c r="AI111" s="526"/>
      <c r="AJ111" s="526"/>
      <c r="AK111" s="234"/>
      <c r="AL111" s="433"/>
      <c r="AM111" s="433"/>
      <c r="AN111" s="416" t="e">
        <f ca="1">_xll.EPMSaveComment(C111,,B111,C$19)</f>
        <v>#NAME?</v>
      </c>
      <c r="AO111" s="416" t="e">
        <f ca="1">_xll.EPMSaveComment(D111,,B111,D$19)</f>
        <v>#NAME?</v>
      </c>
      <c r="AP111" s="416" t="e">
        <f ca="1">_xll.EPMSaveComment(E111,,B111,E$19)</f>
        <v>#NAME?</v>
      </c>
      <c r="AQ111" s="416" t="e">
        <f ca="1">_xll.EPMSaveComment(F111,,$B111,F$19)</f>
        <v>#NAME?</v>
      </c>
      <c r="AR111" s="416" t="e">
        <f ca="1">_xll.EPMSaveComment(#REF!,,$B111,G$19)</f>
        <v>#NAME?</v>
      </c>
      <c r="AS111" s="416" t="e">
        <f ca="1">_xll.EPMSaveComment(H111,,$B111,H$19)</f>
        <v>#NAME?</v>
      </c>
      <c r="AT111" s="416" t="e">
        <f ca="1">_xll.EPMSaveData(I111,,I$19,$B111)</f>
        <v>#NAME?</v>
      </c>
      <c r="AU111" s="416" t="e">
        <f ca="1">_xll.EPMSaveComment(J111,,$B111,J$19)</f>
        <v>#NAME?</v>
      </c>
      <c r="AV111" s="416" t="e">
        <f ca="1">_xll.EPMSaveComment(K111,,$B111,K$19)</f>
        <v>#NAME?</v>
      </c>
      <c r="AW111" s="416" t="e">
        <f ca="1">_xll.EPMSaveComment(L111,,$B111,L$19)</f>
        <v>#NAME?</v>
      </c>
      <c r="AX111" s="416" t="e">
        <f ca="1">_xll.EPMSaveComment(M111,,$B111,M$19)</f>
        <v>#NAME?</v>
      </c>
      <c r="AY111" s="416" t="e">
        <f ca="1">_xll.EPMSaveComment(N111,,$B111,N$19)</f>
        <v>#NAME?</v>
      </c>
      <c r="AZ111" s="416" t="e">
        <f ca="1">_xll.EPMSaveData(O111,,O$19,$B111)</f>
        <v>#NAME?</v>
      </c>
      <c r="BA111" s="416" t="e">
        <f ca="1">_xll.EPMSaveComment(P111,,$B111,P$19)</f>
        <v>#NAME?</v>
      </c>
      <c r="BB111" s="416" t="e">
        <f ca="1">_xll.EPMSaveComment(Q111,,$B111,Q$19)</f>
        <v>#NAME?</v>
      </c>
      <c r="BC111" s="416" t="e">
        <f ca="1">_xll.EPMSaveComment(R111,,$B111,R$19)</f>
        <v>#NAME?</v>
      </c>
      <c r="BD111" s="416" t="e">
        <f ca="1">_xll.EPMSaveData(S111,,$F$19,$B111)</f>
        <v>#NAME?</v>
      </c>
      <c r="BE111" s="416" t="e">
        <f ca="1">_xll.EPMSaveComment(AK111,,B111,AF$15)</f>
        <v>#NAME?</v>
      </c>
      <c r="BF111" s="416"/>
      <c r="BG111" s="416"/>
      <c r="BH111" s="157" t="str">
        <f t="shared" si="22"/>
        <v>Ok</v>
      </c>
      <c r="BI111" s="347">
        <f t="shared" si="23"/>
        <v>0</v>
      </c>
      <c r="BK111" s="160" t="str">
        <f t="shared" si="24"/>
        <v/>
      </c>
    </row>
    <row r="112" spans="1:63">
      <c r="A112" s="179" t="e">
        <f ca="1">"GRUPO:"&amp;IF(A117="E","G_NONE",_xll.EPMMemberProperty("ANEXO_NOTAS_XBRL","ENTIDAD:"&amp;C3,"ID"))</f>
        <v>#NAME?</v>
      </c>
      <c r="B112" s="580" t="s">
        <v>333</v>
      </c>
      <c r="C112" s="479"/>
      <c r="D112" s="224"/>
      <c r="E112" s="97" t="str">
        <f t="shared" si="14"/>
        <v/>
      </c>
      <c r="F112" s="183"/>
      <c r="G112" s="97" t="str">
        <f t="shared" si="17"/>
        <v/>
      </c>
      <c r="H112" s="307"/>
      <c r="I112" s="182"/>
      <c r="J112" s="184"/>
      <c r="K112" s="110" t="str">
        <f t="shared" si="15"/>
        <v/>
      </c>
      <c r="L112" s="184"/>
      <c r="M112" s="96" t="str">
        <f t="shared" si="16"/>
        <v/>
      </c>
      <c r="N112" s="184"/>
      <c r="O112" s="515"/>
      <c r="P112" s="184"/>
      <c r="Q112" s="185"/>
      <c r="R112" s="185"/>
      <c r="S112" s="271"/>
      <c r="T112" s="499" t="e">
        <f ca="1" xml:space="preserve"> _xll.EPMOlapMemberO("[FILA_NOTA].[PARENTH1].[09901092]","","09901092","","000;001;002")</f>
        <v>#NAME?</v>
      </c>
      <c r="U112" s="271"/>
      <c r="V112" s="271"/>
      <c r="W112" s="428">
        <f t="shared" si="18"/>
        <v>0</v>
      </c>
      <c r="X112" s="291"/>
      <c r="Y112" s="526"/>
      <c r="Z112" s="526"/>
      <c r="AA112" s="428">
        <f t="shared" si="19"/>
        <v>0</v>
      </c>
      <c r="AB112" s="526"/>
      <c r="AC112" s="428">
        <f t="shared" si="20"/>
        <v>0</v>
      </c>
      <c r="AD112" s="271"/>
      <c r="AE112" s="271"/>
      <c r="AF112" s="428">
        <f t="shared" si="21"/>
        <v>0</v>
      </c>
      <c r="AG112" s="526"/>
      <c r="AH112" s="526"/>
      <c r="AI112" s="526"/>
      <c r="AJ112" s="526"/>
      <c r="AK112" s="234"/>
      <c r="AL112" s="433"/>
      <c r="AM112" s="433"/>
      <c r="AN112" s="416" t="e">
        <f ca="1">_xll.EPMSaveComment(C112,,B112,C$19)</f>
        <v>#NAME?</v>
      </c>
      <c r="AO112" s="416" t="e">
        <f ca="1">_xll.EPMSaveComment(D112,,B112,D$19)</f>
        <v>#NAME?</v>
      </c>
      <c r="AP112" s="416" t="e">
        <f ca="1">_xll.EPMSaveComment(E112,,B112,E$19)</f>
        <v>#NAME?</v>
      </c>
      <c r="AQ112" s="416" t="e">
        <f ca="1">_xll.EPMSaveComment(F112,,$B112,F$19)</f>
        <v>#NAME?</v>
      </c>
      <c r="AR112" s="416" t="e">
        <f ca="1">_xll.EPMSaveComment(#REF!,,$B112,G$19)</f>
        <v>#NAME?</v>
      </c>
      <c r="AS112" s="416" t="e">
        <f ca="1">_xll.EPMSaveComment(H112,,$B112,H$19)</f>
        <v>#NAME?</v>
      </c>
      <c r="AT112" s="416" t="e">
        <f ca="1">_xll.EPMSaveData(I112,,I$19,$B112)</f>
        <v>#NAME?</v>
      </c>
      <c r="AU112" s="416" t="e">
        <f ca="1">_xll.EPMSaveComment(J112,,$B112,J$19)</f>
        <v>#NAME?</v>
      </c>
      <c r="AV112" s="416" t="e">
        <f ca="1">_xll.EPMSaveComment(K112,,$B112,K$19)</f>
        <v>#NAME?</v>
      </c>
      <c r="AW112" s="416" t="e">
        <f ca="1">_xll.EPMSaveComment(L112,,$B112,L$19)</f>
        <v>#NAME?</v>
      </c>
      <c r="AX112" s="416" t="e">
        <f ca="1">_xll.EPMSaveComment(M112,,$B112,M$19)</f>
        <v>#NAME?</v>
      </c>
      <c r="AY112" s="416" t="e">
        <f ca="1">_xll.EPMSaveComment(N112,,$B112,N$19)</f>
        <v>#NAME?</v>
      </c>
      <c r="AZ112" s="416" t="e">
        <f ca="1">_xll.EPMSaveData(O112,,O$19,$B112)</f>
        <v>#NAME?</v>
      </c>
      <c r="BA112" s="416" t="e">
        <f ca="1">_xll.EPMSaveComment(P112,,$B112,P$19)</f>
        <v>#NAME?</v>
      </c>
      <c r="BB112" s="416" t="e">
        <f ca="1">_xll.EPMSaveComment(Q112,,$B112,Q$19)</f>
        <v>#NAME?</v>
      </c>
      <c r="BC112" s="416" t="e">
        <f ca="1">_xll.EPMSaveComment(R112,,$B112,R$19)</f>
        <v>#NAME?</v>
      </c>
      <c r="BD112" s="416" t="e">
        <f ca="1">_xll.EPMSaveData(S112,,$F$19,$B112)</f>
        <v>#NAME?</v>
      </c>
      <c r="BE112" s="416" t="e">
        <f ca="1">_xll.EPMSaveComment(AK112,,B112,AF$15)</f>
        <v>#NAME?</v>
      </c>
      <c r="BF112" s="416"/>
      <c r="BG112" s="416"/>
      <c r="BH112" s="157" t="str">
        <f t="shared" si="22"/>
        <v>Ok</v>
      </c>
      <c r="BI112" s="347">
        <f t="shared" si="23"/>
        <v>0</v>
      </c>
      <c r="BK112" s="160" t="str">
        <f t="shared" si="24"/>
        <v/>
      </c>
    </row>
    <row r="113" spans="1:63">
      <c r="A113" s="179" t="e">
        <f ca="1">"TIEMPO:"&amp;_xll.EPMMemberOffset(,A115,-12)</f>
        <v>#NAME?</v>
      </c>
      <c r="B113" s="580" t="s">
        <v>334</v>
      </c>
      <c r="C113" s="479"/>
      <c r="D113" s="224"/>
      <c r="E113" s="97" t="str">
        <f t="shared" si="14"/>
        <v/>
      </c>
      <c r="F113" s="183"/>
      <c r="G113" s="97" t="str">
        <f t="shared" si="17"/>
        <v/>
      </c>
      <c r="H113" s="307"/>
      <c r="I113" s="182"/>
      <c r="J113" s="184"/>
      <c r="K113" s="110" t="str">
        <f t="shared" si="15"/>
        <v/>
      </c>
      <c r="L113" s="184"/>
      <c r="M113" s="96" t="str">
        <f t="shared" si="16"/>
        <v/>
      </c>
      <c r="N113" s="184"/>
      <c r="O113" s="515"/>
      <c r="P113" s="184"/>
      <c r="Q113" s="185"/>
      <c r="R113" s="185"/>
      <c r="S113" s="271"/>
      <c r="T113" s="499" t="e">
        <f ca="1" xml:space="preserve"> _xll.EPMOlapMemberO("[FILA_NOTA].[PARENTH1].[09901093]","","09901093","","000;001;002")</f>
        <v>#NAME?</v>
      </c>
      <c r="U113" s="271"/>
      <c r="V113" s="271"/>
      <c r="W113" s="428">
        <f t="shared" si="18"/>
        <v>0</v>
      </c>
      <c r="X113" s="291"/>
      <c r="Y113" s="526"/>
      <c r="Z113" s="526"/>
      <c r="AA113" s="428">
        <f t="shared" si="19"/>
        <v>0</v>
      </c>
      <c r="AB113" s="526"/>
      <c r="AC113" s="428">
        <f t="shared" si="20"/>
        <v>0</v>
      </c>
      <c r="AD113" s="271"/>
      <c r="AE113" s="271"/>
      <c r="AF113" s="428">
        <f t="shared" si="21"/>
        <v>0</v>
      </c>
      <c r="AG113" s="526"/>
      <c r="AH113" s="526"/>
      <c r="AI113" s="526"/>
      <c r="AJ113" s="526"/>
      <c r="AK113" s="234"/>
      <c r="AL113" s="433"/>
      <c r="AM113" s="433"/>
      <c r="AN113" s="416" t="e">
        <f ca="1">_xll.EPMSaveComment(C113,,B113,C$19)</f>
        <v>#NAME?</v>
      </c>
      <c r="AO113" s="416" t="e">
        <f ca="1">_xll.EPMSaveComment(D113,,B113,D$19)</f>
        <v>#NAME?</v>
      </c>
      <c r="AP113" s="416" t="e">
        <f ca="1">_xll.EPMSaveComment(E113,,B113,E$19)</f>
        <v>#NAME?</v>
      </c>
      <c r="AQ113" s="416" t="e">
        <f ca="1">_xll.EPMSaveComment(F113,,$B113,F$19)</f>
        <v>#NAME?</v>
      </c>
      <c r="AR113" s="416" t="e">
        <f ca="1">_xll.EPMSaveComment(#REF!,,$B113,G$19)</f>
        <v>#NAME?</v>
      </c>
      <c r="AS113" s="416" t="e">
        <f ca="1">_xll.EPMSaveComment(H113,,$B113,H$19)</f>
        <v>#NAME?</v>
      </c>
      <c r="AT113" s="416" t="e">
        <f ca="1">_xll.EPMSaveData(I113,,I$19,$B113)</f>
        <v>#NAME?</v>
      </c>
      <c r="AU113" s="416" t="e">
        <f ca="1">_xll.EPMSaveComment(J113,,$B113,J$19)</f>
        <v>#NAME?</v>
      </c>
      <c r="AV113" s="416" t="e">
        <f ca="1">_xll.EPMSaveComment(K113,,$B113,K$19)</f>
        <v>#NAME?</v>
      </c>
      <c r="AW113" s="416" t="e">
        <f ca="1">_xll.EPMSaveComment(L113,,$B113,L$19)</f>
        <v>#NAME?</v>
      </c>
      <c r="AX113" s="416" t="e">
        <f ca="1">_xll.EPMSaveComment(M113,,$B113,M$19)</f>
        <v>#NAME?</v>
      </c>
      <c r="AY113" s="416" t="e">
        <f ca="1">_xll.EPMSaveComment(N113,,$B113,N$19)</f>
        <v>#NAME?</v>
      </c>
      <c r="AZ113" s="416" t="e">
        <f ca="1">_xll.EPMSaveData(O113,,O$19,$B113)</f>
        <v>#NAME?</v>
      </c>
      <c r="BA113" s="416" t="e">
        <f ca="1">_xll.EPMSaveComment(P113,,$B113,P$19)</f>
        <v>#NAME?</v>
      </c>
      <c r="BB113" s="416" t="e">
        <f ca="1">_xll.EPMSaveComment(Q113,,$B113,Q$19)</f>
        <v>#NAME?</v>
      </c>
      <c r="BC113" s="416" t="e">
        <f ca="1">_xll.EPMSaveComment(R113,,$B113,R$19)</f>
        <v>#NAME?</v>
      </c>
      <c r="BD113" s="416" t="e">
        <f ca="1">_xll.EPMSaveData(S113,,$F$19,$B113)</f>
        <v>#NAME?</v>
      </c>
      <c r="BE113" s="416" t="e">
        <f ca="1">_xll.EPMSaveComment(AK113,,B113,AF$15)</f>
        <v>#NAME?</v>
      </c>
      <c r="BF113" s="416"/>
      <c r="BG113" s="416"/>
      <c r="BH113" s="157" t="str">
        <f t="shared" si="22"/>
        <v>Ok</v>
      </c>
      <c r="BI113" s="347">
        <f t="shared" si="23"/>
        <v>0</v>
      </c>
      <c r="BK113" s="160" t="str">
        <f t="shared" si="24"/>
        <v/>
      </c>
    </row>
    <row r="114" spans="1:63">
      <c r="A114" s="179" t="e">
        <f ca="1">"ENTIDAD:"&amp;IF(A117="E",_xll.EPMMemberProperty("ANEXO_NOTAS_XBRL","ENTIDAD:"&amp;C3,"ID"),"CONS")</f>
        <v>#NAME?</v>
      </c>
      <c r="B114" s="580" t="s">
        <v>335</v>
      </c>
      <c r="C114" s="479"/>
      <c r="D114" s="224"/>
      <c r="E114" s="97" t="str">
        <f t="shared" si="14"/>
        <v/>
      </c>
      <c r="F114" s="183"/>
      <c r="G114" s="97" t="str">
        <f t="shared" si="17"/>
        <v/>
      </c>
      <c r="H114" s="307"/>
      <c r="I114" s="182"/>
      <c r="J114" s="184"/>
      <c r="K114" s="110" t="str">
        <f t="shared" si="15"/>
        <v/>
      </c>
      <c r="L114" s="184"/>
      <c r="M114" s="96" t="str">
        <f t="shared" si="16"/>
        <v/>
      </c>
      <c r="N114" s="184"/>
      <c r="O114" s="515"/>
      <c r="P114" s="184"/>
      <c r="Q114" s="185"/>
      <c r="R114" s="185"/>
      <c r="S114" s="271"/>
      <c r="T114" s="499" t="e">
        <f ca="1" xml:space="preserve"> _xll.EPMOlapMemberO("[FILA_NOTA].[PARENTH1].[09901094]","","09901094","","000;001;002")</f>
        <v>#NAME?</v>
      </c>
      <c r="U114" s="271"/>
      <c r="V114" s="271"/>
      <c r="W114" s="428">
        <f t="shared" si="18"/>
        <v>0</v>
      </c>
      <c r="X114" s="291"/>
      <c r="Y114" s="526"/>
      <c r="Z114" s="526"/>
      <c r="AA114" s="428">
        <f t="shared" si="19"/>
        <v>0</v>
      </c>
      <c r="AB114" s="526"/>
      <c r="AC114" s="428">
        <f t="shared" si="20"/>
        <v>0</v>
      </c>
      <c r="AD114" s="271"/>
      <c r="AE114" s="271"/>
      <c r="AF114" s="428">
        <f t="shared" si="21"/>
        <v>0</v>
      </c>
      <c r="AG114" s="526"/>
      <c r="AH114" s="526"/>
      <c r="AI114" s="526"/>
      <c r="AJ114" s="526"/>
      <c r="AK114" s="234"/>
      <c r="AL114" s="433"/>
      <c r="AM114" s="433"/>
      <c r="AN114" s="416" t="e">
        <f ca="1">_xll.EPMSaveComment(C114,,B114,C$19)</f>
        <v>#NAME?</v>
      </c>
      <c r="AO114" s="416" t="e">
        <f ca="1">_xll.EPMSaveComment(D114,,B114,D$19)</f>
        <v>#NAME?</v>
      </c>
      <c r="AP114" s="416" t="e">
        <f ca="1">_xll.EPMSaveComment(E114,,B114,E$19)</f>
        <v>#NAME?</v>
      </c>
      <c r="AQ114" s="416" t="e">
        <f ca="1">_xll.EPMSaveComment(F114,,$B114,F$19)</f>
        <v>#NAME?</v>
      </c>
      <c r="AR114" s="416" t="e">
        <f ca="1">_xll.EPMSaveComment(#REF!,,$B114,G$19)</f>
        <v>#NAME?</v>
      </c>
      <c r="AS114" s="416" t="e">
        <f ca="1">_xll.EPMSaveComment(H114,,$B114,H$19)</f>
        <v>#NAME?</v>
      </c>
      <c r="AT114" s="416" t="e">
        <f ca="1">_xll.EPMSaveData(I114,,I$19,$B114)</f>
        <v>#NAME?</v>
      </c>
      <c r="AU114" s="416" t="e">
        <f ca="1">_xll.EPMSaveComment(J114,,$B114,J$19)</f>
        <v>#NAME?</v>
      </c>
      <c r="AV114" s="416" t="e">
        <f ca="1">_xll.EPMSaveComment(K114,,$B114,K$19)</f>
        <v>#NAME?</v>
      </c>
      <c r="AW114" s="416" t="e">
        <f ca="1">_xll.EPMSaveComment(L114,,$B114,L$19)</f>
        <v>#NAME?</v>
      </c>
      <c r="AX114" s="416" t="e">
        <f ca="1">_xll.EPMSaveComment(M114,,$B114,M$19)</f>
        <v>#NAME?</v>
      </c>
      <c r="AY114" s="416" t="e">
        <f ca="1">_xll.EPMSaveComment(N114,,$B114,N$19)</f>
        <v>#NAME?</v>
      </c>
      <c r="AZ114" s="416" t="e">
        <f ca="1">_xll.EPMSaveData(O114,,O$19,$B114)</f>
        <v>#NAME?</v>
      </c>
      <c r="BA114" s="416" t="e">
        <f ca="1">_xll.EPMSaveComment(P114,,$B114,P$19)</f>
        <v>#NAME?</v>
      </c>
      <c r="BB114" s="416" t="e">
        <f ca="1">_xll.EPMSaveComment(Q114,,$B114,Q$19)</f>
        <v>#NAME?</v>
      </c>
      <c r="BC114" s="416" t="e">
        <f ca="1">_xll.EPMSaveComment(R114,,$B114,R$19)</f>
        <v>#NAME?</v>
      </c>
      <c r="BD114" s="416" t="e">
        <f ca="1">_xll.EPMSaveData(S114,,$F$19,$B114)</f>
        <v>#NAME?</v>
      </c>
      <c r="BE114" s="416" t="e">
        <f ca="1">_xll.EPMSaveComment(AK114,,B114,AF$15)</f>
        <v>#NAME?</v>
      </c>
      <c r="BF114" s="416"/>
      <c r="BG114" s="416"/>
      <c r="BH114" s="157" t="str">
        <f t="shared" si="22"/>
        <v>Ok</v>
      </c>
      <c r="BI114" s="347">
        <f t="shared" si="23"/>
        <v>0</v>
      </c>
      <c r="BK114" s="160" t="str">
        <f t="shared" si="24"/>
        <v/>
      </c>
    </row>
    <row r="115" spans="1:63">
      <c r="A115" s="179" t="e">
        <f ca="1">"TIEMPO:"&amp;_xll.EPMMemberProperty("ANEXO_NOTAS_XBRL","TIEMPO:"&amp;$C$4,"ID")</f>
        <v>#NAME?</v>
      </c>
      <c r="B115" s="580" t="s">
        <v>336</v>
      </c>
      <c r="C115" s="479"/>
      <c r="D115" s="224"/>
      <c r="E115" s="97" t="str">
        <f t="shared" si="14"/>
        <v/>
      </c>
      <c r="F115" s="183"/>
      <c r="G115" s="97" t="str">
        <f t="shared" si="17"/>
        <v/>
      </c>
      <c r="H115" s="307"/>
      <c r="I115" s="182"/>
      <c r="J115" s="184"/>
      <c r="K115" s="110" t="str">
        <f t="shared" si="15"/>
        <v/>
      </c>
      <c r="L115" s="184"/>
      <c r="M115" s="96" t="str">
        <f t="shared" si="16"/>
        <v/>
      </c>
      <c r="N115" s="184"/>
      <c r="O115" s="515"/>
      <c r="P115" s="184"/>
      <c r="Q115" s="185"/>
      <c r="R115" s="185"/>
      <c r="S115" s="271"/>
      <c r="T115" s="499" t="e">
        <f ca="1" xml:space="preserve"> _xll.EPMOlapMemberO("[FILA_NOTA].[PARENTH1].[09901095]","","09901095","","000;001;002")</f>
        <v>#NAME?</v>
      </c>
      <c r="U115" s="271"/>
      <c r="V115" s="271"/>
      <c r="W115" s="428">
        <f t="shared" si="18"/>
        <v>0</v>
      </c>
      <c r="X115" s="291"/>
      <c r="Y115" s="526"/>
      <c r="Z115" s="526"/>
      <c r="AA115" s="428">
        <f t="shared" si="19"/>
        <v>0</v>
      </c>
      <c r="AB115" s="526"/>
      <c r="AC115" s="428">
        <f t="shared" si="20"/>
        <v>0</v>
      </c>
      <c r="AD115" s="271"/>
      <c r="AE115" s="271"/>
      <c r="AF115" s="428">
        <f t="shared" si="21"/>
        <v>0</v>
      </c>
      <c r="AG115" s="526"/>
      <c r="AH115" s="526"/>
      <c r="AI115" s="526"/>
      <c r="AJ115" s="526"/>
      <c r="AK115" s="234"/>
      <c r="AL115" s="433"/>
      <c r="AM115" s="433"/>
      <c r="AN115" s="416" t="e">
        <f ca="1">_xll.EPMSaveComment(C115,,B115,C$19)</f>
        <v>#NAME?</v>
      </c>
      <c r="AO115" s="416" t="e">
        <f ca="1">_xll.EPMSaveComment(D115,,B115,D$19)</f>
        <v>#NAME?</v>
      </c>
      <c r="AP115" s="416" t="e">
        <f ca="1">_xll.EPMSaveComment(E115,,B115,E$19)</f>
        <v>#NAME?</v>
      </c>
      <c r="AQ115" s="416" t="e">
        <f ca="1">_xll.EPMSaveComment(F115,,$B115,F$19)</f>
        <v>#NAME?</v>
      </c>
      <c r="AR115" s="416" t="e">
        <f ca="1">_xll.EPMSaveComment(#REF!,,$B115,G$19)</f>
        <v>#NAME?</v>
      </c>
      <c r="AS115" s="416" t="e">
        <f ca="1">_xll.EPMSaveComment(H115,,$B115,H$19)</f>
        <v>#NAME?</v>
      </c>
      <c r="AT115" s="416" t="e">
        <f ca="1">_xll.EPMSaveData(I115,,I$19,$B115)</f>
        <v>#NAME?</v>
      </c>
      <c r="AU115" s="416" t="e">
        <f ca="1">_xll.EPMSaveComment(J115,,$B115,J$19)</f>
        <v>#NAME?</v>
      </c>
      <c r="AV115" s="416" t="e">
        <f ca="1">_xll.EPMSaveComment(K115,,$B115,K$19)</f>
        <v>#NAME?</v>
      </c>
      <c r="AW115" s="416" t="e">
        <f ca="1">_xll.EPMSaveComment(L115,,$B115,L$19)</f>
        <v>#NAME?</v>
      </c>
      <c r="AX115" s="416" t="e">
        <f ca="1">_xll.EPMSaveComment(M115,,$B115,M$19)</f>
        <v>#NAME?</v>
      </c>
      <c r="AY115" s="416" t="e">
        <f ca="1">_xll.EPMSaveComment(N115,,$B115,N$19)</f>
        <v>#NAME?</v>
      </c>
      <c r="AZ115" s="416" t="e">
        <f ca="1">_xll.EPMSaveData(O115,,O$19,$B115)</f>
        <v>#NAME?</v>
      </c>
      <c r="BA115" s="416" t="e">
        <f ca="1">_xll.EPMSaveComment(P115,,$B115,P$19)</f>
        <v>#NAME?</v>
      </c>
      <c r="BB115" s="416" t="e">
        <f ca="1">_xll.EPMSaveComment(Q115,,$B115,Q$19)</f>
        <v>#NAME?</v>
      </c>
      <c r="BC115" s="416" t="e">
        <f ca="1">_xll.EPMSaveComment(R115,,$B115,R$19)</f>
        <v>#NAME?</v>
      </c>
      <c r="BD115" s="416" t="e">
        <f ca="1">_xll.EPMSaveData(S115,,$F$19,$B115)</f>
        <v>#NAME?</v>
      </c>
      <c r="BE115" s="416" t="e">
        <f ca="1">_xll.EPMSaveComment(AK115,,B115,AF$15)</f>
        <v>#NAME?</v>
      </c>
      <c r="BF115" s="416"/>
      <c r="BG115" s="416"/>
      <c r="BH115" s="157" t="str">
        <f t="shared" si="22"/>
        <v>Ok</v>
      </c>
      <c r="BI115" s="347">
        <f t="shared" si="23"/>
        <v>0</v>
      </c>
      <c r="BK115" s="160" t="str">
        <f t="shared" si="24"/>
        <v/>
      </c>
    </row>
    <row r="116" spans="1:63">
      <c r="A116" s="179"/>
      <c r="B116" s="580" t="s">
        <v>337</v>
      </c>
      <c r="C116" s="479"/>
      <c r="D116" s="224"/>
      <c r="E116" s="97" t="str">
        <f t="shared" si="14"/>
        <v/>
      </c>
      <c r="F116" s="183"/>
      <c r="G116" s="97" t="str">
        <f t="shared" si="17"/>
        <v/>
      </c>
      <c r="H116" s="307"/>
      <c r="I116" s="182"/>
      <c r="J116" s="184"/>
      <c r="K116" s="110" t="str">
        <f t="shared" si="15"/>
        <v/>
      </c>
      <c r="L116" s="184"/>
      <c r="M116" s="96" t="str">
        <f t="shared" si="16"/>
        <v/>
      </c>
      <c r="N116" s="184"/>
      <c r="O116" s="515"/>
      <c r="P116" s="184"/>
      <c r="Q116" s="185"/>
      <c r="R116" s="185"/>
      <c r="S116" s="271"/>
      <c r="T116" s="499" t="e">
        <f ca="1" xml:space="preserve"> _xll.EPMOlapMemberO("[FILA_NOTA].[PARENTH1].[09901096]","","09901096","","000;001;002")</f>
        <v>#NAME?</v>
      </c>
      <c r="U116" s="271"/>
      <c r="V116" s="271"/>
      <c r="W116" s="428">
        <f t="shared" si="18"/>
        <v>0</v>
      </c>
      <c r="X116" s="291"/>
      <c r="Y116" s="526"/>
      <c r="Z116" s="526"/>
      <c r="AA116" s="428">
        <f t="shared" si="19"/>
        <v>0</v>
      </c>
      <c r="AB116" s="526"/>
      <c r="AC116" s="428">
        <f t="shared" si="20"/>
        <v>0</v>
      </c>
      <c r="AD116" s="271"/>
      <c r="AE116" s="271"/>
      <c r="AF116" s="428">
        <f t="shared" si="21"/>
        <v>0</v>
      </c>
      <c r="AG116" s="526"/>
      <c r="AH116" s="526"/>
      <c r="AI116" s="526"/>
      <c r="AJ116" s="526"/>
      <c r="AK116" s="234"/>
      <c r="AL116" s="433"/>
      <c r="AM116" s="433"/>
      <c r="AN116" s="416" t="e">
        <f ca="1">_xll.EPMSaveComment(C116,,B116,C$19)</f>
        <v>#NAME?</v>
      </c>
      <c r="AO116" s="416" t="e">
        <f ca="1">_xll.EPMSaveComment(D116,,B116,D$19)</f>
        <v>#NAME?</v>
      </c>
      <c r="AP116" s="416" t="e">
        <f ca="1">_xll.EPMSaveComment(E116,,B116,E$19)</f>
        <v>#NAME?</v>
      </c>
      <c r="AQ116" s="416" t="e">
        <f ca="1">_xll.EPMSaveComment(F116,,$B116,F$19)</f>
        <v>#NAME?</v>
      </c>
      <c r="AR116" s="416" t="e">
        <f ca="1">_xll.EPMSaveComment(#REF!,,$B116,G$19)</f>
        <v>#NAME?</v>
      </c>
      <c r="AS116" s="416" t="e">
        <f ca="1">_xll.EPMSaveComment(H116,,$B116,H$19)</f>
        <v>#NAME?</v>
      </c>
      <c r="AT116" s="416" t="e">
        <f ca="1">_xll.EPMSaveData(I116,,I$19,$B116)</f>
        <v>#NAME?</v>
      </c>
      <c r="AU116" s="416" t="e">
        <f ca="1">_xll.EPMSaveComment(J116,,$B116,J$19)</f>
        <v>#NAME?</v>
      </c>
      <c r="AV116" s="416" t="e">
        <f ca="1">_xll.EPMSaveComment(K116,,$B116,K$19)</f>
        <v>#NAME?</v>
      </c>
      <c r="AW116" s="416" t="e">
        <f ca="1">_xll.EPMSaveComment(L116,,$B116,L$19)</f>
        <v>#NAME?</v>
      </c>
      <c r="AX116" s="416" t="e">
        <f ca="1">_xll.EPMSaveComment(M116,,$B116,M$19)</f>
        <v>#NAME?</v>
      </c>
      <c r="AY116" s="416" t="e">
        <f ca="1">_xll.EPMSaveComment(N116,,$B116,N$19)</f>
        <v>#NAME?</v>
      </c>
      <c r="AZ116" s="416" t="e">
        <f ca="1">_xll.EPMSaveData(O116,,O$19,$B116)</f>
        <v>#NAME?</v>
      </c>
      <c r="BA116" s="416" t="e">
        <f ca="1">_xll.EPMSaveComment(P116,,$B116,P$19)</f>
        <v>#NAME?</v>
      </c>
      <c r="BB116" s="416" t="e">
        <f ca="1">_xll.EPMSaveComment(Q116,,$B116,Q$19)</f>
        <v>#NAME?</v>
      </c>
      <c r="BC116" s="416" t="e">
        <f ca="1">_xll.EPMSaveComment(R116,,$B116,R$19)</f>
        <v>#NAME?</v>
      </c>
      <c r="BD116" s="416" t="e">
        <f ca="1">_xll.EPMSaveData(S116,,$F$19,$B116)</f>
        <v>#NAME?</v>
      </c>
      <c r="BE116" s="416" t="e">
        <f ca="1">_xll.EPMSaveComment(AK116,,B116,AF$15)</f>
        <v>#NAME?</v>
      </c>
      <c r="BF116" s="416"/>
      <c r="BG116" s="416"/>
      <c r="BH116" s="157" t="str">
        <f t="shared" si="22"/>
        <v>Ok</v>
      </c>
      <c r="BI116" s="347">
        <f t="shared" si="23"/>
        <v>0</v>
      </c>
      <c r="BK116" s="160" t="str">
        <f t="shared" si="24"/>
        <v/>
      </c>
    </row>
    <row r="117" spans="1:63">
      <c r="A117" s="179" t="e">
        <f ca="1">LEFT(_xll.EPMMemberProperty("ANEXO_NOTAS_XBRL","ENTIDAD:"&amp;C3,"ID"),1)</f>
        <v>#NAME?</v>
      </c>
      <c r="B117" s="580" t="s">
        <v>338</v>
      </c>
      <c r="C117" s="479"/>
      <c r="D117" s="224"/>
      <c r="E117" s="97" t="str">
        <f t="shared" si="14"/>
        <v/>
      </c>
      <c r="F117" s="183"/>
      <c r="G117" s="97" t="str">
        <f t="shared" si="17"/>
        <v/>
      </c>
      <c r="H117" s="307"/>
      <c r="I117" s="182"/>
      <c r="J117" s="184"/>
      <c r="K117" s="110" t="str">
        <f t="shared" si="15"/>
        <v/>
      </c>
      <c r="L117" s="184"/>
      <c r="M117" s="96" t="str">
        <f t="shared" si="16"/>
        <v/>
      </c>
      <c r="N117" s="184"/>
      <c r="O117" s="515"/>
      <c r="P117" s="184"/>
      <c r="Q117" s="185"/>
      <c r="R117" s="185"/>
      <c r="S117" s="271"/>
      <c r="T117" s="499" t="e">
        <f ca="1" xml:space="preserve"> _xll.EPMOlapMemberO("[FILA_NOTA].[PARENTH1].[09901097]","","09901097","","000;001;002")</f>
        <v>#NAME?</v>
      </c>
      <c r="U117" s="271"/>
      <c r="V117" s="271"/>
      <c r="W117" s="428">
        <f t="shared" si="18"/>
        <v>0</v>
      </c>
      <c r="X117" s="291"/>
      <c r="Y117" s="526"/>
      <c r="Z117" s="526"/>
      <c r="AA117" s="428">
        <f t="shared" si="19"/>
        <v>0</v>
      </c>
      <c r="AB117" s="526"/>
      <c r="AC117" s="428">
        <f t="shared" si="20"/>
        <v>0</v>
      </c>
      <c r="AD117" s="271"/>
      <c r="AE117" s="271"/>
      <c r="AF117" s="428">
        <f t="shared" si="21"/>
        <v>0</v>
      </c>
      <c r="AG117" s="526"/>
      <c r="AH117" s="526"/>
      <c r="AI117" s="526"/>
      <c r="AJ117" s="526"/>
      <c r="AK117" s="234"/>
      <c r="AL117" s="433"/>
      <c r="AM117" s="433"/>
      <c r="AN117" s="416" t="e">
        <f ca="1">_xll.EPMSaveComment(C117,,B117,C$19)</f>
        <v>#NAME?</v>
      </c>
      <c r="AO117" s="416" t="e">
        <f ca="1">_xll.EPMSaveComment(D117,,B117,D$19)</f>
        <v>#NAME?</v>
      </c>
      <c r="AP117" s="416" t="e">
        <f ca="1">_xll.EPMSaveComment(E117,,B117,E$19)</f>
        <v>#NAME?</v>
      </c>
      <c r="AQ117" s="416" t="e">
        <f ca="1">_xll.EPMSaveComment(F117,,$B117,F$19)</f>
        <v>#NAME?</v>
      </c>
      <c r="AR117" s="416" t="e">
        <f ca="1">_xll.EPMSaveComment(#REF!,,$B117,G$19)</f>
        <v>#NAME?</v>
      </c>
      <c r="AS117" s="416" t="e">
        <f ca="1">_xll.EPMSaveComment(H117,,$B117,H$19)</f>
        <v>#NAME?</v>
      </c>
      <c r="AT117" s="416" t="e">
        <f ca="1">_xll.EPMSaveData(I117,,I$19,$B117)</f>
        <v>#NAME?</v>
      </c>
      <c r="AU117" s="416" t="e">
        <f ca="1">_xll.EPMSaveComment(J117,,$B117,J$19)</f>
        <v>#NAME?</v>
      </c>
      <c r="AV117" s="416" t="e">
        <f ca="1">_xll.EPMSaveComment(K117,,$B117,K$19)</f>
        <v>#NAME?</v>
      </c>
      <c r="AW117" s="416" t="e">
        <f ca="1">_xll.EPMSaveComment(L117,,$B117,L$19)</f>
        <v>#NAME?</v>
      </c>
      <c r="AX117" s="416" t="e">
        <f ca="1">_xll.EPMSaveComment(M117,,$B117,M$19)</f>
        <v>#NAME?</v>
      </c>
      <c r="AY117" s="416" t="e">
        <f ca="1">_xll.EPMSaveComment(N117,,$B117,N$19)</f>
        <v>#NAME?</v>
      </c>
      <c r="AZ117" s="416" t="e">
        <f ca="1">_xll.EPMSaveData(O117,,O$19,$B117)</f>
        <v>#NAME?</v>
      </c>
      <c r="BA117" s="416" t="e">
        <f ca="1">_xll.EPMSaveComment(P117,,$B117,P$19)</f>
        <v>#NAME?</v>
      </c>
      <c r="BB117" s="416" t="e">
        <f ca="1">_xll.EPMSaveComment(Q117,,$B117,Q$19)</f>
        <v>#NAME?</v>
      </c>
      <c r="BC117" s="416" t="e">
        <f ca="1">_xll.EPMSaveComment(R117,,$B117,R$19)</f>
        <v>#NAME?</v>
      </c>
      <c r="BD117" s="416" t="e">
        <f ca="1">_xll.EPMSaveData(S117,,$F$19,$B117)</f>
        <v>#NAME?</v>
      </c>
      <c r="BE117" s="416" t="e">
        <f ca="1">_xll.EPMSaveComment(AK117,,B117,AF$15)</f>
        <v>#NAME?</v>
      </c>
      <c r="BF117" s="416"/>
      <c r="BG117" s="416"/>
      <c r="BH117" s="157" t="str">
        <f t="shared" si="22"/>
        <v>Ok</v>
      </c>
      <c r="BI117" s="347">
        <f t="shared" si="23"/>
        <v>0</v>
      </c>
      <c r="BK117" s="160" t="str">
        <f t="shared" si="24"/>
        <v/>
      </c>
    </row>
    <row r="118" spans="1:63">
      <c r="A118" s="179"/>
      <c r="B118" s="580" t="s">
        <v>339</v>
      </c>
      <c r="C118" s="479"/>
      <c r="D118" s="224"/>
      <c r="E118" s="97" t="str">
        <f>IF(C118="","",IF(D118="","",IF(D118="Si","No","Si")))</f>
        <v/>
      </c>
      <c r="F118" s="183"/>
      <c r="G118" s="97" t="str">
        <f t="shared" si="17"/>
        <v/>
      </c>
      <c r="H118" s="307"/>
      <c r="I118" s="182"/>
      <c r="J118" s="184"/>
      <c r="K118" s="110" t="str">
        <f>IF(C118="","",IF(J118="X","","X"))</f>
        <v/>
      </c>
      <c r="L118" s="184"/>
      <c r="M118" s="96" t="str">
        <f>IF(C118="","",IF(L118="","",IF(L118="Si","No","Si")))</f>
        <v/>
      </c>
      <c r="N118" s="184"/>
      <c r="O118" s="515"/>
      <c r="P118" s="184"/>
      <c r="Q118" s="185"/>
      <c r="R118" s="185"/>
      <c r="S118" s="271"/>
      <c r="T118" s="499" t="e">
        <f ca="1" xml:space="preserve"> _xll.EPMOlapMemberO("[FILA_NOTA].[PARENTH1].[09901098]","","09901098","","000;001;002")</f>
        <v>#NAME?</v>
      </c>
      <c r="U118" s="271"/>
      <c r="V118" s="271"/>
      <c r="W118" s="428">
        <f t="shared" si="18"/>
        <v>0</v>
      </c>
      <c r="X118" s="291"/>
      <c r="Y118" s="526"/>
      <c r="Z118" s="526"/>
      <c r="AA118" s="428">
        <f t="shared" si="19"/>
        <v>0</v>
      </c>
      <c r="AB118" s="526"/>
      <c r="AC118" s="428">
        <f t="shared" si="20"/>
        <v>0</v>
      </c>
      <c r="AD118" s="271"/>
      <c r="AE118" s="271"/>
      <c r="AF118" s="428">
        <f t="shared" si="21"/>
        <v>0</v>
      </c>
      <c r="AG118" s="526"/>
      <c r="AH118" s="526"/>
      <c r="AI118" s="526"/>
      <c r="AJ118" s="526"/>
      <c r="AK118" s="234"/>
      <c r="AL118" s="433"/>
      <c r="AM118" s="433"/>
      <c r="AN118" s="416" t="e">
        <f ca="1">_xll.EPMSaveComment(C118,,B118,C$19)</f>
        <v>#NAME?</v>
      </c>
      <c r="AO118" s="416" t="e">
        <f ca="1">_xll.EPMSaveComment(D118,,B118,D$19)</f>
        <v>#NAME?</v>
      </c>
      <c r="AP118" s="416" t="e">
        <f ca="1">_xll.EPMSaveComment(E118,,B118,E$19)</f>
        <v>#NAME?</v>
      </c>
      <c r="AQ118" s="416" t="e">
        <f ca="1">_xll.EPMSaveComment(F118,,$B118,F$19)</f>
        <v>#NAME?</v>
      </c>
      <c r="AR118" s="416" t="e">
        <f ca="1">_xll.EPMSaveComment(#REF!,,$B118,G$19)</f>
        <v>#NAME?</v>
      </c>
      <c r="AS118" s="416" t="e">
        <f ca="1">_xll.EPMSaveComment(H118,,$B118,H$19)</f>
        <v>#NAME?</v>
      </c>
      <c r="AT118" s="416" t="e">
        <f ca="1">_xll.EPMSaveData(I118,,I$19,$B118)</f>
        <v>#NAME?</v>
      </c>
      <c r="AU118" s="416" t="e">
        <f ca="1">_xll.EPMSaveComment(J118,,$B118,J$19)</f>
        <v>#NAME?</v>
      </c>
      <c r="AV118" s="416" t="e">
        <f ca="1">_xll.EPMSaveComment(K118,,$B118,K$19)</f>
        <v>#NAME?</v>
      </c>
      <c r="AW118" s="416" t="e">
        <f ca="1">_xll.EPMSaveComment(L118,,$B118,L$19)</f>
        <v>#NAME?</v>
      </c>
      <c r="AX118" s="416" t="e">
        <f ca="1">_xll.EPMSaveComment(M118,,$B118,M$19)</f>
        <v>#NAME?</v>
      </c>
      <c r="AY118" s="416" t="e">
        <f ca="1">_xll.EPMSaveComment(N118,,$B118,N$19)</f>
        <v>#NAME?</v>
      </c>
      <c r="AZ118" s="416" t="e">
        <f ca="1">_xll.EPMSaveData(O118,,O$19,$B118)</f>
        <v>#NAME?</v>
      </c>
      <c r="BA118" s="416" t="e">
        <f ca="1">_xll.EPMSaveComment(P118,,$B118,P$19)</f>
        <v>#NAME?</v>
      </c>
      <c r="BB118" s="416" t="e">
        <f ca="1">_xll.EPMSaveComment(Q118,,$B118,Q$19)</f>
        <v>#NAME?</v>
      </c>
      <c r="BC118" s="416" t="e">
        <f ca="1">_xll.EPMSaveComment(R118,,$B118,R$19)</f>
        <v>#NAME?</v>
      </c>
      <c r="BD118" s="416" t="e">
        <f ca="1">_xll.EPMSaveData(S118,,$F$19,$B118)</f>
        <v>#NAME?</v>
      </c>
      <c r="BE118" s="416" t="e">
        <f ca="1">_xll.EPMSaveComment(AK118,,B118,AF$15)</f>
        <v>#NAME?</v>
      </c>
      <c r="BF118" s="416"/>
      <c r="BG118" s="416"/>
      <c r="BH118" s="157" t="str">
        <f t="shared" si="22"/>
        <v>Ok</v>
      </c>
      <c r="BI118" s="347">
        <f t="shared" si="23"/>
        <v>0</v>
      </c>
      <c r="BK118" s="160" t="str">
        <f t="shared" si="24"/>
        <v/>
      </c>
    </row>
    <row r="119" spans="1:63">
      <c r="A119" s="179"/>
      <c r="B119" s="580" t="s">
        <v>340</v>
      </c>
      <c r="C119" s="479"/>
      <c r="D119" s="224"/>
      <c r="E119" s="97" t="str">
        <f>IF(C119="","",IF(D119="","",IF(D119="Si","No","Si")))</f>
        <v/>
      </c>
      <c r="F119" s="183"/>
      <c r="G119" s="97" t="str">
        <f t="shared" si="17"/>
        <v/>
      </c>
      <c r="H119" s="307"/>
      <c r="I119" s="182"/>
      <c r="J119" s="184"/>
      <c r="K119" s="110" t="str">
        <f>IF(C119="","",IF(J119="X","","X"))</f>
        <v/>
      </c>
      <c r="L119" s="184"/>
      <c r="M119" s="96" t="str">
        <f>IF(C119="","",IF(L119="","",IF(L119="Si","No","Si")))</f>
        <v/>
      </c>
      <c r="N119" s="184"/>
      <c r="O119" s="515"/>
      <c r="P119" s="184"/>
      <c r="Q119" s="185"/>
      <c r="R119" s="185"/>
      <c r="S119" s="271"/>
      <c r="T119" s="499" t="e">
        <f ca="1" xml:space="preserve"> _xll.EPMOlapMemberO("[FILA_NOTA].[PARENTH1].[09901099]","","09901099","","000;001;002")</f>
        <v>#NAME?</v>
      </c>
      <c r="U119" s="271"/>
      <c r="V119" s="271"/>
      <c r="W119" s="428">
        <f t="shared" si="18"/>
        <v>0</v>
      </c>
      <c r="X119" s="291"/>
      <c r="Y119" s="526"/>
      <c r="Z119" s="526"/>
      <c r="AA119" s="428">
        <f t="shared" si="19"/>
        <v>0</v>
      </c>
      <c r="AB119" s="526"/>
      <c r="AC119" s="428">
        <f t="shared" si="20"/>
        <v>0</v>
      </c>
      <c r="AD119" s="271"/>
      <c r="AE119" s="271"/>
      <c r="AF119" s="428">
        <f t="shared" si="21"/>
        <v>0</v>
      </c>
      <c r="AG119" s="526"/>
      <c r="AH119" s="526"/>
      <c r="AI119" s="526"/>
      <c r="AJ119" s="526"/>
      <c r="AK119" s="234"/>
      <c r="AL119" s="433"/>
      <c r="AM119" s="433"/>
      <c r="AN119" s="416" t="e">
        <f ca="1">_xll.EPMSaveComment(C119,,B119,C$19)</f>
        <v>#NAME?</v>
      </c>
      <c r="AO119" s="416" t="e">
        <f ca="1">_xll.EPMSaveComment(D119,,B119,D$19)</f>
        <v>#NAME?</v>
      </c>
      <c r="AP119" s="416" t="e">
        <f ca="1">_xll.EPMSaveComment(E119,,B119,E$19)</f>
        <v>#NAME?</v>
      </c>
      <c r="AQ119" s="416" t="e">
        <f ca="1">_xll.EPMSaveComment(F119,,$B119,F$19)</f>
        <v>#NAME?</v>
      </c>
      <c r="AR119" s="416" t="e">
        <f ca="1">_xll.EPMSaveComment(#REF!,,$B119,G$19)</f>
        <v>#NAME?</v>
      </c>
      <c r="AS119" s="416" t="e">
        <f ca="1">_xll.EPMSaveComment(H119,,$B119,H$19)</f>
        <v>#NAME?</v>
      </c>
      <c r="AT119" s="416" t="e">
        <f ca="1">_xll.EPMSaveData(I119,,I$19,$B119)</f>
        <v>#NAME?</v>
      </c>
      <c r="AU119" s="416" t="e">
        <f ca="1">_xll.EPMSaveComment(J119,,$B119,J$19)</f>
        <v>#NAME?</v>
      </c>
      <c r="AV119" s="416" t="e">
        <f ca="1">_xll.EPMSaveComment(K119,,$B119,K$19)</f>
        <v>#NAME?</v>
      </c>
      <c r="AW119" s="416" t="e">
        <f ca="1">_xll.EPMSaveComment(L119,,$B119,L$19)</f>
        <v>#NAME?</v>
      </c>
      <c r="AX119" s="416" t="e">
        <f ca="1">_xll.EPMSaveComment(M119,,$B119,M$19)</f>
        <v>#NAME?</v>
      </c>
      <c r="AY119" s="416" t="e">
        <f ca="1">_xll.EPMSaveComment(N119,,$B119,N$19)</f>
        <v>#NAME?</v>
      </c>
      <c r="AZ119" s="416" t="e">
        <f ca="1">_xll.EPMSaveData(O119,,O$19,$B119)</f>
        <v>#NAME?</v>
      </c>
      <c r="BA119" s="416" t="e">
        <f ca="1">_xll.EPMSaveComment(P119,,$B119,P$19)</f>
        <v>#NAME?</v>
      </c>
      <c r="BB119" s="416" t="e">
        <f ca="1">_xll.EPMSaveComment(Q119,,$B119,Q$19)</f>
        <v>#NAME?</v>
      </c>
      <c r="BC119" s="416" t="e">
        <f ca="1">_xll.EPMSaveComment(R119,,$B119,R$19)</f>
        <v>#NAME?</v>
      </c>
      <c r="BD119" s="416" t="e">
        <f ca="1">_xll.EPMSaveData(S119,,$F$19,$B119)</f>
        <v>#NAME?</v>
      </c>
      <c r="BE119" s="416" t="e">
        <f ca="1">_xll.EPMSaveComment(AK119,,B119,AF$15)</f>
        <v>#NAME?</v>
      </c>
      <c r="BF119" s="416"/>
      <c r="BG119" s="416"/>
      <c r="BH119" s="157" t="str">
        <f t="shared" si="22"/>
        <v>Ok</v>
      </c>
      <c r="BI119" s="347">
        <f t="shared" si="23"/>
        <v>0</v>
      </c>
      <c r="BK119" s="160" t="str">
        <f t="shared" si="24"/>
        <v/>
      </c>
    </row>
    <row r="120" spans="1:63">
      <c r="A120" s="179"/>
      <c r="B120" s="580" t="s">
        <v>341</v>
      </c>
      <c r="C120" s="479"/>
      <c r="D120" s="224"/>
      <c r="E120" s="97" t="str">
        <f>IF(C120="","",IF(D120="","",IF(D120="Si","No","Si")))</f>
        <v/>
      </c>
      <c r="F120" s="183"/>
      <c r="G120" s="97" t="str">
        <f t="shared" si="17"/>
        <v/>
      </c>
      <c r="H120" s="307"/>
      <c r="I120" s="182"/>
      <c r="J120" s="184"/>
      <c r="K120" s="110" t="str">
        <f>IF(C120="","",IF(J120="X","","X"))</f>
        <v/>
      </c>
      <c r="L120" s="184"/>
      <c r="M120" s="96" t="str">
        <f>IF(C120="","",IF(L120="","",IF(L120="Si","No","Si")))</f>
        <v/>
      </c>
      <c r="N120" s="184"/>
      <c r="O120" s="515"/>
      <c r="P120" s="184"/>
      <c r="Q120" s="185"/>
      <c r="R120" s="185"/>
      <c r="S120" s="271"/>
      <c r="T120" s="499" t="e">
        <f ca="1" xml:space="preserve"> _xll.EPMOlapMemberO("[FILA_NOTA].[PARENTH1].[09901100]","","09901100","","000;001;002")</f>
        <v>#NAME?</v>
      </c>
      <c r="U120" s="271"/>
      <c r="V120" s="271"/>
      <c r="W120" s="428">
        <f t="shared" si="18"/>
        <v>0</v>
      </c>
      <c r="X120" s="291"/>
      <c r="Y120" s="526"/>
      <c r="Z120" s="526"/>
      <c r="AA120" s="428">
        <f t="shared" si="19"/>
        <v>0</v>
      </c>
      <c r="AB120" s="526"/>
      <c r="AC120" s="428">
        <f t="shared" si="20"/>
        <v>0</v>
      </c>
      <c r="AD120" s="271"/>
      <c r="AE120" s="271"/>
      <c r="AF120" s="428">
        <f t="shared" si="21"/>
        <v>0</v>
      </c>
      <c r="AG120" s="526"/>
      <c r="AH120" s="526"/>
      <c r="AI120" s="526"/>
      <c r="AJ120" s="526"/>
      <c r="AK120" s="234"/>
      <c r="AL120" s="433"/>
      <c r="AM120" s="433"/>
      <c r="AN120" s="416" t="e">
        <f ca="1">_xll.EPMSaveComment(C120,,B120,C$19)</f>
        <v>#NAME?</v>
      </c>
      <c r="AO120" s="416" t="e">
        <f ca="1">_xll.EPMSaveComment(D120,,B120,D$19)</f>
        <v>#NAME?</v>
      </c>
      <c r="AP120" s="416" t="e">
        <f ca="1">_xll.EPMSaveComment(E120,,B120,E$19)</f>
        <v>#NAME?</v>
      </c>
      <c r="AQ120" s="416" t="e">
        <f ca="1">_xll.EPMSaveComment(F120,,$B120,F$19)</f>
        <v>#NAME?</v>
      </c>
      <c r="AR120" s="416" t="e">
        <f ca="1">_xll.EPMSaveComment(#REF!,,$B120,G$19)</f>
        <v>#NAME?</v>
      </c>
      <c r="AS120" s="416" t="e">
        <f ca="1">_xll.EPMSaveComment(H120,,$B120,H$19)</f>
        <v>#NAME?</v>
      </c>
      <c r="AT120" s="416" t="e">
        <f ca="1">_xll.EPMSaveData(I120,,I$19,$B120)</f>
        <v>#NAME?</v>
      </c>
      <c r="AU120" s="416" t="e">
        <f ca="1">_xll.EPMSaveComment(J120,,$B120,J$19)</f>
        <v>#NAME?</v>
      </c>
      <c r="AV120" s="416" t="e">
        <f ca="1">_xll.EPMSaveComment(K120,,$B120,K$19)</f>
        <v>#NAME?</v>
      </c>
      <c r="AW120" s="416" t="e">
        <f ca="1">_xll.EPMSaveComment(L120,,$B120,L$19)</f>
        <v>#NAME?</v>
      </c>
      <c r="AX120" s="416" t="e">
        <f ca="1">_xll.EPMSaveComment(M120,,$B120,M$19)</f>
        <v>#NAME?</v>
      </c>
      <c r="AY120" s="416" t="e">
        <f ca="1">_xll.EPMSaveComment(N120,,$B120,N$19)</f>
        <v>#NAME?</v>
      </c>
      <c r="AZ120" s="416" t="e">
        <f ca="1">_xll.EPMSaveData(O120,,O$19,$B120)</f>
        <v>#NAME?</v>
      </c>
      <c r="BA120" s="416" t="e">
        <f ca="1">_xll.EPMSaveComment(P120,,$B120,P$19)</f>
        <v>#NAME?</v>
      </c>
      <c r="BB120" s="416" t="e">
        <f ca="1">_xll.EPMSaveComment(Q120,,$B120,Q$19)</f>
        <v>#NAME?</v>
      </c>
      <c r="BC120" s="416" t="e">
        <f ca="1">_xll.EPMSaveComment(R120,,$B120,R$19)</f>
        <v>#NAME?</v>
      </c>
      <c r="BD120" s="416" t="e">
        <f ca="1">_xll.EPMSaveData(S120,,$F$19,$B120)</f>
        <v>#NAME?</v>
      </c>
      <c r="BE120" s="416" t="e">
        <f ca="1">_xll.EPMSaveComment(AK120,,B120,AF$15)</f>
        <v>#NAME?</v>
      </c>
      <c r="BF120" s="416"/>
      <c r="BG120" s="416"/>
      <c r="BH120" s="157" t="str">
        <f t="shared" si="22"/>
        <v>Ok</v>
      </c>
      <c r="BI120" s="347">
        <f t="shared" si="23"/>
        <v>0</v>
      </c>
      <c r="BK120" s="160" t="str">
        <f t="shared" si="24"/>
        <v/>
      </c>
    </row>
    <row r="121" spans="1:63">
      <c r="A121" s="179"/>
      <c r="B121" s="580" t="s">
        <v>342</v>
      </c>
      <c r="C121" s="479"/>
      <c r="D121" s="224"/>
      <c r="E121" s="97" t="str">
        <f>IF(C121="","",IF(D121="","",IF(D121="Si","No","Si")))</f>
        <v/>
      </c>
      <c r="F121" s="183"/>
      <c r="G121" s="97" t="str">
        <f t="shared" si="17"/>
        <v/>
      </c>
      <c r="H121" s="307"/>
      <c r="I121" s="182"/>
      <c r="J121" s="184"/>
      <c r="K121" s="110" t="str">
        <f>IF(C121="","",IF(J121="X","","X"))</f>
        <v/>
      </c>
      <c r="L121" s="184"/>
      <c r="M121" s="96" t="str">
        <f>IF(C121="","",IF(L121="","",IF(L121="Si","No","Si")))</f>
        <v/>
      </c>
      <c r="N121" s="184"/>
      <c r="O121" s="515"/>
      <c r="P121" s="184"/>
      <c r="Q121" s="185"/>
      <c r="R121" s="185"/>
      <c r="S121" s="271"/>
      <c r="T121" s="499" t="e">
        <f ca="1" xml:space="preserve"> _xll.EPMOlapMemberO("[FILA_NOTA].[PARENTH1].[09901101]","","09901101","","000;001;002")</f>
        <v>#NAME?</v>
      </c>
      <c r="U121" s="271"/>
      <c r="V121" s="271"/>
      <c r="W121" s="428">
        <f t="shared" si="18"/>
        <v>0</v>
      </c>
      <c r="X121" s="291"/>
      <c r="Y121" s="526"/>
      <c r="Z121" s="526"/>
      <c r="AA121" s="428">
        <f t="shared" si="19"/>
        <v>0</v>
      </c>
      <c r="AB121" s="526"/>
      <c r="AC121" s="428">
        <f t="shared" si="20"/>
        <v>0</v>
      </c>
      <c r="AD121" s="271"/>
      <c r="AE121" s="271"/>
      <c r="AF121" s="428">
        <f t="shared" si="21"/>
        <v>0</v>
      </c>
      <c r="AG121" s="526"/>
      <c r="AH121" s="526"/>
      <c r="AI121" s="526"/>
      <c r="AJ121" s="526"/>
      <c r="AK121" s="234"/>
      <c r="AL121" s="433"/>
      <c r="AM121" s="433"/>
      <c r="AN121" s="416" t="e">
        <f ca="1">_xll.EPMSaveComment(C121,,B121,C$19)</f>
        <v>#NAME?</v>
      </c>
      <c r="AO121" s="416" t="e">
        <f ca="1">_xll.EPMSaveComment(D121,,B121,D$19)</f>
        <v>#NAME?</v>
      </c>
      <c r="AP121" s="416" t="e">
        <f ca="1">_xll.EPMSaveComment(E121,,B121,E$19)</f>
        <v>#NAME?</v>
      </c>
      <c r="AQ121" s="416" t="e">
        <f ca="1">_xll.EPMSaveComment(F121,,$B121,F$19)</f>
        <v>#NAME?</v>
      </c>
      <c r="AR121" s="416" t="e">
        <f ca="1">_xll.EPMSaveComment(#REF!,,$B121,G$19)</f>
        <v>#NAME?</v>
      </c>
      <c r="AS121" s="416" t="e">
        <f ca="1">_xll.EPMSaveComment(H121,,$B121,H$19)</f>
        <v>#NAME?</v>
      </c>
      <c r="AT121" s="416" t="e">
        <f ca="1">_xll.EPMSaveData(I121,,I$19,$B121)</f>
        <v>#NAME?</v>
      </c>
      <c r="AU121" s="416" t="e">
        <f ca="1">_xll.EPMSaveComment(J121,,$B121,J$19)</f>
        <v>#NAME?</v>
      </c>
      <c r="AV121" s="416" t="e">
        <f ca="1">_xll.EPMSaveComment(K121,,$B121,K$19)</f>
        <v>#NAME?</v>
      </c>
      <c r="AW121" s="416" t="e">
        <f ca="1">_xll.EPMSaveComment(L121,,$B121,L$19)</f>
        <v>#NAME?</v>
      </c>
      <c r="AX121" s="416" t="e">
        <f ca="1">_xll.EPMSaveComment(M121,,$B121,M$19)</f>
        <v>#NAME?</v>
      </c>
      <c r="AY121" s="416" t="e">
        <f ca="1">_xll.EPMSaveComment(N121,,$B121,N$19)</f>
        <v>#NAME?</v>
      </c>
      <c r="AZ121" s="416" t="e">
        <f ca="1">_xll.EPMSaveData(O121,,O$19,$B121)</f>
        <v>#NAME?</v>
      </c>
      <c r="BA121" s="416" t="e">
        <f ca="1">_xll.EPMSaveComment(P121,,$B121,P$19)</f>
        <v>#NAME?</v>
      </c>
      <c r="BB121" s="416" t="e">
        <f ca="1">_xll.EPMSaveComment(Q121,,$B121,Q$19)</f>
        <v>#NAME?</v>
      </c>
      <c r="BC121" s="416" t="e">
        <f ca="1">_xll.EPMSaveComment(R121,,$B121,R$19)</f>
        <v>#NAME?</v>
      </c>
      <c r="BD121" s="416" t="e">
        <f ca="1">_xll.EPMSaveData(S121,,$F$19,$B121)</f>
        <v>#NAME?</v>
      </c>
      <c r="BE121" s="416" t="e">
        <f ca="1">_xll.EPMSaveComment(AK121,,B121,AF$15)</f>
        <v>#NAME?</v>
      </c>
      <c r="BF121" s="416"/>
      <c r="BG121" s="416"/>
      <c r="BH121" s="157" t="str">
        <f t="shared" si="22"/>
        <v>Ok</v>
      </c>
      <c r="BI121" s="347">
        <f t="shared" si="23"/>
        <v>0</v>
      </c>
      <c r="BK121" s="160" t="str">
        <f t="shared" si="24"/>
        <v/>
      </c>
    </row>
    <row r="122" spans="1:63">
      <c r="A122" s="577"/>
      <c r="B122" s="581"/>
      <c r="C122" s="735" t="s">
        <v>675</v>
      </c>
      <c r="D122" s="736"/>
      <c r="E122" s="736"/>
      <c r="F122" s="736"/>
      <c r="G122" s="736"/>
      <c r="H122" s="736"/>
      <c r="I122" s="736"/>
      <c r="J122" s="736"/>
      <c r="K122" s="736"/>
      <c r="L122" s="736"/>
      <c r="M122" s="736"/>
      <c r="N122" s="736"/>
      <c r="O122" s="736"/>
      <c r="P122" s="736"/>
      <c r="Q122" s="736"/>
      <c r="R122" s="737"/>
      <c r="S122" s="275">
        <f>SUM(S22:S121)</f>
        <v>0</v>
      </c>
      <c r="T122" s="275"/>
      <c r="U122" s="275">
        <f>SUM(U22:U121)</f>
        <v>0</v>
      </c>
      <c r="V122" s="275">
        <f>SUM(V22:V121)</f>
        <v>0</v>
      </c>
      <c r="W122" s="274">
        <f>SUM(W22:W121)</f>
        <v>0</v>
      </c>
      <c r="X122" s="66"/>
      <c r="Y122" s="66">
        <f t="shared" ref="Y122:AD122" si="25">SUM(Y22:Y121)</f>
        <v>0</v>
      </c>
      <c r="Z122" s="66">
        <f t="shared" si="25"/>
        <v>0</v>
      </c>
      <c r="AA122" s="66">
        <f>SUM(Y122,-Z122)</f>
        <v>0</v>
      </c>
      <c r="AB122" s="66">
        <f t="shared" si="25"/>
        <v>0</v>
      </c>
      <c r="AC122" s="66">
        <f t="shared" si="25"/>
        <v>0</v>
      </c>
      <c r="AD122" s="66">
        <f t="shared" si="25"/>
        <v>0</v>
      </c>
      <c r="AE122" s="66"/>
      <c r="AF122" s="275">
        <f>SUM(AF22:AF121)</f>
        <v>0</v>
      </c>
      <c r="AG122" s="66">
        <f>SUM(AG22:AG121)</f>
        <v>0</v>
      </c>
      <c r="AH122" s="66">
        <f>SUM(AH22:AH121)</f>
        <v>0</v>
      </c>
      <c r="AI122" s="66">
        <f>SUM(AI22:AI121)</f>
        <v>0</v>
      </c>
      <c r="AJ122" s="66">
        <f>SUM(AJ22:AJ121)</f>
        <v>0</v>
      </c>
      <c r="AK122" s="66"/>
      <c r="AL122" s="433"/>
      <c r="AM122" s="433"/>
      <c r="AN122" s="416"/>
      <c r="AO122" s="416"/>
      <c r="AP122" s="416"/>
      <c r="AQ122" s="416"/>
      <c r="AR122" s="416"/>
      <c r="AS122" s="416"/>
      <c r="AT122" s="416"/>
      <c r="AU122" s="416"/>
      <c r="AV122" s="416"/>
      <c r="AW122" s="416"/>
      <c r="AX122" s="416"/>
      <c r="AY122" s="416"/>
      <c r="AZ122" s="416"/>
      <c r="BA122" s="416"/>
      <c r="BB122" s="416"/>
      <c r="BC122" s="416"/>
      <c r="BD122" s="416"/>
      <c r="BE122" s="416"/>
      <c r="BF122" s="416"/>
      <c r="BG122" s="416"/>
      <c r="BI122" s="347">
        <f t="shared" si="23"/>
        <v>0</v>
      </c>
    </row>
    <row r="123" spans="1:63">
      <c r="A123" s="179"/>
      <c r="C123" s="432"/>
      <c r="D123" s="433"/>
      <c r="E123" s="433"/>
      <c r="F123" s="434"/>
      <c r="G123" s="433"/>
      <c r="H123" s="433"/>
      <c r="I123" s="433"/>
      <c r="J123" s="433"/>
      <c r="K123" s="433"/>
      <c r="L123" s="433"/>
      <c r="M123" s="433"/>
      <c r="N123" s="433"/>
      <c r="O123" s="433"/>
      <c r="P123" s="433"/>
      <c r="Q123" s="433"/>
      <c r="R123" s="433"/>
      <c r="S123" s="433"/>
      <c r="T123" s="318"/>
      <c r="U123" s="318"/>
      <c r="V123" s="318"/>
      <c r="W123" s="433"/>
      <c r="X123" s="433"/>
      <c r="Y123" s="433"/>
      <c r="Z123" s="433"/>
      <c r="AA123" s="433"/>
      <c r="AB123" s="433"/>
      <c r="AC123" s="433"/>
      <c r="AD123" s="433"/>
      <c r="AE123" s="433"/>
      <c r="AF123" s="433"/>
      <c r="AG123" s="433"/>
      <c r="AH123" s="433"/>
      <c r="AI123" s="433"/>
      <c r="AJ123" s="433"/>
      <c r="AK123" s="433"/>
      <c r="AL123" s="433"/>
      <c r="AM123" s="433"/>
      <c r="AN123" s="416"/>
      <c r="AO123" s="416"/>
      <c r="AP123" s="416"/>
      <c r="AQ123" s="416"/>
      <c r="AR123" s="416"/>
      <c r="AS123" s="416"/>
      <c r="AT123" s="416"/>
      <c r="AU123" s="416"/>
      <c r="AV123" s="416"/>
      <c r="AW123" s="416"/>
      <c r="AX123" s="416"/>
      <c r="AY123" s="416"/>
      <c r="AZ123" s="416"/>
      <c r="BA123" s="416"/>
      <c r="BB123" s="416"/>
      <c r="BC123" s="416"/>
      <c r="BD123" s="416"/>
      <c r="BE123" s="416"/>
      <c r="BF123" s="416"/>
      <c r="BG123" s="416"/>
    </row>
    <row r="124" spans="1:63">
      <c r="A124" s="179"/>
      <c r="C124" s="433"/>
      <c r="D124" s="433"/>
      <c r="E124" s="433"/>
      <c r="F124" s="434"/>
      <c r="G124" s="433"/>
      <c r="H124" s="433"/>
      <c r="I124" s="433"/>
      <c r="J124" s="433"/>
      <c r="K124" s="433"/>
      <c r="L124" s="433"/>
      <c r="M124" s="433"/>
      <c r="N124" s="433"/>
      <c r="O124" s="433"/>
      <c r="P124" s="433"/>
      <c r="Q124" s="433"/>
      <c r="R124" s="433"/>
      <c r="S124" s="433"/>
      <c r="T124" s="318"/>
      <c r="U124" s="346">
        <f>IFERROR(INDEX(BPC_NOTAS[#All],MATCH("S200_0",BPC_NOTAS[[#All],[FILA_COLUMNA]],0),2),0)</f>
        <v>0</v>
      </c>
      <c r="V124" s="346">
        <f>IFERROR(INDEX(BPC_NOTAS[#All],MATCH("S200_1",BPC_NOTAS[[#All],[FILA_COLUMNA]],0),2),0)</f>
        <v>0</v>
      </c>
      <c r="W124" s="433"/>
      <c r="X124" s="433"/>
      <c r="Y124" s="433"/>
      <c r="Z124" s="433"/>
      <c r="AA124" s="433"/>
      <c r="AB124" s="433"/>
      <c r="AC124" s="433"/>
      <c r="AD124" s="433"/>
      <c r="AE124" s="433"/>
      <c r="AF124" s="433"/>
      <c r="AG124" s="433"/>
      <c r="AH124" s="433"/>
      <c r="AI124" s="433"/>
      <c r="AJ124" s="433"/>
      <c r="AK124" s="433"/>
      <c r="AL124" s="433"/>
      <c r="AM124" s="433"/>
      <c r="AN124" s="416"/>
      <c r="AO124" s="416"/>
      <c r="AP124" s="416"/>
      <c r="AQ124" s="416"/>
      <c r="AR124" s="416"/>
      <c r="AS124" s="416"/>
      <c r="AT124" s="416"/>
      <c r="AU124" s="416"/>
      <c r="AV124" s="416"/>
      <c r="AW124" s="416"/>
      <c r="AX124" s="416"/>
      <c r="AY124" s="416"/>
      <c r="AZ124" s="416"/>
      <c r="BA124" s="416"/>
      <c r="BB124" s="416"/>
      <c r="BC124" s="416"/>
      <c r="BD124" s="416"/>
      <c r="BE124" s="416"/>
      <c r="BF124" s="416"/>
      <c r="BG124" s="416"/>
    </row>
    <row r="125" spans="1:63">
      <c r="A125" s="179"/>
      <c r="C125" s="67" t="s">
        <v>141</v>
      </c>
      <c r="D125" s="102"/>
      <c r="E125" s="102"/>
      <c r="F125" s="102"/>
      <c r="G125" s="102"/>
      <c r="H125" s="435"/>
      <c r="I125" s="436"/>
      <c r="J125" s="435"/>
      <c r="K125" s="435"/>
      <c r="L125" s="435"/>
      <c r="M125" s="435"/>
      <c r="N125" s="437"/>
      <c r="O125" s="433"/>
      <c r="P125" s="433"/>
      <c r="Q125" s="433"/>
      <c r="R125" s="433"/>
      <c r="S125" s="433"/>
      <c r="U125" s="345" t="str">
        <f>IFERROR(IF(U122&lt;&gt;U124,"Error","Ok"),"Error")</f>
        <v>Ok</v>
      </c>
      <c r="V125" s="345" t="str">
        <f>IFERROR(IF(V122&lt;&gt;V124,"Error","Ok"),"Error")</f>
        <v>Ok</v>
      </c>
      <c r="W125" s="433"/>
      <c r="X125" s="433"/>
      <c r="Y125" s="433"/>
      <c r="Z125" s="433"/>
      <c r="AA125" s="433"/>
      <c r="AB125" s="433"/>
      <c r="AC125" s="433"/>
      <c r="AD125" s="433"/>
      <c r="AE125" s="433"/>
      <c r="AF125" s="433"/>
      <c r="AG125" s="433"/>
      <c r="AH125" s="433"/>
      <c r="AI125" s="433"/>
      <c r="AJ125" s="433"/>
      <c r="AK125" s="433"/>
      <c r="AL125" s="433"/>
      <c r="AM125" s="433"/>
      <c r="BI125" s="347">
        <f>IF(OR(U125="Error",V125="Error"),1,0)</f>
        <v>0</v>
      </c>
    </row>
    <row r="126" spans="1:63">
      <c r="A126" s="179"/>
      <c r="C126" s="438"/>
      <c r="D126" s="435"/>
      <c r="E126" s="435"/>
      <c r="F126" s="435"/>
      <c r="G126" s="435"/>
      <c r="H126" s="435"/>
      <c r="I126" s="436"/>
      <c r="J126" s="435"/>
      <c r="K126" s="435"/>
      <c r="L126" s="435"/>
      <c r="M126" s="435"/>
      <c r="N126" s="437"/>
      <c r="O126" s="433"/>
      <c r="P126" s="433"/>
      <c r="Q126" s="433"/>
      <c r="R126" s="433"/>
      <c r="S126" s="433"/>
      <c r="T126" s="318"/>
      <c r="U126" s="318"/>
      <c r="V126" s="318"/>
      <c r="W126" s="318"/>
      <c r="X126" s="318"/>
      <c r="Y126" s="323"/>
      <c r="Z126" s="318"/>
      <c r="AA126" s="318"/>
      <c r="AB126" s="318"/>
      <c r="AC126" s="318"/>
      <c r="AD126" s="173" t="s">
        <v>452</v>
      </c>
      <c r="AE126" s="173"/>
      <c r="AF126" s="173"/>
      <c r="AG126" s="173" t="s">
        <v>368</v>
      </c>
      <c r="AH126" s="173" t="s">
        <v>369</v>
      </c>
      <c r="AI126" s="173" t="s">
        <v>370</v>
      </c>
      <c r="AJ126" s="173" t="s">
        <v>371</v>
      </c>
      <c r="AK126" s="433"/>
      <c r="AL126" s="433"/>
      <c r="AM126" s="433"/>
      <c r="AQ126" s="414" t="s">
        <v>358</v>
      </c>
    </row>
    <row r="127" spans="1:63">
      <c r="A127" s="179"/>
      <c r="B127" s="609" t="s">
        <v>361</v>
      </c>
      <c r="C127" s="377" t="s">
        <v>453</v>
      </c>
      <c r="D127" s="104"/>
      <c r="E127" s="104"/>
      <c r="F127" s="104"/>
      <c r="G127" s="104"/>
      <c r="H127" s="104"/>
      <c r="I127" s="104"/>
      <c r="J127" s="104"/>
      <c r="K127" s="104"/>
      <c r="L127" s="104"/>
      <c r="M127" s="104"/>
      <c r="N127" s="104"/>
      <c r="O127" s="104"/>
      <c r="P127" s="104"/>
      <c r="Q127" s="104"/>
      <c r="R127" s="104"/>
      <c r="S127" s="105"/>
      <c r="T127" s="111">
        <v>37847083744</v>
      </c>
      <c r="U127" s="271"/>
      <c r="V127" s="271"/>
      <c r="W127" s="73">
        <f>SUM(U127:V127)</f>
        <v>0</v>
      </c>
      <c r="Y127" s="346">
        <f>W127-(IFERROR(INDEX(BPC_NOTAS[#All],MATCH("S215_1",BPC_NOTAS[[#All],[FILA_COLUMNA]],0),2),0)+IFERROR(INDEX(BPC_NOTAS[#All],MATCH("S220_0",BPC_NOTAS[[#All],[FILA_COLUMNA]],0),2),0))</f>
        <v>-47054061</v>
      </c>
      <c r="Z127" s="345" t="str">
        <f>IFERROR(IF(Y127=0,"ok","Error"),"Error")</f>
        <v>Error</v>
      </c>
      <c r="AA127" s="318"/>
      <c r="AB127" s="318"/>
      <c r="AC127" s="73">
        <f>+AD127</f>
        <v>0</v>
      </c>
      <c r="AD127" s="530"/>
      <c r="AE127" s="112"/>
      <c r="AF127" s="73">
        <f>SUM(AG127:AK127)</f>
        <v>0</v>
      </c>
      <c r="AG127" s="530"/>
      <c r="AH127" s="530"/>
      <c r="AI127" s="530"/>
      <c r="AJ127" s="530"/>
      <c r="AK127" s="433"/>
      <c r="AL127" s="433"/>
      <c r="AM127" s="433"/>
      <c r="AQ127" s="414" t="e">
        <f ca="1">_xll.EPMSaveData(U127,,U$19,$B127)</f>
        <v>#NAME?</v>
      </c>
      <c r="AR127" s="414" t="e">
        <f ca="1">_xll.EPMSaveData(V127,,V$19,$B127)</f>
        <v>#NAME?</v>
      </c>
      <c r="AV127" s="414" t="e">
        <f ca="1">_xll.EPMSaveData(AD127,,AD$126,$B127)</f>
        <v>#NAME?</v>
      </c>
      <c r="AW127" s="414" t="e">
        <f ca="1">_xll.EPMSaveData(AG127,,AG$126,$B127)</f>
        <v>#NAME?</v>
      </c>
      <c r="AX127" s="414" t="e">
        <f ca="1">_xll.EPMSaveData(AH127,,AH$126,$B127)</f>
        <v>#NAME?</v>
      </c>
      <c r="AY127" s="414" t="e">
        <f ca="1">_xll.EPMSaveData(AI127,,AI$126,$B127)</f>
        <v>#NAME?</v>
      </c>
      <c r="AZ127" s="414" t="e">
        <f ca="1">_xll.EPMSaveData(AJ127,,AJ$126,$B127)</f>
        <v>#NAME?</v>
      </c>
      <c r="BH127" s="157" t="str">
        <f>IF((AF127+AC127)&lt;&gt;W127,"Error","Ok")</f>
        <v>Ok</v>
      </c>
      <c r="BI127" s="347">
        <f>IF(BH127="Error",1,0)</f>
        <v>0</v>
      </c>
    </row>
    <row r="128" spans="1:63">
      <c r="A128" s="179"/>
      <c r="B128" s="610"/>
      <c r="C128" s="439"/>
      <c r="D128" s="439"/>
      <c r="E128" s="439"/>
      <c r="F128" s="439"/>
      <c r="G128" s="439"/>
      <c r="H128" s="439"/>
      <c r="I128" s="439"/>
      <c r="J128" s="439"/>
      <c r="K128" s="439"/>
      <c r="L128" s="439"/>
      <c r="M128" s="439"/>
      <c r="N128" s="439"/>
      <c r="O128" s="439"/>
      <c r="P128" s="439"/>
      <c r="Q128" s="439"/>
      <c r="R128" s="439"/>
      <c r="S128" s="439"/>
      <c r="T128" s="440"/>
      <c r="U128" s="440"/>
      <c r="V128" s="440"/>
      <c r="W128" s="440"/>
      <c r="X128" s="433"/>
      <c r="Y128" s="433"/>
      <c r="Z128" s="433"/>
      <c r="AA128" s="433"/>
      <c r="AB128" s="433"/>
      <c r="AC128" s="440"/>
      <c r="AD128" s="441"/>
      <c r="AE128" s="441"/>
      <c r="AF128" s="440"/>
      <c r="AG128" s="441"/>
      <c r="AH128" s="441"/>
      <c r="AI128" s="441"/>
      <c r="AJ128" s="441"/>
      <c r="AK128" s="433"/>
      <c r="AL128" s="433"/>
      <c r="AM128" s="433"/>
      <c r="AN128" s="442"/>
      <c r="AO128" s="442"/>
      <c r="AP128" s="442"/>
      <c r="AQ128" s="442"/>
      <c r="AR128" s="442"/>
      <c r="AS128" s="442"/>
      <c r="AT128" s="442"/>
      <c r="AU128" s="442"/>
      <c r="AV128" s="442"/>
      <c r="AW128" s="442"/>
      <c r="AX128" s="442"/>
      <c r="AY128" s="442"/>
      <c r="AZ128" s="442"/>
      <c r="BA128" s="442"/>
      <c r="BB128" s="442"/>
      <c r="BC128" s="442"/>
      <c r="BD128" s="442"/>
      <c r="BE128" s="442"/>
      <c r="BF128" s="442"/>
      <c r="BG128" s="442"/>
      <c r="BH128" s="687"/>
    </row>
    <row r="129" spans="1:63">
      <c r="A129" s="179"/>
      <c r="B129" s="609" t="s">
        <v>362</v>
      </c>
      <c r="C129" s="378" t="s">
        <v>676</v>
      </c>
      <c r="D129" s="104"/>
      <c r="E129" s="104"/>
      <c r="F129" s="104"/>
      <c r="G129" s="104"/>
      <c r="H129" s="104"/>
      <c r="I129" s="104"/>
      <c r="J129" s="104"/>
      <c r="K129" s="104"/>
      <c r="L129" s="104"/>
      <c r="M129" s="104"/>
      <c r="N129" s="104"/>
      <c r="O129" s="104"/>
      <c r="P129" s="104"/>
      <c r="Q129" s="104"/>
      <c r="R129" s="104"/>
      <c r="S129" s="105"/>
      <c r="T129" s="113">
        <v>165859053</v>
      </c>
      <c r="U129" s="529"/>
      <c r="V129" s="529"/>
      <c r="W129" s="73">
        <f>SUM(U129:V129)</f>
        <v>0</v>
      </c>
      <c r="Y129" s="433"/>
      <c r="Z129" s="433"/>
      <c r="AA129" s="318"/>
      <c r="AB129" s="318"/>
      <c r="AC129" s="73">
        <f>+AD129</f>
        <v>0</v>
      </c>
      <c r="AD129" s="530"/>
      <c r="AE129" s="38"/>
      <c r="AF129" s="73">
        <f>SUM(AG129:AK129)</f>
        <v>0</v>
      </c>
      <c r="AG129" s="530"/>
      <c r="AH129" s="530"/>
      <c r="AI129" s="530"/>
      <c r="AJ129" s="530"/>
      <c r="AK129" s="433"/>
      <c r="AL129" s="433"/>
      <c r="AM129" s="433"/>
      <c r="AQ129" s="414" t="e">
        <f ca="1">_xll.EPMSaveData(U129,,U$19,$B129)</f>
        <v>#NAME?</v>
      </c>
      <c r="AR129" s="414" t="e">
        <f ca="1">_xll.EPMSaveData(V129,,V$19,$B129)</f>
        <v>#NAME?</v>
      </c>
      <c r="AV129" s="414" t="e">
        <f ca="1">_xll.EPMSaveData(AD129,,AD$126,$B129)</f>
        <v>#NAME?</v>
      </c>
      <c r="AW129" s="414" t="e">
        <f ca="1">_xll.EPMSaveData(AG129,,AG$126,$B129)</f>
        <v>#NAME?</v>
      </c>
      <c r="AX129" s="414" t="e">
        <f ca="1">_xll.EPMSaveData(AH129,,AH$126,$B129)</f>
        <v>#NAME?</v>
      </c>
      <c r="AY129" s="414" t="e">
        <f ca="1">_xll.EPMSaveData(AI129,,AI$126,$B129)</f>
        <v>#NAME?</v>
      </c>
      <c r="AZ129" s="414" t="e">
        <f ca="1">_xll.EPMSaveData(AJ129,,AJ$126,$B129)</f>
        <v>#NAME?</v>
      </c>
    </row>
    <row r="130" spans="1:63">
      <c r="A130" s="179"/>
      <c r="B130" s="609" t="s">
        <v>363</v>
      </c>
      <c r="C130" s="378" t="s">
        <v>677</v>
      </c>
      <c r="D130" s="104"/>
      <c r="E130" s="104"/>
      <c r="F130" s="104"/>
      <c r="G130" s="104"/>
      <c r="H130" s="104"/>
      <c r="I130" s="104"/>
      <c r="J130" s="104"/>
      <c r="K130" s="104"/>
      <c r="L130" s="104"/>
      <c r="M130" s="104"/>
      <c r="N130" s="104"/>
      <c r="O130" s="104"/>
      <c r="P130" s="104"/>
      <c r="Q130" s="104"/>
      <c r="R130" s="104"/>
      <c r="S130" s="105"/>
      <c r="T130" s="114"/>
      <c r="U130" s="529"/>
      <c r="V130" s="529"/>
      <c r="W130" s="73">
        <f>SUM(U130:V130)</f>
        <v>0</v>
      </c>
      <c r="Y130" s="433"/>
      <c r="Z130" s="433"/>
      <c r="AA130" s="318"/>
      <c r="AB130" s="318"/>
      <c r="AC130" s="73">
        <f>+AD130</f>
        <v>0</v>
      </c>
      <c r="AD130" s="530"/>
      <c r="AE130" s="38"/>
      <c r="AF130" s="73">
        <f>SUM(AG130:AK130)</f>
        <v>0</v>
      </c>
      <c r="AG130" s="530"/>
      <c r="AH130" s="530"/>
      <c r="AI130" s="530"/>
      <c r="AJ130" s="530"/>
      <c r="AK130" s="443"/>
      <c r="AL130" s="433"/>
      <c r="AM130" s="433"/>
      <c r="AQ130" s="414" t="e">
        <f ca="1">_xll.EPMSaveData(U130,,U$19,$B130)</f>
        <v>#NAME?</v>
      </c>
      <c r="AR130" s="414" t="e">
        <f ca="1">_xll.EPMSaveData(V130,,V$19,$B130)</f>
        <v>#NAME?</v>
      </c>
      <c r="AV130" s="414" t="e">
        <f ca="1">_xll.EPMSaveData(AD130,,AD$126,$B130)</f>
        <v>#NAME?</v>
      </c>
      <c r="AW130" s="414" t="e">
        <f ca="1">_xll.EPMSaveData(AG130,,AG$126,$B130)</f>
        <v>#NAME?</v>
      </c>
      <c r="AX130" s="414" t="e">
        <f ca="1">_xll.EPMSaveData(AH130,,AH$126,$B130)</f>
        <v>#NAME?</v>
      </c>
      <c r="AY130" s="414" t="e">
        <f ca="1">_xll.EPMSaveData(AI130,,AI$126,$B130)</f>
        <v>#NAME?</v>
      </c>
      <c r="AZ130" s="414" t="e">
        <f ca="1">_xll.EPMSaveData(AJ130,,AJ$126,$B130)</f>
        <v>#NAME?</v>
      </c>
    </row>
    <row r="131" spans="1:63">
      <c r="A131" s="179"/>
      <c r="B131" s="611" t="s">
        <v>364</v>
      </c>
      <c r="C131" s="378" t="s">
        <v>454</v>
      </c>
      <c r="D131" s="104"/>
      <c r="E131" s="104"/>
      <c r="F131" s="104"/>
      <c r="G131" s="104"/>
      <c r="H131" s="104"/>
      <c r="I131" s="104"/>
      <c r="J131" s="104"/>
      <c r="K131" s="104"/>
      <c r="L131" s="104"/>
      <c r="M131" s="104"/>
      <c r="N131" s="104"/>
      <c r="O131" s="104"/>
      <c r="P131" s="104"/>
      <c r="Q131" s="104"/>
      <c r="R131" s="104"/>
      <c r="S131" s="105"/>
      <c r="T131" s="73">
        <f>SUM(T129:T130)</f>
        <v>165859053</v>
      </c>
      <c r="U131" s="73">
        <f>SUM(U129:U130)</f>
        <v>0</v>
      </c>
      <c r="V131" s="73">
        <f>SUM(V129:V130)</f>
        <v>0</v>
      </c>
      <c r="W131" s="73">
        <f>SUM(W129:W130)</f>
        <v>0</v>
      </c>
      <c r="Y131" s="346">
        <f>W131-(IFERROR(INDEX(BPC_NOTAS[#All],MATCH("S220_1",BPC_NOTAS[[#All],[FILA_COLUMNA]],0),2),0)+IFERROR(INDEX(BPC_NOTAS[#All],MATCH("S225_0",BPC_NOTAS[[#All],[FILA_COLUMNA]],0),2),0))</f>
        <v>-10174703</v>
      </c>
      <c r="Z131" s="345" t="str">
        <f>IFERROR(IF(Y131=0,"ok","Error"),"Error")</f>
        <v>Error</v>
      </c>
      <c r="AA131" s="318"/>
      <c r="AB131" s="318"/>
      <c r="AC131" s="73">
        <f>SUM(AC129:AC130)</f>
        <v>0</v>
      </c>
      <c r="AD131" s="73">
        <f>SUM(AD129:AD130)</f>
        <v>0</v>
      </c>
      <c r="AE131" s="38"/>
      <c r="AF131" s="73">
        <f>SUM(AF129:AF130)</f>
        <v>0</v>
      </c>
      <c r="AG131" s="73">
        <f>SUM(AG129:AG130)</f>
        <v>0</v>
      </c>
      <c r="AH131" s="73">
        <f>SUM(AH129:AH130)</f>
        <v>0</v>
      </c>
      <c r="AI131" s="73">
        <f>SUM(AI129:AI130)</f>
        <v>0</v>
      </c>
      <c r="AJ131" s="73">
        <f>SUM(AJ129:AJ130)</f>
        <v>0</v>
      </c>
      <c r="AK131" s="433"/>
      <c r="AL131" s="433"/>
      <c r="AM131" s="433"/>
      <c r="BH131" s="157" t="str">
        <f>IF((AF131+AC131)&lt;&gt;W131,"Error","Ok")</f>
        <v>Ok</v>
      </c>
      <c r="BI131" s="347">
        <f>IF(BH131="Error",1,0)</f>
        <v>0</v>
      </c>
    </row>
    <row r="132" spans="1:63">
      <c r="A132" s="179"/>
      <c r="B132" s="610"/>
      <c r="C132" s="34"/>
      <c r="D132" s="320"/>
      <c r="E132" s="320"/>
      <c r="F132" s="320"/>
      <c r="G132" s="320"/>
      <c r="H132" s="320"/>
      <c r="I132" s="321"/>
      <c r="J132" s="320"/>
      <c r="K132" s="320"/>
      <c r="L132" s="320"/>
      <c r="M132" s="320"/>
      <c r="N132" s="322"/>
      <c r="O132" s="322"/>
      <c r="P132" s="320"/>
      <c r="Q132" s="320"/>
      <c r="R132" s="326"/>
      <c r="S132" s="327"/>
      <c r="T132" s="327"/>
      <c r="U132" s="327"/>
      <c r="V132" s="327"/>
      <c r="W132" s="327"/>
      <c r="X132" s="318"/>
      <c r="Y132" s="433"/>
      <c r="Z132" s="433"/>
      <c r="AA132" s="318"/>
      <c r="AB132" s="318"/>
      <c r="AC132" s="325"/>
      <c r="AD132" s="34"/>
      <c r="AE132" s="34"/>
      <c r="AF132" s="325"/>
      <c r="AG132" s="34"/>
      <c r="AH132" s="34"/>
      <c r="AI132" s="34"/>
      <c r="AJ132" s="34"/>
      <c r="AK132" s="433"/>
      <c r="AL132" s="433"/>
      <c r="AM132" s="433"/>
    </row>
    <row r="133" spans="1:63" ht="15">
      <c r="A133" s="179"/>
      <c r="B133" s="610"/>
      <c r="C133" s="379" t="s">
        <v>142</v>
      </c>
      <c r="D133" s="106"/>
      <c r="E133" s="106"/>
      <c r="F133" s="106"/>
      <c r="G133" s="106"/>
      <c r="H133" s="106"/>
      <c r="I133" s="106"/>
      <c r="J133" s="106"/>
      <c r="K133" s="106"/>
      <c r="L133" s="106"/>
      <c r="M133" s="106"/>
      <c r="N133" s="106"/>
      <c r="O133" s="106"/>
      <c r="P133" s="106"/>
      <c r="Q133" s="106"/>
      <c r="R133" s="106"/>
      <c r="S133" s="107"/>
      <c r="T133" s="72">
        <f>+T123+T127+T131</f>
        <v>38012942797</v>
      </c>
      <c r="U133" s="72">
        <f>+SUM(U122,U127,U131)</f>
        <v>0</v>
      </c>
      <c r="V133" s="72">
        <f>+SUM(V122,V127,V131)</f>
        <v>0</v>
      </c>
      <c r="W133" s="72">
        <f>+SUM(W122,W127,W131)</f>
        <v>0</v>
      </c>
      <c r="Y133" s="433"/>
      <c r="Z133" s="433"/>
      <c r="AA133" s="318"/>
      <c r="AB133" s="318"/>
      <c r="AC133" s="73">
        <f>+AC123+AC127+AC131</f>
        <v>0</v>
      </c>
      <c r="AD133" s="72">
        <f>SUM(AD131,AD127,AD122)</f>
        <v>0</v>
      </c>
      <c r="AE133" s="38"/>
      <c r="AF133" s="73">
        <f>SUM(AF131,AF127,AF122)</f>
        <v>0</v>
      </c>
      <c r="AG133" s="72">
        <f>SUM(AG131,AG127,AG122)</f>
        <v>0</v>
      </c>
      <c r="AH133" s="72">
        <f>SUM(AH131,AH127,AH122)</f>
        <v>0</v>
      </c>
      <c r="AI133" s="72">
        <f>SUM(AI131,AI127,AI122)</f>
        <v>0</v>
      </c>
      <c r="AJ133" s="72">
        <f>SUM(AJ131,AJ127,AJ122)</f>
        <v>0</v>
      </c>
      <c r="AK133" s="433"/>
      <c r="AL133" s="433"/>
      <c r="AM133" s="433"/>
      <c r="BH133"/>
    </row>
    <row r="134" spans="1:63">
      <c r="A134" s="179"/>
      <c r="B134" s="610"/>
      <c r="C134" s="328"/>
      <c r="D134" s="329"/>
      <c r="E134" s="329"/>
      <c r="F134" s="329"/>
      <c r="G134" s="329"/>
      <c r="H134" s="329"/>
      <c r="I134" s="330"/>
      <c r="J134" s="329"/>
      <c r="K134" s="329"/>
      <c r="L134" s="329"/>
      <c r="M134" s="329"/>
      <c r="N134" s="331"/>
      <c r="O134" s="331"/>
      <c r="P134" s="329"/>
      <c r="Q134" s="329"/>
      <c r="R134" s="332"/>
      <c r="S134" s="324"/>
      <c r="T134" s="324"/>
      <c r="U134" s="324"/>
      <c r="V134" s="324"/>
      <c r="W134" s="318"/>
      <c r="X134" s="318"/>
      <c r="Y134" s="433"/>
      <c r="Z134" s="433"/>
      <c r="AA134" s="318"/>
      <c r="AB134" s="318"/>
      <c r="AC134" s="318"/>
      <c r="AD134" s="318"/>
      <c r="AE134" s="318"/>
      <c r="AF134" s="318"/>
      <c r="AG134" s="318"/>
      <c r="AH134" s="318"/>
      <c r="AI134" s="318"/>
      <c r="AJ134" s="318"/>
      <c r="AK134" s="433"/>
      <c r="AL134" s="433"/>
      <c r="AM134" s="433"/>
      <c r="AQ134" s="414" t="s">
        <v>367</v>
      </c>
    </row>
    <row r="135" spans="1:63">
      <c r="A135" s="179"/>
      <c r="B135" s="609" t="s">
        <v>365</v>
      </c>
      <c r="C135" s="376"/>
      <c r="D135" s="354"/>
      <c r="E135" s="354"/>
      <c r="F135" s="354"/>
      <c r="G135" s="354"/>
      <c r="H135" s="354"/>
      <c r="I135" s="354"/>
      <c r="J135" s="354"/>
      <c r="K135" s="354"/>
      <c r="L135" s="354"/>
      <c r="M135" s="354"/>
      <c r="N135" s="354"/>
      <c r="O135" s="354"/>
      <c r="P135" s="354"/>
      <c r="Q135" s="354"/>
      <c r="R135" s="354"/>
      <c r="S135" s="354"/>
      <c r="T135" s="354"/>
      <c r="U135" s="354"/>
      <c r="V135" s="352" t="s">
        <v>151</v>
      </c>
      <c r="W135" s="514"/>
      <c r="Y135" s="433"/>
      <c r="Z135" s="433"/>
      <c r="AA135" s="318"/>
      <c r="AB135" s="318"/>
      <c r="AC135" s="318"/>
      <c r="AD135" s="318"/>
      <c r="AE135" s="318"/>
      <c r="AF135" s="318"/>
      <c r="AG135" s="318"/>
      <c r="AH135" s="318"/>
      <c r="AI135" s="318"/>
      <c r="AJ135" s="318"/>
      <c r="AK135" s="433"/>
      <c r="AL135" s="433"/>
      <c r="AM135" s="433"/>
      <c r="AN135" s="416"/>
      <c r="AO135" s="416"/>
      <c r="AP135" s="416"/>
      <c r="AQ135" s="416" t="e">
        <f ca="1">_xll.EPMSaveData(W135,,U$19,$B135)</f>
        <v>#NAME?</v>
      </c>
      <c r="AR135" s="416"/>
      <c r="AS135" s="416"/>
      <c r="AT135" s="416"/>
      <c r="AU135" s="416"/>
      <c r="AV135" s="416"/>
      <c r="AW135" s="416"/>
      <c r="AX135" s="416"/>
      <c r="AY135" s="416"/>
      <c r="AZ135" s="416"/>
      <c r="BA135" s="416"/>
      <c r="BB135" s="416"/>
      <c r="BC135" s="416"/>
      <c r="BD135" s="416"/>
      <c r="BE135" s="416"/>
      <c r="BF135" s="416"/>
      <c r="BG135" s="416"/>
      <c r="BH135" s="319"/>
      <c r="BI135" s="347">
        <f>IF(Z135="Error",1,0)</f>
        <v>0</v>
      </c>
      <c r="BJ135" s="245"/>
      <c r="BK135" s="318"/>
    </row>
    <row r="136" spans="1:63">
      <c r="A136" s="179"/>
      <c r="B136" s="609" t="s">
        <v>366</v>
      </c>
      <c r="C136" s="376"/>
      <c r="D136" s="354"/>
      <c r="E136" s="354"/>
      <c r="F136" s="354"/>
      <c r="G136" s="354"/>
      <c r="H136" s="354"/>
      <c r="I136" s="354"/>
      <c r="J136" s="354"/>
      <c r="K136" s="354"/>
      <c r="L136" s="354"/>
      <c r="M136" s="354"/>
      <c r="N136" s="354"/>
      <c r="O136" s="354"/>
      <c r="P136" s="354"/>
      <c r="Q136" s="354"/>
      <c r="R136" s="354"/>
      <c r="S136" s="354"/>
      <c r="T136" s="354"/>
      <c r="U136" s="354"/>
      <c r="V136" s="352" t="s">
        <v>152</v>
      </c>
      <c r="W136" s="514"/>
      <c r="Y136" s="433"/>
      <c r="Z136" s="433"/>
      <c r="AA136" s="318"/>
      <c r="AB136" s="318"/>
      <c r="AC136" s="318"/>
      <c r="AD136" s="318"/>
      <c r="AE136" s="318"/>
      <c r="AF136" s="318"/>
      <c r="AG136" s="318"/>
      <c r="AH136" s="318"/>
      <c r="AI136" s="318"/>
      <c r="AJ136" s="318"/>
      <c r="AK136" s="433"/>
      <c r="AL136" s="433"/>
      <c r="AM136" s="433"/>
      <c r="AN136" s="416"/>
      <c r="AO136" s="416"/>
      <c r="AP136" s="416"/>
      <c r="AQ136" s="416" t="e">
        <f ca="1">_xll.EPMSaveData(W136,,U$19,$B136)</f>
        <v>#NAME?</v>
      </c>
      <c r="AR136" s="416"/>
      <c r="AS136" s="416"/>
      <c r="AT136" s="416"/>
      <c r="AU136" s="416"/>
      <c r="AV136" s="416"/>
      <c r="AW136" s="416"/>
      <c r="AX136" s="416"/>
      <c r="AY136" s="416"/>
      <c r="AZ136" s="416"/>
      <c r="BA136" s="416"/>
      <c r="BB136" s="416"/>
      <c r="BC136" s="416"/>
      <c r="BD136" s="416"/>
      <c r="BE136" s="416"/>
      <c r="BF136" s="416"/>
      <c r="BG136" s="416"/>
      <c r="BH136" s="319"/>
      <c r="BI136" s="347">
        <f>IF(Z137="Error",1,0)</f>
        <v>0</v>
      </c>
      <c r="BJ136" s="245"/>
      <c r="BK136" s="318"/>
    </row>
    <row r="137" spans="1:63">
      <c r="A137" s="179"/>
      <c r="C137" s="355"/>
      <c r="D137" s="355"/>
      <c r="E137" s="355"/>
      <c r="F137" s="355"/>
      <c r="G137" s="355"/>
      <c r="H137" s="355"/>
      <c r="I137" s="355"/>
      <c r="J137" s="355"/>
      <c r="K137" s="355"/>
      <c r="L137" s="355"/>
      <c r="M137" s="355"/>
      <c r="N137" s="355"/>
      <c r="O137" s="355"/>
      <c r="P137" s="355"/>
      <c r="Q137" s="355"/>
      <c r="R137" s="355"/>
      <c r="S137" s="355"/>
      <c r="T137" s="355"/>
      <c r="U137" s="355"/>
      <c r="V137" s="353" t="s">
        <v>140</v>
      </c>
      <c r="W137" s="356">
        <f>SUM(W135:W136)</f>
        <v>0</v>
      </c>
      <c r="Y137" s="433"/>
      <c r="Z137" s="345" t="str">
        <f>IF(AND(W122&lt;&gt;0,W137&lt;&gt;100%),"Error","Ok")</f>
        <v>Ok</v>
      </c>
      <c r="AA137" s="318"/>
      <c r="AB137" s="318"/>
      <c r="AC137" s="318"/>
      <c r="AD137" s="318"/>
      <c r="AE137" s="318"/>
      <c r="AF137" s="318"/>
      <c r="AG137" s="318"/>
      <c r="AH137" s="318"/>
      <c r="AI137" s="318"/>
      <c r="AJ137" s="318"/>
      <c r="AK137" s="318"/>
      <c r="AL137" s="318"/>
      <c r="AM137" s="245"/>
      <c r="AN137" s="416"/>
      <c r="AO137" s="416"/>
      <c r="AP137" s="416"/>
      <c r="AQ137" s="416"/>
      <c r="AR137" s="416"/>
      <c r="AS137" s="416"/>
      <c r="AT137" s="416"/>
      <c r="AU137" s="416"/>
      <c r="AV137" s="416"/>
      <c r="AW137" s="416"/>
      <c r="AX137" s="416"/>
      <c r="AY137" s="416"/>
      <c r="AZ137" s="416"/>
      <c r="BA137" s="416"/>
      <c r="BB137" s="416"/>
      <c r="BC137" s="416"/>
      <c r="BD137" s="416"/>
      <c r="BE137" s="416"/>
      <c r="BF137" s="416"/>
      <c r="BG137" s="416"/>
      <c r="BH137" s="319"/>
      <c r="BI137" s="351"/>
      <c r="BJ137" s="245"/>
      <c r="BK137" s="318"/>
    </row>
    <row r="138" spans="1:63">
      <c r="A138" s="179"/>
      <c r="B138" s="506"/>
      <c r="C138" s="438"/>
      <c r="D138" s="435"/>
      <c r="E138" s="435"/>
      <c r="F138" s="435"/>
      <c r="G138" s="435"/>
      <c r="H138" s="435"/>
      <c r="I138" s="436"/>
      <c r="J138" s="435"/>
      <c r="K138" s="435"/>
      <c r="L138" s="435"/>
      <c r="M138" s="435"/>
      <c r="N138" s="103"/>
      <c r="U138" s="433"/>
      <c r="V138" s="433"/>
      <c r="W138" s="433"/>
      <c r="X138" s="433"/>
      <c r="Y138" s="433"/>
      <c r="Z138" s="433"/>
      <c r="AA138" s="433"/>
      <c r="AB138" s="433"/>
      <c r="AC138" s="433"/>
      <c r="AD138" s="433"/>
      <c r="AE138" s="433"/>
      <c r="AF138" s="433"/>
      <c r="AG138" s="433"/>
      <c r="AH138" s="433"/>
      <c r="AI138" s="433"/>
      <c r="AJ138" s="433"/>
      <c r="AK138" s="433"/>
      <c r="AL138" s="433"/>
      <c r="AM138" s="433"/>
      <c r="AN138" s="442"/>
      <c r="AO138" s="442"/>
      <c r="AP138" s="442"/>
      <c r="AQ138" s="442"/>
      <c r="AR138" s="442"/>
      <c r="AS138" s="442"/>
      <c r="AT138" s="442"/>
      <c r="AU138" s="442"/>
      <c r="AV138" s="442"/>
      <c r="AW138" s="442"/>
      <c r="AX138" s="442"/>
      <c r="AY138" s="442"/>
      <c r="AZ138" s="442"/>
      <c r="BA138" s="442"/>
      <c r="BB138" s="442"/>
      <c r="BC138" s="442"/>
      <c r="BD138" s="442"/>
      <c r="BE138" s="442"/>
      <c r="BF138" s="442"/>
      <c r="BG138" s="442"/>
      <c r="BH138" s="443"/>
      <c r="BI138" s="351"/>
      <c r="BJ138" s="245"/>
      <c r="BK138" s="318"/>
    </row>
    <row r="139" spans="1:63">
      <c r="A139" s="179"/>
      <c r="B139" s="506"/>
      <c r="C139" s="438"/>
      <c r="D139" s="435"/>
      <c r="E139" s="435"/>
      <c r="F139" s="435"/>
      <c r="G139" s="435"/>
      <c r="H139" s="435"/>
      <c r="I139" s="436"/>
      <c r="J139" s="435"/>
      <c r="K139" s="435"/>
      <c r="L139" s="435"/>
      <c r="M139" s="435"/>
      <c r="N139" s="68" t="s">
        <v>143</v>
      </c>
      <c r="O139" s="74"/>
      <c r="P139" s="75"/>
      <c r="Q139" s="75"/>
      <c r="R139" s="76"/>
      <c r="S139" s="194"/>
      <c r="T139" s="77"/>
      <c r="U139" s="433"/>
      <c r="V139" s="433"/>
      <c r="W139" s="433"/>
      <c r="X139" s="433"/>
      <c r="Y139" s="433"/>
      <c r="Z139" s="433"/>
      <c r="AA139" s="433"/>
      <c r="AB139" s="433"/>
      <c r="AC139" s="433"/>
      <c r="AD139" s="433"/>
      <c r="AE139" s="433"/>
      <c r="AF139" s="433"/>
      <c r="AG139" s="433"/>
      <c r="AH139" s="433"/>
      <c r="AI139" s="433"/>
      <c r="AJ139" s="433"/>
      <c r="AK139" s="433"/>
      <c r="AL139" s="433"/>
      <c r="AM139" s="433"/>
      <c r="AN139" s="442"/>
      <c r="AO139" s="442"/>
      <c r="AP139" s="442"/>
      <c r="AQ139" s="442"/>
      <c r="AR139" s="442"/>
      <c r="AS139" s="442"/>
      <c r="AT139" s="442"/>
      <c r="AU139" s="442"/>
      <c r="AV139" s="442"/>
      <c r="AW139" s="442"/>
      <c r="AX139" s="442"/>
      <c r="AY139" s="442"/>
      <c r="AZ139" s="442"/>
      <c r="BA139" s="442"/>
      <c r="BB139" s="442"/>
      <c r="BC139" s="442"/>
      <c r="BD139" s="442"/>
      <c r="BE139" s="442"/>
      <c r="BF139" s="442"/>
      <c r="BG139" s="442"/>
      <c r="BH139" s="443"/>
      <c r="BI139" s="351"/>
      <c r="BJ139" s="245"/>
      <c r="BK139" s="318"/>
    </row>
    <row r="140" spans="1:63">
      <c r="A140" s="179"/>
      <c r="B140" s="506"/>
      <c r="C140" s="438"/>
      <c r="D140" s="435"/>
      <c r="E140" s="435"/>
      <c r="F140" s="435"/>
      <c r="G140" s="435"/>
      <c r="H140" s="435"/>
      <c r="I140" s="436"/>
      <c r="J140" s="435"/>
      <c r="K140" s="435"/>
      <c r="L140" s="435"/>
      <c r="M140" s="435"/>
      <c r="N140" s="69" t="s">
        <v>144</v>
      </c>
      <c r="O140" s="195"/>
      <c r="P140" s="196"/>
      <c r="Q140" s="196"/>
      <c r="R140" s="197"/>
      <c r="S140" s="78"/>
      <c r="T140" s="78"/>
      <c r="U140" s="433"/>
      <c r="V140" s="433"/>
      <c r="W140" s="433"/>
      <c r="X140" s="433"/>
      <c r="Y140" s="433"/>
      <c r="Z140" s="433"/>
      <c r="AA140" s="433"/>
      <c r="AB140" s="433"/>
      <c r="AC140" s="433"/>
      <c r="AD140" s="433"/>
      <c r="AE140" s="433"/>
      <c r="AF140" s="433"/>
      <c r="AG140" s="433"/>
      <c r="AH140" s="433"/>
      <c r="AI140" s="433"/>
      <c r="AJ140" s="433"/>
      <c r="AK140" s="433"/>
      <c r="AL140" s="433"/>
      <c r="AM140" s="433"/>
      <c r="AN140" s="442"/>
      <c r="AO140" s="442"/>
      <c r="AP140" s="442"/>
      <c r="AQ140" s="442"/>
      <c r="AR140" s="442"/>
      <c r="AS140" s="442"/>
      <c r="AT140" s="442"/>
      <c r="AU140" s="442"/>
      <c r="AV140" s="442"/>
      <c r="AW140" s="442"/>
      <c r="AX140" s="442"/>
      <c r="AY140" s="442"/>
      <c r="AZ140" s="442"/>
      <c r="BA140" s="442"/>
      <c r="BB140" s="442"/>
      <c r="BC140" s="442"/>
      <c r="BD140" s="442"/>
      <c r="BE140" s="442"/>
      <c r="BF140" s="442"/>
      <c r="BG140" s="442"/>
      <c r="BH140" s="443"/>
      <c r="BI140" s="351"/>
      <c r="BJ140" s="245"/>
      <c r="BK140" s="318"/>
    </row>
    <row r="141" spans="1:63">
      <c r="A141" s="179"/>
      <c r="C141" s="70" t="s">
        <v>145</v>
      </c>
      <c r="D141" s="59"/>
      <c r="E141" s="59"/>
      <c r="F141" s="59"/>
      <c r="G141" s="59"/>
      <c r="H141" s="59"/>
      <c r="I141" s="71"/>
      <c r="J141" s="59"/>
      <c r="K141" s="59"/>
      <c r="L141" s="59"/>
      <c r="M141" s="59"/>
      <c r="N141" s="163"/>
      <c r="O141" s="433"/>
      <c r="P141" s="433"/>
      <c r="Q141" s="433"/>
      <c r="R141" s="433"/>
      <c r="S141" s="433"/>
      <c r="T141" s="433"/>
      <c r="U141" s="433"/>
      <c r="V141" s="433"/>
      <c r="W141" s="433"/>
      <c r="X141" s="433"/>
      <c r="Y141" s="433"/>
      <c r="Z141" s="433"/>
      <c r="AA141" s="433"/>
      <c r="AB141" s="433"/>
      <c r="AC141" s="433"/>
      <c r="AD141" s="433"/>
      <c r="AE141" s="433"/>
      <c r="AF141" s="433"/>
      <c r="AG141" s="433"/>
      <c r="AH141" s="433"/>
      <c r="AI141" s="433"/>
      <c r="AJ141" s="433"/>
      <c r="AK141" s="433"/>
      <c r="AL141" s="433"/>
      <c r="AM141" s="433"/>
      <c r="AN141" s="442"/>
      <c r="AO141" s="442"/>
      <c r="AP141" s="442"/>
      <c r="AQ141" s="442"/>
      <c r="AR141" s="442"/>
      <c r="AS141" s="442"/>
      <c r="AT141" s="442"/>
      <c r="AU141" s="442"/>
      <c r="AV141" s="442"/>
      <c r="AW141" s="442"/>
      <c r="AX141" s="442"/>
      <c r="AY141" s="442"/>
      <c r="AZ141" s="442"/>
      <c r="BA141" s="442"/>
      <c r="BB141" s="442"/>
      <c r="BC141" s="442"/>
      <c r="BD141" s="442"/>
      <c r="BE141" s="442"/>
      <c r="BF141" s="442"/>
      <c r="BG141" s="442"/>
      <c r="BH141" s="443"/>
      <c r="BI141" s="351"/>
      <c r="BJ141" s="245"/>
      <c r="BK141" s="318"/>
    </row>
    <row r="142" spans="1:63">
      <c r="A142" s="179"/>
      <c r="C142" s="734" t="s">
        <v>146</v>
      </c>
      <c r="D142" s="734"/>
      <c r="E142" s="734"/>
      <c r="F142" s="734"/>
      <c r="G142" s="734"/>
      <c r="H142" s="734"/>
      <c r="I142" s="734"/>
      <c r="J142" s="734"/>
      <c r="K142" s="734"/>
      <c r="L142" s="734"/>
      <c r="M142" s="734"/>
      <c r="N142" s="734"/>
      <c r="O142" s="433"/>
      <c r="P142" s="433"/>
      <c r="Q142" s="433"/>
      <c r="R142" s="433"/>
      <c r="S142" s="433"/>
      <c r="T142" s="433"/>
      <c r="U142" s="433"/>
      <c r="V142" s="433"/>
      <c r="W142" s="433"/>
      <c r="X142" s="433"/>
      <c r="Y142" s="433"/>
      <c r="Z142" s="433"/>
      <c r="AA142" s="433"/>
      <c r="AB142" s="433"/>
      <c r="AC142" s="433"/>
      <c r="AD142" s="433"/>
      <c r="AE142" s="433"/>
      <c r="AF142" s="433"/>
      <c r="AG142" s="433"/>
      <c r="AH142" s="433"/>
      <c r="AI142" s="433"/>
      <c r="AJ142" s="433"/>
      <c r="AK142" s="433"/>
      <c r="AL142" s="433"/>
      <c r="AM142" s="433"/>
      <c r="AN142" s="442"/>
      <c r="AO142" s="442"/>
      <c r="AP142" s="442"/>
      <c r="AQ142" s="442"/>
      <c r="AR142" s="442"/>
      <c r="AS142" s="442"/>
      <c r="AT142" s="442"/>
      <c r="AU142" s="442"/>
      <c r="AV142" s="442"/>
      <c r="AW142" s="442"/>
      <c r="AX142" s="442"/>
      <c r="AY142" s="442"/>
      <c r="AZ142" s="442"/>
      <c r="BA142" s="442"/>
      <c r="BB142" s="442"/>
      <c r="BC142" s="442"/>
      <c r="BD142" s="442"/>
      <c r="BE142" s="442"/>
      <c r="BF142" s="442"/>
      <c r="BG142" s="442"/>
      <c r="BH142" s="443"/>
      <c r="BI142" s="351"/>
      <c r="BJ142" s="245"/>
      <c r="BK142" s="318"/>
    </row>
    <row r="143" spans="1:63">
      <c r="A143" s="179"/>
      <c r="C143" s="734"/>
      <c r="D143" s="734"/>
      <c r="E143" s="734"/>
      <c r="F143" s="734"/>
      <c r="G143" s="734"/>
      <c r="H143" s="734"/>
      <c r="I143" s="734"/>
      <c r="J143" s="734"/>
      <c r="K143" s="734"/>
      <c r="L143" s="734"/>
      <c r="M143" s="734"/>
      <c r="N143" s="734"/>
      <c r="O143" s="433"/>
      <c r="P143" s="433"/>
      <c r="Q143" s="433"/>
      <c r="R143" s="433"/>
      <c r="S143" s="433"/>
      <c r="T143" s="433"/>
      <c r="U143" s="433"/>
      <c r="V143" s="433"/>
      <c r="W143" s="433"/>
      <c r="X143" s="433"/>
      <c r="Y143" s="433"/>
      <c r="Z143" s="433"/>
      <c r="AA143" s="433"/>
      <c r="AB143" s="433"/>
      <c r="AC143" s="433"/>
      <c r="AD143" s="433"/>
      <c r="AE143" s="433"/>
      <c r="AF143" s="433"/>
      <c r="AG143" s="433"/>
      <c r="AH143" s="433"/>
      <c r="AI143" s="433"/>
      <c r="AJ143" s="433"/>
      <c r="AK143" s="433"/>
      <c r="AL143" s="433"/>
      <c r="AM143" s="433"/>
      <c r="AN143" s="442"/>
      <c r="AO143" s="442"/>
      <c r="AP143" s="442"/>
      <c r="AQ143" s="442"/>
      <c r="AR143" s="442"/>
      <c r="AS143" s="442"/>
      <c r="AT143" s="442"/>
      <c r="AU143" s="442"/>
      <c r="AV143" s="442"/>
      <c r="AW143" s="442"/>
      <c r="AX143" s="442"/>
      <c r="AY143" s="442"/>
      <c r="AZ143" s="442"/>
      <c r="BA143" s="442"/>
      <c r="BB143" s="442"/>
      <c r="BC143" s="442"/>
      <c r="BD143" s="442"/>
      <c r="BE143" s="442"/>
      <c r="BF143" s="442"/>
      <c r="BG143" s="442"/>
      <c r="BH143" s="443"/>
      <c r="BI143" s="351"/>
      <c r="BJ143" s="245"/>
      <c r="BK143" s="318"/>
    </row>
    <row r="144" spans="1:63">
      <c r="A144" s="179"/>
      <c r="C144" s="723" t="s">
        <v>147</v>
      </c>
      <c r="D144" s="722"/>
      <c r="E144" s="722"/>
      <c r="F144" s="722"/>
      <c r="G144" s="722"/>
      <c r="H144" s="722"/>
      <c r="I144" s="722"/>
      <c r="J144" s="722"/>
      <c r="K144" s="722"/>
      <c r="L144" s="722"/>
      <c r="M144" s="722"/>
      <c r="N144" s="722"/>
      <c r="O144" s="433"/>
      <c r="P144" s="433"/>
      <c r="Q144" s="433"/>
      <c r="R144" s="433"/>
      <c r="S144" s="433"/>
      <c r="T144" s="433"/>
      <c r="U144" s="433"/>
      <c r="V144" s="433"/>
      <c r="W144" s="433"/>
      <c r="X144" s="433"/>
      <c r="Y144" s="433"/>
      <c r="Z144" s="433"/>
      <c r="AA144" s="433"/>
      <c r="AB144" s="433"/>
      <c r="AC144" s="433"/>
      <c r="AD144" s="433"/>
      <c r="AE144" s="433"/>
      <c r="AF144" s="433"/>
      <c r="AG144" s="433"/>
      <c r="AH144" s="433"/>
      <c r="AI144" s="433"/>
      <c r="AJ144" s="433"/>
      <c r="AK144" s="433"/>
      <c r="AL144" s="433"/>
      <c r="AM144" s="433"/>
      <c r="AN144" s="442"/>
      <c r="AO144" s="442"/>
      <c r="AP144" s="442"/>
      <c r="AQ144" s="442"/>
      <c r="AR144" s="442"/>
      <c r="AS144" s="442"/>
      <c r="AT144" s="442"/>
      <c r="AU144" s="442"/>
      <c r="AV144" s="442"/>
      <c r="AW144" s="442"/>
      <c r="AX144" s="442"/>
      <c r="AY144" s="442"/>
      <c r="AZ144" s="442"/>
      <c r="BA144" s="442"/>
      <c r="BB144" s="442"/>
      <c r="BC144" s="442"/>
      <c r="BD144" s="442"/>
      <c r="BE144" s="442"/>
      <c r="BF144" s="442"/>
      <c r="BG144" s="442"/>
      <c r="BH144" s="443"/>
      <c r="BI144" s="351"/>
      <c r="BJ144" s="245"/>
      <c r="BK144" s="318"/>
    </row>
    <row r="145" spans="1:63">
      <c r="A145" s="179"/>
      <c r="C145" s="733" t="s">
        <v>148</v>
      </c>
      <c r="D145" s="733"/>
      <c r="E145" s="733"/>
      <c r="F145" s="733"/>
      <c r="G145" s="733"/>
      <c r="H145" s="733"/>
      <c r="I145" s="733"/>
      <c r="J145" s="733"/>
      <c r="K145" s="733"/>
      <c r="L145" s="733"/>
      <c r="M145" s="733"/>
      <c r="N145" s="733"/>
      <c r="O145" s="433"/>
      <c r="P145" s="433"/>
      <c r="Q145" s="433"/>
      <c r="R145" s="433"/>
      <c r="S145" s="433"/>
      <c r="T145" s="433"/>
      <c r="U145" s="433"/>
      <c r="V145" s="433"/>
      <c r="W145" s="433"/>
      <c r="X145" s="433"/>
      <c r="Y145" s="433"/>
      <c r="Z145" s="433"/>
      <c r="AA145" s="433"/>
      <c r="AB145" s="433"/>
      <c r="AC145" s="433"/>
      <c r="AD145" s="433"/>
      <c r="AE145" s="433"/>
      <c r="AF145" s="433"/>
      <c r="AG145" s="433"/>
      <c r="AH145" s="433"/>
      <c r="AI145" s="433"/>
      <c r="AJ145" s="433"/>
      <c r="AK145" s="433"/>
      <c r="AL145" s="433"/>
      <c r="AM145" s="433"/>
      <c r="AN145" s="442"/>
      <c r="AO145" s="442"/>
      <c r="AP145" s="442"/>
      <c r="AQ145" s="442"/>
      <c r="AR145" s="442"/>
      <c r="AS145" s="442"/>
      <c r="AT145" s="442"/>
      <c r="AU145" s="442"/>
      <c r="AV145" s="442"/>
      <c r="AW145" s="442"/>
      <c r="AX145" s="442"/>
      <c r="AY145" s="442"/>
      <c r="AZ145" s="442"/>
      <c r="BA145" s="442"/>
      <c r="BB145" s="442"/>
      <c r="BC145" s="442"/>
      <c r="BD145" s="442"/>
      <c r="BE145" s="442"/>
      <c r="BF145" s="442"/>
      <c r="BG145" s="442"/>
      <c r="BH145" s="443"/>
      <c r="BI145" s="351"/>
      <c r="BJ145" s="245"/>
      <c r="BK145" s="318"/>
    </row>
    <row r="146" spans="1:63">
      <c r="A146" s="179"/>
      <c r="C146" s="733"/>
      <c r="D146" s="733"/>
      <c r="E146" s="733"/>
      <c r="F146" s="733"/>
      <c r="G146" s="733"/>
      <c r="H146" s="733"/>
      <c r="I146" s="733"/>
      <c r="J146" s="733"/>
      <c r="K146" s="733"/>
      <c r="L146" s="733"/>
      <c r="M146" s="733"/>
      <c r="N146" s="733"/>
      <c r="O146" s="433"/>
      <c r="P146" s="433"/>
      <c r="Q146" s="433"/>
      <c r="R146" s="433"/>
      <c r="S146" s="433"/>
      <c r="T146" s="433"/>
      <c r="U146" s="433"/>
      <c r="V146" s="433"/>
      <c r="W146" s="433"/>
      <c r="X146" s="433"/>
      <c r="Y146" s="433"/>
      <c r="Z146" s="433"/>
      <c r="AA146" s="433"/>
      <c r="AB146" s="433"/>
      <c r="AC146" s="433"/>
      <c r="AD146" s="433"/>
      <c r="AE146" s="433"/>
      <c r="AF146" s="433"/>
      <c r="AG146" s="433"/>
      <c r="AH146" s="433"/>
      <c r="AI146" s="433"/>
      <c r="AJ146" s="433"/>
      <c r="AK146" s="433"/>
      <c r="AL146" s="433"/>
      <c r="AM146" s="433"/>
      <c r="AN146" s="442"/>
      <c r="AO146" s="442"/>
      <c r="AP146" s="442"/>
      <c r="AQ146" s="442"/>
      <c r="AR146" s="442"/>
      <c r="AS146" s="442"/>
      <c r="AT146" s="442"/>
      <c r="AU146" s="442"/>
      <c r="AV146" s="442"/>
      <c r="AW146" s="442"/>
      <c r="AX146" s="442"/>
      <c r="AY146" s="442"/>
      <c r="AZ146" s="442"/>
      <c r="BA146" s="442"/>
      <c r="BB146" s="442"/>
      <c r="BC146" s="442"/>
      <c r="BD146" s="442"/>
      <c r="BE146" s="442"/>
      <c r="BF146" s="442"/>
      <c r="BG146" s="442"/>
      <c r="BH146" s="443"/>
      <c r="BI146" s="351"/>
      <c r="BJ146" s="245"/>
      <c r="BK146" s="318"/>
    </row>
    <row r="147" spans="1:63">
      <c r="A147" s="179"/>
      <c r="C147" s="733" t="s">
        <v>149</v>
      </c>
      <c r="D147" s="733"/>
      <c r="E147" s="733"/>
      <c r="F147" s="733"/>
      <c r="G147" s="733"/>
      <c r="H147" s="733"/>
      <c r="I147" s="733"/>
      <c r="J147" s="733"/>
      <c r="K147" s="733"/>
      <c r="L147" s="733"/>
      <c r="M147" s="733"/>
      <c r="N147" s="733"/>
      <c r="O147" s="433"/>
      <c r="P147" s="433"/>
      <c r="Q147" s="433"/>
      <c r="R147" s="433"/>
      <c r="S147" s="433"/>
      <c r="T147" s="433"/>
      <c r="U147" s="433"/>
      <c r="V147" s="433"/>
      <c r="W147" s="433"/>
      <c r="X147" s="433"/>
      <c r="Y147" s="433"/>
      <c r="Z147" s="433"/>
      <c r="AA147" s="433"/>
      <c r="AB147" s="433"/>
      <c r="AC147" s="433"/>
      <c r="AD147" s="433"/>
      <c r="AE147" s="433"/>
      <c r="AF147" s="433"/>
      <c r="AG147" s="433"/>
      <c r="AH147" s="433"/>
      <c r="AI147" s="433"/>
      <c r="AJ147" s="433"/>
      <c r="AK147" s="433"/>
      <c r="AL147" s="433"/>
      <c r="AM147" s="433"/>
      <c r="AN147" s="442"/>
      <c r="AO147" s="442"/>
      <c r="AP147" s="442"/>
      <c r="AQ147" s="442"/>
      <c r="AR147" s="442"/>
      <c r="AS147" s="442"/>
      <c r="AT147" s="442"/>
      <c r="AU147" s="442"/>
      <c r="AV147" s="442"/>
      <c r="AW147" s="442"/>
      <c r="AX147" s="442"/>
      <c r="AY147" s="442"/>
      <c r="AZ147" s="442"/>
      <c r="BA147" s="442"/>
      <c r="BB147" s="442"/>
      <c r="BC147" s="442"/>
      <c r="BD147" s="442"/>
      <c r="BE147" s="442"/>
      <c r="BF147" s="442"/>
      <c r="BG147" s="442"/>
      <c r="BH147" s="443"/>
      <c r="BI147" s="351"/>
      <c r="BJ147" s="245"/>
      <c r="BK147" s="318"/>
    </row>
    <row r="148" spans="1:63">
      <c r="A148" s="179"/>
      <c r="C148" s="722" t="s">
        <v>150</v>
      </c>
      <c r="D148" s="722"/>
      <c r="E148" s="722"/>
      <c r="F148" s="722"/>
      <c r="G148" s="722"/>
      <c r="H148" s="722"/>
      <c r="I148" s="722"/>
      <c r="J148" s="722"/>
      <c r="K148" s="722"/>
      <c r="L148" s="722"/>
      <c r="M148" s="722"/>
      <c r="N148" s="722"/>
      <c r="O148" s="433"/>
      <c r="P148" s="433"/>
      <c r="Q148" s="433"/>
      <c r="R148" s="433"/>
      <c r="S148" s="433"/>
      <c r="T148" s="433"/>
      <c r="U148" s="433"/>
      <c r="V148" s="433"/>
      <c r="W148" s="433"/>
      <c r="X148" s="433"/>
      <c r="Y148" s="433"/>
      <c r="Z148" s="433"/>
      <c r="AA148" s="433"/>
      <c r="AB148" s="433"/>
      <c r="AC148" s="433"/>
      <c r="AD148" s="433"/>
      <c r="AE148" s="433"/>
      <c r="AF148" s="433"/>
      <c r="AG148" s="433"/>
      <c r="AH148" s="433"/>
      <c r="AI148" s="433"/>
      <c r="AJ148" s="433"/>
      <c r="AK148" s="433"/>
      <c r="AL148" s="433"/>
      <c r="AM148" s="433"/>
      <c r="AN148" s="442"/>
      <c r="AO148" s="442"/>
      <c r="AP148" s="442"/>
      <c r="AQ148" s="442"/>
      <c r="AR148" s="442"/>
      <c r="AS148" s="442"/>
      <c r="AT148" s="442"/>
      <c r="AU148" s="442"/>
      <c r="AV148" s="442"/>
      <c r="AW148" s="442"/>
      <c r="AX148" s="442"/>
      <c r="AY148" s="442"/>
      <c r="AZ148" s="442"/>
      <c r="BA148" s="442"/>
      <c r="BB148" s="442"/>
      <c r="BC148" s="442"/>
      <c r="BD148" s="442"/>
      <c r="BE148" s="442"/>
      <c r="BF148" s="442"/>
      <c r="BG148" s="442"/>
      <c r="BH148" s="443"/>
      <c r="BI148" s="351"/>
      <c r="BJ148" s="245"/>
      <c r="BK148" s="318"/>
    </row>
    <row r="149" spans="1:63" s="433" customFormat="1">
      <c r="A149" s="501"/>
      <c r="B149" s="506"/>
      <c r="AN149" s="442"/>
      <c r="AO149" s="442"/>
      <c r="AP149" s="442"/>
      <c r="AQ149" s="442"/>
      <c r="AR149" s="442"/>
      <c r="AS149" s="442"/>
      <c r="AT149" s="442"/>
      <c r="AU149" s="442"/>
      <c r="AV149" s="442"/>
      <c r="AW149" s="442"/>
      <c r="AX149" s="442"/>
      <c r="AY149" s="442"/>
      <c r="AZ149" s="442"/>
      <c r="BA149" s="442"/>
      <c r="BB149" s="442"/>
      <c r="BC149" s="442"/>
      <c r="BD149" s="442"/>
      <c r="BE149" s="442"/>
      <c r="BF149" s="442"/>
      <c r="BG149" s="442"/>
      <c r="BH149" s="443"/>
      <c r="BI149" s="487"/>
    </row>
    <row r="150" spans="1:63" s="433" customFormat="1">
      <c r="A150" s="501"/>
      <c r="B150" s="506"/>
      <c r="AN150" s="442"/>
      <c r="AO150" s="442"/>
      <c r="AP150" s="442"/>
      <c r="AQ150" s="442"/>
      <c r="AR150" s="442"/>
      <c r="AS150" s="442"/>
      <c r="AT150" s="442"/>
      <c r="AU150" s="442"/>
      <c r="AV150" s="442"/>
      <c r="AW150" s="442"/>
      <c r="AX150" s="442"/>
      <c r="AY150" s="442"/>
      <c r="AZ150" s="442"/>
      <c r="BA150" s="442"/>
      <c r="BB150" s="442"/>
      <c r="BC150" s="442"/>
      <c r="BD150" s="442"/>
      <c r="BE150" s="442"/>
      <c r="BF150" s="442"/>
      <c r="BG150" s="442"/>
      <c r="BH150" s="443"/>
      <c r="BI150" s="487"/>
    </row>
    <row r="151" spans="1:63" s="433" customFormat="1">
      <c r="A151" s="501"/>
      <c r="B151" s="506"/>
      <c r="AN151" s="442"/>
      <c r="AO151" s="442"/>
      <c r="AP151" s="442"/>
      <c r="AQ151" s="442"/>
      <c r="AR151" s="442"/>
      <c r="AS151" s="442"/>
      <c r="AT151" s="442"/>
      <c r="AU151" s="442"/>
      <c r="AV151" s="442"/>
      <c r="AW151" s="442"/>
      <c r="AX151" s="442"/>
      <c r="AY151" s="442"/>
      <c r="AZ151" s="442"/>
      <c r="BA151" s="442"/>
      <c r="BB151" s="442"/>
      <c r="BC151" s="442"/>
      <c r="BD151" s="442"/>
      <c r="BE151" s="442"/>
      <c r="BF151" s="442"/>
      <c r="BG151" s="442"/>
      <c r="BH151" s="443"/>
      <c r="BI151" s="487"/>
    </row>
    <row r="152" spans="1:63" s="433" customFormat="1">
      <c r="A152" s="501"/>
      <c r="B152" s="506"/>
      <c r="AN152" s="442"/>
      <c r="AO152" s="442"/>
      <c r="AP152" s="442"/>
      <c r="AQ152" s="442"/>
      <c r="AR152" s="442"/>
      <c r="AS152" s="442"/>
      <c r="AT152" s="442"/>
      <c r="AU152" s="442"/>
      <c r="AV152" s="442"/>
      <c r="AW152" s="442"/>
      <c r="AX152" s="442"/>
      <c r="AY152" s="442"/>
      <c r="AZ152" s="442"/>
      <c r="BA152" s="442"/>
      <c r="BB152" s="442"/>
      <c r="BC152" s="442"/>
      <c r="BD152" s="442"/>
      <c r="BE152" s="442"/>
      <c r="BF152" s="442"/>
      <c r="BG152" s="442"/>
      <c r="BH152" s="443"/>
      <c r="BI152" s="487"/>
    </row>
    <row r="153" spans="1:63" s="433" customFormat="1">
      <c r="A153" s="501"/>
      <c r="B153" s="506"/>
      <c r="AN153" s="442"/>
      <c r="AO153" s="442"/>
      <c r="AP153" s="442"/>
      <c r="AQ153" s="442"/>
      <c r="AR153" s="442"/>
      <c r="AS153" s="442"/>
      <c r="AT153" s="442"/>
      <c r="AU153" s="442"/>
      <c r="AV153" s="442"/>
      <c r="AW153" s="442"/>
      <c r="AX153" s="442"/>
      <c r="AY153" s="442"/>
      <c r="AZ153" s="442"/>
      <c r="BA153" s="442"/>
      <c r="BB153" s="442"/>
      <c r="BC153" s="442"/>
      <c r="BD153" s="442"/>
      <c r="BE153" s="442"/>
      <c r="BF153" s="442"/>
      <c r="BG153" s="442"/>
      <c r="BH153" s="443"/>
      <c r="BI153" s="487"/>
    </row>
    <row r="154" spans="1:63" s="433" customFormat="1">
      <c r="A154" s="501"/>
      <c r="B154" s="506"/>
      <c r="AN154" s="442"/>
      <c r="AO154" s="442"/>
      <c r="AP154" s="442"/>
      <c r="AQ154" s="442"/>
      <c r="AR154" s="442"/>
      <c r="AS154" s="442"/>
      <c r="AT154" s="442"/>
      <c r="AU154" s="442"/>
      <c r="AV154" s="442"/>
      <c r="AW154" s="442"/>
      <c r="AX154" s="442"/>
      <c r="AY154" s="442"/>
      <c r="AZ154" s="442"/>
      <c r="BA154" s="442"/>
      <c r="BB154" s="442"/>
      <c r="BC154" s="442"/>
      <c r="BD154" s="442"/>
      <c r="BE154" s="442"/>
      <c r="BF154" s="442"/>
      <c r="BG154" s="442"/>
      <c r="BH154" s="443"/>
      <c r="BI154" s="487"/>
    </row>
    <row r="155" spans="1:63" s="433" customFormat="1">
      <c r="A155" s="501"/>
      <c r="B155" s="506"/>
      <c r="AN155" s="442"/>
      <c r="AO155" s="442"/>
      <c r="AP155" s="442"/>
      <c r="AQ155" s="442"/>
      <c r="AR155" s="442"/>
      <c r="AS155" s="442"/>
      <c r="AT155" s="442"/>
      <c r="AU155" s="442"/>
      <c r="AV155" s="442"/>
      <c r="AW155" s="442"/>
      <c r="AX155" s="442"/>
      <c r="AY155" s="442"/>
      <c r="AZ155" s="442"/>
      <c r="BA155" s="442"/>
      <c r="BB155" s="442"/>
      <c r="BC155" s="442"/>
      <c r="BD155" s="442"/>
      <c r="BE155" s="442"/>
      <c r="BF155" s="442"/>
      <c r="BG155" s="442"/>
      <c r="BH155" s="443"/>
      <c r="BI155" s="487"/>
    </row>
    <row r="156" spans="1:63" s="433" customFormat="1">
      <c r="A156" s="501"/>
      <c r="B156" s="506"/>
      <c r="AN156" s="442"/>
      <c r="AO156" s="442"/>
      <c r="AP156" s="442"/>
      <c r="AQ156" s="442"/>
      <c r="AR156" s="442"/>
      <c r="AS156" s="442"/>
      <c r="AT156" s="442"/>
      <c r="AU156" s="442"/>
      <c r="AV156" s="442"/>
      <c r="AW156" s="442"/>
      <c r="AX156" s="442"/>
      <c r="AY156" s="442"/>
      <c r="AZ156" s="442"/>
      <c r="BA156" s="442"/>
      <c r="BB156" s="442"/>
      <c r="BC156" s="442"/>
      <c r="BD156" s="442"/>
      <c r="BE156" s="442"/>
      <c r="BF156" s="442"/>
      <c r="BG156" s="442"/>
      <c r="BH156" s="443"/>
      <c r="BI156" s="487"/>
    </row>
    <row r="157" spans="1:63" s="433" customFormat="1">
      <c r="A157" s="501"/>
      <c r="B157" s="506"/>
      <c r="AN157" s="442"/>
      <c r="AO157" s="442"/>
      <c r="AP157" s="442"/>
      <c r="AQ157" s="442"/>
      <c r="AR157" s="442"/>
      <c r="AS157" s="442"/>
      <c r="AT157" s="442"/>
      <c r="AU157" s="442"/>
      <c r="AV157" s="442"/>
      <c r="AW157" s="442"/>
      <c r="AX157" s="442"/>
      <c r="AY157" s="442"/>
      <c r="AZ157" s="442"/>
      <c r="BA157" s="442"/>
      <c r="BB157" s="442"/>
      <c r="BC157" s="442"/>
      <c r="BD157" s="442"/>
      <c r="BE157" s="442"/>
      <c r="BF157" s="442"/>
      <c r="BG157" s="442"/>
      <c r="BH157" s="443"/>
      <c r="BI157" s="487"/>
    </row>
    <row r="158" spans="1:63" s="433" customFormat="1">
      <c r="A158" s="501"/>
      <c r="B158" s="506"/>
      <c r="AN158" s="442"/>
      <c r="AO158" s="442"/>
      <c r="AP158" s="442"/>
      <c r="AQ158" s="442"/>
      <c r="AR158" s="442"/>
      <c r="AS158" s="442"/>
      <c r="AT158" s="442"/>
      <c r="AU158" s="442"/>
      <c r="AV158" s="442"/>
      <c r="AW158" s="442"/>
      <c r="AX158" s="442"/>
      <c r="AY158" s="442"/>
      <c r="AZ158" s="442"/>
      <c r="BA158" s="442"/>
      <c r="BB158" s="442"/>
      <c r="BC158" s="442"/>
      <c r="BD158" s="442"/>
      <c r="BE158" s="442"/>
      <c r="BF158" s="442"/>
      <c r="BG158" s="442"/>
      <c r="BH158" s="443"/>
      <c r="BI158" s="487"/>
    </row>
    <row r="159" spans="1:63" s="433" customFormat="1">
      <c r="A159" s="501"/>
      <c r="B159" s="506"/>
      <c r="AN159" s="442"/>
      <c r="AO159" s="442"/>
      <c r="AP159" s="442"/>
      <c r="AQ159" s="442"/>
      <c r="AR159" s="442"/>
      <c r="AS159" s="442"/>
      <c r="AT159" s="442"/>
      <c r="AU159" s="442"/>
      <c r="AV159" s="442"/>
      <c r="AW159" s="442"/>
      <c r="AX159" s="442"/>
      <c r="AY159" s="442"/>
      <c r="AZ159" s="442"/>
      <c r="BA159" s="442"/>
      <c r="BB159" s="442"/>
      <c r="BC159" s="442"/>
      <c r="BD159" s="442"/>
      <c r="BE159" s="442"/>
      <c r="BF159" s="442"/>
      <c r="BG159" s="442"/>
      <c r="BH159" s="443"/>
      <c r="BI159" s="487"/>
    </row>
    <row r="160" spans="1:63" s="433" customFormat="1">
      <c r="A160" s="501"/>
      <c r="B160" s="506"/>
      <c r="AN160" s="442"/>
      <c r="AO160" s="442"/>
      <c r="AP160" s="442"/>
      <c r="AQ160" s="442"/>
      <c r="AR160" s="442"/>
      <c r="AS160" s="442"/>
      <c r="AT160" s="442"/>
      <c r="AU160" s="442"/>
      <c r="AV160" s="442"/>
      <c r="AW160" s="442"/>
      <c r="AX160" s="442"/>
      <c r="AY160" s="442"/>
      <c r="AZ160" s="442"/>
      <c r="BA160" s="442"/>
      <c r="BB160" s="442"/>
      <c r="BC160" s="442"/>
      <c r="BD160" s="442"/>
      <c r="BE160" s="442"/>
      <c r="BF160" s="442"/>
      <c r="BG160" s="442"/>
      <c r="BH160" s="443"/>
      <c r="BI160" s="487"/>
    </row>
    <row r="161" spans="1:61" s="433" customFormat="1">
      <c r="A161" s="501"/>
      <c r="B161" s="506"/>
      <c r="AN161" s="442"/>
      <c r="AO161" s="442"/>
      <c r="AP161" s="442"/>
      <c r="AQ161" s="442"/>
      <c r="AR161" s="442"/>
      <c r="AS161" s="442"/>
      <c r="AT161" s="442"/>
      <c r="AU161" s="442"/>
      <c r="AV161" s="442"/>
      <c r="AW161" s="442"/>
      <c r="AX161" s="442"/>
      <c r="AY161" s="442"/>
      <c r="AZ161" s="442"/>
      <c r="BA161" s="442"/>
      <c r="BB161" s="442"/>
      <c r="BC161" s="442"/>
      <c r="BD161" s="442"/>
      <c r="BE161" s="442"/>
      <c r="BF161" s="442"/>
      <c r="BG161" s="442"/>
      <c r="BH161" s="443"/>
      <c r="BI161" s="487"/>
    </row>
    <row r="162" spans="1:61" s="433" customFormat="1">
      <c r="A162" s="501"/>
      <c r="B162" s="506"/>
      <c r="AN162" s="442"/>
      <c r="AO162" s="442"/>
      <c r="AP162" s="442"/>
      <c r="AQ162" s="442"/>
      <c r="AR162" s="442"/>
      <c r="AS162" s="442"/>
      <c r="AT162" s="442"/>
      <c r="AU162" s="442"/>
      <c r="AV162" s="442"/>
      <c r="AW162" s="442"/>
      <c r="AX162" s="442"/>
      <c r="AY162" s="442"/>
      <c r="AZ162" s="442"/>
      <c r="BA162" s="442"/>
      <c r="BB162" s="442"/>
      <c r="BC162" s="442"/>
      <c r="BD162" s="442"/>
      <c r="BE162" s="442"/>
      <c r="BF162" s="442"/>
      <c r="BG162" s="442"/>
      <c r="BH162" s="443"/>
      <c r="BI162" s="487"/>
    </row>
    <row r="163" spans="1:61" s="433" customFormat="1">
      <c r="A163" s="501"/>
      <c r="B163" s="506"/>
      <c r="AN163" s="442"/>
      <c r="AO163" s="442"/>
      <c r="AP163" s="442"/>
      <c r="AQ163" s="442"/>
      <c r="AR163" s="442"/>
      <c r="AS163" s="442"/>
      <c r="AT163" s="442"/>
      <c r="AU163" s="442"/>
      <c r="AV163" s="442"/>
      <c r="AW163" s="442"/>
      <c r="AX163" s="442"/>
      <c r="AY163" s="442"/>
      <c r="AZ163" s="442"/>
      <c r="BA163" s="442"/>
      <c r="BB163" s="442"/>
      <c r="BC163" s="442"/>
      <c r="BD163" s="442"/>
      <c r="BE163" s="442"/>
      <c r="BF163" s="442"/>
      <c r="BG163" s="442"/>
      <c r="BH163" s="443"/>
      <c r="BI163" s="487"/>
    </row>
    <row r="164" spans="1:61" s="433" customFormat="1">
      <c r="A164" s="501"/>
      <c r="B164" s="506"/>
      <c r="AN164" s="442"/>
      <c r="AO164" s="442"/>
      <c r="AP164" s="442"/>
      <c r="AQ164" s="442"/>
      <c r="AR164" s="442"/>
      <c r="AS164" s="442"/>
      <c r="AT164" s="442"/>
      <c r="AU164" s="442"/>
      <c r="AV164" s="442"/>
      <c r="AW164" s="442"/>
      <c r="AX164" s="442"/>
      <c r="AY164" s="442"/>
      <c r="AZ164" s="442"/>
      <c r="BA164" s="442"/>
      <c r="BB164" s="442"/>
      <c r="BC164" s="442"/>
      <c r="BD164" s="442"/>
      <c r="BE164" s="442"/>
      <c r="BF164" s="442"/>
      <c r="BG164" s="442"/>
      <c r="BH164" s="443"/>
      <c r="BI164" s="487"/>
    </row>
    <row r="165" spans="1:61" s="433" customFormat="1">
      <c r="A165" s="501"/>
      <c r="B165" s="506"/>
      <c r="AN165" s="442"/>
      <c r="AO165" s="442"/>
      <c r="AP165" s="442"/>
      <c r="AQ165" s="442"/>
      <c r="AR165" s="442"/>
      <c r="AS165" s="442"/>
      <c r="AT165" s="442"/>
      <c r="AU165" s="442"/>
      <c r="AV165" s="442"/>
      <c r="AW165" s="442"/>
      <c r="AX165" s="442"/>
      <c r="AY165" s="442"/>
      <c r="AZ165" s="442"/>
      <c r="BA165" s="442"/>
      <c r="BB165" s="442"/>
      <c r="BC165" s="442"/>
      <c r="BD165" s="442"/>
      <c r="BE165" s="442"/>
      <c r="BF165" s="442"/>
      <c r="BG165" s="442"/>
      <c r="BH165" s="443"/>
      <c r="BI165" s="487"/>
    </row>
    <row r="166" spans="1:61" s="433" customFormat="1">
      <c r="A166" s="501"/>
      <c r="B166" s="506"/>
      <c r="AN166" s="442"/>
      <c r="AO166" s="442"/>
      <c r="AP166" s="442"/>
      <c r="AQ166" s="442"/>
      <c r="AR166" s="442"/>
      <c r="AS166" s="442"/>
      <c r="AT166" s="442"/>
      <c r="AU166" s="442"/>
      <c r="AV166" s="442"/>
      <c r="AW166" s="442"/>
      <c r="AX166" s="442"/>
      <c r="AY166" s="442"/>
      <c r="AZ166" s="442"/>
      <c r="BA166" s="442"/>
      <c r="BB166" s="442"/>
      <c r="BC166" s="442"/>
      <c r="BD166" s="442"/>
      <c r="BE166" s="442"/>
      <c r="BF166" s="442"/>
      <c r="BG166" s="442"/>
      <c r="BH166" s="443"/>
      <c r="BI166" s="487"/>
    </row>
    <row r="167" spans="1:61" s="433" customFormat="1">
      <c r="A167" s="501"/>
      <c r="B167" s="506"/>
      <c r="AN167" s="442"/>
      <c r="AO167" s="442"/>
      <c r="AP167" s="442"/>
      <c r="AQ167" s="442"/>
      <c r="AR167" s="442"/>
      <c r="AS167" s="442"/>
      <c r="AT167" s="442"/>
      <c r="AU167" s="442"/>
      <c r="AV167" s="442"/>
      <c r="AW167" s="442"/>
      <c r="AX167" s="442"/>
      <c r="AY167" s="442"/>
      <c r="AZ167" s="442"/>
      <c r="BA167" s="442"/>
      <c r="BB167" s="442"/>
      <c r="BC167" s="442"/>
      <c r="BD167" s="442"/>
      <c r="BE167" s="442"/>
      <c r="BF167" s="442"/>
      <c r="BG167" s="442"/>
      <c r="BH167" s="443"/>
      <c r="BI167" s="487"/>
    </row>
    <row r="168" spans="1:61" s="433" customFormat="1">
      <c r="A168" s="501"/>
      <c r="B168" s="506"/>
      <c r="AN168" s="442"/>
      <c r="AO168" s="442"/>
      <c r="AP168" s="442"/>
      <c r="AQ168" s="442"/>
      <c r="AR168" s="442"/>
      <c r="AS168" s="442"/>
      <c r="AT168" s="442"/>
      <c r="AU168" s="442"/>
      <c r="AV168" s="442"/>
      <c r="AW168" s="442"/>
      <c r="AX168" s="442"/>
      <c r="AY168" s="442"/>
      <c r="AZ168" s="442"/>
      <c r="BA168" s="442"/>
      <c r="BB168" s="442"/>
      <c r="BC168" s="442"/>
      <c r="BD168" s="442"/>
      <c r="BE168" s="442"/>
      <c r="BF168" s="442"/>
      <c r="BG168" s="442"/>
      <c r="BH168" s="443"/>
      <c r="BI168" s="487"/>
    </row>
    <row r="169" spans="1:61" s="433" customFormat="1">
      <c r="A169" s="501"/>
      <c r="B169" s="506"/>
      <c r="AN169" s="442"/>
      <c r="AO169" s="442"/>
      <c r="AP169" s="442"/>
      <c r="AQ169" s="442"/>
      <c r="AR169" s="442"/>
      <c r="AS169" s="442"/>
      <c r="AT169" s="442"/>
      <c r="AU169" s="442"/>
      <c r="AV169" s="442"/>
      <c r="AW169" s="442"/>
      <c r="AX169" s="442"/>
      <c r="AY169" s="442"/>
      <c r="AZ169" s="442"/>
      <c r="BA169" s="442"/>
      <c r="BB169" s="442"/>
      <c r="BC169" s="442"/>
      <c r="BD169" s="442"/>
      <c r="BE169" s="442"/>
      <c r="BF169" s="442"/>
      <c r="BG169" s="442"/>
      <c r="BH169" s="443"/>
      <c r="BI169" s="487"/>
    </row>
    <row r="170" spans="1:61" s="433" customFormat="1">
      <c r="A170" s="501"/>
      <c r="B170" s="506"/>
      <c r="AN170" s="442"/>
      <c r="AO170" s="442"/>
      <c r="AP170" s="442"/>
      <c r="AQ170" s="442"/>
      <c r="AR170" s="442"/>
      <c r="AS170" s="442"/>
      <c r="AT170" s="442"/>
      <c r="AU170" s="442"/>
      <c r="AV170" s="442"/>
      <c r="AW170" s="442"/>
      <c r="AX170" s="442"/>
      <c r="AY170" s="442"/>
      <c r="AZ170" s="442"/>
      <c r="BA170" s="442"/>
      <c r="BB170" s="442"/>
      <c r="BC170" s="442"/>
      <c r="BD170" s="442"/>
      <c r="BE170" s="442"/>
      <c r="BF170" s="442"/>
      <c r="BG170" s="442"/>
      <c r="BH170" s="443"/>
      <c r="BI170" s="487"/>
    </row>
    <row r="171" spans="1:61" s="433" customFormat="1">
      <c r="A171" s="501"/>
      <c r="B171" s="506"/>
      <c r="AN171" s="442"/>
      <c r="AO171" s="442"/>
      <c r="AP171" s="442"/>
      <c r="AQ171" s="442"/>
      <c r="AR171" s="442"/>
      <c r="AS171" s="442"/>
      <c r="AT171" s="442"/>
      <c r="AU171" s="442"/>
      <c r="AV171" s="442"/>
      <c r="AW171" s="442"/>
      <c r="AX171" s="442"/>
      <c r="AY171" s="442"/>
      <c r="AZ171" s="442"/>
      <c r="BA171" s="442"/>
      <c r="BB171" s="442"/>
      <c r="BC171" s="442"/>
      <c r="BD171" s="442"/>
      <c r="BE171" s="442"/>
      <c r="BF171" s="442"/>
      <c r="BG171" s="442"/>
      <c r="BH171" s="443"/>
      <c r="BI171" s="487"/>
    </row>
    <row r="172" spans="1:61" s="433" customFormat="1">
      <c r="A172" s="501"/>
      <c r="B172" s="506"/>
      <c r="AN172" s="442"/>
      <c r="AO172" s="442"/>
      <c r="AP172" s="442"/>
      <c r="AQ172" s="442"/>
      <c r="AR172" s="442"/>
      <c r="AS172" s="442"/>
      <c r="AT172" s="442"/>
      <c r="AU172" s="442"/>
      <c r="AV172" s="442"/>
      <c r="AW172" s="442"/>
      <c r="AX172" s="442"/>
      <c r="AY172" s="442"/>
      <c r="AZ172" s="442"/>
      <c r="BA172" s="442"/>
      <c r="BB172" s="442"/>
      <c r="BC172" s="442"/>
      <c r="BD172" s="442"/>
      <c r="BE172" s="442"/>
      <c r="BF172" s="442"/>
      <c r="BG172" s="442"/>
      <c r="BH172" s="443"/>
      <c r="BI172" s="487"/>
    </row>
    <row r="173" spans="1:61" s="433" customFormat="1">
      <c r="A173" s="501"/>
      <c r="B173" s="506"/>
      <c r="AN173" s="442"/>
      <c r="AO173" s="442"/>
      <c r="AP173" s="442"/>
      <c r="AQ173" s="442"/>
      <c r="AR173" s="442"/>
      <c r="AS173" s="442"/>
      <c r="AT173" s="442"/>
      <c r="AU173" s="442"/>
      <c r="AV173" s="442"/>
      <c r="AW173" s="442"/>
      <c r="AX173" s="442"/>
      <c r="AY173" s="442"/>
      <c r="AZ173" s="442"/>
      <c r="BA173" s="442"/>
      <c r="BB173" s="442"/>
      <c r="BC173" s="442"/>
      <c r="BD173" s="442"/>
      <c r="BE173" s="442"/>
      <c r="BF173" s="442"/>
      <c r="BG173" s="442"/>
      <c r="BH173" s="443"/>
      <c r="BI173" s="487"/>
    </row>
    <row r="174" spans="1:61" s="433" customFormat="1">
      <c r="A174" s="501"/>
      <c r="B174" s="506"/>
      <c r="AN174" s="442"/>
      <c r="AO174" s="442"/>
      <c r="AP174" s="442"/>
      <c r="AQ174" s="442"/>
      <c r="AR174" s="442"/>
      <c r="AS174" s="442"/>
      <c r="AT174" s="442"/>
      <c r="AU174" s="442"/>
      <c r="AV174" s="442"/>
      <c r="AW174" s="442"/>
      <c r="AX174" s="442"/>
      <c r="AY174" s="442"/>
      <c r="AZ174" s="442"/>
      <c r="BA174" s="442"/>
      <c r="BB174" s="442"/>
      <c r="BC174" s="442"/>
      <c r="BD174" s="442"/>
      <c r="BE174" s="442"/>
      <c r="BF174" s="442"/>
      <c r="BG174" s="442"/>
      <c r="BH174" s="443"/>
      <c r="BI174" s="487"/>
    </row>
    <row r="175" spans="1:61" s="433" customFormat="1">
      <c r="A175" s="501"/>
      <c r="B175" s="506"/>
      <c r="AN175" s="442"/>
      <c r="AO175" s="442"/>
      <c r="AP175" s="442"/>
      <c r="AQ175" s="442"/>
      <c r="AR175" s="442"/>
      <c r="AS175" s="442"/>
      <c r="AT175" s="442"/>
      <c r="AU175" s="442"/>
      <c r="AV175" s="442"/>
      <c r="AW175" s="442"/>
      <c r="AX175" s="442"/>
      <c r="AY175" s="442"/>
      <c r="AZ175" s="442"/>
      <c r="BA175" s="442"/>
      <c r="BB175" s="442"/>
      <c r="BC175" s="442"/>
      <c r="BD175" s="442"/>
      <c r="BE175" s="442"/>
      <c r="BF175" s="442"/>
      <c r="BG175" s="442"/>
      <c r="BH175" s="443"/>
      <c r="BI175" s="487"/>
    </row>
    <row r="176" spans="1:61" s="433" customFormat="1">
      <c r="A176" s="501"/>
      <c r="B176" s="506"/>
      <c r="AN176" s="442"/>
      <c r="AO176" s="442"/>
      <c r="AP176" s="442"/>
      <c r="AQ176" s="442"/>
      <c r="AR176" s="442"/>
      <c r="AS176" s="442"/>
      <c r="AT176" s="442"/>
      <c r="AU176" s="442"/>
      <c r="AV176" s="442"/>
      <c r="AW176" s="442"/>
      <c r="AX176" s="442"/>
      <c r="AY176" s="442"/>
      <c r="AZ176" s="442"/>
      <c r="BA176" s="442"/>
      <c r="BB176" s="442"/>
      <c r="BC176" s="442"/>
      <c r="BD176" s="442"/>
      <c r="BE176" s="442"/>
      <c r="BF176" s="442"/>
      <c r="BG176" s="442"/>
      <c r="BH176" s="443"/>
      <c r="BI176" s="487"/>
    </row>
    <row r="177" spans="1:61" s="433" customFormat="1">
      <c r="A177" s="501"/>
      <c r="B177" s="506"/>
      <c r="AN177" s="442"/>
      <c r="AO177" s="442"/>
      <c r="AP177" s="442"/>
      <c r="AQ177" s="442"/>
      <c r="AR177" s="442"/>
      <c r="AS177" s="442"/>
      <c r="AT177" s="442"/>
      <c r="AU177" s="442"/>
      <c r="AV177" s="442"/>
      <c r="AW177" s="442"/>
      <c r="AX177" s="442"/>
      <c r="AY177" s="442"/>
      <c r="AZ177" s="442"/>
      <c r="BA177" s="442"/>
      <c r="BB177" s="442"/>
      <c r="BC177" s="442"/>
      <c r="BD177" s="442"/>
      <c r="BE177" s="442"/>
      <c r="BF177" s="442"/>
      <c r="BG177" s="442"/>
      <c r="BH177" s="443"/>
      <c r="BI177" s="487"/>
    </row>
    <row r="178" spans="1:61" s="433" customFormat="1">
      <c r="A178" s="501"/>
      <c r="B178" s="506"/>
      <c r="AN178" s="442"/>
      <c r="AO178" s="442"/>
      <c r="AP178" s="442"/>
      <c r="AQ178" s="442"/>
      <c r="AR178" s="442"/>
      <c r="AS178" s="442"/>
      <c r="AT178" s="442"/>
      <c r="AU178" s="442"/>
      <c r="AV178" s="442"/>
      <c r="AW178" s="442"/>
      <c r="AX178" s="442"/>
      <c r="AY178" s="442"/>
      <c r="AZ178" s="442"/>
      <c r="BA178" s="442"/>
      <c r="BB178" s="442"/>
      <c r="BC178" s="442"/>
      <c r="BD178" s="442"/>
      <c r="BE178" s="442"/>
      <c r="BF178" s="442"/>
      <c r="BG178" s="442"/>
      <c r="BH178" s="443"/>
      <c r="BI178" s="487"/>
    </row>
    <row r="179" spans="1:61" s="433" customFormat="1">
      <c r="A179" s="501"/>
      <c r="B179" s="506"/>
      <c r="AN179" s="442"/>
      <c r="AO179" s="442"/>
      <c r="AP179" s="442"/>
      <c r="AQ179" s="442"/>
      <c r="AR179" s="442"/>
      <c r="AS179" s="442"/>
      <c r="AT179" s="442"/>
      <c r="AU179" s="442"/>
      <c r="AV179" s="442"/>
      <c r="AW179" s="442"/>
      <c r="AX179" s="442"/>
      <c r="AY179" s="442"/>
      <c r="AZ179" s="442"/>
      <c r="BA179" s="442"/>
      <c r="BB179" s="442"/>
      <c r="BC179" s="442"/>
      <c r="BD179" s="442"/>
      <c r="BE179" s="442"/>
      <c r="BF179" s="442"/>
      <c r="BG179" s="442"/>
      <c r="BH179" s="443"/>
      <c r="BI179" s="487"/>
    </row>
    <row r="180" spans="1:61" s="433" customFormat="1">
      <c r="A180" s="501"/>
      <c r="B180" s="506"/>
      <c r="AN180" s="442"/>
      <c r="AO180" s="442"/>
      <c r="AP180" s="442"/>
      <c r="AQ180" s="442"/>
      <c r="AR180" s="442"/>
      <c r="AS180" s="442"/>
      <c r="AT180" s="442"/>
      <c r="AU180" s="442"/>
      <c r="AV180" s="442"/>
      <c r="AW180" s="442"/>
      <c r="AX180" s="442"/>
      <c r="AY180" s="442"/>
      <c r="AZ180" s="442"/>
      <c r="BA180" s="442"/>
      <c r="BB180" s="442"/>
      <c r="BC180" s="442"/>
      <c r="BD180" s="442"/>
      <c r="BE180" s="442"/>
      <c r="BF180" s="442"/>
      <c r="BG180" s="442"/>
      <c r="BH180" s="443"/>
      <c r="BI180" s="487"/>
    </row>
    <row r="181" spans="1:61" s="433" customFormat="1">
      <c r="A181" s="501"/>
      <c r="B181" s="506"/>
      <c r="AN181" s="442"/>
      <c r="AO181" s="442"/>
      <c r="AP181" s="442"/>
      <c r="AQ181" s="442"/>
      <c r="AR181" s="442"/>
      <c r="AS181" s="442"/>
      <c r="AT181" s="442"/>
      <c r="AU181" s="442"/>
      <c r="AV181" s="442"/>
      <c r="AW181" s="442"/>
      <c r="AX181" s="442"/>
      <c r="AY181" s="442"/>
      <c r="AZ181" s="442"/>
      <c r="BA181" s="442"/>
      <c r="BB181" s="442"/>
      <c r="BC181" s="442"/>
      <c r="BD181" s="442"/>
      <c r="BE181" s="442"/>
      <c r="BF181" s="442"/>
      <c r="BG181" s="442"/>
      <c r="BH181" s="443"/>
      <c r="BI181" s="487"/>
    </row>
    <row r="182" spans="1:61" s="433" customFormat="1">
      <c r="A182" s="501"/>
      <c r="B182" s="506"/>
      <c r="AN182" s="442"/>
      <c r="AO182" s="442"/>
      <c r="AP182" s="442"/>
      <c r="AQ182" s="442"/>
      <c r="AR182" s="442"/>
      <c r="AS182" s="442"/>
      <c r="AT182" s="442"/>
      <c r="AU182" s="442"/>
      <c r="AV182" s="442"/>
      <c r="AW182" s="442"/>
      <c r="AX182" s="442"/>
      <c r="AY182" s="442"/>
      <c r="AZ182" s="442"/>
      <c r="BA182" s="442"/>
      <c r="BB182" s="442"/>
      <c r="BC182" s="442"/>
      <c r="BD182" s="442"/>
      <c r="BE182" s="442"/>
      <c r="BF182" s="442"/>
      <c r="BG182" s="442"/>
      <c r="BH182" s="443"/>
      <c r="BI182" s="487"/>
    </row>
    <row r="183" spans="1:61" s="433" customFormat="1">
      <c r="A183" s="501"/>
      <c r="B183" s="506"/>
      <c r="AN183" s="442"/>
      <c r="AO183" s="442"/>
      <c r="AP183" s="442"/>
      <c r="AQ183" s="442"/>
      <c r="AR183" s="442"/>
      <c r="AS183" s="442"/>
      <c r="AT183" s="442"/>
      <c r="AU183" s="442"/>
      <c r="AV183" s="442"/>
      <c r="AW183" s="442"/>
      <c r="AX183" s="442"/>
      <c r="AY183" s="442"/>
      <c r="AZ183" s="442"/>
      <c r="BA183" s="442"/>
      <c r="BB183" s="442"/>
      <c r="BC183" s="442"/>
      <c r="BD183" s="442"/>
      <c r="BE183" s="442"/>
      <c r="BF183" s="442"/>
      <c r="BG183" s="442"/>
      <c r="BH183" s="443"/>
      <c r="BI183" s="487"/>
    </row>
    <row r="184" spans="1:61" s="433" customFormat="1">
      <c r="A184" s="501"/>
      <c r="B184" s="506"/>
      <c r="AN184" s="442"/>
      <c r="AO184" s="442"/>
      <c r="AP184" s="442"/>
      <c r="AQ184" s="442"/>
      <c r="AR184" s="442"/>
      <c r="AS184" s="442"/>
      <c r="AT184" s="442"/>
      <c r="AU184" s="442"/>
      <c r="AV184" s="442"/>
      <c r="AW184" s="442"/>
      <c r="AX184" s="442"/>
      <c r="AY184" s="442"/>
      <c r="AZ184" s="442"/>
      <c r="BA184" s="442"/>
      <c r="BB184" s="442"/>
      <c r="BC184" s="442"/>
      <c r="BD184" s="442"/>
      <c r="BE184" s="442"/>
      <c r="BF184" s="442"/>
      <c r="BG184" s="442"/>
      <c r="BH184" s="443"/>
      <c r="BI184" s="487"/>
    </row>
    <row r="185" spans="1:61" s="433" customFormat="1">
      <c r="A185" s="501"/>
      <c r="B185" s="506"/>
      <c r="AN185" s="442"/>
      <c r="AO185" s="442"/>
      <c r="AP185" s="442"/>
      <c r="AQ185" s="442"/>
      <c r="AR185" s="442"/>
      <c r="AS185" s="442"/>
      <c r="AT185" s="442"/>
      <c r="AU185" s="442"/>
      <c r="AV185" s="442"/>
      <c r="AW185" s="442"/>
      <c r="AX185" s="442"/>
      <c r="AY185" s="442"/>
      <c r="AZ185" s="442"/>
      <c r="BA185" s="442"/>
      <c r="BB185" s="442"/>
      <c r="BC185" s="442"/>
      <c r="BD185" s="442"/>
      <c r="BE185" s="442"/>
      <c r="BF185" s="442"/>
      <c r="BG185" s="442"/>
      <c r="BH185" s="443"/>
      <c r="BI185" s="487"/>
    </row>
    <row r="186" spans="1:61" s="433" customFormat="1">
      <c r="A186" s="501"/>
      <c r="B186" s="506"/>
      <c r="AN186" s="442"/>
      <c r="AO186" s="442"/>
      <c r="AP186" s="442"/>
      <c r="AQ186" s="442"/>
      <c r="AR186" s="442"/>
      <c r="AS186" s="442"/>
      <c r="AT186" s="442"/>
      <c r="AU186" s="442"/>
      <c r="AV186" s="442"/>
      <c r="AW186" s="442"/>
      <c r="AX186" s="442"/>
      <c r="AY186" s="442"/>
      <c r="AZ186" s="442"/>
      <c r="BA186" s="442"/>
      <c r="BB186" s="442"/>
      <c r="BC186" s="442"/>
      <c r="BD186" s="442"/>
      <c r="BE186" s="442"/>
      <c r="BF186" s="442"/>
      <c r="BG186" s="442"/>
      <c r="BH186" s="443"/>
      <c r="BI186" s="487"/>
    </row>
    <row r="187" spans="1:61" s="433" customFormat="1">
      <c r="A187" s="501"/>
      <c r="B187" s="506"/>
      <c r="AN187" s="442"/>
      <c r="AO187" s="442"/>
      <c r="AP187" s="442"/>
      <c r="AQ187" s="442"/>
      <c r="AR187" s="442"/>
      <c r="AS187" s="442"/>
      <c r="AT187" s="442"/>
      <c r="AU187" s="442"/>
      <c r="AV187" s="442"/>
      <c r="AW187" s="442"/>
      <c r="AX187" s="442"/>
      <c r="AY187" s="442"/>
      <c r="AZ187" s="442"/>
      <c r="BA187" s="442"/>
      <c r="BB187" s="442"/>
      <c r="BC187" s="442"/>
      <c r="BD187" s="442"/>
      <c r="BE187" s="442"/>
      <c r="BF187" s="442"/>
      <c r="BG187" s="442"/>
      <c r="BH187" s="443"/>
      <c r="BI187" s="487"/>
    </row>
    <row r="188" spans="1:61" s="433" customFormat="1">
      <c r="A188" s="501"/>
      <c r="B188" s="506"/>
      <c r="AN188" s="442"/>
      <c r="AO188" s="442"/>
      <c r="AP188" s="442"/>
      <c r="AQ188" s="442"/>
      <c r="AR188" s="442"/>
      <c r="AS188" s="442"/>
      <c r="AT188" s="442"/>
      <c r="AU188" s="442"/>
      <c r="AV188" s="442"/>
      <c r="AW188" s="442"/>
      <c r="AX188" s="442"/>
      <c r="AY188" s="442"/>
      <c r="AZ188" s="442"/>
      <c r="BA188" s="442"/>
      <c r="BB188" s="442"/>
      <c r="BC188" s="442"/>
      <c r="BD188" s="442"/>
      <c r="BE188" s="442"/>
      <c r="BF188" s="442"/>
      <c r="BG188" s="442"/>
      <c r="BH188" s="443"/>
      <c r="BI188" s="487"/>
    </row>
    <row r="189" spans="1:61" s="433" customFormat="1">
      <c r="A189" s="501"/>
      <c r="B189" s="506"/>
      <c r="AN189" s="442"/>
      <c r="AO189" s="442"/>
      <c r="AP189" s="442"/>
      <c r="AQ189" s="442"/>
      <c r="AR189" s="442"/>
      <c r="AS189" s="442"/>
      <c r="AT189" s="442"/>
      <c r="AU189" s="442"/>
      <c r="AV189" s="442"/>
      <c r="AW189" s="442"/>
      <c r="AX189" s="442"/>
      <c r="AY189" s="442"/>
      <c r="AZ189" s="442"/>
      <c r="BA189" s="442"/>
      <c r="BB189" s="442"/>
      <c r="BC189" s="442"/>
      <c r="BD189" s="442"/>
      <c r="BE189" s="442"/>
      <c r="BF189" s="442"/>
      <c r="BG189" s="442"/>
      <c r="BH189" s="443"/>
      <c r="BI189" s="487"/>
    </row>
    <row r="190" spans="1:61" s="433" customFormat="1">
      <c r="A190" s="501"/>
      <c r="B190" s="506"/>
      <c r="AN190" s="442"/>
      <c r="AO190" s="442"/>
      <c r="AP190" s="442"/>
      <c r="AQ190" s="442"/>
      <c r="AR190" s="442"/>
      <c r="AS190" s="442"/>
      <c r="AT190" s="442"/>
      <c r="AU190" s="442"/>
      <c r="AV190" s="442"/>
      <c r="AW190" s="442"/>
      <c r="AX190" s="442"/>
      <c r="AY190" s="442"/>
      <c r="AZ190" s="442"/>
      <c r="BA190" s="442"/>
      <c r="BB190" s="442"/>
      <c r="BC190" s="442"/>
      <c r="BD190" s="442"/>
      <c r="BE190" s="442"/>
      <c r="BF190" s="442"/>
      <c r="BG190" s="442"/>
      <c r="BH190" s="443"/>
      <c r="BI190" s="487"/>
    </row>
    <row r="191" spans="1:61" s="433" customFormat="1">
      <c r="A191" s="501"/>
      <c r="B191" s="506"/>
      <c r="AN191" s="442"/>
      <c r="AO191" s="442"/>
      <c r="AP191" s="442"/>
      <c r="AQ191" s="442"/>
      <c r="AR191" s="442"/>
      <c r="AS191" s="442"/>
      <c r="AT191" s="442"/>
      <c r="AU191" s="442"/>
      <c r="AV191" s="442"/>
      <c r="AW191" s="442"/>
      <c r="AX191" s="442"/>
      <c r="AY191" s="442"/>
      <c r="AZ191" s="442"/>
      <c r="BA191" s="442"/>
      <c r="BB191" s="442"/>
      <c r="BC191" s="442"/>
      <c r="BD191" s="442"/>
      <c r="BE191" s="442"/>
      <c r="BF191" s="442"/>
      <c r="BG191" s="442"/>
      <c r="BH191" s="443"/>
      <c r="BI191" s="487"/>
    </row>
    <row r="192" spans="1:61" s="433" customFormat="1">
      <c r="A192" s="501"/>
      <c r="B192" s="506"/>
      <c r="AN192" s="442"/>
      <c r="AO192" s="442"/>
      <c r="AP192" s="442"/>
      <c r="AQ192" s="442"/>
      <c r="AR192" s="442"/>
      <c r="AS192" s="442"/>
      <c r="AT192" s="442"/>
      <c r="AU192" s="442"/>
      <c r="AV192" s="442"/>
      <c r="AW192" s="442"/>
      <c r="AX192" s="442"/>
      <c r="AY192" s="442"/>
      <c r="AZ192" s="442"/>
      <c r="BA192" s="442"/>
      <c r="BB192" s="442"/>
      <c r="BC192" s="442"/>
      <c r="BD192" s="442"/>
      <c r="BE192" s="442"/>
      <c r="BF192" s="442"/>
      <c r="BG192" s="442"/>
      <c r="BH192" s="443"/>
      <c r="BI192" s="487"/>
    </row>
    <row r="193" spans="1:62" s="433" customFormat="1">
      <c r="A193" s="501"/>
      <c r="B193" s="506"/>
      <c r="AN193" s="442"/>
      <c r="AO193" s="442"/>
      <c r="AP193" s="442"/>
      <c r="AQ193" s="442"/>
      <c r="AR193" s="442"/>
      <c r="AS193" s="442"/>
      <c r="AT193" s="442"/>
      <c r="AU193" s="442"/>
      <c r="AV193" s="442"/>
      <c r="AW193" s="442"/>
      <c r="AX193" s="442"/>
      <c r="AY193" s="442"/>
      <c r="AZ193" s="442"/>
      <c r="BA193" s="442"/>
      <c r="BB193" s="442"/>
      <c r="BC193" s="442"/>
      <c r="BD193" s="442"/>
      <c r="BE193" s="442"/>
      <c r="BF193" s="442"/>
      <c r="BG193" s="442"/>
      <c r="BH193" s="443"/>
      <c r="BI193" s="487"/>
    </row>
    <row r="194" spans="1:62" s="433" customFormat="1">
      <c r="A194" s="501"/>
      <c r="B194" s="506"/>
      <c r="AN194" s="442"/>
      <c r="AO194" s="442"/>
      <c r="AP194" s="442"/>
      <c r="AQ194" s="442"/>
      <c r="AR194" s="442"/>
      <c r="AS194" s="442"/>
      <c r="AT194" s="442"/>
      <c r="AU194" s="442"/>
      <c r="AV194" s="442"/>
      <c r="AW194" s="442"/>
      <c r="AX194" s="442"/>
      <c r="AY194" s="442"/>
      <c r="AZ194" s="442"/>
      <c r="BA194" s="442"/>
      <c r="BB194" s="442"/>
      <c r="BC194" s="442"/>
      <c r="BD194" s="442"/>
      <c r="BE194" s="442"/>
      <c r="BF194" s="442"/>
      <c r="BG194" s="442"/>
      <c r="BH194" s="443"/>
      <c r="BI194" s="487"/>
    </row>
    <row r="195" spans="1:62" s="433" customFormat="1">
      <c r="A195" s="501"/>
      <c r="B195" s="506"/>
      <c r="AN195" s="442"/>
      <c r="AO195" s="442"/>
      <c r="AP195" s="442"/>
      <c r="AQ195" s="442"/>
      <c r="AR195" s="442"/>
      <c r="AS195" s="442"/>
      <c r="AT195" s="442"/>
      <c r="AU195" s="442"/>
      <c r="AV195" s="442"/>
      <c r="AW195" s="442"/>
      <c r="AX195" s="442"/>
      <c r="AY195" s="442"/>
      <c r="AZ195" s="442"/>
      <c r="BA195" s="442"/>
      <c r="BB195" s="442"/>
      <c r="BC195" s="442"/>
      <c r="BD195" s="442"/>
      <c r="BE195" s="442"/>
      <c r="BF195" s="442"/>
      <c r="BG195" s="442"/>
      <c r="BH195" s="443"/>
      <c r="BI195" s="487"/>
    </row>
    <row r="196" spans="1:62" s="433" customFormat="1">
      <c r="A196" s="501"/>
      <c r="B196" s="506"/>
      <c r="AN196" s="442"/>
      <c r="AO196" s="442"/>
      <c r="AP196" s="442"/>
      <c r="AQ196" s="442"/>
      <c r="AR196" s="442"/>
      <c r="AS196" s="442"/>
      <c r="AT196" s="442"/>
      <c r="AU196" s="442"/>
      <c r="AV196" s="442"/>
      <c r="AW196" s="442"/>
      <c r="AX196" s="442"/>
      <c r="AY196" s="442"/>
      <c r="AZ196" s="442"/>
      <c r="BA196" s="442"/>
      <c r="BB196" s="442"/>
      <c r="BC196" s="442"/>
      <c r="BD196" s="442"/>
      <c r="BE196" s="442"/>
      <c r="BF196" s="442"/>
      <c r="BG196" s="442"/>
      <c r="BH196" s="443"/>
      <c r="BI196" s="487"/>
    </row>
    <row r="197" spans="1:62" s="433" customFormat="1">
      <c r="A197" s="501"/>
      <c r="B197" s="506"/>
      <c r="AN197" s="442"/>
      <c r="AO197" s="442"/>
      <c r="AP197" s="442"/>
      <c r="AQ197" s="442"/>
      <c r="AR197" s="442"/>
      <c r="AS197" s="442"/>
      <c r="AT197" s="442"/>
      <c r="AU197" s="442"/>
      <c r="AV197" s="442"/>
      <c r="AW197" s="442"/>
      <c r="AX197" s="442"/>
      <c r="AY197" s="442"/>
      <c r="AZ197" s="442"/>
      <c r="BA197" s="442"/>
      <c r="BB197" s="442"/>
      <c r="BC197" s="442"/>
      <c r="BD197" s="442"/>
      <c r="BE197" s="442"/>
      <c r="BF197" s="442"/>
      <c r="BG197" s="442"/>
      <c r="BH197" s="443"/>
      <c r="BI197" s="487"/>
    </row>
    <row r="198" spans="1:62" s="433" customFormat="1">
      <c r="A198" s="501"/>
      <c r="B198" s="506"/>
      <c r="AN198" s="442"/>
      <c r="AO198" s="442"/>
      <c r="AP198" s="442"/>
      <c r="AQ198" s="442"/>
      <c r="AR198" s="442"/>
      <c r="AS198" s="442"/>
      <c r="AT198" s="442"/>
      <c r="AU198" s="442"/>
      <c r="AV198" s="442"/>
      <c r="AW198" s="442"/>
      <c r="AX198" s="442"/>
      <c r="AY198" s="442"/>
      <c r="AZ198" s="442"/>
      <c r="BA198" s="442"/>
      <c r="BB198" s="442"/>
      <c r="BC198" s="442"/>
      <c r="BD198" s="442"/>
      <c r="BE198" s="442"/>
      <c r="BF198" s="442"/>
      <c r="BG198" s="442"/>
      <c r="BH198" s="443"/>
      <c r="BI198" s="487"/>
    </row>
    <row r="199" spans="1:62" s="433" customFormat="1">
      <c r="A199" s="501"/>
      <c r="B199" s="506"/>
      <c r="AN199" s="442"/>
      <c r="AO199" s="442"/>
      <c r="AP199" s="442"/>
      <c r="AQ199" s="442"/>
      <c r="AR199" s="442"/>
      <c r="AS199" s="442"/>
      <c r="AT199" s="442"/>
      <c r="AU199" s="442"/>
      <c r="AV199" s="442"/>
      <c r="AW199" s="442"/>
      <c r="AX199" s="442"/>
      <c r="AY199" s="442"/>
      <c r="AZ199" s="442"/>
      <c r="BA199" s="442"/>
      <c r="BB199" s="442"/>
      <c r="BC199" s="442"/>
      <c r="BD199" s="442"/>
      <c r="BE199" s="442"/>
      <c r="BF199" s="442"/>
      <c r="BG199" s="442"/>
      <c r="BH199" s="443"/>
      <c r="BI199" s="487"/>
    </row>
    <row r="200" spans="1:62" s="433" customFormat="1">
      <c r="A200" s="501"/>
      <c r="B200" s="506"/>
      <c r="AN200" s="442"/>
      <c r="AO200" s="442"/>
      <c r="AP200" s="442"/>
      <c r="AQ200" s="442"/>
      <c r="AR200" s="442"/>
      <c r="AS200" s="442"/>
      <c r="AT200" s="442"/>
      <c r="AU200" s="442"/>
      <c r="AV200" s="442"/>
      <c r="AW200" s="442"/>
      <c r="AX200" s="442"/>
      <c r="AY200" s="442"/>
      <c r="AZ200" s="442"/>
      <c r="BA200" s="442"/>
      <c r="BB200" s="442"/>
      <c r="BC200" s="442"/>
      <c r="BD200" s="442"/>
      <c r="BE200" s="442"/>
      <c r="BF200" s="442"/>
      <c r="BG200" s="442"/>
      <c r="BH200" s="443"/>
      <c r="BI200" s="487"/>
    </row>
    <row r="201" spans="1:62" s="433" customFormat="1">
      <c r="A201" s="501"/>
      <c r="B201" s="506"/>
      <c r="AN201" s="442"/>
      <c r="AO201" s="442"/>
      <c r="AP201" s="442"/>
      <c r="AQ201" s="442"/>
      <c r="AR201" s="442"/>
      <c r="AS201" s="442"/>
      <c r="AT201" s="442"/>
      <c r="AU201" s="442"/>
      <c r="AV201" s="442"/>
      <c r="AW201" s="442"/>
      <c r="AX201" s="442"/>
      <c r="AY201" s="442"/>
      <c r="AZ201" s="442"/>
      <c r="BA201" s="442"/>
      <c r="BB201" s="442"/>
      <c r="BC201" s="442"/>
      <c r="BD201" s="442"/>
      <c r="BE201" s="442"/>
      <c r="BF201" s="442"/>
      <c r="BG201" s="442"/>
      <c r="BH201" s="443"/>
      <c r="BI201" s="487"/>
    </row>
    <row r="202" spans="1:62" s="433" customFormat="1">
      <c r="A202" s="501"/>
      <c r="B202" s="506"/>
      <c r="AN202" s="442"/>
      <c r="AO202" s="442"/>
      <c r="AP202" s="442"/>
      <c r="AQ202" s="442"/>
      <c r="AR202" s="442"/>
      <c r="AS202" s="442"/>
      <c r="AT202" s="442"/>
      <c r="AU202" s="442"/>
      <c r="AV202" s="442"/>
      <c r="AW202" s="442"/>
      <c r="AX202" s="442"/>
      <c r="AY202" s="442"/>
      <c r="AZ202" s="442"/>
      <c r="BA202" s="442"/>
      <c r="BB202" s="442"/>
      <c r="BC202" s="442"/>
      <c r="BD202" s="442"/>
      <c r="BE202" s="442"/>
      <c r="BF202" s="442"/>
      <c r="BG202" s="442"/>
      <c r="BH202" s="443"/>
      <c r="BI202" s="487"/>
    </row>
    <row r="203" spans="1:62" s="318" customFormat="1">
      <c r="A203" s="502"/>
      <c r="B203" s="191"/>
      <c r="AM203" s="245"/>
      <c r="AN203" s="416"/>
      <c r="AO203" s="416"/>
      <c r="AP203" s="416"/>
      <c r="AQ203" s="416"/>
      <c r="AR203" s="416"/>
      <c r="AS203" s="416"/>
      <c r="AT203" s="416"/>
      <c r="AU203" s="416"/>
      <c r="AV203" s="416"/>
      <c r="AW203" s="416"/>
      <c r="AX203" s="416"/>
      <c r="AY203" s="416"/>
      <c r="AZ203" s="416"/>
      <c r="BA203" s="416"/>
      <c r="BB203" s="416"/>
      <c r="BC203" s="416"/>
      <c r="BD203" s="416"/>
      <c r="BE203" s="416"/>
      <c r="BF203" s="416"/>
      <c r="BG203" s="416"/>
      <c r="BH203" s="319"/>
      <c r="BI203" s="351"/>
      <c r="BJ203" s="245"/>
    </row>
    <row r="204" spans="1:62" s="318" customFormat="1">
      <c r="A204" s="502"/>
      <c r="B204" s="191"/>
      <c r="AM204" s="245"/>
      <c r="AN204" s="416"/>
      <c r="AO204" s="416"/>
      <c r="AP204" s="416"/>
      <c r="AQ204" s="416"/>
      <c r="AR204" s="416"/>
      <c r="AS204" s="416"/>
      <c r="AT204" s="416"/>
      <c r="AU204" s="416"/>
      <c r="AV204" s="416"/>
      <c r="AW204" s="416"/>
      <c r="AX204" s="416"/>
      <c r="AY204" s="416"/>
      <c r="AZ204" s="416"/>
      <c r="BA204" s="416"/>
      <c r="BB204" s="416"/>
      <c r="BC204" s="416"/>
      <c r="BD204" s="416"/>
      <c r="BE204" s="416"/>
      <c r="BF204" s="416"/>
      <c r="BG204" s="416"/>
      <c r="BH204" s="319"/>
      <c r="BI204" s="351"/>
      <c r="BJ204" s="245"/>
    </row>
    <row r="205" spans="1:62" s="318" customFormat="1">
      <c r="A205" s="502"/>
      <c r="B205" s="191"/>
      <c r="AM205" s="245"/>
      <c r="AN205" s="416"/>
      <c r="AO205" s="416"/>
      <c r="AP205" s="416"/>
      <c r="AQ205" s="416"/>
      <c r="AR205" s="416"/>
      <c r="AS205" s="416"/>
      <c r="AT205" s="416"/>
      <c r="AU205" s="416"/>
      <c r="AV205" s="416"/>
      <c r="AW205" s="416"/>
      <c r="AX205" s="416"/>
      <c r="AY205" s="416"/>
      <c r="AZ205" s="416"/>
      <c r="BA205" s="416"/>
      <c r="BB205" s="416"/>
      <c r="BC205" s="416"/>
      <c r="BD205" s="416"/>
      <c r="BE205" s="416"/>
      <c r="BF205" s="416"/>
      <c r="BG205" s="416"/>
      <c r="BH205" s="319"/>
      <c r="BI205" s="351"/>
      <c r="BJ205" s="245"/>
    </row>
    <row r="206" spans="1:62" s="318" customFormat="1">
      <c r="A206" s="502"/>
      <c r="B206" s="191"/>
      <c r="AM206" s="245"/>
      <c r="AN206" s="416"/>
      <c r="AO206" s="416"/>
      <c r="AP206" s="416"/>
      <c r="AQ206" s="416"/>
      <c r="AR206" s="416"/>
      <c r="AS206" s="416"/>
      <c r="AT206" s="416"/>
      <c r="AU206" s="416"/>
      <c r="AV206" s="416"/>
      <c r="AW206" s="416"/>
      <c r="AX206" s="416"/>
      <c r="AY206" s="416"/>
      <c r="AZ206" s="416"/>
      <c r="BA206" s="416"/>
      <c r="BB206" s="416"/>
      <c r="BC206" s="416"/>
      <c r="BD206" s="416"/>
      <c r="BE206" s="416"/>
      <c r="BF206" s="416"/>
      <c r="BG206" s="416"/>
      <c r="BH206" s="319"/>
      <c r="BI206" s="351"/>
      <c r="BJ206" s="245"/>
    </row>
    <row r="207" spans="1:62" s="318" customFormat="1">
      <c r="A207" s="502"/>
      <c r="B207" s="191"/>
      <c r="AM207" s="245"/>
      <c r="AN207" s="416"/>
      <c r="AO207" s="416"/>
      <c r="AP207" s="416"/>
      <c r="AQ207" s="416"/>
      <c r="AR207" s="416"/>
      <c r="AS207" s="416"/>
      <c r="AT207" s="416"/>
      <c r="AU207" s="416"/>
      <c r="AV207" s="416"/>
      <c r="AW207" s="416"/>
      <c r="AX207" s="416"/>
      <c r="AY207" s="416"/>
      <c r="AZ207" s="416"/>
      <c r="BA207" s="416"/>
      <c r="BB207" s="416"/>
      <c r="BC207" s="416"/>
      <c r="BD207" s="416"/>
      <c r="BE207" s="416"/>
      <c r="BF207" s="416"/>
      <c r="BG207" s="416"/>
      <c r="BH207" s="319"/>
      <c r="BI207" s="351"/>
      <c r="BJ207" s="245"/>
    </row>
    <row r="208" spans="1:62" s="318" customFormat="1">
      <c r="A208" s="502"/>
      <c r="B208" s="191"/>
      <c r="AM208" s="245"/>
      <c r="AN208" s="416"/>
      <c r="AO208" s="416"/>
      <c r="AP208" s="416"/>
      <c r="AQ208" s="416"/>
      <c r="AR208" s="416"/>
      <c r="AS208" s="416"/>
      <c r="AT208" s="416"/>
      <c r="AU208" s="416"/>
      <c r="AV208" s="416"/>
      <c r="AW208" s="416"/>
      <c r="AX208" s="416"/>
      <c r="AY208" s="416"/>
      <c r="AZ208" s="416"/>
      <c r="BA208" s="416"/>
      <c r="BB208" s="416"/>
      <c r="BC208" s="416"/>
      <c r="BD208" s="416"/>
      <c r="BE208" s="416"/>
      <c r="BF208" s="416"/>
      <c r="BG208" s="416"/>
      <c r="BH208" s="319"/>
      <c r="BI208" s="351"/>
      <c r="BJ208" s="245"/>
    </row>
    <row r="209" spans="1:62" s="318" customFormat="1">
      <c r="A209" s="502"/>
      <c r="B209" s="191"/>
      <c r="AM209" s="245"/>
      <c r="AN209" s="416"/>
      <c r="AO209" s="416"/>
      <c r="AP209" s="416"/>
      <c r="AQ209" s="416"/>
      <c r="AR209" s="416"/>
      <c r="AS209" s="416"/>
      <c r="AT209" s="416"/>
      <c r="AU209" s="416"/>
      <c r="AV209" s="416"/>
      <c r="AW209" s="416"/>
      <c r="AX209" s="416"/>
      <c r="AY209" s="416"/>
      <c r="AZ209" s="416"/>
      <c r="BA209" s="416"/>
      <c r="BB209" s="416"/>
      <c r="BC209" s="416"/>
      <c r="BD209" s="416"/>
      <c r="BE209" s="416"/>
      <c r="BF209" s="416"/>
      <c r="BG209" s="416"/>
      <c r="BH209" s="319"/>
      <c r="BI209" s="351"/>
      <c r="BJ209" s="245"/>
    </row>
    <row r="210" spans="1:62" s="318" customFormat="1">
      <c r="A210" s="502"/>
      <c r="B210" s="191"/>
      <c r="AM210" s="245"/>
      <c r="AN210" s="416"/>
      <c r="AO210" s="416"/>
      <c r="AP210" s="416"/>
      <c r="AQ210" s="416"/>
      <c r="AR210" s="416"/>
      <c r="AS210" s="416"/>
      <c r="AT210" s="416"/>
      <c r="AU210" s="416"/>
      <c r="AV210" s="416"/>
      <c r="AW210" s="416"/>
      <c r="AX210" s="416"/>
      <c r="AY210" s="416"/>
      <c r="AZ210" s="416"/>
      <c r="BA210" s="416"/>
      <c r="BB210" s="416"/>
      <c r="BC210" s="416"/>
      <c r="BD210" s="416"/>
      <c r="BE210" s="416"/>
      <c r="BF210" s="416"/>
      <c r="BG210" s="416"/>
      <c r="BH210" s="319"/>
      <c r="BI210" s="351"/>
      <c r="BJ210" s="245"/>
    </row>
    <row r="211" spans="1:62" s="318" customFormat="1">
      <c r="A211" s="502"/>
      <c r="B211" s="191"/>
      <c r="AM211" s="245"/>
      <c r="AN211" s="416"/>
      <c r="AO211" s="416"/>
      <c r="AP211" s="416"/>
      <c r="AQ211" s="416"/>
      <c r="AR211" s="416"/>
      <c r="AS211" s="416"/>
      <c r="AT211" s="416"/>
      <c r="AU211" s="416"/>
      <c r="AV211" s="416"/>
      <c r="AW211" s="416"/>
      <c r="AX211" s="416"/>
      <c r="AY211" s="416"/>
      <c r="AZ211" s="416"/>
      <c r="BA211" s="416"/>
      <c r="BB211" s="416"/>
      <c r="BC211" s="416"/>
      <c r="BD211" s="416"/>
      <c r="BE211" s="416"/>
      <c r="BF211" s="416"/>
      <c r="BG211" s="416"/>
      <c r="BH211" s="319"/>
      <c r="BI211" s="351"/>
      <c r="BJ211" s="245"/>
    </row>
    <row r="212" spans="1:62" s="318" customFormat="1">
      <c r="A212" s="502"/>
      <c r="B212" s="507"/>
      <c r="AM212" s="245"/>
      <c r="AN212" s="416"/>
      <c r="AO212" s="416"/>
      <c r="AP212" s="416"/>
      <c r="AQ212" s="416"/>
      <c r="AR212" s="416"/>
      <c r="AS212" s="416"/>
      <c r="AT212" s="416"/>
      <c r="AU212" s="416"/>
      <c r="AV212" s="416"/>
      <c r="AW212" s="416"/>
      <c r="AX212" s="416"/>
      <c r="AY212" s="416"/>
      <c r="AZ212" s="416"/>
      <c r="BA212" s="416"/>
      <c r="BB212" s="416"/>
      <c r="BC212" s="416"/>
      <c r="BD212" s="416"/>
      <c r="BE212" s="416"/>
      <c r="BF212" s="416"/>
      <c r="BG212" s="416"/>
      <c r="BH212" s="319"/>
      <c r="BI212" s="351"/>
      <c r="BJ212" s="245"/>
    </row>
    <row r="213" spans="1:62" s="318" customFormat="1">
      <c r="A213" s="502"/>
      <c r="B213" s="507"/>
      <c r="AM213" s="245"/>
      <c r="AN213" s="416"/>
      <c r="AO213" s="416"/>
      <c r="AP213" s="416"/>
      <c r="AQ213" s="416"/>
      <c r="AR213" s="416"/>
      <c r="AS213" s="416"/>
      <c r="AT213" s="416"/>
      <c r="AU213" s="416"/>
      <c r="AV213" s="416"/>
      <c r="AW213" s="416"/>
      <c r="AX213" s="416"/>
      <c r="AY213" s="416"/>
      <c r="AZ213" s="416"/>
      <c r="BA213" s="416"/>
      <c r="BB213" s="416"/>
      <c r="BC213" s="416"/>
      <c r="BD213" s="416"/>
      <c r="BE213" s="416"/>
      <c r="BF213" s="416"/>
      <c r="BG213" s="416"/>
      <c r="BH213" s="319"/>
      <c r="BI213" s="351"/>
      <c r="BJ213" s="245"/>
    </row>
    <row r="214" spans="1:62" s="318" customFormat="1">
      <c r="A214" s="502"/>
      <c r="B214" s="507"/>
      <c r="AM214" s="245"/>
      <c r="AN214" s="416"/>
      <c r="AO214" s="416"/>
      <c r="AP214" s="416"/>
      <c r="AQ214" s="416"/>
      <c r="AR214" s="416"/>
      <c r="AS214" s="416"/>
      <c r="AT214" s="416"/>
      <c r="AU214" s="416"/>
      <c r="AV214" s="416"/>
      <c r="AW214" s="416"/>
      <c r="AX214" s="416"/>
      <c r="AY214" s="416"/>
      <c r="AZ214" s="416"/>
      <c r="BA214" s="416"/>
      <c r="BB214" s="416"/>
      <c r="BC214" s="416"/>
      <c r="BD214" s="416"/>
      <c r="BE214" s="416"/>
      <c r="BF214" s="416"/>
      <c r="BG214" s="416"/>
      <c r="BH214" s="319"/>
      <c r="BI214" s="351"/>
      <c r="BJ214" s="245"/>
    </row>
    <row r="215" spans="1:62" s="318" customFormat="1">
      <c r="A215" s="502"/>
      <c r="B215" s="507"/>
      <c r="AM215" s="245"/>
      <c r="AN215" s="416"/>
      <c r="AO215" s="416"/>
      <c r="AP215" s="416"/>
      <c r="AQ215" s="416"/>
      <c r="AR215" s="416"/>
      <c r="AS215" s="416"/>
      <c r="AT215" s="416"/>
      <c r="AU215" s="416"/>
      <c r="AV215" s="416"/>
      <c r="AW215" s="416"/>
      <c r="AX215" s="416"/>
      <c r="AY215" s="416"/>
      <c r="AZ215" s="416"/>
      <c r="BA215" s="416"/>
      <c r="BB215" s="416"/>
      <c r="BC215" s="416"/>
      <c r="BD215" s="416"/>
      <c r="BE215" s="416"/>
      <c r="BF215" s="416"/>
      <c r="BG215" s="416"/>
      <c r="BH215" s="319"/>
      <c r="BI215" s="351"/>
      <c r="BJ215" s="245"/>
    </row>
    <row r="216" spans="1:62" s="318" customFormat="1">
      <c r="A216" s="502"/>
      <c r="B216" s="507"/>
      <c r="AM216" s="245"/>
      <c r="AN216" s="416"/>
      <c r="AO216" s="416"/>
      <c r="AP216" s="416"/>
      <c r="AQ216" s="416"/>
      <c r="AR216" s="416"/>
      <c r="AS216" s="416"/>
      <c r="AT216" s="416"/>
      <c r="AU216" s="416"/>
      <c r="AV216" s="416"/>
      <c r="AW216" s="416"/>
      <c r="AX216" s="416"/>
      <c r="AY216" s="416"/>
      <c r="AZ216" s="416"/>
      <c r="BA216" s="416"/>
      <c r="BB216" s="416"/>
      <c r="BC216" s="416"/>
      <c r="BD216" s="416"/>
      <c r="BE216" s="416"/>
      <c r="BF216" s="416"/>
      <c r="BG216" s="416"/>
      <c r="BH216" s="319"/>
      <c r="BI216" s="351"/>
      <c r="BJ216" s="245"/>
    </row>
    <row r="217" spans="1:62" s="318" customFormat="1">
      <c r="A217" s="502"/>
      <c r="B217" s="507"/>
      <c r="AM217" s="245"/>
      <c r="AN217" s="416"/>
      <c r="AO217" s="416"/>
      <c r="AP217" s="416"/>
      <c r="AQ217" s="416"/>
      <c r="AR217" s="416"/>
      <c r="AS217" s="416"/>
      <c r="AT217" s="416"/>
      <c r="AU217" s="416"/>
      <c r="AV217" s="416"/>
      <c r="AW217" s="416"/>
      <c r="AX217" s="416"/>
      <c r="AY217" s="416"/>
      <c r="AZ217" s="416"/>
      <c r="BA217" s="416"/>
      <c r="BB217" s="416"/>
      <c r="BC217" s="416"/>
      <c r="BD217" s="416"/>
      <c r="BE217" s="416"/>
      <c r="BF217" s="416"/>
      <c r="BG217" s="416"/>
      <c r="BH217" s="319"/>
      <c r="BI217" s="351"/>
      <c r="BJ217" s="245"/>
    </row>
    <row r="218" spans="1:62" s="318" customFormat="1">
      <c r="A218" s="502"/>
      <c r="B218" s="507"/>
      <c r="AM218" s="245"/>
      <c r="AN218" s="416"/>
      <c r="AO218" s="416"/>
      <c r="AP218" s="416"/>
      <c r="AQ218" s="416"/>
      <c r="AR218" s="416"/>
      <c r="AS218" s="416"/>
      <c r="AT218" s="416"/>
      <c r="AU218" s="416"/>
      <c r="AV218" s="416"/>
      <c r="AW218" s="416"/>
      <c r="AX218" s="416"/>
      <c r="AY218" s="416"/>
      <c r="AZ218" s="416"/>
      <c r="BA218" s="416"/>
      <c r="BB218" s="416"/>
      <c r="BC218" s="416"/>
      <c r="BD218" s="416"/>
      <c r="BE218" s="416"/>
      <c r="BF218" s="416"/>
      <c r="BG218" s="416"/>
      <c r="BH218" s="319"/>
      <c r="BI218" s="351"/>
      <c r="BJ218" s="245"/>
    </row>
    <row r="219" spans="1:62" s="318" customFormat="1">
      <c r="A219" s="502"/>
      <c r="B219" s="507"/>
      <c r="AM219" s="245"/>
      <c r="AN219" s="416"/>
      <c r="AO219" s="416"/>
      <c r="AP219" s="416"/>
      <c r="AQ219" s="416"/>
      <c r="AR219" s="416"/>
      <c r="AS219" s="416"/>
      <c r="AT219" s="416"/>
      <c r="AU219" s="416"/>
      <c r="AV219" s="416"/>
      <c r="AW219" s="416"/>
      <c r="AX219" s="416"/>
      <c r="AY219" s="416"/>
      <c r="AZ219" s="416"/>
      <c r="BA219" s="416"/>
      <c r="BB219" s="416"/>
      <c r="BC219" s="416"/>
      <c r="BD219" s="416"/>
      <c r="BE219" s="416"/>
      <c r="BF219" s="416"/>
      <c r="BG219" s="416"/>
      <c r="BH219" s="319"/>
      <c r="BI219" s="351"/>
      <c r="BJ219" s="245"/>
    </row>
    <row r="220" spans="1:62" s="318" customFormat="1">
      <c r="A220" s="502"/>
      <c r="B220" s="507"/>
      <c r="AM220" s="245"/>
      <c r="AN220" s="416"/>
      <c r="AO220" s="416"/>
      <c r="AP220" s="416"/>
      <c r="AQ220" s="416"/>
      <c r="AR220" s="416"/>
      <c r="AS220" s="416"/>
      <c r="AT220" s="416"/>
      <c r="AU220" s="416"/>
      <c r="AV220" s="416"/>
      <c r="AW220" s="416"/>
      <c r="AX220" s="416"/>
      <c r="AY220" s="416"/>
      <c r="AZ220" s="416"/>
      <c r="BA220" s="416"/>
      <c r="BB220" s="416"/>
      <c r="BC220" s="416"/>
      <c r="BD220" s="416"/>
      <c r="BE220" s="416"/>
      <c r="BF220" s="416"/>
      <c r="BG220" s="416"/>
      <c r="BH220" s="319"/>
      <c r="BI220" s="351"/>
      <c r="BJ220" s="245"/>
    </row>
    <row r="221" spans="1:62" s="318" customFormat="1">
      <c r="A221" s="502"/>
      <c r="B221" s="507"/>
      <c r="AM221" s="245"/>
      <c r="AN221" s="416"/>
      <c r="AO221" s="416"/>
      <c r="AP221" s="416"/>
      <c r="AQ221" s="416"/>
      <c r="AR221" s="416"/>
      <c r="AS221" s="416"/>
      <c r="AT221" s="416"/>
      <c r="AU221" s="416"/>
      <c r="AV221" s="416"/>
      <c r="AW221" s="416"/>
      <c r="AX221" s="416"/>
      <c r="AY221" s="416"/>
      <c r="AZ221" s="416"/>
      <c r="BA221" s="416"/>
      <c r="BB221" s="416"/>
      <c r="BC221" s="416"/>
      <c r="BD221" s="416"/>
      <c r="BE221" s="416"/>
      <c r="BF221" s="416"/>
      <c r="BG221" s="416"/>
      <c r="BH221" s="319"/>
      <c r="BI221" s="351"/>
      <c r="BJ221" s="245"/>
    </row>
    <row r="222" spans="1:62" s="318" customFormat="1">
      <c r="A222" s="502"/>
      <c r="B222" s="507"/>
      <c r="AM222" s="245"/>
      <c r="AN222" s="416"/>
      <c r="AO222" s="416"/>
      <c r="AP222" s="416"/>
      <c r="AQ222" s="416"/>
      <c r="AR222" s="416"/>
      <c r="AS222" s="416"/>
      <c r="AT222" s="416"/>
      <c r="AU222" s="416"/>
      <c r="AV222" s="416"/>
      <c r="AW222" s="416"/>
      <c r="AX222" s="416"/>
      <c r="AY222" s="416"/>
      <c r="AZ222" s="416"/>
      <c r="BA222" s="416"/>
      <c r="BB222" s="416"/>
      <c r="BC222" s="416"/>
      <c r="BD222" s="416"/>
      <c r="BE222" s="416"/>
      <c r="BF222" s="416"/>
      <c r="BG222" s="416"/>
      <c r="BH222" s="319"/>
      <c r="BI222" s="351"/>
      <c r="BJ222" s="245"/>
    </row>
    <row r="223" spans="1:62" s="318" customFormat="1">
      <c r="A223" s="502"/>
      <c r="B223" s="507"/>
      <c r="AM223" s="245"/>
      <c r="AN223" s="416"/>
      <c r="AO223" s="416"/>
      <c r="AP223" s="416"/>
      <c r="AQ223" s="416"/>
      <c r="AR223" s="416"/>
      <c r="AS223" s="416"/>
      <c r="AT223" s="416"/>
      <c r="AU223" s="416"/>
      <c r="AV223" s="416"/>
      <c r="AW223" s="416"/>
      <c r="AX223" s="416"/>
      <c r="AY223" s="416"/>
      <c r="AZ223" s="416"/>
      <c r="BA223" s="416"/>
      <c r="BB223" s="416"/>
      <c r="BC223" s="416"/>
      <c r="BD223" s="416"/>
      <c r="BE223" s="416"/>
      <c r="BF223" s="416"/>
      <c r="BG223" s="416"/>
      <c r="BH223" s="319"/>
      <c r="BI223" s="351"/>
      <c r="BJ223" s="245"/>
    </row>
    <row r="224" spans="1:62" s="318" customFormat="1">
      <c r="A224" s="502"/>
      <c r="B224" s="507"/>
      <c r="AM224" s="245"/>
      <c r="AN224" s="416"/>
      <c r="AO224" s="416"/>
      <c r="AP224" s="416"/>
      <c r="AQ224" s="416"/>
      <c r="AR224" s="416"/>
      <c r="AS224" s="416"/>
      <c r="AT224" s="416"/>
      <c r="AU224" s="416"/>
      <c r="AV224" s="416"/>
      <c r="AW224" s="416"/>
      <c r="AX224" s="416"/>
      <c r="AY224" s="416"/>
      <c r="AZ224" s="416"/>
      <c r="BA224" s="416"/>
      <c r="BB224" s="416"/>
      <c r="BC224" s="416"/>
      <c r="BD224" s="416"/>
      <c r="BE224" s="416"/>
      <c r="BF224" s="416"/>
      <c r="BG224" s="416"/>
      <c r="BH224" s="319"/>
      <c r="BI224" s="351"/>
      <c r="BJ224" s="245"/>
    </row>
    <row r="225" spans="1:62" s="318" customFormat="1">
      <c r="A225" s="502"/>
      <c r="B225" s="507"/>
      <c r="AM225" s="245"/>
      <c r="AN225" s="416"/>
      <c r="AO225" s="416"/>
      <c r="AP225" s="416"/>
      <c r="AQ225" s="416"/>
      <c r="AR225" s="416"/>
      <c r="AS225" s="416"/>
      <c r="AT225" s="416"/>
      <c r="AU225" s="416"/>
      <c r="AV225" s="416"/>
      <c r="AW225" s="416"/>
      <c r="AX225" s="416"/>
      <c r="AY225" s="416"/>
      <c r="AZ225" s="416"/>
      <c r="BA225" s="416"/>
      <c r="BB225" s="416"/>
      <c r="BC225" s="416"/>
      <c r="BD225" s="416"/>
      <c r="BE225" s="416"/>
      <c r="BF225" s="416"/>
      <c r="BG225" s="416"/>
      <c r="BH225" s="319"/>
      <c r="BI225" s="351"/>
      <c r="BJ225" s="245"/>
    </row>
    <row r="226" spans="1:62" s="318" customFormat="1">
      <c r="A226" s="502"/>
      <c r="B226" s="507"/>
      <c r="AM226" s="245"/>
      <c r="AN226" s="416"/>
      <c r="AO226" s="416"/>
      <c r="AP226" s="416"/>
      <c r="AQ226" s="416"/>
      <c r="AR226" s="416"/>
      <c r="AS226" s="416"/>
      <c r="AT226" s="416"/>
      <c r="AU226" s="416"/>
      <c r="AV226" s="416"/>
      <c r="AW226" s="416"/>
      <c r="AX226" s="416"/>
      <c r="AY226" s="416"/>
      <c r="AZ226" s="416"/>
      <c r="BA226" s="416"/>
      <c r="BB226" s="416"/>
      <c r="BC226" s="416"/>
      <c r="BD226" s="416"/>
      <c r="BE226" s="416"/>
      <c r="BF226" s="416"/>
      <c r="BG226" s="416"/>
      <c r="BH226" s="319"/>
      <c r="BI226" s="351"/>
      <c r="BJ226" s="245"/>
    </row>
    <row r="227" spans="1:62" s="318" customFormat="1">
      <c r="A227" s="502"/>
      <c r="B227" s="507"/>
      <c r="AM227" s="245"/>
      <c r="AN227" s="416"/>
      <c r="AO227" s="416"/>
      <c r="AP227" s="416"/>
      <c r="AQ227" s="416"/>
      <c r="AR227" s="416"/>
      <c r="AS227" s="416"/>
      <c r="AT227" s="416"/>
      <c r="AU227" s="416"/>
      <c r="AV227" s="416"/>
      <c r="AW227" s="416"/>
      <c r="AX227" s="416"/>
      <c r="AY227" s="416"/>
      <c r="AZ227" s="416"/>
      <c r="BA227" s="416"/>
      <c r="BB227" s="416"/>
      <c r="BC227" s="416"/>
      <c r="BD227" s="416"/>
      <c r="BE227" s="416"/>
      <c r="BF227" s="416"/>
      <c r="BG227" s="416"/>
      <c r="BH227" s="319"/>
      <c r="BI227" s="351"/>
      <c r="BJ227" s="245"/>
    </row>
    <row r="228" spans="1:62" s="318" customFormat="1">
      <c r="A228" s="502"/>
      <c r="B228" s="507"/>
      <c r="AM228" s="245"/>
      <c r="AN228" s="416"/>
      <c r="AO228" s="416"/>
      <c r="AP228" s="416"/>
      <c r="AQ228" s="416"/>
      <c r="AR228" s="416"/>
      <c r="AS228" s="416"/>
      <c r="AT228" s="416"/>
      <c r="AU228" s="416"/>
      <c r="AV228" s="416"/>
      <c r="AW228" s="416"/>
      <c r="AX228" s="416"/>
      <c r="AY228" s="416"/>
      <c r="AZ228" s="416"/>
      <c r="BA228" s="416"/>
      <c r="BB228" s="416"/>
      <c r="BC228" s="416"/>
      <c r="BD228" s="416"/>
      <c r="BE228" s="416"/>
      <c r="BF228" s="416"/>
      <c r="BG228" s="416"/>
      <c r="BH228" s="319"/>
      <c r="BI228" s="351"/>
      <c r="BJ228" s="245"/>
    </row>
  </sheetData>
  <sheetProtection password="C07B" sheet="1" objects="1" scenarios="1"/>
  <mergeCells count="39">
    <mergeCell ref="U20:W20"/>
    <mergeCell ref="Y20:AA20"/>
    <mergeCell ref="Y10:AA10"/>
    <mergeCell ref="U10:W10"/>
    <mergeCell ref="J10:K10"/>
    <mergeCell ref="L10:M10"/>
    <mergeCell ref="AC16:AK16"/>
    <mergeCell ref="AC19:AK19"/>
    <mergeCell ref="AC17:AK17"/>
    <mergeCell ref="AC18:AK18"/>
    <mergeCell ref="Y19:AB19"/>
    <mergeCell ref="C148:N148"/>
    <mergeCell ref="C144:N144"/>
    <mergeCell ref="D20:E20"/>
    <mergeCell ref="F20:I20"/>
    <mergeCell ref="J20:K20"/>
    <mergeCell ref="L20:M20"/>
    <mergeCell ref="C20:C21"/>
    <mergeCell ref="C147:N147"/>
    <mergeCell ref="C145:N146"/>
    <mergeCell ref="C142:N143"/>
    <mergeCell ref="N20:N21"/>
    <mergeCell ref="C122:R122"/>
    <mergeCell ref="B20:B21"/>
    <mergeCell ref="B10:B17"/>
    <mergeCell ref="D10:E10"/>
    <mergeCell ref="R20:R21"/>
    <mergeCell ref="S20:S21"/>
    <mergeCell ref="P20:P21"/>
    <mergeCell ref="Q20:Q21"/>
    <mergeCell ref="N10:N11"/>
    <mergeCell ref="O10:O11"/>
    <mergeCell ref="P10:P11"/>
    <mergeCell ref="Q10:Q11"/>
    <mergeCell ref="R10:R11"/>
    <mergeCell ref="S10:S11"/>
    <mergeCell ref="F10:I10"/>
    <mergeCell ref="O20:O21"/>
    <mergeCell ref="C10:C11"/>
  </mergeCells>
  <conditionalFormatting sqref="Z131">
    <cfRule type="containsText" dxfId="304" priority="57" operator="containsText" text="OK">
      <formula>NOT(ISERROR(SEARCH("OK",Z131)))</formula>
    </cfRule>
    <cfRule type="containsText" dxfId="303" priority="58" operator="containsText" text="ERROR">
      <formula>NOT(ISERROR(SEARCH("ERROR",Z131)))</formula>
    </cfRule>
    <cfRule type="expression" dxfId="302" priority="59">
      <formula>"ERROR"</formula>
    </cfRule>
    <cfRule type="colorScale" priority="60">
      <colorScale>
        <cfvo type="min"/>
        <cfvo type="max"/>
        <color rgb="FFFF0000"/>
        <color rgb="FFFFEF9C"/>
      </colorScale>
    </cfRule>
  </conditionalFormatting>
  <conditionalFormatting sqref="BH22:BH121">
    <cfRule type="containsText" dxfId="301" priority="53" operator="containsText" text="OK">
      <formula>NOT(ISERROR(SEARCH("OK",BH22)))</formula>
    </cfRule>
    <cfRule type="containsText" dxfId="300" priority="54" operator="containsText" text="ERROR">
      <formula>NOT(ISERROR(SEARCH("ERROR",BH22)))</formula>
    </cfRule>
    <cfRule type="expression" dxfId="299" priority="55">
      <formula>"ERROR"</formula>
    </cfRule>
    <cfRule type="colorScale" priority="56">
      <colorScale>
        <cfvo type="min"/>
        <cfvo type="max"/>
        <color rgb="FFFF0000"/>
        <color rgb="FFFFEF9C"/>
      </colorScale>
    </cfRule>
  </conditionalFormatting>
  <conditionalFormatting sqref="Z127">
    <cfRule type="containsText" dxfId="298" priority="41" operator="containsText" text="OK">
      <formula>NOT(ISERROR(SEARCH("OK",Z127)))</formula>
    </cfRule>
    <cfRule type="containsText" dxfId="297" priority="42" operator="containsText" text="ERROR">
      <formula>NOT(ISERROR(SEARCH("ERROR",Z127)))</formula>
    </cfRule>
    <cfRule type="expression" dxfId="296" priority="43">
      <formula>"ERROR"</formula>
    </cfRule>
    <cfRule type="colorScale" priority="44">
      <colorScale>
        <cfvo type="min"/>
        <cfvo type="max"/>
        <color rgb="FFFF0000"/>
        <color rgb="FFFFEF9C"/>
      </colorScale>
    </cfRule>
  </conditionalFormatting>
  <conditionalFormatting sqref="U125">
    <cfRule type="containsText" dxfId="295" priority="37" operator="containsText" text="OK">
      <formula>NOT(ISERROR(SEARCH("OK",U125)))</formula>
    </cfRule>
    <cfRule type="containsText" dxfId="294" priority="38" operator="containsText" text="ERROR">
      <formula>NOT(ISERROR(SEARCH("ERROR",U125)))</formula>
    </cfRule>
    <cfRule type="expression" dxfId="293" priority="39">
      <formula>"ERROR"</formula>
    </cfRule>
    <cfRule type="colorScale" priority="40">
      <colorScale>
        <cfvo type="min"/>
        <cfvo type="max"/>
        <color rgb="FFFF0000"/>
        <color rgb="FFFFEF9C"/>
      </colorScale>
    </cfRule>
  </conditionalFormatting>
  <conditionalFormatting sqref="V125">
    <cfRule type="containsText" dxfId="292" priority="29" operator="containsText" text="OK">
      <formula>NOT(ISERROR(SEARCH("OK",V125)))</formula>
    </cfRule>
    <cfRule type="containsText" dxfId="291" priority="30" operator="containsText" text="ERROR">
      <formula>NOT(ISERROR(SEARCH("ERROR",V125)))</formula>
    </cfRule>
    <cfRule type="expression" dxfId="290" priority="31">
      <formula>"ERROR"</formula>
    </cfRule>
    <cfRule type="colorScale" priority="32">
      <colorScale>
        <cfvo type="min"/>
        <cfvo type="max"/>
        <color rgb="FFFF0000"/>
        <color rgb="FFFFEF9C"/>
      </colorScale>
    </cfRule>
  </conditionalFormatting>
  <conditionalFormatting sqref="Z137">
    <cfRule type="containsText" dxfId="289" priority="13" operator="containsText" text="OK">
      <formula>NOT(ISERROR(SEARCH("OK",Z137)))</formula>
    </cfRule>
    <cfRule type="containsText" dxfId="288" priority="14" operator="containsText" text="ERROR">
      <formula>NOT(ISERROR(SEARCH("ERROR",Z137)))</formula>
    </cfRule>
    <cfRule type="expression" dxfId="287" priority="15">
      <formula>"ERROR"</formula>
    </cfRule>
    <cfRule type="colorScale" priority="16">
      <colorScale>
        <cfvo type="min"/>
        <cfvo type="max"/>
        <color rgb="FFFF0000"/>
        <color rgb="FFFFEF9C"/>
      </colorScale>
    </cfRule>
  </conditionalFormatting>
  <conditionalFormatting sqref="BH127">
    <cfRule type="containsText" dxfId="286" priority="9" operator="containsText" text="OK">
      <formula>NOT(ISERROR(SEARCH("OK",BH127)))</formula>
    </cfRule>
    <cfRule type="containsText" dxfId="285" priority="10" operator="containsText" text="ERROR">
      <formula>NOT(ISERROR(SEARCH("ERROR",BH127)))</formula>
    </cfRule>
    <cfRule type="expression" dxfId="284" priority="11">
      <formula>"ERROR"</formula>
    </cfRule>
    <cfRule type="colorScale" priority="12">
      <colorScale>
        <cfvo type="min"/>
        <cfvo type="max"/>
        <color rgb="FFFF0000"/>
        <color rgb="FFFFEF9C"/>
      </colorScale>
    </cfRule>
  </conditionalFormatting>
  <conditionalFormatting sqref="BH131">
    <cfRule type="containsText" dxfId="283" priority="5" operator="containsText" text="OK">
      <formula>NOT(ISERROR(SEARCH("OK",BH131)))</formula>
    </cfRule>
    <cfRule type="containsText" dxfId="282" priority="6" operator="containsText" text="ERROR">
      <formula>NOT(ISERROR(SEARCH("ERROR",BH131)))</formula>
    </cfRule>
    <cfRule type="expression" dxfId="281" priority="7">
      <formula>"ERROR"</formula>
    </cfRule>
    <cfRule type="colorScale" priority="8">
      <colorScale>
        <cfvo type="min"/>
        <cfvo type="max"/>
        <color rgb="FFFF0000"/>
        <color rgb="FFFFEF9C"/>
      </colorScale>
    </cfRule>
  </conditionalFormatting>
  <dataValidations count="4">
    <dataValidation type="date" allowBlank="1" showErrorMessage="1" error="Por favor ingrese un formato de Fecha valido" sqref="Q31:Q121">
      <formula1>1</formula1>
      <formula2>402133</formula2>
    </dataValidation>
    <dataValidation type="date" allowBlank="1" showErrorMessage="1" error="Por favor ingrese un formato de fecha valido" sqref="R31:R121">
      <formula1>1</formula1>
      <formula2>402133</formula2>
    </dataValidation>
    <dataValidation showDropDown="1" showErrorMessage="1" errorTitle="Tipo de Banco" error="Por favor seleccione si o no" sqref="G22:G121"/>
    <dataValidation showErrorMessage="1" errorTitle="Tipo de Banco" error="Por favor seleccione si o no" sqref="M22:M121"/>
  </dataValidations>
  <pageMargins left="0.7" right="0.7" top="0.75" bottom="0.75" header="0.3" footer="0.3"/>
  <pageSetup scale="10" orientation="portrait" r:id="rId1"/>
  <customProperties>
    <customPr name="CofConfiguration" r:id="rId2"/>
    <customPr name="CofWorksheetType" r:id="rId3"/>
    <customPr name="EpmWorksheetKeyString_GUID" r:id="rId4"/>
    <customPr name="FPMExcelClientCellBasedFunctionStatus" r:id="rId5"/>
    <customPr name="FPMExcelClientRefreshTime" r:id="rId6"/>
  </customProperties>
  <drawing r:id="rId7"/>
  <legacyDrawing r:id="rId8"/>
  <controls>
    <mc:AlternateContent xmlns:mc="http://schemas.openxmlformats.org/markup-compatibility/2006">
      <mc:Choice Requires="x14">
        <control shapeId="302086" r:id="rId9" name="ReportSubmitControl_1tb1">
          <controlPr defaultSize="0" autoLine="0" r:id="rId10">
            <anchor moveWithCells="1" sizeWithCells="1">
              <from>
                <xdr:col>0</xdr:col>
                <xdr:colOff>0</xdr:colOff>
                <xdr:row>0</xdr:row>
                <xdr:rowOff>0</xdr:rowOff>
              </from>
              <to>
                <xdr:col>0</xdr:col>
                <xdr:colOff>9525</xdr:colOff>
                <xdr:row>0</xdr:row>
                <xdr:rowOff>0</xdr:rowOff>
              </to>
            </anchor>
          </controlPr>
        </control>
      </mc:Choice>
      <mc:Fallback>
        <control shapeId="302086" r:id="rId9" name="ReportSubmitControl_1tb1"/>
      </mc:Fallback>
    </mc:AlternateContent>
    <mc:AlternateContent xmlns:mc="http://schemas.openxmlformats.org/markup-compatibility/2006">
      <mc:Choice Requires="x14">
        <control shapeId="302085" r:id="rId11" name="ReportSubmitManagerControltb1">
          <controlPr defaultSize="0" autoLine="0" r:id="rId12">
            <anchor moveWithCells="1" sizeWithCells="1">
              <from>
                <xdr:col>0</xdr:col>
                <xdr:colOff>0</xdr:colOff>
                <xdr:row>0</xdr:row>
                <xdr:rowOff>0</xdr:rowOff>
              </from>
              <to>
                <xdr:col>0</xdr:col>
                <xdr:colOff>9525</xdr:colOff>
                <xdr:row>0</xdr:row>
                <xdr:rowOff>0</xdr:rowOff>
              </to>
            </anchor>
          </controlPr>
        </control>
      </mc:Choice>
      <mc:Fallback>
        <control shapeId="302085" r:id="rId11" name="ReportSubmitManagerControltb1"/>
      </mc:Fallback>
    </mc:AlternateContent>
    <mc:AlternateContent xmlns:mc="http://schemas.openxmlformats.org/markup-compatibility/2006">
      <mc:Choice Requires="x14">
        <control shapeId="302084" r:id="rId13" name="AnalyzerDynReport000tb1">
          <controlPr defaultSize="0" autoLine="0" r:id="rId14">
            <anchor moveWithCells="1" sizeWithCells="1">
              <from>
                <xdr:col>0</xdr:col>
                <xdr:colOff>0</xdr:colOff>
                <xdr:row>0</xdr:row>
                <xdr:rowOff>0</xdr:rowOff>
              </from>
              <to>
                <xdr:col>0</xdr:col>
                <xdr:colOff>9525</xdr:colOff>
                <xdr:row>0</xdr:row>
                <xdr:rowOff>0</xdr:rowOff>
              </to>
            </anchor>
          </controlPr>
        </control>
      </mc:Choice>
      <mc:Fallback>
        <control shapeId="302084" r:id="rId13" name="AnalyzerDynReport000tb1"/>
      </mc:Fallback>
    </mc:AlternateContent>
    <mc:AlternateContent xmlns:mc="http://schemas.openxmlformats.org/markup-compatibility/2006">
      <mc:Choice Requires="x14">
        <control shapeId="302083" r:id="rId15" name="MultipleReportManagerInfotb1">
          <controlPr defaultSize="0" autoLine="0" r:id="rId16">
            <anchor moveWithCells="1" sizeWithCells="1">
              <from>
                <xdr:col>0</xdr:col>
                <xdr:colOff>0</xdr:colOff>
                <xdr:row>0</xdr:row>
                <xdr:rowOff>0</xdr:rowOff>
              </from>
              <to>
                <xdr:col>0</xdr:col>
                <xdr:colOff>9525</xdr:colOff>
                <xdr:row>0</xdr:row>
                <xdr:rowOff>0</xdr:rowOff>
              </to>
            </anchor>
          </controlPr>
        </control>
      </mc:Choice>
      <mc:Fallback>
        <control shapeId="302083" r:id="rId15" name="MultipleReportManagerInfotb1"/>
      </mc:Fallback>
    </mc:AlternateContent>
    <mc:AlternateContent xmlns:mc="http://schemas.openxmlformats.org/markup-compatibility/2006">
      <mc:Choice Requires="x14">
        <control shapeId="302082" r:id="rId17" name="ConnectionDescriptorsInfotb1">
          <controlPr defaultSize="0" autoLine="0" r:id="rId18">
            <anchor moveWithCells="1" sizeWithCells="1">
              <from>
                <xdr:col>0</xdr:col>
                <xdr:colOff>0</xdr:colOff>
                <xdr:row>0</xdr:row>
                <xdr:rowOff>0</xdr:rowOff>
              </from>
              <to>
                <xdr:col>0</xdr:col>
                <xdr:colOff>9525</xdr:colOff>
                <xdr:row>0</xdr:row>
                <xdr:rowOff>0</xdr:rowOff>
              </to>
            </anchor>
          </controlPr>
        </control>
      </mc:Choice>
      <mc:Fallback>
        <control shapeId="302082" r:id="rId17" name="ConnectionDescriptorsInfotb1"/>
      </mc:Fallback>
    </mc:AlternateContent>
    <mc:AlternateContent xmlns:mc="http://schemas.openxmlformats.org/markup-compatibility/2006">
      <mc:Choice Requires="x14">
        <control shapeId="302081" r:id="rId19" name="FPMExcelClientSheetOptionstb1">
          <controlPr defaultSize="0" autoLine="0" r:id="rId20">
            <anchor moveWithCells="1" sizeWithCells="1">
              <from>
                <xdr:col>0</xdr:col>
                <xdr:colOff>0</xdr:colOff>
                <xdr:row>0</xdr:row>
                <xdr:rowOff>0</xdr:rowOff>
              </from>
              <to>
                <xdr:col>0</xdr:col>
                <xdr:colOff>9525</xdr:colOff>
                <xdr:row>0</xdr:row>
                <xdr:rowOff>0</xdr:rowOff>
              </to>
            </anchor>
          </controlPr>
        </control>
      </mc:Choice>
      <mc:Fallback>
        <control shapeId="302081" r:id="rId19" name="FPMExcelClientSheetOptionstb1"/>
      </mc:Fallback>
    </mc:AlternateContent>
    <mc:AlternateContent xmlns:mc="http://schemas.openxmlformats.org/markup-compatibility/2006">
      <mc:Choice Requires="x14">
        <control shapeId="302087" r:id="rId21" name="ReportSubmitControl_2tb1">
          <controlPr defaultSize="0" autoLine="0" autoPict="0" r:id="rId22">
            <anchor moveWithCells="1" sizeWithCells="1">
              <from>
                <xdr:col>0</xdr:col>
                <xdr:colOff>0</xdr:colOff>
                <xdr:row>0</xdr:row>
                <xdr:rowOff>0</xdr:rowOff>
              </from>
              <to>
                <xdr:col>1</xdr:col>
                <xdr:colOff>533400</xdr:colOff>
                <xdr:row>0</xdr:row>
                <xdr:rowOff>0</xdr:rowOff>
              </to>
            </anchor>
          </controlPr>
        </control>
      </mc:Choice>
      <mc:Fallback>
        <control shapeId="302087" r:id="rId21" name="ReportSubmitControl_2tb1"/>
      </mc:Fallback>
    </mc:AlternateContent>
    <mc:AlternateContent xmlns:mc="http://schemas.openxmlformats.org/markup-compatibility/2006">
      <mc:Choice Requires="x14">
        <control shapeId="302088" r:id="rId23" name="AnalyzerDynReport001tb1">
          <controlPr defaultSize="0" autoLine="0" r:id="rId24">
            <anchor moveWithCells="1" sizeWithCells="1">
              <from>
                <xdr:col>0</xdr:col>
                <xdr:colOff>0</xdr:colOff>
                <xdr:row>0</xdr:row>
                <xdr:rowOff>0</xdr:rowOff>
              </from>
              <to>
                <xdr:col>0</xdr:col>
                <xdr:colOff>0</xdr:colOff>
                <xdr:row>0</xdr:row>
                <xdr:rowOff>9525</xdr:rowOff>
              </to>
            </anchor>
          </controlPr>
        </control>
      </mc:Choice>
      <mc:Fallback>
        <control shapeId="302088" r:id="rId23" name="AnalyzerDynReport001tb1"/>
      </mc:Fallback>
    </mc:AlternateContent>
    <mc:AlternateContent xmlns:mc="http://schemas.openxmlformats.org/markup-compatibility/2006">
      <mc:Choice Requires="x14">
        <control shapeId="302092" r:id="rId25" name="ReportSubmitControl_3tb1">
          <controlPr defaultSize="0" autoLine="0" r:id="rId26">
            <anchor moveWithCells="1" sizeWithCells="1">
              <from>
                <xdr:col>0</xdr:col>
                <xdr:colOff>0</xdr:colOff>
                <xdr:row>0</xdr:row>
                <xdr:rowOff>0</xdr:rowOff>
              </from>
              <to>
                <xdr:col>0</xdr:col>
                <xdr:colOff>0</xdr:colOff>
                <xdr:row>0</xdr:row>
                <xdr:rowOff>9525</xdr:rowOff>
              </to>
            </anchor>
          </controlPr>
        </control>
      </mc:Choice>
      <mc:Fallback>
        <control shapeId="302092" r:id="rId25" name="ReportSubmitControl_3tb1"/>
      </mc:Fallback>
    </mc:AlternateContent>
    <mc:AlternateContent xmlns:mc="http://schemas.openxmlformats.org/markup-compatibility/2006">
      <mc:Choice Requires="x14">
        <control shapeId="302093" r:id="rId27" name="AnalyzerDynReport002tb1">
          <controlPr defaultSize="0" autoLine="0" r:id="rId28">
            <anchor moveWithCells="1" sizeWithCells="1">
              <from>
                <xdr:col>0</xdr:col>
                <xdr:colOff>0</xdr:colOff>
                <xdr:row>0</xdr:row>
                <xdr:rowOff>0</xdr:rowOff>
              </from>
              <to>
                <xdr:col>0</xdr:col>
                <xdr:colOff>0</xdr:colOff>
                <xdr:row>0</xdr:row>
                <xdr:rowOff>9525</xdr:rowOff>
              </to>
            </anchor>
          </controlPr>
        </control>
      </mc:Choice>
      <mc:Fallback>
        <control shapeId="302093" r:id="rId27" name="AnalyzerDynReport002tb1"/>
      </mc:Fallback>
    </mc:AlternateContent>
    <mc:AlternateContent xmlns:mc="http://schemas.openxmlformats.org/markup-compatibility/2006">
      <mc:Choice Requires="x14">
        <control shapeId="302110" r:id="rId29" name="Button 30">
          <controlPr defaultSize="0" print="0" autoFill="0" autoPict="0" macro="[0]!CONSULTAR_INFORMACION">
            <anchor moveWithCells="1" sizeWithCells="1">
              <from>
                <xdr:col>3</xdr:col>
                <xdr:colOff>238125</xdr:colOff>
                <xdr:row>1</xdr:row>
                <xdr:rowOff>161925</xdr:rowOff>
              </from>
              <to>
                <xdr:col>5</xdr:col>
                <xdr:colOff>628650</xdr:colOff>
                <xdr:row>3</xdr:row>
                <xdr:rowOff>0</xdr:rowOff>
              </to>
            </anchor>
          </controlPr>
        </control>
      </mc:Choice>
    </mc:AlternateContent>
    <mc:AlternateContent xmlns:mc="http://schemas.openxmlformats.org/markup-compatibility/2006">
      <mc:Choice Requires="x14">
        <control shapeId="302127" r:id="rId30" name="Button 47">
          <controlPr defaultSize="0" print="0" autoFill="0" autoPict="0" macro="[0]!GUARDAR_INFORMACION">
            <anchor moveWithCells="1" sizeWithCells="1">
              <from>
                <xdr:col>5</xdr:col>
                <xdr:colOff>609600</xdr:colOff>
                <xdr:row>0</xdr:row>
                <xdr:rowOff>114300</xdr:rowOff>
              </from>
              <to>
                <xdr:col>8</xdr:col>
                <xdr:colOff>628650</xdr:colOff>
                <xdr:row>0</xdr:row>
                <xdr:rowOff>314325</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error="Por favor, elegir una fecha correcta. ">
          <x14:formula1>
            <xm:f>Resultados!$BG$6:$BG$37</xm:f>
          </x14:formula1>
          <xm:sqref>C4:C5</xm:sqref>
        </x14:dataValidation>
        <x14:dataValidation type="list" allowBlank="1" showErrorMessage="1" errorTitle="Lista de bancos" error="Por favor seleccione un banco de la lista">
          <x14:formula1>
            <xm:f>Resultados!$F$71:$F$104</xm:f>
          </x14:formula1>
          <xm:sqref>C22:C121</xm:sqref>
        </x14:dataValidation>
        <x14:dataValidation type="list" showErrorMessage="1" errorTitle="Tipo de Banco" error="Por favor seleccione si o no">
          <x14:formula1>
            <xm:f>Resultados!$A$67:$A$68</xm:f>
          </x14:formula1>
          <xm:sqref>D22:D121 F22:F121 L22:L121</xm:sqref>
        </x14:dataValidation>
        <x14:dataValidation type="list" showErrorMessage="1" error="Por favor seleccione X o vacio">
          <x14:formula1>
            <xm:f>Resultados!$B$67:$B$68</xm:f>
          </x14:formula1>
          <xm:sqref>J22:J121</xm:sqref>
        </x14:dataValidation>
        <x14:dataValidation type="list" allowBlank="1" showInputMessage="1" showErrorMessage="1" error="Por favor, Elegir una Entidad valida">
          <x14:formula1>
            <xm:f>Resultados!$BA$6:$BA$77</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1:AR202"/>
  <sheetViews>
    <sheetView showGridLines="0" topLeftCell="B17" zoomScale="80" zoomScaleNormal="80" workbookViewId="0">
      <selection activeCell="G54" sqref="G54"/>
    </sheetView>
  </sheetViews>
  <sheetFormatPr baseColWidth="10" defaultColWidth="11.42578125" defaultRowHeight="14.25"/>
  <cols>
    <col min="1" max="1" width="2.7109375" style="179" hidden="1" customWidth="1"/>
    <col min="2" max="2" width="14.28515625" style="133" customWidth="1"/>
    <col min="3" max="3" width="93.7109375" style="133" customWidth="1"/>
    <col min="4" max="5" width="14.7109375" style="133" customWidth="1"/>
    <col min="6" max="6" width="3.7109375" style="198" customWidth="1"/>
    <col min="7" max="8" width="14.7109375" style="133" customWidth="1"/>
    <col min="9" max="9" width="14.7109375" style="491" hidden="1" customWidth="1"/>
    <col min="10" max="10" width="19.7109375" style="491" hidden="1" customWidth="1"/>
    <col min="11" max="11" width="12.42578125" style="491" hidden="1" customWidth="1"/>
    <col min="12" max="12" width="20.7109375" style="491" hidden="1" customWidth="1"/>
    <col min="13" max="13" width="5.85546875" style="491" hidden="1" customWidth="1"/>
    <col min="14" max="14" width="4.7109375" style="491" hidden="1" customWidth="1"/>
    <col min="15" max="15" width="5.42578125" style="492" hidden="1" customWidth="1"/>
    <col min="16" max="16" width="8.140625" style="133" customWidth="1"/>
    <col min="17" max="39" width="18.7109375" style="133" customWidth="1"/>
    <col min="40" max="40" width="2.7109375" style="133" customWidth="1"/>
    <col min="41" max="41" width="7.42578125" style="133" bestFit="1" customWidth="1"/>
    <col min="42" max="42" width="18.7109375" style="133" customWidth="1"/>
    <col min="43" max="43" width="7" style="133" bestFit="1" customWidth="1"/>
    <col min="44" max="44" width="19.42578125" style="133" bestFit="1" customWidth="1"/>
    <col min="45" max="68" width="18.7109375" style="133" customWidth="1"/>
    <col min="69" max="16384" width="11.42578125" style="133"/>
  </cols>
  <sheetData>
    <row r="1" spans="1:44" s="167" customFormat="1" ht="101.25" customHeight="1">
      <c r="A1" s="180" t="s">
        <v>25</v>
      </c>
      <c r="B1" s="189" t="s">
        <v>652</v>
      </c>
      <c r="C1" s="133"/>
      <c r="D1" s="133"/>
      <c r="E1" s="133"/>
      <c r="F1" s="133"/>
      <c r="G1" s="133"/>
      <c r="H1" s="318"/>
      <c r="I1" s="488"/>
      <c r="J1" s="488"/>
      <c r="K1" s="488"/>
      <c r="L1" s="488"/>
      <c r="M1" s="488"/>
      <c r="N1" s="488"/>
      <c r="O1" s="488"/>
      <c r="P1" s="318"/>
      <c r="Q1" s="318"/>
      <c r="R1" s="133"/>
      <c r="S1" s="133"/>
      <c r="T1" s="133"/>
      <c r="U1" s="133"/>
      <c r="V1" s="133"/>
      <c r="W1" s="133"/>
      <c r="X1" s="133"/>
      <c r="Y1" s="133"/>
      <c r="Z1" s="133"/>
      <c r="AA1" s="133"/>
      <c r="AB1" s="133"/>
      <c r="AC1" s="133"/>
      <c r="AD1" s="133"/>
      <c r="AE1" s="133"/>
      <c r="AF1" s="133"/>
      <c r="AG1" s="133"/>
      <c r="AH1" s="133"/>
      <c r="AI1" s="133"/>
      <c r="AJ1" s="133"/>
      <c r="AK1" s="133"/>
      <c r="AL1" s="133"/>
      <c r="AM1" s="133"/>
      <c r="AN1" s="133"/>
      <c r="AO1" s="133"/>
      <c r="AP1" s="133"/>
      <c r="AQ1" s="133"/>
      <c r="AR1" s="133"/>
    </row>
    <row r="2" spans="1:44">
      <c r="A2" s="168" t="str">
        <f>IF(A10&gt;0,"Error","Ok")</f>
        <v>Error</v>
      </c>
      <c r="B2" s="169"/>
      <c r="C2" s="169"/>
      <c r="H2" s="318"/>
      <c r="I2" s="488"/>
      <c r="J2" s="488"/>
      <c r="K2" s="488"/>
      <c r="L2" s="488"/>
      <c r="M2" s="488"/>
      <c r="N2" s="488"/>
      <c r="O2" s="488"/>
      <c r="P2" s="318"/>
      <c r="Q2" s="318"/>
      <c r="X2" s="165"/>
      <c r="Y2" s="165"/>
      <c r="Z2" s="165"/>
      <c r="AA2" s="165"/>
      <c r="AB2" s="165"/>
      <c r="AC2" s="165"/>
      <c r="AD2" s="165"/>
      <c r="AE2" s="165"/>
      <c r="AF2" s="165"/>
      <c r="AG2" s="165"/>
      <c r="AH2" s="165"/>
      <c r="AI2" s="165"/>
      <c r="AJ2" s="165"/>
      <c r="AK2" s="165"/>
      <c r="AL2" s="165"/>
      <c r="AN2" s="170"/>
    </row>
    <row r="3" spans="1:44">
      <c r="A3" s="171">
        <f>IF(A2="Error",0,1)</f>
        <v>0</v>
      </c>
      <c r="B3" s="228" t="str">
        <f>tblParam[[#This Row],[FILTROS]]</f>
        <v>ENTIDAD</v>
      </c>
      <c r="C3" s="229"/>
      <c r="H3" s="318"/>
      <c r="I3" s="488"/>
      <c r="J3" s="488"/>
      <c r="K3" s="488"/>
      <c r="L3" s="488"/>
      <c r="M3" s="488"/>
      <c r="N3" s="488"/>
      <c r="O3" s="488"/>
      <c r="P3" s="318"/>
      <c r="Q3" s="318"/>
      <c r="X3" s="165"/>
      <c r="Y3" s="165"/>
      <c r="Z3" s="165"/>
      <c r="AA3" s="165"/>
      <c r="AB3" s="165"/>
      <c r="AC3" s="165"/>
      <c r="AD3" s="165"/>
      <c r="AE3" s="165"/>
      <c r="AF3" s="165"/>
      <c r="AG3" s="165"/>
      <c r="AH3" s="165"/>
      <c r="AI3" s="165"/>
      <c r="AJ3" s="165"/>
      <c r="AK3" s="165"/>
      <c r="AL3" s="165"/>
      <c r="AN3" s="170"/>
    </row>
    <row r="4" spans="1:44">
      <c r="A4" s="199"/>
      <c r="B4" s="228" t="str">
        <f>tblParam[[#This Row],[FILTROS]]</f>
        <v>PERIODO1</v>
      </c>
      <c r="C4" s="229"/>
      <c r="H4" s="318"/>
      <c r="I4" s="488"/>
      <c r="J4" s="488"/>
      <c r="K4" s="488"/>
      <c r="L4" s="488"/>
      <c r="M4" s="488"/>
      <c r="N4" s="488"/>
      <c r="O4" s="488"/>
      <c r="P4" s="318"/>
      <c r="Q4" s="318"/>
      <c r="AN4" s="170"/>
    </row>
    <row r="5" spans="1:44">
      <c r="A5" s="174"/>
      <c r="B5" s="228" t="str">
        <f>tblParam[[#This Row],[FILTROS]]</f>
        <v>PERIODO2</v>
      </c>
      <c r="C5" s="229"/>
      <c r="H5" s="318"/>
      <c r="I5" s="488"/>
      <c r="J5" s="488"/>
      <c r="K5" s="488"/>
      <c r="L5" s="488"/>
      <c r="M5" s="488"/>
      <c r="N5" s="488"/>
      <c r="O5" s="488"/>
      <c r="P5" s="318"/>
      <c r="Q5" s="318"/>
    </row>
    <row r="6" spans="1:44" hidden="1">
      <c r="A6" s="174"/>
      <c r="B6" s="228" t="str">
        <f>tblParam[[#This Row],[FILTROS]]</f>
        <v>VERSION</v>
      </c>
      <c r="C6" s="229">
        <f>tblParam[[#This Row],[VALOR]]</f>
        <v>0</v>
      </c>
      <c r="E6" s="186" t="e">
        <f ca="1">_xll.EPMMemberProperty("ANEXO_NOTAS_XBRL", C3, "CURRENCY")</f>
        <v>#NAME?</v>
      </c>
      <c r="H6" s="318"/>
      <c r="I6" s="488"/>
      <c r="J6" s="488"/>
      <c r="K6" s="488"/>
      <c r="L6" s="488"/>
      <c r="M6" s="488"/>
      <c r="N6" s="488"/>
      <c r="O6" s="489"/>
      <c r="P6" s="318"/>
      <c r="Q6" s="318"/>
    </row>
    <row r="7" spans="1:44" hidden="1">
      <c r="A7" s="174"/>
      <c r="B7" s="228" t="str">
        <f>tblParam[[#This Row],[FILTROS]]</f>
        <v>GRUPO</v>
      </c>
      <c r="C7" s="229" t="str">
        <f>Resultados!$C$13</f>
        <v>GRUPO EMPRESARIAL INVERNAC</v>
      </c>
      <c r="H7" s="318"/>
      <c r="I7" s="488"/>
      <c r="J7" s="488"/>
      <c r="K7" s="488"/>
      <c r="L7" s="488"/>
      <c r="M7" s="488"/>
      <c r="N7" s="488"/>
      <c r="O7" s="489"/>
      <c r="P7" s="318"/>
      <c r="Q7" s="318"/>
    </row>
    <row r="8" spans="1:44">
      <c r="A8" s="174"/>
      <c r="B8" s="228" t="e">
        <f>CONCATENATE("TRM A LA FECHA DE REPORTE: ",IF(INDEX(ENTIDADES[#All],MATCH($C$3,ENTIDADES[[#All],[Concatenacion]],0),3)&lt;&gt;"COP",INDEX(BPC_TASAS[#All],MATCH(INDEX(ENTIDADES[#All],MATCH($C$3,ENTIDADES[[#All],[Concatenacion]],0),3)&amp;"_"&amp;Resultados!$K$4,BPC_TASAS[[#All],[Concatenacion]],0),3),INDEX(BPC_TASAS[#All],MATCH("USD"&amp;"_"&amp;Resultados!$K$4,BPC_TASAS[[#All],[Concatenacion]],0),3)))</f>
        <v>#N/A</v>
      </c>
      <c r="C8" s="229"/>
      <c r="H8" s="318"/>
      <c r="I8" s="488"/>
      <c r="J8" s="488"/>
      <c r="K8" s="488"/>
      <c r="L8" s="488"/>
      <c r="M8" s="488"/>
      <c r="N8" s="488"/>
      <c r="O8" s="489"/>
      <c r="P8" s="318"/>
      <c r="Q8" s="318"/>
    </row>
    <row r="9" spans="1:44">
      <c r="A9" s="174"/>
      <c r="B9" s="228" t="e">
        <f>CONCATENATE("MONEDA DE PRESENTACION: ",INDEX(ENTIDADES[#All],MATCH($C$3,ENTIDADES[[#All],[Concatenacion]],0),2),IF(INDEX(ENTIDADES[#All],MATCH($C$3,ENTIDADES[[#All],[Concatenacion]],0),3) = "COP"," (Sin decimales)"," (Con decimales)"))</f>
        <v>#N/A</v>
      </c>
      <c r="C9" s="229"/>
      <c r="H9" s="318"/>
      <c r="I9" s="488"/>
      <c r="J9" s="488"/>
      <c r="K9" s="488"/>
      <c r="L9" s="488"/>
      <c r="M9" s="488"/>
      <c r="N9" s="488"/>
      <c r="O9" s="489"/>
      <c r="P9" s="318"/>
      <c r="Q9" s="318"/>
    </row>
    <row r="10" spans="1:44">
      <c r="A10" s="171">
        <f>SUM(A36:A55)</f>
        <v>20</v>
      </c>
      <c r="B10" s="30">
        <v>1</v>
      </c>
      <c r="C10" s="37" t="s">
        <v>47</v>
      </c>
      <c r="H10" s="318"/>
      <c r="I10" s="488"/>
      <c r="J10" s="488"/>
      <c r="K10" s="488"/>
      <c r="L10" s="488"/>
      <c r="M10" s="488"/>
      <c r="N10" s="488"/>
      <c r="O10" s="489"/>
      <c r="P10" s="318"/>
      <c r="Q10" s="318"/>
    </row>
    <row r="11" spans="1:44">
      <c r="H11" s="318"/>
      <c r="I11" s="488"/>
      <c r="J11" s="488"/>
      <c r="K11" s="488"/>
      <c r="L11" s="488"/>
      <c r="M11" s="488"/>
      <c r="N11" s="488"/>
      <c r="O11" s="489"/>
      <c r="P11" s="318"/>
      <c r="Q11" s="318"/>
    </row>
    <row r="12" spans="1:44">
      <c r="H12" s="318"/>
      <c r="I12" s="488"/>
      <c r="J12" s="488"/>
      <c r="K12" s="488"/>
      <c r="L12" s="488"/>
      <c r="M12" s="488"/>
      <c r="N12" s="488"/>
      <c r="O12" s="489"/>
      <c r="P12" s="333"/>
      <c r="Q12" s="333"/>
      <c r="T12" s="433"/>
      <c r="U12" s="433"/>
      <c r="V12" s="433"/>
    </row>
    <row r="13" spans="1:44" s="131" customFormat="1" ht="11.25">
      <c r="A13" s="159"/>
      <c r="B13" s="763" t="s">
        <v>48</v>
      </c>
      <c r="C13" s="764" t="s">
        <v>49</v>
      </c>
      <c r="D13" s="758" t="s">
        <v>46</v>
      </c>
      <c r="E13" s="759"/>
      <c r="F13" s="445"/>
      <c r="G13" s="445"/>
      <c r="H13" s="445"/>
      <c r="I13" s="490"/>
      <c r="J13" s="490"/>
      <c r="K13" s="490"/>
      <c r="L13" s="490"/>
      <c r="M13" s="490"/>
      <c r="N13" s="490"/>
      <c r="O13" s="490"/>
      <c r="P13" s="445"/>
      <c r="Q13" s="445"/>
      <c r="R13" s="445"/>
      <c r="S13" s="445"/>
      <c r="T13" s="445"/>
      <c r="U13" s="445"/>
      <c r="V13" s="445"/>
    </row>
    <row r="14" spans="1:44" s="131" customFormat="1" ht="11.25">
      <c r="A14" s="159"/>
      <c r="B14" s="763"/>
      <c r="C14" s="765"/>
      <c r="D14" s="201" t="s">
        <v>50</v>
      </c>
      <c r="E14" s="201" t="s">
        <v>2</v>
      </c>
      <c r="F14" s="445"/>
      <c r="G14" s="445"/>
      <c r="H14" s="445"/>
      <c r="I14" s="490"/>
      <c r="J14" s="490"/>
      <c r="K14" s="490"/>
      <c r="L14" s="490"/>
      <c r="M14" s="490"/>
      <c r="N14" s="490"/>
      <c r="O14" s="490"/>
      <c r="P14" s="445"/>
      <c r="Q14" s="445"/>
      <c r="R14" s="445"/>
      <c r="S14" s="445"/>
      <c r="T14" s="445"/>
      <c r="U14" s="445"/>
      <c r="V14" s="445"/>
    </row>
    <row r="15" spans="1:44" s="131" customFormat="1" ht="22.5">
      <c r="A15" s="159"/>
      <c r="B15" s="763"/>
      <c r="C15" s="202" t="s">
        <v>51</v>
      </c>
      <c r="D15" s="201" t="s">
        <v>52</v>
      </c>
      <c r="E15" s="201"/>
      <c r="F15" s="445"/>
      <c r="G15" s="445"/>
      <c r="H15" s="445"/>
      <c r="I15" s="490"/>
      <c r="J15" s="490"/>
      <c r="K15" s="490"/>
      <c r="L15" s="490"/>
      <c r="M15" s="490"/>
      <c r="N15" s="490"/>
      <c r="O15" s="490"/>
      <c r="P15" s="445"/>
      <c r="Q15" s="445"/>
      <c r="R15" s="445"/>
      <c r="S15" s="445"/>
      <c r="T15" s="445"/>
      <c r="U15" s="445"/>
      <c r="V15" s="445"/>
    </row>
    <row r="16" spans="1:44" s="131" customFormat="1" ht="22.5">
      <c r="A16" s="159"/>
      <c r="B16" s="763"/>
      <c r="C16" s="202" t="s">
        <v>53</v>
      </c>
      <c r="D16" s="201"/>
      <c r="E16" s="201" t="s">
        <v>52</v>
      </c>
      <c r="F16" s="445"/>
      <c r="G16" s="445"/>
      <c r="H16" s="445"/>
      <c r="I16" s="490"/>
      <c r="J16" s="490"/>
      <c r="K16" s="490"/>
      <c r="L16" s="490"/>
      <c r="M16" s="490"/>
      <c r="N16" s="490"/>
      <c r="O16" s="490"/>
      <c r="P16" s="445"/>
      <c r="Q16" s="445"/>
      <c r="R16" s="445"/>
      <c r="S16" s="445"/>
      <c r="T16" s="445"/>
      <c r="U16" s="445"/>
      <c r="V16" s="445"/>
    </row>
    <row r="17" spans="1:22" s="131" customFormat="1" ht="11.25">
      <c r="A17" s="159"/>
      <c r="F17" s="445"/>
      <c r="G17" s="445"/>
      <c r="H17" s="445"/>
      <c r="I17" s="490"/>
      <c r="J17" s="490"/>
      <c r="K17" s="490"/>
      <c r="L17" s="490"/>
      <c r="M17" s="490"/>
      <c r="N17" s="490"/>
      <c r="O17" s="490"/>
      <c r="P17" s="445"/>
      <c r="Q17" s="445"/>
      <c r="R17" s="445"/>
      <c r="S17" s="445"/>
      <c r="T17" s="445"/>
      <c r="U17" s="445"/>
      <c r="V17" s="445"/>
    </row>
    <row r="18" spans="1:22" s="131" customFormat="1" ht="11.25">
      <c r="A18" s="159"/>
      <c r="B18" s="760" t="s">
        <v>622</v>
      </c>
      <c r="C18" s="760"/>
      <c r="D18" s="760"/>
      <c r="E18" s="760"/>
      <c r="F18" s="445"/>
      <c r="G18" s="445"/>
      <c r="H18" s="445"/>
      <c r="I18" s="490"/>
      <c r="J18" s="490"/>
      <c r="K18" s="490"/>
      <c r="L18" s="490"/>
      <c r="M18" s="490"/>
      <c r="N18" s="490"/>
      <c r="O18" s="490"/>
      <c r="P18" s="445"/>
      <c r="Q18" s="445"/>
      <c r="R18" s="445"/>
      <c r="S18" s="445"/>
      <c r="T18" s="445"/>
      <c r="U18" s="445"/>
      <c r="V18" s="445"/>
    </row>
    <row r="19" spans="1:22" s="131" customFormat="1" ht="11.25">
      <c r="A19" s="159"/>
      <c r="B19" s="760"/>
      <c r="C19" s="760"/>
      <c r="D19" s="760"/>
      <c r="E19" s="760"/>
      <c r="F19" s="445"/>
      <c r="G19" s="445"/>
      <c r="H19" s="445"/>
      <c r="I19" s="490"/>
      <c r="J19" s="490"/>
      <c r="K19" s="490"/>
      <c r="L19" s="490"/>
      <c r="M19" s="490"/>
      <c r="N19" s="490"/>
      <c r="O19" s="490"/>
      <c r="P19" s="445"/>
      <c r="Q19" s="445"/>
      <c r="R19" s="445"/>
      <c r="S19" s="445"/>
      <c r="T19" s="445"/>
      <c r="U19" s="445"/>
      <c r="V19" s="445"/>
    </row>
    <row r="20" spans="1:22" s="131" customFormat="1" ht="11.25">
      <c r="A20" s="159"/>
      <c r="B20" s="760"/>
      <c r="C20" s="760"/>
      <c r="D20" s="760"/>
      <c r="E20" s="760"/>
      <c r="F20" s="445"/>
      <c r="G20" s="445"/>
      <c r="H20" s="445"/>
      <c r="I20" s="490"/>
      <c r="J20" s="490"/>
      <c r="K20" s="490"/>
      <c r="L20" s="490"/>
      <c r="M20" s="490"/>
      <c r="N20" s="490"/>
      <c r="O20" s="490"/>
      <c r="P20" s="445"/>
      <c r="Q20" s="445"/>
      <c r="R20" s="445"/>
      <c r="S20" s="445"/>
      <c r="T20" s="445"/>
      <c r="U20" s="445"/>
      <c r="V20" s="445"/>
    </row>
    <row r="21" spans="1:22" s="131" customFormat="1" ht="11.25">
      <c r="A21" s="159"/>
      <c r="B21" s="762" t="s">
        <v>54</v>
      </c>
      <c r="C21" s="762"/>
      <c r="D21" s="762"/>
      <c r="E21" s="762"/>
      <c r="F21" s="445"/>
      <c r="G21" s="445"/>
      <c r="H21" s="445"/>
      <c r="I21" s="490"/>
      <c r="J21" s="490"/>
      <c r="K21" s="490"/>
      <c r="L21" s="490"/>
      <c r="M21" s="490"/>
      <c r="N21" s="490"/>
      <c r="O21" s="490"/>
      <c r="P21" s="445"/>
      <c r="Q21" s="445"/>
      <c r="R21" s="445"/>
      <c r="S21" s="445"/>
      <c r="T21" s="445"/>
      <c r="U21" s="445"/>
      <c r="V21" s="445"/>
    </row>
    <row r="22" spans="1:22" s="131" customFormat="1" ht="11.25">
      <c r="A22" s="159"/>
      <c r="B22" s="762"/>
      <c r="C22" s="762"/>
      <c r="D22" s="762"/>
      <c r="E22" s="762"/>
      <c r="F22" s="445"/>
      <c r="G22" s="445"/>
      <c r="H22" s="445"/>
      <c r="I22" s="490"/>
      <c r="J22" s="490"/>
      <c r="K22" s="490"/>
      <c r="L22" s="490"/>
      <c r="M22" s="490"/>
      <c r="N22" s="490"/>
      <c r="O22" s="490"/>
      <c r="P22" s="445"/>
      <c r="Q22" s="445"/>
      <c r="R22" s="445"/>
      <c r="S22" s="445"/>
      <c r="T22" s="445"/>
      <c r="U22" s="445"/>
      <c r="V22" s="445"/>
    </row>
    <row r="23" spans="1:22" s="131" customFormat="1" ht="11.25">
      <c r="A23" s="159"/>
      <c r="B23" s="762"/>
      <c r="C23" s="762"/>
      <c r="D23" s="762"/>
      <c r="E23" s="762"/>
      <c r="F23" s="445"/>
      <c r="G23" s="445"/>
      <c r="H23" s="445"/>
      <c r="I23" s="490"/>
      <c r="J23" s="490"/>
      <c r="K23" s="490"/>
      <c r="L23" s="490"/>
      <c r="M23" s="490"/>
      <c r="N23" s="490"/>
      <c r="O23" s="490"/>
      <c r="P23" s="445"/>
      <c r="Q23" s="445"/>
      <c r="R23" s="445"/>
      <c r="S23" s="445"/>
      <c r="T23" s="445"/>
      <c r="U23" s="445"/>
      <c r="V23" s="445"/>
    </row>
    <row r="24" spans="1:22" s="131" customFormat="1" ht="11.25">
      <c r="A24" s="159"/>
      <c r="B24" s="762"/>
      <c r="C24" s="762"/>
      <c r="D24" s="762"/>
      <c r="E24" s="762"/>
      <c r="F24" s="445"/>
      <c r="G24" s="445"/>
      <c r="H24" s="445"/>
      <c r="I24" s="490"/>
      <c r="J24" s="490"/>
      <c r="K24" s="490"/>
      <c r="L24" s="490"/>
      <c r="M24" s="490"/>
      <c r="N24" s="490"/>
      <c r="O24" s="490"/>
      <c r="P24" s="445"/>
      <c r="Q24" s="445"/>
      <c r="R24" s="445"/>
      <c r="S24" s="445"/>
      <c r="T24" s="445"/>
      <c r="U24" s="445"/>
      <c r="V24" s="445"/>
    </row>
    <row r="25" spans="1:22" s="131" customFormat="1" ht="11.25">
      <c r="A25" s="159"/>
      <c r="B25" s="762"/>
      <c r="C25" s="762"/>
      <c r="D25" s="762"/>
      <c r="E25" s="762"/>
      <c r="F25" s="445"/>
      <c r="G25" s="445"/>
      <c r="H25" s="445"/>
      <c r="I25" s="490"/>
      <c r="J25" s="490"/>
      <c r="K25" s="490"/>
      <c r="L25" s="490"/>
      <c r="M25" s="490"/>
      <c r="N25" s="490"/>
      <c r="O25" s="490"/>
      <c r="P25" s="445"/>
      <c r="Q25" s="445"/>
      <c r="R25" s="445"/>
      <c r="S25" s="445"/>
      <c r="T25" s="445"/>
      <c r="U25" s="445"/>
      <c r="V25" s="445"/>
    </row>
    <row r="26" spans="1:22" s="131" customFormat="1" ht="11.25">
      <c r="A26" s="159"/>
      <c r="B26" s="761" t="s">
        <v>55</v>
      </c>
      <c r="C26" s="761"/>
      <c r="D26" s="761"/>
      <c r="E26" s="761"/>
      <c r="F26" s="445"/>
      <c r="G26" s="445"/>
      <c r="H26" s="445"/>
      <c r="I26" s="490"/>
      <c r="J26" s="490"/>
      <c r="K26" s="490"/>
      <c r="L26" s="490"/>
      <c r="M26" s="490"/>
      <c r="N26" s="490"/>
      <c r="O26" s="490"/>
      <c r="P26" s="445"/>
      <c r="Q26" s="445"/>
      <c r="R26" s="445"/>
      <c r="S26" s="445"/>
      <c r="T26" s="445"/>
      <c r="U26" s="445"/>
      <c r="V26" s="445"/>
    </row>
    <row r="27" spans="1:22" s="131" customFormat="1" ht="11.25">
      <c r="A27" s="159"/>
      <c r="B27" s="761"/>
      <c r="C27" s="761"/>
      <c r="D27" s="761"/>
      <c r="E27" s="761"/>
      <c r="F27" s="445"/>
      <c r="G27" s="445"/>
      <c r="H27" s="445"/>
      <c r="I27" s="490"/>
      <c r="J27" s="490"/>
      <c r="K27" s="490"/>
      <c r="L27" s="490"/>
      <c r="M27" s="490"/>
      <c r="N27" s="490"/>
      <c r="O27" s="490"/>
      <c r="P27" s="445"/>
      <c r="Q27" s="445"/>
      <c r="R27" s="445"/>
      <c r="S27" s="445"/>
      <c r="T27" s="445"/>
      <c r="U27" s="445"/>
      <c r="V27" s="445"/>
    </row>
    <row r="28" spans="1:22" s="131" customFormat="1" ht="11.25">
      <c r="A28" s="159"/>
      <c r="B28" s="761"/>
      <c r="C28" s="761"/>
      <c r="D28" s="761"/>
      <c r="E28" s="761"/>
      <c r="F28" s="445"/>
      <c r="G28" s="445"/>
      <c r="H28" s="445"/>
      <c r="I28" s="490"/>
      <c r="J28" s="490"/>
      <c r="K28" s="490"/>
      <c r="L28" s="490"/>
      <c r="M28" s="490"/>
      <c r="N28" s="490"/>
      <c r="O28" s="490"/>
      <c r="P28" s="445"/>
      <c r="Q28" s="445"/>
      <c r="R28" s="445"/>
      <c r="S28" s="445"/>
      <c r="T28" s="445"/>
      <c r="U28" s="445"/>
      <c r="V28" s="445"/>
    </row>
    <row r="29" spans="1:22" s="131" customFormat="1" ht="11.25">
      <c r="A29" s="159"/>
      <c r="B29" s="761" t="s">
        <v>56</v>
      </c>
      <c r="C29" s="761"/>
      <c r="D29" s="761"/>
      <c r="E29" s="761"/>
      <c r="F29" s="445"/>
      <c r="G29" s="445"/>
      <c r="H29" s="445"/>
      <c r="I29" s="490"/>
      <c r="J29" s="490"/>
      <c r="K29" s="490"/>
      <c r="L29" s="490"/>
      <c r="M29" s="490"/>
      <c r="N29" s="490"/>
      <c r="O29" s="490"/>
      <c r="P29" s="445"/>
      <c r="Q29" s="445"/>
      <c r="R29" s="445"/>
      <c r="S29" s="445"/>
      <c r="T29" s="445"/>
      <c r="U29" s="445"/>
      <c r="V29" s="445"/>
    </row>
    <row r="30" spans="1:22" s="131" customFormat="1" ht="11.25">
      <c r="A30" s="159"/>
      <c r="B30" s="761"/>
      <c r="C30" s="761"/>
      <c r="D30" s="761"/>
      <c r="E30" s="761"/>
      <c r="F30" s="445"/>
      <c r="G30" s="445"/>
      <c r="H30" s="445"/>
      <c r="I30" s="490"/>
      <c r="J30" s="490"/>
      <c r="K30" s="490"/>
      <c r="L30" s="490"/>
      <c r="M30" s="490"/>
      <c r="N30" s="490"/>
      <c r="O30" s="490"/>
      <c r="P30" s="445"/>
      <c r="Q30" s="445"/>
      <c r="R30" s="445"/>
      <c r="S30" s="445"/>
      <c r="T30" s="445"/>
      <c r="U30" s="445"/>
      <c r="V30" s="445"/>
    </row>
    <row r="31" spans="1:22">
      <c r="F31" s="433"/>
      <c r="G31" s="433"/>
      <c r="H31" s="433"/>
      <c r="I31" s="442"/>
      <c r="J31" s="442"/>
      <c r="K31" s="442"/>
      <c r="L31" s="442"/>
      <c r="M31" s="442"/>
      <c r="N31" s="442"/>
      <c r="O31" s="442"/>
      <c r="P31" s="433"/>
      <c r="Q31" s="433"/>
      <c r="R31" s="433"/>
      <c r="S31" s="433"/>
      <c r="T31" s="433"/>
      <c r="U31" s="433"/>
      <c r="V31" s="433"/>
    </row>
    <row r="32" spans="1:22">
      <c r="B32" s="173"/>
      <c r="C32" s="173" t="s">
        <v>221</v>
      </c>
      <c r="D32" s="173" t="s">
        <v>222</v>
      </c>
      <c r="E32" s="173" t="s">
        <v>223</v>
      </c>
      <c r="F32" s="433"/>
      <c r="G32" s="433"/>
      <c r="H32" s="433"/>
      <c r="I32" s="442"/>
      <c r="J32" s="442"/>
      <c r="K32" s="442"/>
      <c r="L32" s="442"/>
      <c r="M32" s="442"/>
      <c r="N32" s="442"/>
      <c r="O32" s="442"/>
      <c r="P32" s="433"/>
      <c r="Q32" s="433"/>
      <c r="R32" s="433"/>
      <c r="S32" s="433"/>
      <c r="T32" s="433"/>
      <c r="U32" s="433"/>
      <c r="V32" s="433"/>
    </row>
    <row r="33" spans="1:22" ht="27.75" customHeight="1" thickBot="1">
      <c r="C33" s="769" t="s">
        <v>648</v>
      </c>
      <c r="D33" s="769"/>
      <c r="E33" s="769"/>
      <c r="F33" s="433"/>
      <c r="G33" s="433"/>
      <c r="H33" s="433"/>
      <c r="I33" s="442"/>
      <c r="J33" s="442"/>
      <c r="K33" s="442"/>
      <c r="L33" s="442"/>
      <c r="M33" s="442"/>
      <c r="N33" s="442"/>
      <c r="O33" s="442"/>
      <c r="P33" s="433"/>
      <c r="Q33" s="433"/>
      <c r="R33" s="433"/>
      <c r="S33" s="433"/>
      <c r="T33" s="433"/>
      <c r="U33" s="433"/>
      <c r="V33" s="433"/>
    </row>
    <row r="34" spans="1:22" ht="29.25" customHeight="1" thickBot="1">
      <c r="B34" s="766" t="s">
        <v>633</v>
      </c>
      <c r="C34" s="767" t="s">
        <v>49</v>
      </c>
      <c r="D34" s="768" t="s">
        <v>46</v>
      </c>
      <c r="E34" s="768"/>
      <c r="F34" s="433"/>
      <c r="G34" s="433"/>
      <c r="H34" s="433"/>
      <c r="I34" s="442"/>
      <c r="J34" s="442"/>
      <c r="K34" s="442"/>
      <c r="L34" s="442"/>
      <c r="M34" s="442"/>
      <c r="N34" s="442"/>
      <c r="O34" s="442"/>
      <c r="P34" s="433"/>
      <c r="Q34" s="433"/>
      <c r="R34" s="433"/>
      <c r="S34" s="433"/>
      <c r="T34" s="433"/>
      <c r="U34" s="433"/>
      <c r="V34" s="433"/>
    </row>
    <row r="35" spans="1:22" ht="15" thickBot="1">
      <c r="B35" s="766"/>
      <c r="C35" s="767"/>
      <c r="D35" s="162" t="s">
        <v>50</v>
      </c>
      <c r="E35" s="161" t="s">
        <v>2</v>
      </c>
      <c r="H35" s="318"/>
      <c r="I35" s="488" t="s">
        <v>157</v>
      </c>
      <c r="J35" s="488"/>
      <c r="K35" s="488"/>
      <c r="L35" s="488"/>
      <c r="M35" s="488"/>
      <c r="N35" s="488"/>
      <c r="O35" s="489"/>
      <c r="P35" s="318"/>
      <c r="Q35" s="318"/>
      <c r="T35" s="433"/>
      <c r="U35" s="433"/>
      <c r="V35" s="433"/>
    </row>
    <row r="36" spans="1:22">
      <c r="A36" s="168">
        <f>IF(G36="Ok",0,1)</f>
        <v>1</v>
      </c>
      <c r="B36" s="583">
        <v>11010001</v>
      </c>
      <c r="C36" s="384"/>
      <c r="D36" s="183"/>
      <c r="E36" s="183"/>
      <c r="G36" s="19" t="str">
        <f>IF(AND(C36="N/A",OR(D36="",E36="")),"Ok",  IF(LEN(C36)&lt;3,"Error",IF(AND(C36="N/A",OR(D36="X",E36="X")),"Error",IF(OR(AND(D36="",E36=""),AND(D36="X",E36="X")),"Error","Ok"))))</f>
        <v>Error</v>
      </c>
      <c r="H36" s="334"/>
      <c r="I36" s="488">
        <f>IF(C36="",0,1)</f>
        <v>0</v>
      </c>
      <c r="J36" s="416" t="e">
        <f ca="1">_xll.EPMSaveData(I36,,B36,$D$32)</f>
        <v>#NAME?</v>
      </c>
      <c r="K36" s="416" t="e">
        <f ca="1">_xll.EPMSaveComment(C36, "ANEXO_NOTAS_XBRL",B36,$C$32)</f>
        <v>#NAME?</v>
      </c>
      <c r="L36" s="416" t="e">
        <f ca="1">_xll.EPMSaveComment(D36, "ANEXO_NOTAS_XBRL",B36,$D$32)</f>
        <v>#NAME?</v>
      </c>
      <c r="M36" s="416" t="e">
        <f ca="1">_xll.EPMSaveComment(E36, "ANEXO_NOTAS_XBRL",B36,$E$32)</f>
        <v>#NAME?</v>
      </c>
      <c r="N36" s="488">
        <f>IF(OR(C36="",C36="N/A"),0,1)</f>
        <v>0</v>
      </c>
      <c r="O36" s="416" t="e">
        <f ca="1">_xll.EPMSaveData(N36,,$B36,$E$32)</f>
        <v>#NAME?</v>
      </c>
      <c r="P36" s="245"/>
      <c r="Q36" s="245"/>
      <c r="T36" s="433"/>
      <c r="U36" s="433"/>
      <c r="V36" s="433"/>
    </row>
    <row r="37" spans="1:22">
      <c r="A37" s="168">
        <f t="shared" ref="A37:A55" si="0">IF(G37="Ok",0,1)</f>
        <v>1</v>
      </c>
      <c r="B37" s="583" t="s">
        <v>202</v>
      </c>
      <c r="C37" s="384"/>
      <c r="D37" s="183"/>
      <c r="E37" s="183"/>
      <c r="G37" s="19" t="str">
        <f t="shared" ref="G37:G55" si="1">IF(AND(C37="N/A",OR(D37="",E37="")),"Ok",  IF(LEN(C37)&lt;3,"Error",IF(AND(C37="N/A",OR(D37="X",E37="X")),"Error",IF(OR(AND(D37="",E37=""),AND(D37="X",E37="X")),"Error","Ok"))))</f>
        <v>Error</v>
      </c>
      <c r="H37" s="334"/>
      <c r="I37" s="488">
        <f>IF(OR(C37="",C37="N/A"),0,1)</f>
        <v>0</v>
      </c>
      <c r="J37" s="416" t="e">
        <f ca="1">_xll.EPMSaveData(I37,,B37,$D$32)</f>
        <v>#NAME?</v>
      </c>
      <c r="K37" s="416" t="e">
        <f ca="1">_xll.EPMSaveComment(C37, "ANEXO_NOTAS_XBRL",B37,$C$32)</f>
        <v>#NAME?</v>
      </c>
      <c r="L37" s="416" t="e">
        <f ca="1">_xll.EPMSaveComment(D37, "ANEXO_NOTAS_XBRL",B37,$D$32)</f>
        <v>#NAME?</v>
      </c>
      <c r="M37" s="416" t="e">
        <f ca="1">_xll.EPMSaveComment(E37, "ANEXO_NOTAS_XBRL",B37,$E$32)</f>
        <v>#NAME?</v>
      </c>
      <c r="N37" s="488">
        <f t="shared" ref="N37:N55" si="2">IF(OR(C37="",C37="N/A"),0,1)</f>
        <v>0</v>
      </c>
      <c r="O37" s="416" t="e">
        <f ca="1">_xll.EPMSaveData(N37,,$B37,$E$32)</f>
        <v>#NAME?</v>
      </c>
      <c r="P37" s="245"/>
      <c r="Q37" s="245"/>
      <c r="T37" s="433"/>
      <c r="U37" s="433"/>
      <c r="V37" s="433"/>
    </row>
    <row r="38" spans="1:22">
      <c r="A38" s="168">
        <f t="shared" si="0"/>
        <v>1</v>
      </c>
      <c r="B38" s="583" t="s">
        <v>203</v>
      </c>
      <c r="C38" s="384"/>
      <c r="D38" s="183"/>
      <c r="E38" s="183"/>
      <c r="G38" s="19" t="str">
        <f t="shared" si="1"/>
        <v>Error</v>
      </c>
      <c r="H38" s="334"/>
      <c r="I38" s="488">
        <f t="shared" ref="I38:I55" si="3">IF(OR(C38="",C38="N/A"),0,1)</f>
        <v>0</v>
      </c>
      <c r="J38" s="416" t="e">
        <f ca="1">_xll.EPMSaveData(I38,,B38,$D$32)</f>
        <v>#NAME?</v>
      </c>
      <c r="K38" s="416" t="e">
        <f ca="1">_xll.EPMSaveComment(C38, "ANEXO_NOTAS_XBRL",B38,$C$32)</f>
        <v>#NAME?</v>
      </c>
      <c r="L38" s="416" t="e">
        <f ca="1">_xll.EPMSaveComment(D38, "ANEXO_NOTAS_XBRL",B38,$D$32)</f>
        <v>#NAME?</v>
      </c>
      <c r="M38" s="416" t="e">
        <f ca="1">_xll.EPMSaveComment(E38, "ANEXO_NOTAS_XBRL",B38,$E$32)</f>
        <v>#NAME?</v>
      </c>
      <c r="N38" s="488">
        <f t="shared" si="2"/>
        <v>0</v>
      </c>
      <c r="O38" s="416" t="e">
        <f ca="1">_xll.EPMSaveData(N38,,$B38,$E$32)</f>
        <v>#NAME?</v>
      </c>
      <c r="P38" s="245"/>
      <c r="Q38" s="245"/>
      <c r="T38" s="433"/>
      <c r="U38" s="433"/>
      <c r="V38" s="433"/>
    </row>
    <row r="39" spans="1:22">
      <c r="A39" s="168">
        <f t="shared" si="0"/>
        <v>1</v>
      </c>
      <c r="B39" s="583" t="s">
        <v>204</v>
      </c>
      <c r="C39" s="384"/>
      <c r="D39" s="183"/>
      <c r="E39" s="183"/>
      <c r="G39" s="19" t="str">
        <f t="shared" si="1"/>
        <v>Error</v>
      </c>
      <c r="H39" s="334"/>
      <c r="I39" s="488">
        <f t="shared" si="3"/>
        <v>0</v>
      </c>
      <c r="J39" s="416" t="e">
        <f ca="1">_xll.EPMSaveData(I39,,B39,$D$32)</f>
        <v>#NAME?</v>
      </c>
      <c r="K39" s="416" t="e">
        <f ca="1">_xll.EPMSaveComment(C39, "ANEXO_NOTAS_XBRL",B39,$C$32)</f>
        <v>#NAME?</v>
      </c>
      <c r="L39" s="416" t="e">
        <f ca="1">_xll.EPMSaveComment(D39, "ANEXO_NOTAS_XBRL",B39,$D$32)</f>
        <v>#NAME?</v>
      </c>
      <c r="M39" s="416" t="e">
        <f ca="1">_xll.EPMSaveComment(E39, "ANEXO_NOTAS_XBRL",B39,$E$32)</f>
        <v>#NAME?</v>
      </c>
      <c r="N39" s="488">
        <f t="shared" si="2"/>
        <v>0</v>
      </c>
      <c r="O39" s="416" t="e">
        <f ca="1">_xll.EPMSaveData(N39,,$B39,$E$32)</f>
        <v>#NAME?</v>
      </c>
      <c r="P39" s="245"/>
      <c r="Q39" s="245"/>
      <c r="T39" s="433"/>
      <c r="U39" s="433"/>
      <c r="V39" s="433"/>
    </row>
    <row r="40" spans="1:22">
      <c r="A40" s="168">
        <f t="shared" si="0"/>
        <v>1</v>
      </c>
      <c r="B40" s="583" t="s">
        <v>205</v>
      </c>
      <c r="C40" s="384"/>
      <c r="D40" s="183"/>
      <c r="E40" s="183"/>
      <c r="G40" s="19" t="str">
        <f t="shared" si="1"/>
        <v>Error</v>
      </c>
      <c r="H40" s="334"/>
      <c r="I40" s="488">
        <f t="shared" si="3"/>
        <v>0</v>
      </c>
      <c r="J40" s="416" t="e">
        <f ca="1">_xll.EPMSaveData(I40,,B40,$D$32)</f>
        <v>#NAME?</v>
      </c>
      <c r="K40" s="416" t="e">
        <f ca="1">_xll.EPMSaveComment(C40, "ANEXO_NOTAS_XBRL",B40,$C$32)</f>
        <v>#NAME?</v>
      </c>
      <c r="L40" s="416" t="e">
        <f ca="1">_xll.EPMSaveComment(D40, "ANEXO_NOTAS_XBRL",B40,$D$32)</f>
        <v>#NAME?</v>
      </c>
      <c r="M40" s="416" t="e">
        <f ca="1">_xll.EPMSaveComment(E40, "ANEXO_NOTAS_XBRL",B40,$E$32)</f>
        <v>#NAME?</v>
      </c>
      <c r="N40" s="488">
        <f t="shared" si="2"/>
        <v>0</v>
      </c>
      <c r="O40" s="416" t="e">
        <f ca="1">_xll.EPMSaveData(N40,,$B40,$E$32)</f>
        <v>#NAME?</v>
      </c>
      <c r="P40" s="245"/>
      <c r="Q40" s="245"/>
      <c r="T40" s="433"/>
      <c r="U40" s="433"/>
      <c r="V40" s="433"/>
    </row>
    <row r="41" spans="1:22">
      <c r="A41" s="168">
        <f t="shared" si="0"/>
        <v>1</v>
      </c>
      <c r="B41" s="583" t="s">
        <v>206</v>
      </c>
      <c r="C41" s="384"/>
      <c r="D41" s="183"/>
      <c r="E41" s="183"/>
      <c r="G41" s="19" t="str">
        <f t="shared" si="1"/>
        <v>Error</v>
      </c>
      <c r="H41" s="334"/>
      <c r="I41" s="488">
        <f t="shared" si="3"/>
        <v>0</v>
      </c>
      <c r="J41" s="416" t="e">
        <f ca="1">_xll.EPMSaveData(I41,,B41,$D$32)</f>
        <v>#NAME?</v>
      </c>
      <c r="K41" s="416" t="e">
        <f ca="1">_xll.EPMSaveComment(C41, "ANEXO_NOTAS_XBRL",B41,$C$32)</f>
        <v>#NAME?</v>
      </c>
      <c r="L41" s="416" t="e">
        <f ca="1">_xll.EPMSaveComment(D41, "ANEXO_NOTAS_XBRL",B41,$D$32)</f>
        <v>#NAME?</v>
      </c>
      <c r="M41" s="416" t="e">
        <f ca="1">_xll.EPMSaveComment(E41, "ANEXO_NOTAS_XBRL",B41,$E$32)</f>
        <v>#NAME?</v>
      </c>
      <c r="N41" s="488">
        <f t="shared" si="2"/>
        <v>0</v>
      </c>
      <c r="O41" s="416" t="e">
        <f ca="1">_xll.EPMSaveData(N41,,$B41,$E$32)</f>
        <v>#NAME?</v>
      </c>
      <c r="P41" s="245"/>
      <c r="Q41" s="245"/>
      <c r="T41" s="433"/>
      <c r="U41" s="433"/>
      <c r="V41" s="433"/>
    </row>
    <row r="42" spans="1:22">
      <c r="A42" s="168">
        <f t="shared" si="0"/>
        <v>1</v>
      </c>
      <c r="B42" s="583" t="s">
        <v>207</v>
      </c>
      <c r="C42" s="384"/>
      <c r="D42" s="183"/>
      <c r="E42" s="183"/>
      <c r="G42" s="19" t="str">
        <f t="shared" si="1"/>
        <v>Error</v>
      </c>
      <c r="H42" s="334"/>
      <c r="I42" s="488">
        <f t="shared" si="3"/>
        <v>0</v>
      </c>
      <c r="J42" s="416" t="e">
        <f ca="1">_xll.EPMSaveData(I42,,B42,$D$32)</f>
        <v>#NAME?</v>
      </c>
      <c r="K42" s="416" t="e">
        <f ca="1">_xll.EPMSaveComment(C42, "ANEXO_NOTAS_XBRL",B42,$C$32)</f>
        <v>#NAME?</v>
      </c>
      <c r="L42" s="416" t="e">
        <f ca="1">_xll.EPMSaveComment(D42, "ANEXO_NOTAS_XBRL",B42,$D$32)</f>
        <v>#NAME?</v>
      </c>
      <c r="M42" s="416" t="e">
        <f ca="1">_xll.EPMSaveComment(E42, "ANEXO_NOTAS_XBRL",B42,$E$32)</f>
        <v>#NAME?</v>
      </c>
      <c r="N42" s="488">
        <f t="shared" si="2"/>
        <v>0</v>
      </c>
      <c r="O42" s="416" t="e">
        <f ca="1">_xll.EPMSaveData(N42,,$B42,$E$32)</f>
        <v>#NAME?</v>
      </c>
      <c r="P42" s="245"/>
      <c r="Q42" s="245"/>
      <c r="T42" s="433"/>
      <c r="U42" s="433"/>
      <c r="V42" s="433"/>
    </row>
    <row r="43" spans="1:22">
      <c r="A43" s="168">
        <f t="shared" si="0"/>
        <v>1</v>
      </c>
      <c r="B43" s="583" t="s">
        <v>208</v>
      </c>
      <c r="C43" s="384"/>
      <c r="D43" s="183"/>
      <c r="E43" s="183"/>
      <c r="G43" s="19" t="str">
        <f t="shared" si="1"/>
        <v>Error</v>
      </c>
      <c r="H43" s="334"/>
      <c r="I43" s="488">
        <f t="shared" si="3"/>
        <v>0</v>
      </c>
      <c r="J43" s="416" t="e">
        <f ca="1">_xll.EPMSaveData(I43,,B43,$D$32)</f>
        <v>#NAME?</v>
      </c>
      <c r="K43" s="416" t="e">
        <f ca="1">_xll.EPMSaveComment(C43, "ANEXO_NOTAS_XBRL",B43,$C$32)</f>
        <v>#NAME?</v>
      </c>
      <c r="L43" s="416" t="e">
        <f ca="1">_xll.EPMSaveComment(D43, "ANEXO_NOTAS_XBRL",B43,$D$32)</f>
        <v>#NAME?</v>
      </c>
      <c r="M43" s="416" t="e">
        <f ca="1">_xll.EPMSaveComment(E43, "ANEXO_NOTAS_XBRL",B43,$E$32)</f>
        <v>#NAME?</v>
      </c>
      <c r="N43" s="488">
        <f t="shared" si="2"/>
        <v>0</v>
      </c>
      <c r="O43" s="416" t="e">
        <f ca="1">_xll.EPMSaveData(N43,,$B43,$E$32)</f>
        <v>#NAME?</v>
      </c>
      <c r="P43" s="245"/>
      <c r="Q43" s="245"/>
      <c r="T43" s="433"/>
      <c r="U43" s="433"/>
      <c r="V43" s="433"/>
    </row>
    <row r="44" spans="1:22">
      <c r="A44" s="168">
        <f t="shared" si="0"/>
        <v>1</v>
      </c>
      <c r="B44" s="583" t="s">
        <v>209</v>
      </c>
      <c r="C44" s="384"/>
      <c r="D44" s="183"/>
      <c r="E44" s="183"/>
      <c r="G44" s="19" t="str">
        <f t="shared" si="1"/>
        <v>Error</v>
      </c>
      <c r="H44" s="334"/>
      <c r="I44" s="488">
        <f t="shared" si="3"/>
        <v>0</v>
      </c>
      <c r="J44" s="416" t="e">
        <f ca="1">_xll.EPMSaveData(I44,,B44,$D$32)</f>
        <v>#NAME?</v>
      </c>
      <c r="K44" s="416" t="e">
        <f ca="1">_xll.EPMSaveComment(C44, "ANEXO_NOTAS_XBRL",B44,$C$32)</f>
        <v>#NAME?</v>
      </c>
      <c r="L44" s="416" t="e">
        <f ca="1">_xll.EPMSaveComment(D44, "ANEXO_NOTAS_XBRL",B44,$D$32)</f>
        <v>#NAME?</v>
      </c>
      <c r="M44" s="416" t="e">
        <f ca="1">_xll.EPMSaveComment(E44, "ANEXO_NOTAS_XBRL",B44,$E$32)</f>
        <v>#NAME?</v>
      </c>
      <c r="N44" s="488">
        <f t="shared" si="2"/>
        <v>0</v>
      </c>
      <c r="O44" s="416" t="e">
        <f ca="1">_xll.EPMSaveData(N44,,$B44,$E$32)</f>
        <v>#NAME?</v>
      </c>
      <c r="P44" s="245"/>
      <c r="Q44" s="245"/>
      <c r="T44" s="433"/>
      <c r="U44" s="433"/>
      <c r="V44" s="433"/>
    </row>
    <row r="45" spans="1:22">
      <c r="A45" s="168">
        <f t="shared" si="0"/>
        <v>1</v>
      </c>
      <c r="B45" s="583" t="s">
        <v>210</v>
      </c>
      <c r="C45" s="384"/>
      <c r="D45" s="183"/>
      <c r="E45" s="183"/>
      <c r="G45" s="19" t="str">
        <f t="shared" si="1"/>
        <v>Error</v>
      </c>
      <c r="H45" s="334"/>
      <c r="I45" s="488">
        <f t="shared" si="3"/>
        <v>0</v>
      </c>
      <c r="J45" s="416" t="e">
        <f ca="1">_xll.EPMSaveData(I45,,B45,$D$32)</f>
        <v>#NAME?</v>
      </c>
      <c r="K45" s="416" t="e">
        <f ca="1">_xll.EPMSaveComment(C45, "ANEXO_NOTAS_XBRL",B45,$C$32)</f>
        <v>#NAME?</v>
      </c>
      <c r="L45" s="416" t="e">
        <f ca="1">_xll.EPMSaveComment(D45, "ANEXO_NOTAS_XBRL",B45,$D$32)</f>
        <v>#NAME?</v>
      </c>
      <c r="M45" s="416" t="e">
        <f ca="1">_xll.EPMSaveComment(E45, "ANEXO_NOTAS_XBRL",B45,$E$32)</f>
        <v>#NAME?</v>
      </c>
      <c r="N45" s="488">
        <f t="shared" si="2"/>
        <v>0</v>
      </c>
      <c r="O45" s="416" t="e">
        <f ca="1">_xll.EPMSaveData(N45,,$B45,$E$32)</f>
        <v>#NAME?</v>
      </c>
      <c r="P45" s="245"/>
      <c r="Q45" s="245"/>
      <c r="T45" s="433"/>
      <c r="U45" s="433"/>
      <c r="V45" s="433"/>
    </row>
    <row r="46" spans="1:22" s="160" customFormat="1">
      <c r="A46" s="168">
        <f t="shared" si="0"/>
        <v>1</v>
      </c>
      <c r="B46" s="583" t="s">
        <v>211</v>
      </c>
      <c r="C46" s="384"/>
      <c r="D46" s="183"/>
      <c r="E46" s="183"/>
      <c r="F46" s="198"/>
      <c r="G46" s="19" t="str">
        <f t="shared" si="1"/>
        <v>Error</v>
      </c>
      <c r="H46" s="334"/>
      <c r="I46" s="488">
        <f t="shared" si="3"/>
        <v>0</v>
      </c>
      <c r="J46" s="416" t="e">
        <f ca="1">_xll.EPMSaveData(I46,,B46,$D$32)</f>
        <v>#NAME?</v>
      </c>
      <c r="K46" s="416" t="e">
        <f ca="1">_xll.EPMSaveComment(C46, "ANEXO_NOTAS_XBRL",B46,$C$32)</f>
        <v>#NAME?</v>
      </c>
      <c r="L46" s="416" t="e">
        <f ca="1">_xll.EPMSaveComment(D46, "ANEXO_NOTAS_XBRL",B46,$D$32)</f>
        <v>#NAME?</v>
      </c>
      <c r="M46" s="416" t="e">
        <f ca="1">_xll.EPMSaveComment(E46, "ANEXO_NOTAS_XBRL",B46,$E$32)</f>
        <v>#NAME?</v>
      </c>
      <c r="N46" s="488">
        <f t="shared" si="2"/>
        <v>0</v>
      </c>
      <c r="O46" s="416" t="e">
        <f ca="1">_xll.EPMSaveData(N46,,$B46,$E$32)</f>
        <v>#NAME?</v>
      </c>
      <c r="P46" s="245"/>
      <c r="Q46" s="245"/>
      <c r="T46" s="433"/>
      <c r="U46" s="433"/>
      <c r="V46" s="433"/>
    </row>
    <row r="47" spans="1:22" s="160" customFormat="1">
      <c r="A47" s="168">
        <f t="shared" si="0"/>
        <v>1</v>
      </c>
      <c r="B47" s="583" t="s">
        <v>212</v>
      </c>
      <c r="C47" s="384"/>
      <c r="D47" s="183"/>
      <c r="E47" s="183"/>
      <c r="F47" s="198"/>
      <c r="G47" s="19" t="str">
        <f t="shared" si="1"/>
        <v>Error</v>
      </c>
      <c r="H47" s="334"/>
      <c r="I47" s="488">
        <f t="shared" si="3"/>
        <v>0</v>
      </c>
      <c r="J47" s="416" t="e">
        <f ca="1">_xll.EPMSaveData(I47,,B47,$D$32)</f>
        <v>#NAME?</v>
      </c>
      <c r="K47" s="416" t="e">
        <f ca="1">_xll.EPMSaveComment(C47, "ANEXO_NOTAS_XBRL",B47,$C$32)</f>
        <v>#NAME?</v>
      </c>
      <c r="L47" s="416" t="e">
        <f ca="1">_xll.EPMSaveComment(D47, "ANEXO_NOTAS_XBRL",B47,$D$32)</f>
        <v>#NAME?</v>
      </c>
      <c r="M47" s="416" t="e">
        <f ca="1">_xll.EPMSaveComment(E47, "ANEXO_NOTAS_XBRL",B47,$E$32)</f>
        <v>#NAME?</v>
      </c>
      <c r="N47" s="488">
        <f t="shared" si="2"/>
        <v>0</v>
      </c>
      <c r="O47" s="416" t="e">
        <f ca="1">_xll.EPMSaveData(N47,,$B47,$E$32)</f>
        <v>#NAME?</v>
      </c>
      <c r="P47" s="245"/>
      <c r="Q47" s="245"/>
      <c r="T47" s="433"/>
      <c r="U47" s="433"/>
      <c r="V47" s="433"/>
    </row>
    <row r="48" spans="1:22" s="160" customFormat="1">
      <c r="A48" s="168">
        <f t="shared" si="0"/>
        <v>1</v>
      </c>
      <c r="B48" s="583" t="s">
        <v>213</v>
      </c>
      <c r="C48" s="384"/>
      <c r="D48" s="183"/>
      <c r="E48" s="183"/>
      <c r="F48" s="198"/>
      <c r="G48" s="19" t="str">
        <f t="shared" si="1"/>
        <v>Error</v>
      </c>
      <c r="H48" s="334"/>
      <c r="I48" s="488">
        <f t="shared" si="3"/>
        <v>0</v>
      </c>
      <c r="J48" s="416" t="e">
        <f ca="1">_xll.EPMSaveData(I48,,B48,$D$32)</f>
        <v>#NAME?</v>
      </c>
      <c r="K48" s="416" t="e">
        <f ca="1">_xll.EPMSaveComment(C48, "ANEXO_NOTAS_XBRL",B48,$C$32)</f>
        <v>#NAME?</v>
      </c>
      <c r="L48" s="416" t="e">
        <f ca="1">_xll.EPMSaveComment(D48, "ANEXO_NOTAS_XBRL",B48,$D$32)</f>
        <v>#NAME?</v>
      </c>
      <c r="M48" s="416" t="e">
        <f ca="1">_xll.EPMSaveComment(E48, "ANEXO_NOTAS_XBRL",B48,$E$32)</f>
        <v>#NAME?</v>
      </c>
      <c r="N48" s="488">
        <f t="shared" si="2"/>
        <v>0</v>
      </c>
      <c r="O48" s="416" t="e">
        <f ca="1">_xll.EPMSaveData(N48,,$B48,$E$32)</f>
        <v>#NAME?</v>
      </c>
      <c r="P48" s="245"/>
      <c r="Q48" s="245"/>
      <c r="T48" s="433"/>
      <c r="U48" s="433"/>
      <c r="V48" s="433"/>
    </row>
    <row r="49" spans="1:22" s="160" customFormat="1">
      <c r="A49" s="168">
        <f t="shared" si="0"/>
        <v>1</v>
      </c>
      <c r="B49" s="583" t="s">
        <v>214</v>
      </c>
      <c r="C49" s="384"/>
      <c r="D49" s="183"/>
      <c r="E49" s="183"/>
      <c r="F49" s="198"/>
      <c r="G49" s="19" t="str">
        <f t="shared" si="1"/>
        <v>Error</v>
      </c>
      <c r="H49" s="334"/>
      <c r="I49" s="488">
        <f t="shared" si="3"/>
        <v>0</v>
      </c>
      <c r="J49" s="416" t="e">
        <f ca="1">_xll.EPMSaveData(I49,,B49,$D$32)</f>
        <v>#NAME?</v>
      </c>
      <c r="K49" s="416" t="e">
        <f ca="1">_xll.EPMSaveComment(C49, "ANEXO_NOTAS_XBRL",B49,$C$32)</f>
        <v>#NAME?</v>
      </c>
      <c r="L49" s="416" t="e">
        <f ca="1">_xll.EPMSaveComment(D49, "ANEXO_NOTAS_XBRL",B49,$D$32)</f>
        <v>#NAME?</v>
      </c>
      <c r="M49" s="416" t="e">
        <f ca="1">_xll.EPMSaveComment(E49, "ANEXO_NOTAS_XBRL",B49,$E$32)</f>
        <v>#NAME?</v>
      </c>
      <c r="N49" s="488">
        <f t="shared" si="2"/>
        <v>0</v>
      </c>
      <c r="O49" s="416" t="e">
        <f ca="1">_xll.EPMSaveData(N49,,$B49,$E$32)</f>
        <v>#NAME?</v>
      </c>
      <c r="P49" s="245"/>
      <c r="Q49" s="245"/>
      <c r="T49" s="433"/>
      <c r="U49" s="433"/>
      <c r="V49" s="433"/>
    </row>
    <row r="50" spans="1:22" s="160" customFormat="1">
      <c r="A50" s="168">
        <f t="shared" si="0"/>
        <v>1</v>
      </c>
      <c r="B50" s="583" t="s">
        <v>215</v>
      </c>
      <c r="C50" s="384"/>
      <c r="D50" s="183"/>
      <c r="E50" s="183"/>
      <c r="F50" s="198"/>
      <c r="G50" s="19" t="str">
        <f t="shared" si="1"/>
        <v>Error</v>
      </c>
      <c r="H50" s="334"/>
      <c r="I50" s="488">
        <f t="shared" si="3"/>
        <v>0</v>
      </c>
      <c r="J50" s="416" t="e">
        <f ca="1">_xll.EPMSaveData(I50,,B50,$D$32)</f>
        <v>#NAME?</v>
      </c>
      <c r="K50" s="416" t="e">
        <f ca="1">_xll.EPMSaveComment(C50, "ANEXO_NOTAS_XBRL",B50,$C$32)</f>
        <v>#NAME?</v>
      </c>
      <c r="L50" s="416" t="e">
        <f ca="1">_xll.EPMSaveComment(D50, "ANEXO_NOTAS_XBRL",B50,$D$32)</f>
        <v>#NAME?</v>
      </c>
      <c r="M50" s="416" t="e">
        <f ca="1">_xll.EPMSaveComment(E50, "ANEXO_NOTAS_XBRL",B50,$E$32)</f>
        <v>#NAME?</v>
      </c>
      <c r="N50" s="488">
        <f t="shared" si="2"/>
        <v>0</v>
      </c>
      <c r="O50" s="416" t="e">
        <f ca="1">_xll.EPMSaveData(N50,,$B50,$E$32)</f>
        <v>#NAME?</v>
      </c>
      <c r="P50" s="245"/>
      <c r="Q50" s="245"/>
      <c r="T50" s="433"/>
      <c r="U50" s="433"/>
      <c r="V50" s="433"/>
    </row>
    <row r="51" spans="1:22" s="160" customFormat="1">
      <c r="A51" s="168">
        <f t="shared" si="0"/>
        <v>1</v>
      </c>
      <c r="B51" s="583" t="s">
        <v>216</v>
      </c>
      <c r="C51" s="384"/>
      <c r="D51" s="183"/>
      <c r="E51" s="183"/>
      <c r="F51" s="198"/>
      <c r="G51" s="19" t="str">
        <f t="shared" si="1"/>
        <v>Error</v>
      </c>
      <c r="H51" s="334"/>
      <c r="I51" s="488">
        <f t="shared" si="3"/>
        <v>0</v>
      </c>
      <c r="J51" s="416" t="e">
        <f ca="1">_xll.EPMSaveData(I51,,B51,$D$32)</f>
        <v>#NAME?</v>
      </c>
      <c r="K51" s="416" t="e">
        <f ca="1">_xll.EPMSaveComment(C51, "ANEXO_NOTAS_XBRL",B51,$C$32)</f>
        <v>#NAME?</v>
      </c>
      <c r="L51" s="416" t="e">
        <f ca="1">_xll.EPMSaveComment(D51, "ANEXO_NOTAS_XBRL",B51,$D$32)</f>
        <v>#NAME?</v>
      </c>
      <c r="M51" s="416" t="e">
        <f ca="1">_xll.EPMSaveComment(E51, "ANEXO_NOTAS_XBRL",B51,$E$32)</f>
        <v>#NAME?</v>
      </c>
      <c r="N51" s="488">
        <f t="shared" si="2"/>
        <v>0</v>
      </c>
      <c r="O51" s="416" t="e">
        <f ca="1">_xll.EPMSaveData(N51,,$B51,$E$32)</f>
        <v>#NAME?</v>
      </c>
      <c r="P51" s="245"/>
      <c r="Q51" s="245"/>
      <c r="T51" s="433"/>
      <c r="U51" s="433"/>
      <c r="V51" s="433"/>
    </row>
    <row r="52" spans="1:22" s="160" customFormat="1">
      <c r="A52" s="168">
        <f t="shared" si="0"/>
        <v>1</v>
      </c>
      <c r="B52" s="583" t="s">
        <v>217</v>
      </c>
      <c r="C52" s="384"/>
      <c r="D52" s="183"/>
      <c r="E52" s="183"/>
      <c r="F52" s="198"/>
      <c r="G52" s="19" t="str">
        <f t="shared" si="1"/>
        <v>Error</v>
      </c>
      <c r="H52" s="334"/>
      <c r="I52" s="488">
        <f t="shared" si="3"/>
        <v>0</v>
      </c>
      <c r="J52" s="416" t="e">
        <f ca="1">_xll.EPMSaveData(I52,,B52,$D$32)</f>
        <v>#NAME?</v>
      </c>
      <c r="K52" s="416" t="e">
        <f ca="1">_xll.EPMSaveComment(C52, "ANEXO_NOTAS_XBRL",B52,$C$32)</f>
        <v>#NAME?</v>
      </c>
      <c r="L52" s="416" t="e">
        <f ca="1">_xll.EPMSaveComment(D52, "ANEXO_NOTAS_XBRL",B52,$D$32)</f>
        <v>#NAME?</v>
      </c>
      <c r="M52" s="416" t="e">
        <f ca="1">_xll.EPMSaveComment(E52, "ANEXO_NOTAS_XBRL",B52,$E$32)</f>
        <v>#NAME?</v>
      </c>
      <c r="N52" s="488">
        <f t="shared" si="2"/>
        <v>0</v>
      </c>
      <c r="O52" s="416" t="e">
        <f ca="1">_xll.EPMSaveData(N52,,$B52,$E$32)</f>
        <v>#NAME?</v>
      </c>
      <c r="P52" s="245"/>
      <c r="Q52" s="245"/>
      <c r="T52" s="433"/>
      <c r="U52" s="433"/>
      <c r="V52" s="433"/>
    </row>
    <row r="53" spans="1:22" s="160" customFormat="1">
      <c r="A53" s="168">
        <f t="shared" si="0"/>
        <v>1</v>
      </c>
      <c r="B53" s="583" t="s">
        <v>218</v>
      </c>
      <c r="C53" s="384"/>
      <c r="D53" s="183"/>
      <c r="E53" s="183"/>
      <c r="F53" s="198"/>
      <c r="G53" s="19" t="str">
        <f t="shared" si="1"/>
        <v>Error</v>
      </c>
      <c r="H53" s="334"/>
      <c r="I53" s="488">
        <f t="shared" si="3"/>
        <v>0</v>
      </c>
      <c r="J53" s="416" t="e">
        <f ca="1">_xll.EPMSaveData(I53,,B53,$D$32)</f>
        <v>#NAME?</v>
      </c>
      <c r="K53" s="416" t="e">
        <f ca="1">_xll.EPMSaveComment(C53, "ANEXO_NOTAS_XBRL",B53,$C$32)</f>
        <v>#NAME?</v>
      </c>
      <c r="L53" s="416" t="e">
        <f ca="1">_xll.EPMSaveComment(D53, "ANEXO_NOTAS_XBRL",B53,$D$32)</f>
        <v>#NAME?</v>
      </c>
      <c r="M53" s="416" t="e">
        <f ca="1">_xll.EPMSaveComment(E53, "ANEXO_NOTAS_XBRL",B53,$E$32)</f>
        <v>#NAME?</v>
      </c>
      <c r="N53" s="488">
        <f t="shared" si="2"/>
        <v>0</v>
      </c>
      <c r="O53" s="416" t="e">
        <f ca="1">_xll.EPMSaveData(N53,,$B53,$E$32)</f>
        <v>#NAME?</v>
      </c>
      <c r="P53" s="245"/>
      <c r="Q53" s="245"/>
      <c r="T53" s="433"/>
      <c r="U53" s="433"/>
      <c r="V53" s="433"/>
    </row>
    <row r="54" spans="1:22" s="160" customFormat="1">
      <c r="A54" s="168">
        <f t="shared" si="0"/>
        <v>1</v>
      </c>
      <c r="B54" s="583" t="s">
        <v>219</v>
      </c>
      <c r="C54" s="384"/>
      <c r="D54" s="183"/>
      <c r="E54" s="183"/>
      <c r="F54" s="198"/>
      <c r="G54" s="19" t="str">
        <f t="shared" si="1"/>
        <v>Error</v>
      </c>
      <c r="H54" s="334"/>
      <c r="I54" s="488">
        <f t="shared" si="3"/>
        <v>0</v>
      </c>
      <c r="J54" s="416" t="e">
        <f ca="1">_xll.EPMSaveData(I54,,B54,$D$32)</f>
        <v>#NAME?</v>
      </c>
      <c r="K54" s="416" t="e">
        <f ca="1">_xll.EPMSaveComment(C54, "ANEXO_NOTAS_XBRL",B54,$C$32)</f>
        <v>#NAME?</v>
      </c>
      <c r="L54" s="416" t="e">
        <f ca="1">_xll.EPMSaveComment(D54, "ANEXO_NOTAS_XBRL",B54,$D$32)</f>
        <v>#NAME?</v>
      </c>
      <c r="M54" s="416" t="e">
        <f ca="1">_xll.EPMSaveComment(E54, "ANEXO_NOTAS_XBRL",B54,$E$32)</f>
        <v>#NAME?</v>
      </c>
      <c r="N54" s="488">
        <f t="shared" si="2"/>
        <v>0</v>
      </c>
      <c r="O54" s="416" t="e">
        <f ca="1">_xll.EPMSaveData(N54,,$B54,$E$32)</f>
        <v>#NAME?</v>
      </c>
      <c r="P54" s="245"/>
      <c r="Q54" s="245"/>
      <c r="T54" s="433"/>
      <c r="U54" s="433"/>
      <c r="V54" s="433"/>
    </row>
    <row r="55" spans="1:22" s="160" customFormat="1">
      <c r="A55" s="168">
        <f t="shared" si="0"/>
        <v>1</v>
      </c>
      <c r="B55" s="583">
        <v>11010020</v>
      </c>
      <c r="C55" s="384"/>
      <c r="D55" s="183"/>
      <c r="E55" s="183"/>
      <c r="F55" s="198"/>
      <c r="G55" s="19" t="str">
        <f t="shared" si="1"/>
        <v>Error</v>
      </c>
      <c r="H55" s="334"/>
      <c r="I55" s="488">
        <f t="shared" si="3"/>
        <v>0</v>
      </c>
      <c r="J55" s="416" t="e">
        <f ca="1">_xll.EPMSaveData(I55,,B55,$D$32)</f>
        <v>#NAME?</v>
      </c>
      <c r="K55" s="416" t="e">
        <f ca="1">_xll.EPMSaveComment(C55, "ANEXO_NOTAS_XBRL",B55,$C$32)</f>
        <v>#NAME?</v>
      </c>
      <c r="L55" s="416" t="e">
        <f ca="1">_xll.EPMSaveComment(D55, "ANEXO_NOTAS_XBRL",B55,$D$32)</f>
        <v>#NAME?</v>
      </c>
      <c r="M55" s="416" t="e">
        <f ca="1">_xll.EPMSaveComment(E55, "ANEXO_NOTAS_XBRL",B55,$E$32)</f>
        <v>#NAME?</v>
      </c>
      <c r="N55" s="488">
        <f t="shared" si="2"/>
        <v>0</v>
      </c>
      <c r="O55" s="416" t="e">
        <f ca="1">_xll.EPMSaveData(N55,,$B55,$E$32)</f>
        <v>#NAME?</v>
      </c>
      <c r="P55" s="245"/>
      <c r="Q55" s="245"/>
      <c r="T55" s="433"/>
      <c r="U55" s="433"/>
      <c r="V55" s="433"/>
    </row>
    <row r="56" spans="1:22" s="433" customFormat="1">
      <c r="A56" s="486"/>
      <c r="I56" s="442"/>
      <c r="J56" s="442"/>
      <c r="K56" s="442"/>
      <c r="L56" s="442"/>
      <c r="M56" s="442"/>
      <c r="N56" s="442"/>
      <c r="O56" s="442"/>
    </row>
    <row r="57" spans="1:22" s="433" customFormat="1">
      <c r="A57" s="486"/>
      <c r="I57" s="442"/>
      <c r="J57" s="442"/>
      <c r="K57" s="442"/>
      <c r="L57" s="442"/>
      <c r="M57" s="442"/>
      <c r="N57" s="442"/>
      <c r="O57" s="442"/>
    </row>
    <row r="58" spans="1:22" s="433" customFormat="1">
      <c r="A58" s="486"/>
      <c r="I58" s="442"/>
      <c r="J58" s="442"/>
      <c r="K58" s="442"/>
      <c r="L58" s="442"/>
      <c r="M58" s="442"/>
      <c r="N58" s="442"/>
      <c r="O58" s="442"/>
    </row>
    <row r="59" spans="1:22" s="433" customFormat="1">
      <c r="A59" s="486"/>
      <c r="I59" s="442"/>
      <c r="J59" s="442"/>
      <c r="K59" s="442"/>
      <c r="L59" s="442"/>
      <c r="M59" s="442"/>
      <c r="N59" s="442"/>
      <c r="O59" s="442"/>
    </row>
    <row r="60" spans="1:22" s="433" customFormat="1" ht="15">
      <c r="A60" s="486"/>
      <c r="I60" s="442"/>
      <c r="J60" s="442"/>
      <c r="K60" t="e">
        <f ca="1" xml:space="preserve"> _xll.FPMXLClient.TechnicalCategory.EPMLocalMember("","001","000")</f>
        <v>#NAME?</v>
      </c>
      <c r="L60" t="e">
        <f ca="1" xml:space="preserve"> _xll.EPMOlapMemberO("[COLUMNA_NOTA].[PARENTH1].[C11001001]","","C11001001","","000")</f>
        <v>#NAME?</v>
      </c>
      <c r="M60" t="e">
        <f ca="1" xml:space="preserve"> _xll.EPMOlapMemberO("[COLUMNA_NOTA].[PARENTH1].[C11001002]","","C11001002","","000")</f>
        <v>#NAME?</v>
      </c>
      <c r="N60" t="e">
        <f ca="1" xml:space="preserve"> _xll.EPMOlapMemberO("[COLUMNA_NOTA].[PARENTH1].[C11001003]","","C11001003","","000")</f>
        <v>#NAME?</v>
      </c>
      <c r="O60" s="442"/>
    </row>
    <row r="61" spans="1:22" s="433" customFormat="1" ht="15">
      <c r="A61" s="486"/>
      <c r="I61" s="442"/>
      <c r="J61" s="28" t="e">
        <f ca="1" xml:space="preserve"> _xll.EPMOlapMemberO("[FILA_NOTA].[PARENTH1].[11010001]","","11010001","","000")</f>
        <v>#NAME?</v>
      </c>
      <c r="K61" t="e">
        <f ca="1">_xll.EPMMemberProperty("ANEXO_NOTAS_XBRL", J61, "LONGDESCR")</f>
        <v>#NAME?</v>
      </c>
      <c r="L61" s="500">
        <v>0</v>
      </c>
      <c r="M61">
        <v>1</v>
      </c>
      <c r="N61">
        <v>1</v>
      </c>
      <c r="O61" s="442"/>
    </row>
    <row r="62" spans="1:22" s="433" customFormat="1" ht="15">
      <c r="A62" s="486"/>
      <c r="I62" s="442"/>
      <c r="J62" s="28" t="e">
        <f ca="1" xml:space="preserve"> _xll.EPMOlapMemberO("[FILA_NOTA].[PARENTH1].[11010002]","","11010002","","000")</f>
        <v>#NAME?</v>
      </c>
      <c r="K62" t="e">
        <f ca="1">_xll.EPMMemberProperty("ANEXO_NOTAS_XBRL", J62, "LONGDESCR")</f>
        <v>#NAME?</v>
      </c>
      <c r="L62" s="500">
        <v>0</v>
      </c>
      <c r="M62">
        <v>1</v>
      </c>
      <c r="N62">
        <v>1</v>
      </c>
      <c r="O62" s="442"/>
    </row>
    <row r="63" spans="1:22" s="433" customFormat="1" ht="15">
      <c r="A63" s="486"/>
      <c r="I63" s="442"/>
      <c r="J63" s="28" t="e">
        <f ca="1" xml:space="preserve"> _xll.EPMOlapMemberO("[FILA_NOTA].[PARENTH1].[11010003]","","11010003","","000")</f>
        <v>#NAME?</v>
      </c>
      <c r="K63" t="e">
        <f ca="1">_xll.EPMMemberProperty("ANEXO_NOTAS_XBRL", J63, "LONGDESCR")</f>
        <v>#NAME?</v>
      </c>
      <c r="L63" s="500">
        <v>0</v>
      </c>
      <c r="M63">
        <v>1</v>
      </c>
      <c r="N63">
        <v>1</v>
      </c>
      <c r="O63" s="442"/>
    </row>
    <row r="64" spans="1:22" s="433" customFormat="1" ht="15">
      <c r="A64" s="486"/>
      <c r="I64" s="442"/>
      <c r="J64" s="28" t="e">
        <f ca="1" xml:space="preserve"> _xll.EPMOlapMemberO("[FILA_NOTA].[PARENTH1].[11010004]","","11010004","","000")</f>
        <v>#NAME?</v>
      </c>
      <c r="K64" t="e">
        <f ca="1">_xll.EPMMemberProperty("ANEXO_NOTAS_XBRL", J64, "LONGDESCR")</f>
        <v>#NAME?</v>
      </c>
      <c r="L64" s="500">
        <v>0</v>
      </c>
      <c r="M64" s="500">
        <v>0</v>
      </c>
      <c r="N64" s="500">
        <v>0</v>
      </c>
      <c r="O64" s="442"/>
    </row>
    <row r="65" spans="1:15" s="433" customFormat="1" ht="15">
      <c r="A65" s="486"/>
      <c r="I65" s="442"/>
      <c r="J65" s="28" t="e">
        <f ca="1" xml:space="preserve"> _xll.EPMOlapMemberO("[FILA_NOTA].[PARENTH1].[11010005]","","11010005","","000")</f>
        <v>#NAME?</v>
      </c>
      <c r="K65" t="e">
        <f ca="1">_xll.EPMMemberProperty("ANEXO_NOTAS_XBRL", J65, "LONGDESCR")</f>
        <v>#NAME?</v>
      </c>
      <c r="L65" s="500">
        <v>0</v>
      </c>
      <c r="M65" s="500">
        <v>0</v>
      </c>
      <c r="N65" s="500">
        <v>0</v>
      </c>
      <c r="O65" s="442"/>
    </row>
    <row r="66" spans="1:15" s="433" customFormat="1" ht="15">
      <c r="A66" s="486"/>
      <c r="I66" s="442"/>
      <c r="J66" s="28" t="e">
        <f ca="1" xml:space="preserve"> _xll.EPMOlapMemberO("[FILA_NOTA].[PARENTH1].[11010006]","","11010006","","000")</f>
        <v>#NAME?</v>
      </c>
      <c r="K66" t="e">
        <f ca="1">_xll.EPMMemberProperty("ANEXO_NOTAS_XBRL", J66, "LONGDESCR")</f>
        <v>#NAME?</v>
      </c>
      <c r="L66" s="500">
        <v>0</v>
      </c>
      <c r="M66" s="500">
        <v>0</v>
      </c>
      <c r="N66" s="500">
        <v>0</v>
      </c>
      <c r="O66" s="442"/>
    </row>
    <row r="67" spans="1:15" s="433" customFormat="1" ht="15">
      <c r="A67" s="486"/>
      <c r="I67" s="442"/>
      <c r="J67" s="28" t="e">
        <f ca="1" xml:space="preserve"> _xll.EPMOlapMemberO("[FILA_NOTA].[PARENTH1].[11010007]","","11010007","","000")</f>
        <v>#NAME?</v>
      </c>
      <c r="K67" t="e">
        <f ca="1">_xll.EPMMemberProperty("ANEXO_NOTAS_XBRL", J67, "LONGDESCR")</f>
        <v>#NAME?</v>
      </c>
      <c r="L67" s="500">
        <v>0</v>
      </c>
      <c r="M67" s="500">
        <v>0</v>
      </c>
      <c r="N67" s="500">
        <v>0</v>
      </c>
      <c r="O67" s="442"/>
    </row>
    <row r="68" spans="1:15" s="433" customFormat="1" ht="15">
      <c r="A68" s="486"/>
      <c r="I68" s="442"/>
      <c r="J68" s="28" t="e">
        <f ca="1" xml:space="preserve"> _xll.EPMOlapMemberO("[FILA_NOTA].[PARENTH1].[11010008]","","11010008","","000")</f>
        <v>#NAME?</v>
      </c>
      <c r="K68" t="e">
        <f ca="1">_xll.EPMMemberProperty("ANEXO_NOTAS_XBRL", J68, "LONGDESCR")</f>
        <v>#NAME?</v>
      </c>
      <c r="L68" s="500">
        <v>0</v>
      </c>
      <c r="M68" s="500">
        <v>0</v>
      </c>
      <c r="N68" s="500">
        <v>0</v>
      </c>
      <c r="O68" s="442"/>
    </row>
    <row r="69" spans="1:15" s="433" customFormat="1" ht="15">
      <c r="A69" s="486"/>
      <c r="I69" s="442"/>
      <c r="J69" s="28" t="e">
        <f ca="1" xml:space="preserve"> _xll.EPMOlapMemberO("[FILA_NOTA].[PARENTH1].[11010009]","","11010009","","000")</f>
        <v>#NAME?</v>
      </c>
      <c r="K69" t="e">
        <f ca="1">_xll.EPMMemberProperty("ANEXO_NOTAS_XBRL", J69, "LONGDESCR")</f>
        <v>#NAME?</v>
      </c>
      <c r="L69" s="500">
        <v>0</v>
      </c>
      <c r="M69" s="500">
        <v>0</v>
      </c>
      <c r="N69" s="500">
        <v>0</v>
      </c>
      <c r="O69" s="442"/>
    </row>
    <row r="70" spans="1:15" s="433" customFormat="1" ht="15">
      <c r="A70" s="486"/>
      <c r="I70" s="442"/>
      <c r="J70" s="28" t="e">
        <f ca="1" xml:space="preserve"> _xll.EPMOlapMemberO("[FILA_NOTA].[PARENTH1].[11010010]","","11010010","","000")</f>
        <v>#NAME?</v>
      </c>
      <c r="K70" t="e">
        <f ca="1">_xll.EPMMemberProperty("ANEXO_NOTAS_XBRL", J70, "LONGDESCR")</f>
        <v>#NAME?</v>
      </c>
      <c r="L70" s="500">
        <v>0</v>
      </c>
      <c r="M70" s="500">
        <v>0</v>
      </c>
      <c r="N70" s="500">
        <v>0</v>
      </c>
      <c r="O70" s="442"/>
    </row>
    <row r="71" spans="1:15" s="433" customFormat="1" ht="15">
      <c r="A71" s="486"/>
      <c r="I71" s="442"/>
      <c r="J71" s="28" t="e">
        <f ca="1" xml:space="preserve"> _xll.EPMOlapMemberO("[FILA_NOTA].[PARENTH1].[11010011]","","11010011","","000")</f>
        <v>#NAME?</v>
      </c>
      <c r="K71" t="e">
        <f ca="1">_xll.EPMMemberProperty("ANEXO_NOTAS_XBRL", J71, "LONGDESCR")</f>
        <v>#NAME?</v>
      </c>
      <c r="L71" s="500">
        <v>0</v>
      </c>
      <c r="M71" s="500">
        <v>0</v>
      </c>
      <c r="N71" s="500">
        <v>0</v>
      </c>
      <c r="O71" s="442"/>
    </row>
    <row r="72" spans="1:15" s="433" customFormat="1" ht="15">
      <c r="A72" s="486"/>
      <c r="I72" s="442"/>
      <c r="J72" s="28" t="e">
        <f ca="1" xml:space="preserve"> _xll.EPMOlapMemberO("[FILA_NOTA].[PARENTH1].[11010012]","","11010012","","000")</f>
        <v>#NAME?</v>
      </c>
      <c r="K72" t="e">
        <f ca="1">_xll.EPMMemberProperty("ANEXO_NOTAS_XBRL", J72, "LONGDESCR")</f>
        <v>#NAME?</v>
      </c>
      <c r="L72" s="500">
        <v>0</v>
      </c>
      <c r="M72" s="500">
        <v>0</v>
      </c>
      <c r="N72" s="500">
        <v>0</v>
      </c>
      <c r="O72" s="442"/>
    </row>
    <row r="73" spans="1:15" s="433" customFormat="1" ht="15">
      <c r="A73" s="486"/>
      <c r="I73" s="442"/>
      <c r="J73" s="28" t="e">
        <f ca="1" xml:space="preserve"> _xll.EPMOlapMemberO("[FILA_NOTA].[PARENTH1].[11010013]","","11010013","","000")</f>
        <v>#NAME?</v>
      </c>
      <c r="K73" t="e">
        <f ca="1">_xll.EPMMemberProperty("ANEXO_NOTAS_XBRL", J73, "LONGDESCR")</f>
        <v>#NAME?</v>
      </c>
      <c r="L73" s="500">
        <v>0</v>
      </c>
      <c r="M73" s="500">
        <v>0</v>
      </c>
      <c r="N73" s="500">
        <v>0</v>
      </c>
      <c r="O73" s="442"/>
    </row>
    <row r="74" spans="1:15" s="433" customFormat="1" ht="15">
      <c r="A74" s="486"/>
      <c r="I74" s="442"/>
      <c r="J74" s="28" t="e">
        <f ca="1" xml:space="preserve"> _xll.EPMOlapMemberO("[FILA_NOTA].[PARENTH1].[11010014]","","11010014","","000")</f>
        <v>#NAME?</v>
      </c>
      <c r="K74" t="e">
        <f ca="1">_xll.EPMMemberProperty("ANEXO_NOTAS_XBRL", J74, "LONGDESCR")</f>
        <v>#NAME?</v>
      </c>
      <c r="L74" s="500">
        <v>0</v>
      </c>
      <c r="M74" s="500">
        <v>0</v>
      </c>
      <c r="N74" s="500">
        <v>0</v>
      </c>
      <c r="O74" s="442"/>
    </row>
    <row r="75" spans="1:15" s="433" customFormat="1" ht="15">
      <c r="A75" s="486"/>
      <c r="I75" s="442"/>
      <c r="J75" s="28" t="e">
        <f ca="1" xml:space="preserve"> _xll.EPMOlapMemberO("[FILA_NOTA].[PARENTH1].[11010015]","","11010015","","000")</f>
        <v>#NAME?</v>
      </c>
      <c r="K75" t="e">
        <f ca="1">_xll.EPMMemberProperty("ANEXO_NOTAS_XBRL", J75, "LONGDESCR")</f>
        <v>#NAME?</v>
      </c>
      <c r="L75" s="500">
        <v>0</v>
      </c>
      <c r="M75" s="500">
        <v>0</v>
      </c>
      <c r="N75" s="500">
        <v>0</v>
      </c>
      <c r="O75" s="442"/>
    </row>
    <row r="76" spans="1:15" s="433" customFormat="1" ht="15">
      <c r="A76" s="486"/>
      <c r="I76" s="442"/>
      <c r="J76" s="28" t="e">
        <f ca="1" xml:space="preserve"> _xll.EPMOlapMemberO("[FILA_NOTA].[PARENTH1].[11010016]","","11010016","","000")</f>
        <v>#NAME?</v>
      </c>
      <c r="K76" t="e">
        <f ca="1">_xll.EPMMemberProperty("ANEXO_NOTAS_XBRL", J76, "LONGDESCR")</f>
        <v>#NAME?</v>
      </c>
      <c r="L76" s="500">
        <v>0</v>
      </c>
      <c r="M76" s="500">
        <v>0</v>
      </c>
      <c r="N76" s="500">
        <v>0</v>
      </c>
      <c r="O76" s="442"/>
    </row>
    <row r="77" spans="1:15" s="433" customFormat="1" ht="15">
      <c r="A77" s="486"/>
      <c r="I77" s="442"/>
      <c r="J77" s="28" t="e">
        <f ca="1" xml:space="preserve"> _xll.EPMOlapMemberO("[FILA_NOTA].[PARENTH1].[11010017]","","11010017","","000")</f>
        <v>#NAME?</v>
      </c>
      <c r="K77" t="e">
        <f ca="1">_xll.EPMMemberProperty("ANEXO_NOTAS_XBRL", J77, "LONGDESCR")</f>
        <v>#NAME?</v>
      </c>
      <c r="L77" s="500">
        <v>0</v>
      </c>
      <c r="M77" s="500">
        <v>0</v>
      </c>
      <c r="N77" s="500">
        <v>0</v>
      </c>
      <c r="O77" s="442"/>
    </row>
    <row r="78" spans="1:15" s="433" customFormat="1" ht="15">
      <c r="A78" s="486"/>
      <c r="I78" s="442"/>
      <c r="J78" s="28" t="e">
        <f ca="1" xml:space="preserve"> _xll.EPMOlapMemberO("[FILA_NOTA].[PARENTH1].[11010018]","","11010018","","000")</f>
        <v>#NAME?</v>
      </c>
      <c r="K78" t="e">
        <f ca="1">_xll.EPMMemberProperty("ANEXO_NOTAS_XBRL", J78, "LONGDESCR")</f>
        <v>#NAME?</v>
      </c>
      <c r="L78" s="500">
        <v>0</v>
      </c>
      <c r="M78" s="500">
        <v>0</v>
      </c>
      <c r="N78" s="500">
        <v>0</v>
      </c>
      <c r="O78" s="442"/>
    </row>
    <row r="79" spans="1:15" s="433" customFormat="1" ht="15">
      <c r="A79" s="486"/>
      <c r="I79" s="442"/>
      <c r="J79" s="28" t="e">
        <f ca="1" xml:space="preserve"> _xll.EPMOlapMemberO("[FILA_NOTA].[PARENTH1].[11010019]","","11010019","","000")</f>
        <v>#NAME?</v>
      </c>
      <c r="K79" t="e">
        <f ca="1">_xll.EPMMemberProperty("ANEXO_NOTAS_XBRL", J79, "LONGDESCR")</f>
        <v>#NAME?</v>
      </c>
      <c r="L79" s="500">
        <v>0</v>
      </c>
      <c r="M79" s="500">
        <v>0</v>
      </c>
      <c r="N79" s="500">
        <v>0</v>
      </c>
      <c r="O79" s="442"/>
    </row>
    <row r="80" spans="1:15" s="433" customFormat="1" ht="15">
      <c r="A80" s="486"/>
      <c r="I80" s="442"/>
      <c r="J80" s="28" t="e">
        <f ca="1" xml:space="preserve"> _xll.EPMOlapMemberO("[FILA_NOTA].[PARENTH1].[11010020]","","11010020","","000")</f>
        <v>#NAME?</v>
      </c>
      <c r="K80" t="e">
        <f ca="1">_xll.EPMMemberProperty("ANEXO_NOTAS_XBRL", J80, "LONGDESCR")</f>
        <v>#NAME?</v>
      </c>
      <c r="L80" s="500">
        <v>0</v>
      </c>
      <c r="M80" s="500">
        <v>0</v>
      </c>
      <c r="N80" s="500">
        <v>0</v>
      </c>
      <c r="O80" s="442"/>
    </row>
    <row r="81" spans="1:15" s="433" customFormat="1">
      <c r="A81" s="486"/>
      <c r="I81" s="442"/>
      <c r="J81" s="442"/>
      <c r="K81" s="442"/>
      <c r="L81" s="442"/>
      <c r="M81" s="442"/>
      <c r="N81" s="442"/>
      <c r="O81" s="442"/>
    </row>
    <row r="82" spans="1:15" s="433" customFormat="1">
      <c r="A82" s="486"/>
      <c r="I82" s="442"/>
      <c r="J82" s="442"/>
      <c r="K82" s="442"/>
      <c r="L82" s="442"/>
      <c r="M82" s="442"/>
      <c r="N82" s="442"/>
      <c r="O82" s="442"/>
    </row>
    <row r="83" spans="1:15" s="433" customFormat="1">
      <c r="A83" s="486"/>
      <c r="I83" s="442"/>
      <c r="J83" s="442"/>
      <c r="K83" s="442"/>
      <c r="L83" s="442"/>
      <c r="M83" s="442"/>
      <c r="N83" s="442"/>
      <c r="O83" s="442"/>
    </row>
    <row r="84" spans="1:15" s="433" customFormat="1">
      <c r="A84" s="486"/>
      <c r="I84" s="442"/>
      <c r="J84" s="442"/>
      <c r="K84" s="442"/>
      <c r="L84" s="442"/>
      <c r="M84" s="442"/>
      <c r="N84" s="442"/>
      <c r="O84" s="442"/>
    </row>
    <row r="85" spans="1:15" s="433" customFormat="1">
      <c r="A85" s="486"/>
      <c r="I85" s="442"/>
      <c r="J85" s="442"/>
      <c r="K85" s="442"/>
      <c r="L85" s="442"/>
      <c r="M85" s="442"/>
      <c r="N85" s="442"/>
      <c r="O85" s="442"/>
    </row>
    <row r="86" spans="1:15" s="433" customFormat="1">
      <c r="A86" s="486"/>
      <c r="I86" s="442"/>
      <c r="J86" s="442"/>
      <c r="K86" s="442"/>
      <c r="L86" s="442"/>
      <c r="M86" s="442"/>
      <c r="N86" s="442"/>
      <c r="O86" s="442"/>
    </row>
    <row r="87" spans="1:15" s="433" customFormat="1">
      <c r="A87" s="486"/>
      <c r="I87" s="442"/>
      <c r="J87" s="442"/>
      <c r="K87" s="442"/>
      <c r="L87" s="442"/>
      <c r="M87" s="442"/>
      <c r="N87" s="442"/>
      <c r="O87" s="442"/>
    </row>
    <row r="88" spans="1:15" s="433" customFormat="1">
      <c r="A88" s="486"/>
      <c r="I88" s="442"/>
      <c r="J88" s="442"/>
      <c r="K88" s="442"/>
      <c r="L88" s="442"/>
      <c r="M88" s="442"/>
      <c r="N88" s="442"/>
      <c r="O88" s="442"/>
    </row>
    <row r="89" spans="1:15" s="433" customFormat="1">
      <c r="A89" s="486"/>
      <c r="I89" s="442"/>
      <c r="J89" s="442"/>
      <c r="K89" s="442"/>
      <c r="L89" s="442"/>
      <c r="M89" s="442"/>
      <c r="N89" s="442"/>
      <c r="O89" s="442"/>
    </row>
    <row r="90" spans="1:15" s="433" customFormat="1">
      <c r="A90" s="486"/>
      <c r="I90" s="442"/>
      <c r="J90" s="442"/>
      <c r="K90" s="442"/>
      <c r="L90" s="442"/>
      <c r="M90" s="442"/>
      <c r="N90" s="442"/>
      <c r="O90" s="442"/>
    </row>
    <row r="91" spans="1:15" s="433" customFormat="1">
      <c r="A91" s="486"/>
      <c r="I91" s="442"/>
      <c r="J91" s="442"/>
      <c r="K91" s="442"/>
      <c r="L91" s="442"/>
      <c r="M91" s="442"/>
      <c r="N91" s="442"/>
      <c r="O91" s="442"/>
    </row>
    <row r="92" spans="1:15" s="433" customFormat="1">
      <c r="A92" s="486"/>
      <c r="I92" s="442"/>
      <c r="J92" s="442"/>
      <c r="K92" s="442"/>
      <c r="L92" s="442"/>
      <c r="M92" s="442"/>
      <c r="N92" s="442"/>
      <c r="O92" s="442"/>
    </row>
    <row r="93" spans="1:15" s="433" customFormat="1">
      <c r="A93" s="486"/>
      <c r="I93" s="442"/>
      <c r="J93" s="442"/>
      <c r="K93" s="442"/>
      <c r="L93" s="442"/>
      <c r="M93" s="442"/>
      <c r="N93" s="442"/>
      <c r="O93" s="442"/>
    </row>
    <row r="94" spans="1:15" s="433" customFormat="1">
      <c r="A94" s="486"/>
      <c r="I94" s="442"/>
      <c r="J94" s="442"/>
      <c r="K94" s="442"/>
      <c r="L94" s="442"/>
      <c r="M94" s="442"/>
      <c r="N94" s="442"/>
      <c r="O94" s="442"/>
    </row>
    <row r="95" spans="1:15" s="433" customFormat="1">
      <c r="A95" s="486"/>
      <c r="I95" s="442"/>
      <c r="J95" s="442"/>
      <c r="K95" s="442"/>
      <c r="L95" s="442"/>
      <c r="M95" s="442"/>
      <c r="N95" s="442"/>
      <c r="O95" s="442"/>
    </row>
    <row r="96" spans="1:15" s="433" customFormat="1">
      <c r="A96" s="486"/>
      <c r="I96" s="442"/>
      <c r="J96" s="442"/>
      <c r="K96" s="442"/>
      <c r="L96" s="442"/>
      <c r="M96" s="442"/>
      <c r="N96" s="442"/>
      <c r="O96" s="442"/>
    </row>
    <row r="97" spans="1:15" s="433" customFormat="1">
      <c r="A97" s="486"/>
      <c r="I97" s="442"/>
      <c r="J97" s="442"/>
      <c r="K97" s="442"/>
      <c r="L97" s="442"/>
      <c r="M97" s="442"/>
      <c r="N97" s="442"/>
      <c r="O97" s="442"/>
    </row>
    <row r="98" spans="1:15" s="433" customFormat="1">
      <c r="A98" s="486"/>
      <c r="I98" s="442"/>
      <c r="J98" s="442"/>
      <c r="K98" s="442"/>
      <c r="L98" s="442"/>
      <c r="M98" s="442"/>
      <c r="N98" s="442"/>
      <c r="O98" s="442"/>
    </row>
    <row r="99" spans="1:15" s="433" customFormat="1">
      <c r="A99" s="486"/>
      <c r="I99" s="442"/>
      <c r="J99" s="442"/>
      <c r="K99" s="442"/>
      <c r="L99" s="442"/>
      <c r="M99" s="442"/>
      <c r="N99" s="442"/>
      <c r="O99" s="442"/>
    </row>
    <row r="100" spans="1:15" s="433" customFormat="1">
      <c r="A100" s="486"/>
      <c r="I100" s="442"/>
      <c r="J100" s="442"/>
      <c r="K100" s="442"/>
      <c r="L100" s="442"/>
      <c r="M100" s="442"/>
      <c r="N100" s="442"/>
      <c r="O100" s="442"/>
    </row>
    <row r="101" spans="1:15" s="433" customFormat="1">
      <c r="A101" s="486"/>
      <c r="I101" s="442"/>
      <c r="J101" s="442"/>
      <c r="K101" s="442"/>
      <c r="L101" s="442"/>
      <c r="M101" s="442"/>
      <c r="N101" s="442"/>
      <c r="O101" s="442"/>
    </row>
    <row r="102" spans="1:15" s="433" customFormat="1">
      <c r="A102" s="486"/>
      <c r="I102" s="442"/>
      <c r="J102" s="442"/>
      <c r="K102" s="442"/>
      <c r="L102" s="442"/>
      <c r="M102" s="442"/>
      <c r="N102" s="442"/>
      <c r="O102" s="442"/>
    </row>
    <row r="103" spans="1:15" s="433" customFormat="1">
      <c r="A103" s="486"/>
      <c r="I103" s="442"/>
      <c r="J103" s="442"/>
      <c r="K103" s="442"/>
      <c r="L103" s="442"/>
      <c r="M103" s="442"/>
      <c r="N103" s="442"/>
      <c r="O103" s="442"/>
    </row>
    <row r="104" spans="1:15" s="433" customFormat="1">
      <c r="A104" s="486"/>
      <c r="I104" s="442"/>
      <c r="J104" s="442"/>
      <c r="K104" s="442"/>
      <c r="L104" s="442"/>
      <c r="M104" s="442"/>
      <c r="N104" s="442"/>
      <c r="O104" s="442"/>
    </row>
    <row r="105" spans="1:15" s="433" customFormat="1">
      <c r="A105" s="486"/>
      <c r="I105" s="442"/>
      <c r="J105" s="442"/>
      <c r="K105" s="442"/>
      <c r="L105" s="442"/>
      <c r="M105" s="442"/>
      <c r="N105" s="442"/>
      <c r="O105" s="442"/>
    </row>
    <row r="106" spans="1:15" s="433" customFormat="1">
      <c r="A106" s="486"/>
      <c r="I106" s="442"/>
      <c r="J106" s="442"/>
      <c r="K106" s="442"/>
      <c r="L106" s="442"/>
      <c r="M106" s="442"/>
      <c r="N106" s="442"/>
      <c r="O106" s="442"/>
    </row>
    <row r="107" spans="1:15" s="433" customFormat="1">
      <c r="A107" s="486"/>
      <c r="I107" s="442"/>
      <c r="J107" s="442"/>
      <c r="K107" s="442"/>
      <c r="L107" s="442"/>
      <c r="M107" s="442"/>
      <c r="N107" s="442"/>
      <c r="O107" s="442"/>
    </row>
    <row r="108" spans="1:15" s="433" customFormat="1">
      <c r="A108" s="486"/>
      <c r="I108" s="442"/>
      <c r="J108" s="442"/>
      <c r="K108" s="442"/>
      <c r="L108" s="442"/>
      <c r="M108" s="442"/>
      <c r="N108" s="442"/>
      <c r="O108" s="442"/>
    </row>
    <row r="109" spans="1:15" s="433" customFormat="1">
      <c r="A109" s="486"/>
      <c r="I109" s="442"/>
      <c r="J109" s="442"/>
      <c r="K109" s="442"/>
      <c r="L109" s="442"/>
      <c r="M109" s="442"/>
      <c r="N109" s="442"/>
      <c r="O109" s="442"/>
    </row>
    <row r="110" spans="1:15" s="433" customFormat="1">
      <c r="A110" s="486"/>
      <c r="I110" s="442"/>
      <c r="J110" s="442"/>
      <c r="K110" s="442"/>
      <c r="L110" s="442"/>
      <c r="M110" s="442"/>
      <c r="N110" s="442"/>
      <c r="O110" s="442"/>
    </row>
    <row r="111" spans="1:15" s="433" customFormat="1">
      <c r="A111" s="486"/>
      <c r="I111" s="442"/>
      <c r="J111" s="442"/>
      <c r="K111" s="442"/>
      <c r="L111" s="442"/>
      <c r="M111" s="442"/>
      <c r="N111" s="442"/>
      <c r="O111" s="442"/>
    </row>
    <row r="112" spans="1:15" s="433" customFormat="1">
      <c r="A112" s="486"/>
      <c r="I112" s="442"/>
      <c r="J112" s="442"/>
      <c r="K112" s="442"/>
      <c r="L112" s="442"/>
      <c r="M112" s="442"/>
      <c r="N112" s="442"/>
      <c r="O112" s="442"/>
    </row>
    <row r="113" spans="1:15" s="433" customFormat="1">
      <c r="A113" s="486"/>
      <c r="I113" s="442"/>
      <c r="J113" s="442"/>
      <c r="K113" s="442"/>
      <c r="L113" s="442"/>
      <c r="M113" s="442"/>
      <c r="N113" s="442"/>
      <c r="O113" s="442"/>
    </row>
    <row r="114" spans="1:15" s="433" customFormat="1">
      <c r="A114" s="486"/>
      <c r="I114" s="442"/>
      <c r="J114" s="442"/>
      <c r="K114" s="442"/>
      <c r="L114" s="442"/>
      <c r="M114" s="442"/>
      <c r="N114" s="442"/>
      <c r="O114" s="442"/>
    </row>
    <row r="115" spans="1:15" s="433" customFormat="1">
      <c r="A115" s="486"/>
      <c r="I115" s="442"/>
      <c r="J115" s="442"/>
      <c r="K115" s="442"/>
      <c r="L115" s="442"/>
      <c r="M115" s="442"/>
      <c r="N115" s="442"/>
      <c r="O115" s="442"/>
    </row>
    <row r="116" spans="1:15" s="433" customFormat="1">
      <c r="A116" s="486"/>
      <c r="I116" s="442"/>
      <c r="J116" s="442"/>
      <c r="K116" s="442"/>
      <c r="L116" s="442"/>
      <c r="M116" s="442"/>
      <c r="N116" s="442"/>
      <c r="O116" s="442"/>
    </row>
    <row r="117" spans="1:15" s="433" customFormat="1">
      <c r="A117" s="486"/>
      <c r="I117" s="442"/>
      <c r="J117" s="442"/>
      <c r="K117" s="442"/>
      <c r="L117" s="442"/>
      <c r="M117" s="442"/>
      <c r="N117" s="442"/>
      <c r="O117" s="442"/>
    </row>
    <row r="118" spans="1:15" s="433" customFormat="1">
      <c r="A118" s="486"/>
      <c r="I118" s="442"/>
      <c r="J118" s="442"/>
      <c r="K118" s="442"/>
      <c r="L118" s="442"/>
      <c r="M118" s="442"/>
      <c r="N118" s="442"/>
      <c r="O118" s="442"/>
    </row>
    <row r="119" spans="1:15" s="433" customFormat="1">
      <c r="A119" s="486"/>
      <c r="I119" s="442"/>
      <c r="J119" s="442"/>
      <c r="K119" s="442"/>
      <c r="L119" s="442"/>
      <c r="M119" s="442"/>
      <c r="N119" s="442"/>
      <c r="O119" s="442"/>
    </row>
    <row r="120" spans="1:15" s="433" customFormat="1">
      <c r="A120" s="486"/>
      <c r="I120" s="442"/>
      <c r="J120" s="442"/>
      <c r="K120" s="442"/>
      <c r="L120" s="442"/>
      <c r="M120" s="442"/>
      <c r="N120" s="442"/>
      <c r="O120" s="442"/>
    </row>
    <row r="121" spans="1:15" s="433" customFormat="1">
      <c r="A121" s="486"/>
      <c r="I121" s="442"/>
      <c r="J121" s="442"/>
      <c r="K121" s="442"/>
      <c r="L121" s="442"/>
      <c r="M121" s="442"/>
      <c r="N121" s="442"/>
      <c r="O121" s="442"/>
    </row>
    <row r="122" spans="1:15" s="433" customFormat="1">
      <c r="A122" s="486"/>
      <c r="I122" s="442"/>
      <c r="J122" s="442"/>
      <c r="K122" s="442"/>
      <c r="L122" s="442"/>
      <c r="M122" s="442"/>
      <c r="N122" s="442"/>
      <c r="O122" s="442"/>
    </row>
    <row r="123" spans="1:15" s="433" customFormat="1">
      <c r="A123" s="486"/>
      <c r="I123" s="442"/>
      <c r="J123" s="442"/>
      <c r="K123" s="442"/>
      <c r="L123" s="442"/>
      <c r="M123" s="442"/>
      <c r="N123" s="442"/>
      <c r="O123" s="442"/>
    </row>
    <row r="124" spans="1:15" s="433" customFormat="1">
      <c r="A124" s="486"/>
      <c r="I124" s="442"/>
      <c r="J124" s="442"/>
      <c r="K124" s="442"/>
      <c r="L124" s="442"/>
      <c r="M124" s="442"/>
      <c r="N124" s="442"/>
      <c r="O124" s="442"/>
    </row>
    <row r="125" spans="1:15" s="433" customFormat="1">
      <c r="A125" s="486"/>
      <c r="I125" s="442"/>
      <c r="J125" s="442"/>
      <c r="K125" s="442"/>
      <c r="L125" s="442"/>
      <c r="M125" s="442"/>
      <c r="N125" s="442"/>
      <c r="O125" s="442"/>
    </row>
    <row r="126" spans="1:15" s="433" customFormat="1">
      <c r="A126" s="486"/>
      <c r="I126" s="442"/>
      <c r="J126" s="442"/>
      <c r="K126" s="442"/>
      <c r="L126" s="442"/>
      <c r="M126" s="442"/>
      <c r="N126" s="442"/>
      <c r="O126" s="442"/>
    </row>
    <row r="127" spans="1:15" s="433" customFormat="1">
      <c r="A127" s="486"/>
      <c r="I127" s="442"/>
      <c r="J127" s="442"/>
      <c r="K127" s="442"/>
      <c r="L127" s="442"/>
      <c r="M127" s="442"/>
      <c r="N127" s="442"/>
      <c r="O127" s="442"/>
    </row>
    <row r="128" spans="1:15" s="433" customFormat="1">
      <c r="A128" s="486"/>
      <c r="I128" s="442"/>
      <c r="J128" s="442"/>
      <c r="K128" s="442"/>
      <c r="L128" s="442"/>
      <c r="M128" s="442"/>
      <c r="N128" s="442"/>
      <c r="O128" s="442"/>
    </row>
    <row r="129" spans="1:15" s="433" customFormat="1">
      <c r="A129" s="486"/>
      <c r="I129" s="442"/>
      <c r="J129" s="442"/>
      <c r="K129" s="442"/>
      <c r="L129" s="442"/>
      <c r="M129" s="442"/>
      <c r="N129" s="442"/>
      <c r="O129" s="442"/>
    </row>
    <row r="130" spans="1:15" s="433" customFormat="1">
      <c r="A130" s="486"/>
      <c r="I130" s="442"/>
      <c r="J130" s="442"/>
      <c r="K130" s="442"/>
      <c r="L130" s="442"/>
      <c r="M130" s="442"/>
      <c r="N130" s="442"/>
      <c r="O130" s="442"/>
    </row>
    <row r="131" spans="1:15" s="433" customFormat="1">
      <c r="A131" s="486"/>
      <c r="I131" s="442"/>
      <c r="J131" s="442"/>
      <c r="K131" s="442"/>
      <c r="L131" s="442"/>
      <c r="M131" s="442"/>
      <c r="N131" s="442"/>
      <c r="O131" s="442"/>
    </row>
    <row r="132" spans="1:15" s="433" customFormat="1">
      <c r="A132" s="486"/>
      <c r="I132" s="442"/>
      <c r="J132" s="442"/>
      <c r="K132" s="442"/>
      <c r="L132" s="442"/>
      <c r="M132" s="442"/>
      <c r="N132" s="442"/>
      <c r="O132" s="442"/>
    </row>
    <row r="133" spans="1:15" s="433" customFormat="1">
      <c r="A133" s="486"/>
      <c r="I133" s="442"/>
      <c r="J133" s="442"/>
      <c r="K133" s="442"/>
      <c r="L133" s="442"/>
      <c r="M133" s="442"/>
      <c r="N133" s="442"/>
      <c r="O133" s="442"/>
    </row>
    <row r="134" spans="1:15" s="433" customFormat="1">
      <c r="A134" s="486"/>
      <c r="I134" s="442"/>
      <c r="J134" s="442"/>
      <c r="K134" s="442"/>
      <c r="L134" s="442"/>
      <c r="M134" s="442"/>
      <c r="N134" s="442"/>
      <c r="O134" s="442"/>
    </row>
    <row r="135" spans="1:15" s="433" customFormat="1">
      <c r="A135" s="486"/>
      <c r="I135" s="442"/>
      <c r="J135" s="442"/>
      <c r="K135" s="442"/>
      <c r="L135" s="442"/>
      <c r="M135" s="442"/>
      <c r="N135" s="442"/>
      <c r="O135" s="442"/>
    </row>
    <row r="136" spans="1:15" s="433" customFormat="1">
      <c r="A136" s="486"/>
      <c r="I136" s="442"/>
      <c r="J136" s="442"/>
      <c r="K136" s="442"/>
      <c r="L136" s="442"/>
      <c r="M136" s="442"/>
      <c r="N136" s="442"/>
      <c r="O136" s="442"/>
    </row>
    <row r="137" spans="1:15" s="433" customFormat="1">
      <c r="A137" s="486"/>
      <c r="I137" s="442"/>
      <c r="J137" s="442"/>
      <c r="K137" s="442"/>
      <c r="L137" s="442"/>
      <c r="M137" s="442"/>
      <c r="N137" s="442"/>
      <c r="O137" s="442"/>
    </row>
    <row r="138" spans="1:15" s="433" customFormat="1">
      <c r="A138" s="486"/>
      <c r="I138" s="442"/>
      <c r="J138" s="442"/>
      <c r="K138" s="442"/>
      <c r="L138" s="442"/>
      <c r="M138" s="442"/>
      <c r="N138" s="442"/>
      <c r="O138" s="442"/>
    </row>
    <row r="139" spans="1:15" s="433" customFormat="1">
      <c r="A139" s="486"/>
      <c r="I139" s="442"/>
      <c r="J139" s="442"/>
      <c r="K139" s="442"/>
      <c r="L139" s="442"/>
      <c r="M139" s="442"/>
      <c r="N139" s="442"/>
      <c r="O139" s="442"/>
    </row>
    <row r="140" spans="1:15" s="433" customFormat="1">
      <c r="A140" s="486"/>
      <c r="I140" s="442"/>
      <c r="J140" s="442"/>
      <c r="K140" s="442"/>
      <c r="L140" s="442"/>
      <c r="M140" s="442"/>
      <c r="N140" s="442"/>
      <c r="O140" s="442"/>
    </row>
    <row r="141" spans="1:15" s="433" customFormat="1">
      <c r="A141" s="486"/>
      <c r="I141" s="442"/>
      <c r="J141" s="442"/>
      <c r="K141" s="442"/>
      <c r="L141" s="442"/>
      <c r="M141" s="442"/>
      <c r="N141" s="442"/>
      <c r="O141" s="442"/>
    </row>
    <row r="142" spans="1:15" s="433" customFormat="1">
      <c r="A142" s="486"/>
      <c r="I142" s="442"/>
      <c r="J142" s="442"/>
      <c r="K142" s="442"/>
      <c r="L142" s="442"/>
      <c r="M142" s="442"/>
      <c r="N142" s="442"/>
      <c r="O142" s="442"/>
    </row>
    <row r="143" spans="1:15" s="433" customFormat="1">
      <c r="A143" s="486"/>
      <c r="I143" s="442"/>
      <c r="J143" s="442"/>
      <c r="K143" s="442"/>
      <c r="L143" s="442"/>
      <c r="M143" s="442"/>
      <c r="N143" s="442"/>
      <c r="O143" s="442"/>
    </row>
    <row r="144" spans="1:15" s="433" customFormat="1">
      <c r="A144" s="486"/>
      <c r="I144" s="442"/>
      <c r="J144" s="442"/>
      <c r="K144" s="442"/>
      <c r="L144" s="442"/>
      <c r="M144" s="442"/>
      <c r="N144" s="442"/>
      <c r="O144" s="442"/>
    </row>
    <row r="145" spans="1:15" s="433" customFormat="1">
      <c r="A145" s="486"/>
      <c r="I145" s="442"/>
      <c r="J145" s="442"/>
      <c r="K145" s="442"/>
      <c r="L145" s="442"/>
      <c r="M145" s="442"/>
      <c r="N145" s="442"/>
      <c r="O145" s="442"/>
    </row>
    <row r="146" spans="1:15" s="433" customFormat="1">
      <c r="A146" s="486"/>
      <c r="I146" s="442"/>
      <c r="J146" s="442"/>
      <c r="K146" s="442"/>
      <c r="L146" s="442"/>
      <c r="M146" s="442"/>
      <c r="N146" s="442"/>
      <c r="O146" s="442"/>
    </row>
    <row r="147" spans="1:15" s="433" customFormat="1">
      <c r="A147" s="486"/>
      <c r="I147" s="442"/>
      <c r="J147" s="442"/>
      <c r="K147" s="442"/>
      <c r="L147" s="442"/>
      <c r="M147" s="442"/>
      <c r="N147" s="442"/>
      <c r="O147" s="442"/>
    </row>
    <row r="148" spans="1:15" s="433" customFormat="1">
      <c r="A148" s="486"/>
      <c r="I148" s="442"/>
      <c r="J148" s="442"/>
      <c r="K148" s="442"/>
      <c r="L148" s="442"/>
      <c r="M148" s="442"/>
      <c r="N148" s="442"/>
      <c r="O148" s="442"/>
    </row>
    <row r="149" spans="1:15" s="433" customFormat="1">
      <c r="A149" s="486"/>
      <c r="I149" s="442"/>
      <c r="J149" s="442"/>
      <c r="K149" s="442"/>
      <c r="L149" s="442"/>
      <c r="M149" s="442"/>
      <c r="N149" s="442"/>
      <c r="O149" s="442"/>
    </row>
    <row r="150" spans="1:15" s="433" customFormat="1">
      <c r="A150" s="486"/>
      <c r="I150" s="442"/>
      <c r="J150" s="442"/>
      <c r="K150" s="442"/>
      <c r="L150" s="442"/>
      <c r="M150" s="442"/>
      <c r="N150" s="442"/>
      <c r="O150" s="442"/>
    </row>
    <row r="151" spans="1:15" s="433" customFormat="1">
      <c r="A151" s="486"/>
      <c r="I151" s="442"/>
      <c r="J151" s="442"/>
      <c r="K151" s="442"/>
      <c r="L151" s="442"/>
      <c r="M151" s="442"/>
      <c r="N151" s="442"/>
      <c r="O151" s="442"/>
    </row>
    <row r="152" spans="1:15" s="433" customFormat="1">
      <c r="A152" s="486"/>
      <c r="I152" s="442"/>
      <c r="J152" s="442"/>
      <c r="K152" s="442"/>
      <c r="L152" s="442"/>
      <c r="M152" s="442"/>
      <c r="N152" s="442"/>
      <c r="O152" s="442"/>
    </row>
    <row r="153" spans="1:15" s="433" customFormat="1">
      <c r="A153" s="486"/>
      <c r="I153" s="442"/>
      <c r="J153" s="442"/>
      <c r="K153" s="442"/>
      <c r="L153" s="442"/>
      <c r="M153" s="442"/>
      <c r="N153" s="442"/>
      <c r="O153" s="442"/>
    </row>
    <row r="154" spans="1:15" s="433" customFormat="1">
      <c r="A154" s="486"/>
      <c r="I154" s="442"/>
      <c r="J154" s="442"/>
      <c r="K154" s="442"/>
      <c r="L154" s="442"/>
      <c r="M154" s="442"/>
      <c r="N154" s="442"/>
      <c r="O154" s="442"/>
    </row>
    <row r="155" spans="1:15" s="433" customFormat="1">
      <c r="A155" s="486"/>
      <c r="I155" s="442"/>
      <c r="J155" s="442"/>
      <c r="K155" s="442"/>
      <c r="L155" s="442"/>
      <c r="M155" s="442"/>
      <c r="N155" s="442"/>
      <c r="O155" s="442"/>
    </row>
    <row r="156" spans="1:15" s="433" customFormat="1">
      <c r="A156" s="486"/>
      <c r="I156" s="442"/>
      <c r="J156" s="442"/>
      <c r="K156" s="442"/>
      <c r="L156" s="442"/>
      <c r="M156" s="442"/>
      <c r="N156" s="442"/>
      <c r="O156" s="442"/>
    </row>
    <row r="157" spans="1:15" s="433" customFormat="1">
      <c r="A157" s="486"/>
      <c r="I157" s="442"/>
      <c r="J157" s="442"/>
      <c r="K157" s="442"/>
      <c r="L157" s="442"/>
      <c r="M157" s="442"/>
      <c r="N157" s="442"/>
      <c r="O157" s="442"/>
    </row>
    <row r="158" spans="1:15" s="433" customFormat="1">
      <c r="A158" s="486"/>
      <c r="I158" s="442"/>
      <c r="J158" s="442"/>
      <c r="K158" s="442"/>
      <c r="L158" s="442"/>
      <c r="M158" s="442"/>
      <c r="N158" s="442"/>
      <c r="O158" s="442"/>
    </row>
    <row r="159" spans="1:15" s="433" customFormat="1">
      <c r="A159" s="486"/>
      <c r="I159" s="442"/>
      <c r="J159" s="442"/>
      <c r="K159" s="442"/>
      <c r="L159" s="442"/>
      <c r="M159" s="442"/>
      <c r="N159" s="442"/>
      <c r="O159" s="442"/>
    </row>
    <row r="160" spans="1:15" s="433" customFormat="1">
      <c r="A160" s="486"/>
      <c r="I160" s="442"/>
      <c r="J160" s="442"/>
      <c r="K160" s="442"/>
      <c r="L160" s="442"/>
      <c r="M160" s="442"/>
      <c r="N160" s="442"/>
      <c r="O160" s="442"/>
    </row>
    <row r="161" spans="1:15" s="433" customFormat="1">
      <c r="A161" s="486"/>
      <c r="I161" s="442"/>
      <c r="J161" s="442"/>
      <c r="K161" s="442"/>
      <c r="L161" s="442"/>
      <c r="M161" s="442"/>
      <c r="N161" s="442"/>
      <c r="O161" s="442"/>
    </row>
    <row r="162" spans="1:15" s="433" customFormat="1">
      <c r="A162" s="486"/>
      <c r="I162" s="442"/>
      <c r="J162" s="442"/>
      <c r="K162" s="442"/>
      <c r="L162" s="442"/>
      <c r="M162" s="442"/>
      <c r="N162" s="442"/>
      <c r="O162" s="442"/>
    </row>
    <row r="163" spans="1:15" s="433" customFormat="1">
      <c r="A163" s="486"/>
      <c r="I163" s="442"/>
      <c r="J163" s="442"/>
      <c r="K163" s="442"/>
      <c r="L163" s="442"/>
      <c r="M163" s="442"/>
      <c r="N163" s="442"/>
      <c r="O163" s="442"/>
    </row>
    <row r="164" spans="1:15" s="433" customFormat="1">
      <c r="A164" s="486"/>
      <c r="I164" s="442"/>
      <c r="J164" s="442"/>
      <c r="K164" s="442"/>
      <c r="L164" s="442"/>
      <c r="M164" s="442"/>
      <c r="N164" s="442"/>
      <c r="O164" s="442"/>
    </row>
    <row r="165" spans="1:15" s="433" customFormat="1">
      <c r="A165" s="486"/>
      <c r="I165" s="442"/>
      <c r="J165" s="442"/>
      <c r="K165" s="442"/>
      <c r="L165" s="442"/>
      <c r="M165" s="442"/>
      <c r="N165" s="442"/>
      <c r="O165" s="442"/>
    </row>
    <row r="166" spans="1:15" s="433" customFormat="1">
      <c r="A166" s="486"/>
      <c r="I166" s="442"/>
      <c r="J166" s="442"/>
      <c r="K166" s="442"/>
      <c r="L166" s="442"/>
      <c r="M166" s="442"/>
      <c r="N166" s="442"/>
      <c r="O166" s="442"/>
    </row>
    <row r="167" spans="1:15" s="433" customFormat="1">
      <c r="A167" s="486"/>
      <c r="I167" s="442"/>
      <c r="J167" s="442"/>
      <c r="K167" s="442"/>
      <c r="L167" s="442"/>
      <c r="M167" s="442"/>
      <c r="N167" s="442"/>
      <c r="O167" s="442"/>
    </row>
    <row r="168" spans="1:15" s="433" customFormat="1">
      <c r="A168" s="486"/>
      <c r="I168" s="442"/>
      <c r="J168" s="442"/>
      <c r="K168" s="442"/>
      <c r="L168" s="442"/>
      <c r="M168" s="442"/>
      <c r="N168" s="442"/>
      <c r="O168" s="442"/>
    </row>
    <row r="169" spans="1:15" s="433" customFormat="1">
      <c r="A169" s="486"/>
      <c r="I169" s="442"/>
      <c r="J169" s="442"/>
      <c r="K169" s="442"/>
      <c r="L169" s="442"/>
      <c r="M169" s="442"/>
      <c r="N169" s="442"/>
      <c r="O169" s="442"/>
    </row>
    <row r="170" spans="1:15" s="433" customFormat="1">
      <c r="A170" s="486"/>
      <c r="I170" s="442"/>
      <c r="J170" s="442"/>
      <c r="K170" s="442"/>
      <c r="L170" s="442"/>
      <c r="M170" s="442"/>
      <c r="N170" s="442"/>
      <c r="O170" s="442"/>
    </row>
    <row r="171" spans="1:15" s="433" customFormat="1">
      <c r="A171" s="486"/>
      <c r="I171" s="442"/>
      <c r="J171" s="442"/>
      <c r="K171" s="442"/>
      <c r="L171" s="442"/>
      <c r="M171" s="442"/>
      <c r="N171" s="442"/>
      <c r="O171" s="442"/>
    </row>
    <row r="172" spans="1:15" s="433" customFormat="1">
      <c r="A172" s="486"/>
      <c r="I172" s="442"/>
      <c r="J172" s="442"/>
      <c r="K172" s="442"/>
      <c r="L172" s="442"/>
      <c r="M172" s="442"/>
      <c r="N172" s="442"/>
      <c r="O172" s="442"/>
    </row>
    <row r="173" spans="1:15" s="433" customFormat="1">
      <c r="A173" s="486"/>
      <c r="I173" s="442"/>
      <c r="J173" s="442"/>
      <c r="K173" s="442"/>
      <c r="L173" s="442"/>
      <c r="M173" s="442"/>
      <c r="N173" s="442"/>
      <c r="O173" s="442"/>
    </row>
    <row r="174" spans="1:15" s="433" customFormat="1">
      <c r="A174" s="486"/>
      <c r="I174" s="442"/>
      <c r="J174" s="442"/>
      <c r="K174" s="442"/>
      <c r="L174" s="442"/>
      <c r="M174" s="442"/>
      <c r="N174" s="442"/>
      <c r="O174" s="442"/>
    </row>
    <row r="175" spans="1:15" s="433" customFormat="1">
      <c r="A175" s="486"/>
      <c r="I175" s="442"/>
      <c r="J175" s="442"/>
      <c r="K175" s="442"/>
      <c r="L175" s="442"/>
      <c r="M175" s="442"/>
      <c r="N175" s="442"/>
      <c r="O175" s="442"/>
    </row>
    <row r="176" spans="1:15" s="433" customFormat="1">
      <c r="A176" s="486"/>
      <c r="I176" s="442"/>
      <c r="J176" s="442"/>
      <c r="K176" s="442"/>
      <c r="L176" s="442"/>
      <c r="M176" s="442"/>
      <c r="N176" s="442"/>
      <c r="O176" s="442"/>
    </row>
    <row r="177" spans="1:15" s="433" customFormat="1">
      <c r="A177" s="486"/>
      <c r="I177" s="442"/>
      <c r="J177" s="442"/>
      <c r="K177" s="442"/>
      <c r="L177" s="442"/>
      <c r="M177" s="442"/>
      <c r="N177" s="442"/>
      <c r="O177" s="442"/>
    </row>
    <row r="178" spans="1:15" s="433" customFormat="1">
      <c r="A178" s="486"/>
      <c r="I178" s="442"/>
      <c r="J178" s="442"/>
      <c r="K178" s="442"/>
      <c r="L178" s="442"/>
      <c r="M178" s="442"/>
      <c r="N178" s="442"/>
      <c r="O178" s="442"/>
    </row>
    <row r="179" spans="1:15" s="433" customFormat="1">
      <c r="A179" s="486"/>
      <c r="I179" s="442"/>
      <c r="J179" s="442"/>
      <c r="K179" s="442"/>
      <c r="L179" s="442"/>
      <c r="M179" s="442"/>
      <c r="N179" s="442"/>
      <c r="O179" s="442"/>
    </row>
    <row r="180" spans="1:15" s="433" customFormat="1">
      <c r="A180" s="486"/>
      <c r="I180" s="442"/>
      <c r="J180" s="442"/>
      <c r="K180" s="442"/>
      <c r="L180" s="442"/>
      <c r="M180" s="442"/>
      <c r="N180" s="442"/>
      <c r="O180" s="442"/>
    </row>
    <row r="181" spans="1:15" s="433" customFormat="1">
      <c r="A181" s="486"/>
      <c r="I181" s="442"/>
      <c r="J181" s="442"/>
      <c r="K181" s="442"/>
      <c r="L181" s="442"/>
      <c r="M181" s="442"/>
      <c r="N181" s="442"/>
      <c r="O181" s="442"/>
    </row>
    <row r="182" spans="1:15" s="433" customFormat="1">
      <c r="A182" s="486"/>
      <c r="I182" s="442"/>
      <c r="J182" s="442"/>
      <c r="K182" s="442"/>
      <c r="L182" s="442"/>
      <c r="M182" s="442"/>
      <c r="N182" s="442"/>
      <c r="O182" s="442"/>
    </row>
    <row r="183" spans="1:15" s="433" customFormat="1">
      <c r="A183" s="486"/>
      <c r="I183" s="442"/>
      <c r="J183" s="442"/>
      <c r="K183" s="442"/>
      <c r="L183" s="442"/>
      <c r="M183" s="442"/>
      <c r="N183" s="442"/>
      <c r="O183" s="442"/>
    </row>
    <row r="184" spans="1:15" s="433" customFormat="1">
      <c r="A184" s="486"/>
      <c r="I184" s="442"/>
      <c r="J184" s="442"/>
      <c r="K184" s="442"/>
      <c r="L184" s="442"/>
      <c r="M184" s="442"/>
      <c r="N184" s="442"/>
      <c r="O184" s="442"/>
    </row>
    <row r="185" spans="1:15" s="433" customFormat="1">
      <c r="A185" s="486"/>
      <c r="I185" s="442"/>
      <c r="J185" s="442"/>
      <c r="K185" s="442"/>
      <c r="L185" s="442"/>
      <c r="M185" s="442"/>
      <c r="N185" s="442"/>
      <c r="O185" s="442"/>
    </row>
    <row r="186" spans="1:15" s="433" customFormat="1">
      <c r="A186" s="486"/>
      <c r="I186" s="442"/>
      <c r="J186" s="442"/>
      <c r="K186" s="442"/>
      <c r="L186" s="442"/>
      <c r="M186" s="442"/>
      <c r="N186" s="442"/>
      <c r="O186" s="442"/>
    </row>
    <row r="187" spans="1:15" s="433" customFormat="1">
      <c r="A187" s="486"/>
      <c r="I187" s="442"/>
      <c r="J187" s="442"/>
      <c r="K187" s="442"/>
      <c r="L187" s="442"/>
      <c r="M187" s="442"/>
      <c r="N187" s="442"/>
      <c r="O187" s="442"/>
    </row>
    <row r="188" spans="1:15" s="433" customFormat="1">
      <c r="A188" s="486"/>
      <c r="I188" s="442"/>
      <c r="J188" s="442"/>
      <c r="K188" s="442"/>
      <c r="L188" s="442"/>
      <c r="M188" s="442"/>
      <c r="N188" s="442"/>
      <c r="O188" s="442"/>
    </row>
    <row r="189" spans="1:15" s="433" customFormat="1">
      <c r="A189" s="486"/>
      <c r="I189" s="442"/>
      <c r="J189" s="442"/>
      <c r="K189" s="442"/>
      <c r="L189" s="442"/>
      <c r="M189" s="442"/>
      <c r="N189" s="442"/>
      <c r="O189" s="442"/>
    </row>
    <row r="190" spans="1:15" s="433" customFormat="1">
      <c r="A190" s="486"/>
      <c r="I190" s="442"/>
      <c r="J190" s="442"/>
      <c r="K190" s="442"/>
      <c r="L190" s="442"/>
      <c r="M190" s="442"/>
      <c r="N190" s="442"/>
      <c r="O190" s="442"/>
    </row>
    <row r="191" spans="1:15" s="433" customFormat="1">
      <c r="A191" s="486"/>
      <c r="I191" s="442"/>
      <c r="J191" s="442"/>
      <c r="K191" s="442"/>
      <c r="L191" s="442"/>
      <c r="M191" s="442"/>
      <c r="N191" s="442"/>
      <c r="O191" s="442"/>
    </row>
    <row r="192" spans="1:15" s="433" customFormat="1">
      <c r="A192" s="486"/>
      <c r="I192" s="442"/>
      <c r="J192" s="442"/>
      <c r="K192" s="442"/>
      <c r="L192" s="442"/>
      <c r="M192" s="442"/>
      <c r="N192" s="442"/>
      <c r="O192" s="442"/>
    </row>
    <row r="193" spans="1:15" s="433" customFormat="1">
      <c r="A193" s="486"/>
      <c r="I193" s="442"/>
      <c r="J193" s="442"/>
      <c r="K193" s="442"/>
      <c r="L193" s="442"/>
      <c r="M193" s="442"/>
      <c r="N193" s="442"/>
      <c r="O193" s="442"/>
    </row>
    <row r="194" spans="1:15" s="433" customFormat="1">
      <c r="A194" s="486"/>
      <c r="I194" s="442"/>
      <c r="J194" s="442"/>
      <c r="K194" s="442"/>
      <c r="L194" s="442"/>
      <c r="M194" s="442"/>
      <c r="N194" s="442"/>
      <c r="O194" s="442"/>
    </row>
    <row r="195" spans="1:15" s="433" customFormat="1">
      <c r="A195" s="486"/>
      <c r="I195" s="442"/>
      <c r="J195" s="442"/>
      <c r="K195" s="442"/>
      <c r="L195" s="442"/>
      <c r="M195" s="442"/>
      <c r="N195" s="442"/>
      <c r="O195" s="442"/>
    </row>
    <row r="196" spans="1:15" s="433" customFormat="1">
      <c r="A196" s="486"/>
      <c r="I196" s="442"/>
      <c r="J196" s="442"/>
      <c r="K196" s="442"/>
      <c r="L196" s="442"/>
      <c r="M196" s="442"/>
      <c r="N196" s="442"/>
      <c r="O196" s="442"/>
    </row>
    <row r="197" spans="1:15" s="433" customFormat="1">
      <c r="A197" s="486"/>
      <c r="I197" s="442"/>
      <c r="J197" s="442"/>
      <c r="K197" s="442"/>
      <c r="L197" s="442"/>
      <c r="M197" s="442"/>
      <c r="N197" s="442"/>
      <c r="O197" s="442"/>
    </row>
    <row r="198" spans="1:15" s="433" customFormat="1">
      <c r="A198" s="486"/>
      <c r="I198" s="442"/>
      <c r="J198" s="442"/>
      <c r="K198" s="442"/>
      <c r="L198" s="442"/>
      <c r="M198" s="442"/>
      <c r="N198" s="442"/>
      <c r="O198" s="442"/>
    </row>
    <row r="199" spans="1:15" s="433" customFormat="1">
      <c r="A199" s="486"/>
      <c r="I199" s="442"/>
      <c r="J199" s="442"/>
      <c r="K199" s="442"/>
      <c r="L199" s="442"/>
      <c r="M199" s="442"/>
      <c r="N199" s="442"/>
      <c r="O199" s="442"/>
    </row>
    <row r="200" spans="1:15" s="433" customFormat="1">
      <c r="A200" s="486"/>
      <c r="I200" s="442"/>
      <c r="J200" s="442"/>
      <c r="K200" s="442"/>
      <c r="L200" s="442"/>
      <c r="M200" s="442"/>
      <c r="N200" s="442"/>
      <c r="O200" s="442"/>
    </row>
    <row r="201" spans="1:15" s="433" customFormat="1">
      <c r="A201" s="486"/>
      <c r="I201" s="442"/>
      <c r="J201" s="442"/>
      <c r="K201" s="442"/>
      <c r="L201" s="442"/>
      <c r="M201" s="442"/>
      <c r="N201" s="442"/>
      <c r="O201" s="442"/>
    </row>
    <row r="202" spans="1:15" s="433" customFormat="1">
      <c r="A202" s="486"/>
      <c r="I202" s="442"/>
      <c r="J202" s="442"/>
      <c r="K202" s="442"/>
      <c r="L202" s="442"/>
      <c r="M202" s="442"/>
      <c r="N202" s="442"/>
      <c r="O202" s="442"/>
    </row>
  </sheetData>
  <sheetProtection password="C07B" sheet="1" objects="1" scenarios="1"/>
  <mergeCells count="11">
    <mergeCell ref="B34:B35"/>
    <mergeCell ref="C34:C35"/>
    <mergeCell ref="D34:E34"/>
    <mergeCell ref="B29:E30"/>
    <mergeCell ref="C33:E33"/>
    <mergeCell ref="D13:E13"/>
    <mergeCell ref="B18:E20"/>
    <mergeCell ref="B26:E28"/>
    <mergeCell ref="B21:E25"/>
    <mergeCell ref="B13:B16"/>
    <mergeCell ref="C13:C14"/>
  </mergeCells>
  <conditionalFormatting sqref="G36:G55">
    <cfRule type="containsText" dxfId="280" priority="1" operator="containsText" text="OK">
      <formula>NOT(ISERROR(SEARCH("OK",G36)))</formula>
    </cfRule>
    <cfRule type="containsText" dxfId="279" priority="2" operator="containsText" text="ERROR">
      <formula>NOT(ISERROR(SEARCH("ERROR",G36)))</formula>
    </cfRule>
    <cfRule type="expression" dxfId="278" priority="3">
      <formula>"ERROR"</formula>
    </cfRule>
    <cfRule type="colorScale" priority="4">
      <colorScale>
        <cfvo type="min"/>
        <cfvo type="max"/>
        <color rgb="FFFF0000"/>
        <color rgb="FFFFEF9C"/>
      </colorScale>
    </cfRule>
  </conditionalFormatting>
  <pageMargins left="0.7" right="0.7" top="0.75" bottom="0.75" header="0.3" footer="0.3"/>
  <pageSetup scale="10" orientation="portrait" r:id="rId1"/>
  <customProperties>
    <customPr name="CofConfiguration" r:id="rId2"/>
    <customPr name="CofWorksheetType" r:id="rId3"/>
    <customPr name="EpmWorksheetKeyString_GUID" r:id="rId4"/>
    <customPr name="FPMExcelClientCellBasedFunctionStatus" r:id="rId5"/>
    <customPr name="FPMExcelClientRefreshTime" r:id="rId6"/>
  </customProperties>
  <drawing r:id="rId7"/>
  <legacyDrawing r:id="rId8"/>
  <controls>
    <mc:AlternateContent xmlns:mc="http://schemas.openxmlformats.org/markup-compatibility/2006">
      <mc:Choice Requires="x14">
        <control shapeId="268289" r:id="rId9" name="FPMExcelClientSheetOptionstb1">
          <controlPr defaultSize="0" autoLine="0" r:id="rId10">
            <anchor moveWithCells="1" sizeWithCells="1">
              <from>
                <xdr:col>0</xdr:col>
                <xdr:colOff>0</xdr:colOff>
                <xdr:row>0</xdr:row>
                <xdr:rowOff>0</xdr:rowOff>
              </from>
              <to>
                <xdr:col>0</xdr:col>
                <xdr:colOff>9525</xdr:colOff>
                <xdr:row>0</xdr:row>
                <xdr:rowOff>0</xdr:rowOff>
              </to>
            </anchor>
          </controlPr>
        </control>
      </mc:Choice>
      <mc:Fallback>
        <control shapeId="268289" r:id="rId9" name="FPMExcelClientSheetOptionstb1"/>
      </mc:Fallback>
    </mc:AlternateContent>
    <mc:AlternateContent xmlns:mc="http://schemas.openxmlformats.org/markup-compatibility/2006">
      <mc:Choice Requires="x14">
        <control shapeId="268290" r:id="rId11" name="ConnectionDescriptorsInfotb1">
          <controlPr defaultSize="0" autoLine="0" r:id="rId12">
            <anchor moveWithCells="1" sizeWithCells="1">
              <from>
                <xdr:col>0</xdr:col>
                <xdr:colOff>0</xdr:colOff>
                <xdr:row>0</xdr:row>
                <xdr:rowOff>0</xdr:rowOff>
              </from>
              <to>
                <xdr:col>0</xdr:col>
                <xdr:colOff>9525</xdr:colOff>
                <xdr:row>0</xdr:row>
                <xdr:rowOff>0</xdr:rowOff>
              </to>
            </anchor>
          </controlPr>
        </control>
      </mc:Choice>
      <mc:Fallback>
        <control shapeId="268290" r:id="rId11" name="ConnectionDescriptorsInfotb1"/>
      </mc:Fallback>
    </mc:AlternateContent>
    <mc:AlternateContent xmlns:mc="http://schemas.openxmlformats.org/markup-compatibility/2006">
      <mc:Choice Requires="x14">
        <control shapeId="268291" r:id="rId13" name="MultipleReportManagerInfotb1">
          <controlPr defaultSize="0" autoLine="0" r:id="rId14">
            <anchor moveWithCells="1" sizeWithCells="1">
              <from>
                <xdr:col>0</xdr:col>
                <xdr:colOff>0</xdr:colOff>
                <xdr:row>0</xdr:row>
                <xdr:rowOff>0</xdr:rowOff>
              </from>
              <to>
                <xdr:col>0</xdr:col>
                <xdr:colOff>9525</xdr:colOff>
                <xdr:row>0</xdr:row>
                <xdr:rowOff>0</xdr:rowOff>
              </to>
            </anchor>
          </controlPr>
        </control>
      </mc:Choice>
      <mc:Fallback>
        <control shapeId="268291" r:id="rId13" name="MultipleReportManagerInfotb1"/>
      </mc:Fallback>
    </mc:AlternateContent>
    <mc:AlternateContent xmlns:mc="http://schemas.openxmlformats.org/markup-compatibility/2006">
      <mc:Choice Requires="x14">
        <control shapeId="268292" r:id="rId15" name="AnalyzerDynReport000tb1">
          <controlPr defaultSize="0" autoLine="0" r:id="rId16">
            <anchor moveWithCells="1" sizeWithCells="1">
              <from>
                <xdr:col>0</xdr:col>
                <xdr:colOff>0</xdr:colOff>
                <xdr:row>0</xdr:row>
                <xdr:rowOff>0</xdr:rowOff>
              </from>
              <to>
                <xdr:col>0</xdr:col>
                <xdr:colOff>9525</xdr:colOff>
                <xdr:row>0</xdr:row>
                <xdr:rowOff>0</xdr:rowOff>
              </to>
            </anchor>
          </controlPr>
        </control>
      </mc:Choice>
      <mc:Fallback>
        <control shapeId="268292" r:id="rId15" name="AnalyzerDynReport000tb1"/>
      </mc:Fallback>
    </mc:AlternateContent>
    <mc:AlternateContent xmlns:mc="http://schemas.openxmlformats.org/markup-compatibility/2006">
      <mc:Choice Requires="x14">
        <control shapeId="268293" r:id="rId17" name="ReportSubmitManagerControltb1">
          <controlPr defaultSize="0" autoLine="0" r:id="rId18">
            <anchor moveWithCells="1" sizeWithCells="1">
              <from>
                <xdr:col>0</xdr:col>
                <xdr:colOff>0</xdr:colOff>
                <xdr:row>0</xdr:row>
                <xdr:rowOff>0</xdr:rowOff>
              </from>
              <to>
                <xdr:col>0</xdr:col>
                <xdr:colOff>9525</xdr:colOff>
                <xdr:row>0</xdr:row>
                <xdr:rowOff>0</xdr:rowOff>
              </to>
            </anchor>
          </controlPr>
        </control>
      </mc:Choice>
      <mc:Fallback>
        <control shapeId="268293" r:id="rId17" name="ReportSubmitManagerControltb1"/>
      </mc:Fallback>
    </mc:AlternateContent>
    <mc:AlternateContent xmlns:mc="http://schemas.openxmlformats.org/markup-compatibility/2006">
      <mc:Choice Requires="x14">
        <control shapeId="268294" r:id="rId19" name="ReportSubmitControl_1tb1">
          <controlPr defaultSize="0" autoLine="0" r:id="rId20">
            <anchor moveWithCells="1" sizeWithCells="1">
              <from>
                <xdr:col>0</xdr:col>
                <xdr:colOff>0</xdr:colOff>
                <xdr:row>0</xdr:row>
                <xdr:rowOff>0</xdr:rowOff>
              </from>
              <to>
                <xdr:col>0</xdr:col>
                <xdr:colOff>9525</xdr:colOff>
                <xdr:row>0</xdr:row>
                <xdr:rowOff>0</xdr:rowOff>
              </to>
            </anchor>
          </controlPr>
        </control>
      </mc:Choice>
      <mc:Fallback>
        <control shapeId="268294" r:id="rId19" name="ReportSubmitControl_1tb1"/>
      </mc:Fallback>
    </mc:AlternateContent>
    <mc:AlternateContent xmlns:mc="http://schemas.openxmlformats.org/markup-compatibility/2006">
      <mc:Choice Requires="x14">
        <control shapeId="268296" r:id="rId21" name="ReportSubmitControl_2tb1">
          <controlPr defaultSize="0" autoLine="0" autoPict="0" r:id="rId22">
            <anchor moveWithCells="1" sizeWithCells="1">
              <from>
                <xdr:col>0</xdr:col>
                <xdr:colOff>0</xdr:colOff>
                <xdr:row>0</xdr:row>
                <xdr:rowOff>0</xdr:rowOff>
              </from>
              <to>
                <xdr:col>1</xdr:col>
                <xdr:colOff>914400</xdr:colOff>
                <xdr:row>0</xdr:row>
                <xdr:rowOff>0</xdr:rowOff>
              </to>
            </anchor>
          </controlPr>
        </control>
      </mc:Choice>
      <mc:Fallback>
        <control shapeId="268296" r:id="rId21" name="ReportSubmitControl_2tb1"/>
      </mc:Fallback>
    </mc:AlternateContent>
    <mc:AlternateContent xmlns:mc="http://schemas.openxmlformats.org/markup-compatibility/2006">
      <mc:Choice Requires="x14">
        <control shapeId="268298" r:id="rId23" name="Button 10">
          <controlPr defaultSize="0" print="0" autoFill="0" autoPict="0" macro="[0]!CONSULTAR_INFORMACION">
            <anchor moveWithCells="1" sizeWithCells="1">
              <from>
                <xdr:col>3</xdr:col>
                <xdr:colOff>285750</xdr:colOff>
                <xdr:row>1</xdr:row>
                <xdr:rowOff>171450</xdr:rowOff>
              </from>
              <to>
                <xdr:col>6</xdr:col>
                <xdr:colOff>438150</xdr:colOff>
                <xdr:row>3</xdr:row>
                <xdr:rowOff>9525</xdr:rowOff>
              </to>
            </anchor>
          </controlPr>
        </control>
      </mc:Choice>
    </mc:AlternateContent>
    <mc:AlternateContent xmlns:mc="http://schemas.openxmlformats.org/markup-compatibility/2006">
      <mc:Choice Requires="x14">
        <control shapeId="268305" r:id="rId24" name="Button 17">
          <controlPr defaultSize="0" print="0" autoFill="0" autoPict="0" macro="[0]!GUARDAR_INFORMACION">
            <anchor moveWithCells="1" sizeWithCells="1">
              <from>
                <xdr:col>6</xdr:col>
                <xdr:colOff>333375</xdr:colOff>
                <xdr:row>0</xdr:row>
                <xdr:rowOff>114300</xdr:rowOff>
              </from>
              <to>
                <xdr:col>16</xdr:col>
                <xdr:colOff>200025</xdr:colOff>
                <xdr:row>0</xdr:row>
                <xdr:rowOff>314325</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Resultados!$BG$6:$BG$37</xm:f>
          </x14:formula1>
          <xm:sqref>C4:C5</xm:sqref>
        </x14:dataValidation>
        <x14:dataValidation type="list" showErrorMessage="1" error="Por favor seleccione X o vacio">
          <x14:formula1>
            <xm:f>Resultados!$B$67:$B$68</xm:f>
          </x14:formula1>
          <xm:sqref>D36:E55</xm:sqref>
        </x14:dataValidation>
        <x14:dataValidation type="list" allowBlank="1" showInputMessage="1" showErrorMessage="1" error="Por favor, Elegir una Entidad valida">
          <x14:formula1>
            <xm:f>Resultados!$BA$6:$BA$77</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A1:AY120"/>
  <sheetViews>
    <sheetView showGridLines="0" topLeftCell="B29" zoomScale="73" zoomScaleNormal="73" workbookViewId="0">
      <selection activeCell="B34" sqref="B34"/>
    </sheetView>
  </sheetViews>
  <sheetFormatPr baseColWidth="10" defaultColWidth="11.42578125" defaultRowHeight="15"/>
  <cols>
    <col min="1" max="1" width="9.140625" style="99" hidden="1" customWidth="1"/>
    <col min="2" max="2" width="14.28515625" style="20" customWidth="1"/>
    <col min="3" max="3" width="80.7109375" style="20" customWidth="1"/>
    <col min="4" max="4" width="24" style="20" customWidth="1"/>
    <col min="5" max="12" width="18.7109375" style="20" customWidth="1"/>
    <col min="13" max="13" width="18.7109375" style="20" hidden="1" customWidth="1"/>
    <col min="14" max="14" width="28" style="20" bestFit="1" customWidth="1"/>
    <col min="15" max="15" width="4.7109375" style="20" customWidth="1"/>
    <col min="16" max="16" width="21.28515625" style="20" customWidth="1"/>
    <col min="17" max="17" width="18.7109375" style="20" hidden="1" customWidth="1"/>
    <col min="18" max="18" width="18.7109375" style="20" customWidth="1"/>
    <col min="19" max="19" width="5.5703125" style="108" customWidth="1"/>
    <col min="20" max="21" width="18.7109375" style="20" hidden="1" customWidth="1"/>
    <col min="22" max="22" width="14.140625" style="20" customWidth="1"/>
    <col min="23" max="23" width="80.7109375" style="20" customWidth="1"/>
    <col min="24" max="32" width="18.7109375" style="20" customWidth="1"/>
    <col min="33" max="33" width="25.42578125" style="117" bestFit="1" customWidth="1"/>
    <col min="34" max="34" width="18.7109375" style="108" hidden="1" customWidth="1"/>
    <col min="35" max="35" width="18.7109375" style="117" customWidth="1"/>
    <col min="36" max="37" width="18.7109375" style="117" hidden="1" customWidth="1"/>
    <col min="38" max="38" width="2.7109375" style="117" customWidth="1"/>
    <col min="39" max="39" width="7.42578125" style="117" bestFit="1" customWidth="1"/>
    <col min="40" max="40" width="18.7109375" style="117" customWidth="1"/>
    <col min="41" max="41" width="7" style="117" bestFit="1" customWidth="1"/>
    <col min="42" max="42" width="19.42578125" style="117" bestFit="1" customWidth="1"/>
    <col min="43" max="49" width="18.7109375" style="117" customWidth="1"/>
    <col min="50" max="66" width="18.7109375" style="20" customWidth="1"/>
    <col min="67" max="16384" width="11.42578125" style="20"/>
  </cols>
  <sheetData>
    <row r="1" spans="1:40" s="29" customFormat="1" ht="101.25" customHeight="1">
      <c r="A1" s="29" t="s">
        <v>25</v>
      </c>
      <c r="B1" s="189" t="s">
        <v>653</v>
      </c>
    </row>
    <row r="2" spans="1:40">
      <c r="A2" s="99" t="str">
        <f>IF(AK2&gt;0,"Error","ok")</f>
        <v>Error</v>
      </c>
      <c r="B2" s="5"/>
      <c r="C2" s="5"/>
      <c r="D2" s="29"/>
      <c r="E2" s="29"/>
      <c r="F2" s="29"/>
      <c r="G2" s="29"/>
      <c r="H2" s="29"/>
      <c r="I2" s="29"/>
      <c r="J2" s="29"/>
      <c r="K2" s="29"/>
      <c r="L2" s="29"/>
      <c r="M2" s="29"/>
      <c r="S2" s="118"/>
      <c r="T2" s="29"/>
      <c r="U2" s="29"/>
      <c r="V2" s="29"/>
      <c r="W2" s="29"/>
      <c r="X2" s="29"/>
      <c r="Y2" s="29"/>
      <c r="Z2" s="29"/>
      <c r="AA2" s="29"/>
      <c r="AB2" s="29"/>
      <c r="AC2" s="29"/>
      <c r="AD2" s="29"/>
      <c r="AE2" s="29"/>
      <c r="AF2" s="29"/>
      <c r="AG2" s="86"/>
      <c r="AH2" s="118"/>
      <c r="AI2" s="86"/>
      <c r="AJ2" s="86"/>
      <c r="AK2" s="117">
        <f>SUM(AK3:AK36)</f>
        <v>9</v>
      </c>
      <c r="AL2" s="126"/>
    </row>
    <row r="3" spans="1:40">
      <c r="A3" s="21">
        <f>IF(A2="Error",0,1)</f>
        <v>0</v>
      </c>
      <c r="B3" s="226" t="str">
        <f>tblParam[[#This Row],[FILTROS]]</f>
        <v>ENTIDAD</v>
      </c>
      <c r="C3" s="229"/>
      <c r="D3" s="29"/>
      <c r="E3" s="29"/>
      <c r="F3" s="29"/>
      <c r="G3" s="29"/>
      <c r="H3" s="29"/>
      <c r="I3" s="29"/>
      <c r="J3" s="29"/>
      <c r="K3" s="29"/>
      <c r="L3" s="29"/>
      <c r="M3" s="29"/>
      <c r="S3" s="118"/>
      <c r="T3" s="29"/>
      <c r="U3" s="29"/>
      <c r="V3" s="29"/>
      <c r="W3" s="29"/>
      <c r="X3" s="29"/>
      <c r="Y3" s="29"/>
      <c r="Z3" s="29"/>
      <c r="AA3" s="29"/>
      <c r="AB3" s="29"/>
      <c r="AC3" s="29"/>
      <c r="AD3" s="29"/>
      <c r="AE3" s="29"/>
      <c r="AF3" s="29"/>
      <c r="AG3" s="86"/>
      <c r="AH3" s="118"/>
      <c r="AI3" s="86"/>
      <c r="AJ3" s="86"/>
      <c r="AL3" s="126"/>
    </row>
    <row r="4" spans="1:40">
      <c r="A4" s="21" t="e">
        <f ca="1">_xll.EPMMemberOffset(,C4,-12)</f>
        <v>#NAME?</v>
      </c>
      <c r="B4" s="226" t="str">
        <f>tblParam[[#This Row],[FILTROS]]</f>
        <v>PERIODO1</v>
      </c>
      <c r="C4" s="229"/>
      <c r="AL4" s="126"/>
    </row>
    <row r="5" spans="1:40">
      <c r="A5" s="21" t="str">
        <f>MID(Resultados!K5,1,4)</f>
        <v/>
      </c>
      <c r="B5" s="226" t="str">
        <f>tblParam[[#This Row],[FILTROS]]</f>
        <v>PERIODO2</v>
      </c>
      <c r="C5" s="229"/>
    </row>
    <row r="6" spans="1:40" hidden="1">
      <c r="A6" s="21" t="str">
        <f>MID(Resultados!K4,1,4)</f>
        <v/>
      </c>
      <c r="B6" s="226" t="str">
        <f>tblParam[[#This Row],[FILTROS]]</f>
        <v>VERSION</v>
      </c>
      <c r="C6" s="227">
        <f>tblParam[[#This Row],[VALOR]]</f>
        <v>0</v>
      </c>
      <c r="D6" s="133"/>
      <c r="E6" s="186" t="e">
        <f ca="1">_xll.EPMMemberProperty("ANEXO_NOTAS_XBRL", C3, "CURRENCY")</f>
        <v>#NAME?</v>
      </c>
    </row>
    <row r="7" spans="1:40" hidden="1">
      <c r="A7" s="21"/>
      <c r="B7" s="226" t="str">
        <f>tblParam[[#This Row],[FILTROS]]</f>
        <v>GRUPO</v>
      </c>
      <c r="C7" s="229" t="str">
        <f>Resultados!$C$13</f>
        <v>GRUPO EMPRESARIAL INVERNAC</v>
      </c>
    </row>
    <row r="8" spans="1:40">
      <c r="A8" s="21"/>
      <c r="B8" s="226" t="e">
        <f>CONCATENATE("TRM A LA FECHA DE REPORTE: ",IF(INDEX(ENTIDADES[#All],MATCH($C$3,ENTIDADES[[#All],[Concatenacion]],0),3)&lt;&gt;"COP",INDEX(BPC_TASAS[#All],MATCH(INDEX(ENTIDADES[#All],MATCH($C$3,ENTIDADES[[#All],[Concatenacion]],0),3)&amp;"_"&amp;Resultados!$K$4,BPC_TASAS[[#All],[Concatenacion]],0),3),INDEX(BPC_TASAS[#All],MATCH("USD"&amp;"_"&amp;Resultados!$K$4,BPC_TASAS[[#All],[Concatenacion]],0),3)))</f>
        <v>#N/A</v>
      </c>
      <c r="C8" s="229"/>
    </row>
    <row r="9" spans="1:40">
      <c r="A9" s="21"/>
      <c r="B9" s="226" t="e">
        <f>CONCATENATE("MONEDA DE PRESENTACION: ",INDEX(ENTIDADES[#All],MATCH($C$3,ENTIDADES[[#All],[Concatenacion]],0),2),IF(INDEX(ENTIDADES[#All],MATCH($C$3,ENTIDADES[[#All],[Concatenacion]],0),3) = "COP"," (Sin decimales)"," (Con decimales)"))</f>
        <v>#N/A</v>
      </c>
      <c r="C9" s="229"/>
    </row>
    <row r="10" spans="1:40">
      <c r="A10" s="21"/>
      <c r="B10" s="30">
        <v>1</v>
      </c>
      <c r="C10" s="37" t="s">
        <v>664</v>
      </c>
      <c r="V10" s="30">
        <v>1</v>
      </c>
      <c r="W10" s="37" t="s">
        <v>61</v>
      </c>
      <c r="X10" s="38"/>
      <c r="Y10" s="38"/>
      <c r="Z10" s="38"/>
      <c r="AA10" s="38"/>
      <c r="AB10" s="38"/>
      <c r="AC10" s="38"/>
      <c r="AD10" s="38"/>
      <c r="AE10" s="120"/>
    </row>
    <row r="11" spans="1:40">
      <c r="B11" s="38"/>
      <c r="C11" s="37" t="s">
        <v>62</v>
      </c>
      <c r="D11" s="38"/>
      <c r="V11" s="38"/>
      <c r="W11" s="37" t="s">
        <v>62</v>
      </c>
      <c r="X11" s="38"/>
      <c r="Y11" s="38"/>
      <c r="Z11" s="38"/>
      <c r="AA11" s="38"/>
      <c r="AB11" s="38"/>
      <c r="AC11" s="38"/>
      <c r="AD11" s="38"/>
      <c r="AE11" s="38"/>
    </row>
    <row r="12" spans="1:40">
      <c r="T12" s="38"/>
      <c r="U12" s="38"/>
      <c r="V12" s="38"/>
      <c r="W12" s="38"/>
      <c r="X12" s="38"/>
      <c r="Y12" s="38"/>
      <c r="Z12" s="38"/>
      <c r="AA12" s="38"/>
      <c r="AB12" s="38"/>
      <c r="AC12" s="38"/>
      <c r="AD12" s="38"/>
      <c r="AE12" s="38"/>
    </row>
    <row r="13" spans="1:40">
      <c r="B13" s="771" t="str">
        <f>CONCATENATE("SALDOS A ",A6)</f>
        <v xml:space="preserve">SALDOS A </v>
      </c>
      <c r="C13" s="771"/>
      <c r="D13" s="771"/>
      <c r="E13" s="771"/>
      <c r="F13" s="771"/>
      <c r="G13" s="771"/>
      <c r="H13" s="771"/>
      <c r="I13" s="771"/>
      <c r="J13" s="771"/>
      <c r="K13" s="771"/>
      <c r="L13" s="771"/>
      <c r="M13" s="771"/>
      <c r="T13" s="771" t="str">
        <f>CONCATENATE("SALDOS AL ",A5)</f>
        <v xml:space="preserve">SALDOS AL </v>
      </c>
      <c r="U13" s="772"/>
      <c r="V13" s="772"/>
      <c r="W13" s="772"/>
      <c r="X13" s="772"/>
      <c r="Y13" s="772"/>
      <c r="Z13" s="772"/>
      <c r="AA13" s="772"/>
      <c r="AB13" s="772"/>
      <c r="AC13" s="772"/>
      <c r="AD13" s="772"/>
      <c r="AE13" s="772"/>
    </row>
    <row r="14" spans="1:40">
      <c r="S14" s="446"/>
      <c r="U14" s="116"/>
      <c r="V14" s="446"/>
      <c r="W14" s="446"/>
      <c r="X14" s="446"/>
      <c r="Y14" s="446"/>
      <c r="Z14" s="446"/>
      <c r="AA14" s="446"/>
      <c r="AB14" s="446"/>
      <c r="AC14" s="446"/>
      <c r="AD14" s="446"/>
      <c r="AE14" s="446"/>
      <c r="AF14" s="446"/>
      <c r="AG14" s="446"/>
      <c r="AI14" s="446"/>
      <c r="AJ14" s="446"/>
      <c r="AK14" s="446"/>
      <c r="AL14" s="446"/>
      <c r="AM14" s="446"/>
      <c r="AN14" s="446"/>
    </row>
    <row r="15" spans="1:40">
      <c r="C15" s="87" t="s">
        <v>63</v>
      </c>
      <c r="D15" s="87"/>
      <c r="E15" s="85"/>
      <c r="F15" s="85"/>
      <c r="G15" s="85"/>
      <c r="H15" s="85"/>
      <c r="I15" s="85"/>
      <c r="J15" s="85"/>
      <c r="K15" s="85"/>
      <c r="L15" s="85"/>
      <c r="M15" s="85"/>
      <c r="S15" s="446"/>
      <c r="V15" s="446"/>
      <c r="W15" s="446"/>
      <c r="X15" s="446"/>
      <c r="Y15" s="446"/>
      <c r="Z15" s="446"/>
      <c r="AA15" s="446"/>
      <c r="AB15" s="446"/>
      <c r="AC15" s="446"/>
      <c r="AD15" s="446"/>
      <c r="AE15" s="446"/>
      <c r="AF15" s="446"/>
      <c r="AG15" s="446"/>
      <c r="AI15" s="446"/>
      <c r="AJ15" s="446"/>
      <c r="AK15" s="446"/>
      <c r="AL15" s="446"/>
      <c r="AM15" s="446"/>
      <c r="AN15" s="446"/>
    </row>
    <row r="16" spans="1:40">
      <c r="C16" s="773" t="s">
        <v>665</v>
      </c>
      <c r="D16" s="773"/>
      <c r="E16" s="773"/>
      <c r="F16" s="773"/>
      <c r="G16" s="773"/>
      <c r="H16" s="773"/>
      <c r="I16" s="773"/>
      <c r="J16" s="773"/>
      <c r="K16" s="773"/>
      <c r="L16" s="773"/>
      <c r="M16" s="773"/>
      <c r="S16" s="446"/>
      <c r="V16" s="446"/>
      <c r="W16" s="446"/>
      <c r="X16" s="446"/>
      <c r="Y16" s="446"/>
      <c r="Z16" s="446"/>
      <c r="AA16" s="446"/>
      <c r="AB16" s="446"/>
      <c r="AC16" s="446"/>
      <c r="AD16" s="446"/>
      <c r="AE16" s="446"/>
      <c r="AF16" s="446"/>
      <c r="AG16" s="446"/>
      <c r="AI16" s="446"/>
      <c r="AJ16" s="446"/>
      <c r="AK16" s="446"/>
      <c r="AL16" s="446"/>
      <c r="AM16" s="446"/>
      <c r="AN16" s="446"/>
    </row>
    <row r="17" spans="1:51">
      <c r="C17" s="774" t="s">
        <v>64</v>
      </c>
      <c r="D17" s="774"/>
      <c r="E17" s="774"/>
      <c r="F17" s="774"/>
      <c r="G17" s="774"/>
      <c r="H17" s="774"/>
      <c r="I17" s="774"/>
      <c r="J17" s="774"/>
      <c r="K17" s="774"/>
      <c r="L17" s="774"/>
      <c r="M17" s="774"/>
      <c r="S17" s="446"/>
      <c r="U17" s="101" t="e">
        <f ca="1">_xll.EPMDimensionOverride("002","TIEMPO",$A$4)</f>
        <v>#NAME?</v>
      </c>
      <c r="V17" s="446"/>
      <c r="W17" s="446"/>
      <c r="X17" s="446"/>
      <c r="Y17" s="446"/>
      <c r="Z17" s="446"/>
      <c r="AA17" s="446"/>
      <c r="AB17" s="446"/>
      <c r="AC17" s="446"/>
      <c r="AD17" s="446"/>
      <c r="AE17" s="446"/>
      <c r="AF17" s="446"/>
      <c r="AG17" s="446"/>
      <c r="AI17" s="446"/>
      <c r="AJ17" s="446"/>
      <c r="AK17" s="446"/>
      <c r="AL17" s="446"/>
      <c r="AM17" s="446"/>
      <c r="AN17" s="446"/>
    </row>
    <row r="18" spans="1:51" ht="15.75" thickBot="1">
      <c r="C18" s="108"/>
      <c r="D18" s="108" t="s">
        <v>851</v>
      </c>
      <c r="E18" s="108" t="s">
        <v>846</v>
      </c>
      <c r="F18" s="108" t="s">
        <v>849</v>
      </c>
      <c r="G18" s="108" t="s">
        <v>850</v>
      </c>
      <c r="H18" s="108" t="s">
        <v>852</v>
      </c>
      <c r="I18" s="108" t="s">
        <v>1462</v>
      </c>
      <c r="J18" s="108" t="s">
        <v>1463</v>
      </c>
      <c r="K18" s="108" t="s">
        <v>401</v>
      </c>
      <c r="L18" s="108" t="s">
        <v>401</v>
      </c>
      <c r="M18" s="108"/>
      <c r="N18" s="108" t="s">
        <v>691</v>
      </c>
      <c r="O18" s="117"/>
      <c r="S18" s="446"/>
      <c r="V18" s="446"/>
      <c r="X18" s="108" t="s">
        <v>851</v>
      </c>
      <c r="Y18" s="108" t="s">
        <v>846</v>
      </c>
      <c r="Z18" s="108" t="s">
        <v>849</v>
      </c>
      <c r="AA18" s="108" t="s">
        <v>850</v>
      </c>
      <c r="AB18" s="108" t="s">
        <v>852</v>
      </c>
      <c r="AC18" s="108" t="s">
        <v>1462</v>
      </c>
      <c r="AD18" s="108" t="s">
        <v>1463</v>
      </c>
      <c r="AE18" s="108" t="s">
        <v>401</v>
      </c>
      <c r="AF18" s="108" t="s">
        <v>401</v>
      </c>
      <c r="AH18" s="117" t="s">
        <v>691</v>
      </c>
      <c r="AI18" s="446"/>
      <c r="AJ18" s="446"/>
      <c r="AK18" s="446"/>
      <c r="AL18" s="446"/>
      <c r="AM18" s="446"/>
      <c r="AN18" s="446"/>
    </row>
    <row r="19" spans="1:51" ht="15.75" customHeight="1" thickBot="1">
      <c r="B19" s="38"/>
      <c r="C19" s="309"/>
      <c r="D19" s="308"/>
      <c r="E19" s="770" t="s">
        <v>239</v>
      </c>
      <c r="F19" s="767"/>
      <c r="G19" s="770" t="s">
        <v>240</v>
      </c>
      <c r="H19" s="767"/>
      <c r="I19" s="770" t="s">
        <v>241</v>
      </c>
      <c r="J19" s="767"/>
      <c r="K19" s="776" t="s">
        <v>242</v>
      </c>
      <c r="L19" s="777"/>
      <c r="M19" s="266"/>
      <c r="N19" s="303"/>
      <c r="P19" s="1"/>
      <c r="Q19" s="1"/>
      <c r="R19" s="1"/>
      <c r="S19" s="446"/>
      <c r="V19" s="446"/>
      <c r="W19" s="343"/>
      <c r="X19" s="510"/>
      <c r="Y19" s="775" t="s">
        <v>239</v>
      </c>
      <c r="Z19" s="767"/>
      <c r="AA19" s="770" t="s">
        <v>240</v>
      </c>
      <c r="AB19" s="767"/>
      <c r="AC19" s="770" t="s">
        <v>241</v>
      </c>
      <c r="AD19" s="767"/>
      <c r="AE19" s="770" t="s">
        <v>242</v>
      </c>
      <c r="AF19" s="767"/>
      <c r="AG19" s="342"/>
      <c r="AI19" s="449"/>
      <c r="AJ19" s="446"/>
      <c r="AK19" s="446"/>
      <c r="AL19" s="446"/>
      <c r="AM19" s="446"/>
      <c r="AN19" s="446"/>
    </row>
    <row r="20" spans="1:51" ht="44.25" customHeight="1">
      <c r="B20" s="38"/>
      <c r="C20" s="497" t="s">
        <v>1472</v>
      </c>
      <c r="D20" s="497" t="str">
        <f>INDEX(BPC_COLUMNA_NOTA[[#All],[CD_COLUMNA]:[DESCRIPCION_LARGA]],MATCH(D$18,BPC_COLUMNA_NOTA[[#All],[CD_COLUMNA]],0),2)</f>
        <v>Monto en Pesos Colombianos</v>
      </c>
      <c r="E20" s="497" t="str">
        <f>INDEX(BPC_COLUMNA_NOTA[[#All],[CD_COLUMNA]:[DESCRIPCION_LARGA]],MATCH(E$18,BPC_COLUMNA_NOTA[[#All],[CD_COLUMNA]],0),2)</f>
        <v>Monto US$</v>
      </c>
      <c r="F20" s="497" t="str">
        <f>INDEX(BPC_COLUMNA_NOTA[[#All],[CD_COLUMNA]:[DESCRIPCION_LARGA]],MATCH(F$18,BPC_COLUMNA_NOTA[[#All],[CD_COLUMNA]],0),2)</f>
        <v>Convertido a pesos col</v>
      </c>
      <c r="G20" s="497" t="str">
        <f>INDEX(BPC_COLUMNA_NOTA[[#All],[CD_COLUMNA]:[DESCRIPCION_LARGA]],MATCH(G$18,BPC_COLUMNA_NOTA[[#All],[CD_COLUMNA]],0),2)</f>
        <v>Monto EUR</v>
      </c>
      <c r="H20" s="497" t="str">
        <f>INDEX(BPC_COLUMNA_NOTA[[#All],[CD_COLUMNA]:[DESCRIPCION_LARGA]],MATCH(H$18,BPC_COLUMNA_NOTA[[#All],[CD_COLUMNA]],0),2)</f>
        <v>Convertido a pesos col</v>
      </c>
      <c r="I20" s="497" t="str">
        <f>INDEX(BPC_COLUMNA_NOTA[[#All],[CD_COLUMNA]:[DESCRIPCION_LARGA]],MATCH(I$18,BPC_COLUMNA_NOTA[[#All],[CD_COLUMNA]],0),2)</f>
        <v>Monto Bol</v>
      </c>
      <c r="J20" s="497" t="str">
        <f>INDEX(BPC_COLUMNA_NOTA[[#All],[CD_COLUMNA]:[DESCRIPCION_LARGA]],MATCH(J$18,BPC_COLUMNA_NOTA[[#All],[CD_COLUMNA]],0),2)</f>
        <v>Convertido a pesos col</v>
      </c>
      <c r="K20" s="497" t="s">
        <v>1469</v>
      </c>
      <c r="L20" s="497" t="str">
        <f>INDEX(BPC_COLUMNA_NOTA[[#All],[CD_COLUMNA]:[DESCRIPCION_LARGA]],MATCH(L$18,BPC_COLUMNA_NOTA[[#All],[CD_COLUMNA]],0),2)</f>
        <v>Convertido a pesos col.</v>
      </c>
      <c r="M20" s="497" t="e">
        <f ca="1" xml:space="preserve"> _xll.EPMOlapMemberO("[COLUMNA_NOTA].[PARENTH1].[C11101010]","","Total saldo en pesos COL a la fecha de reporte","","000")</f>
        <v>#NAME?</v>
      </c>
      <c r="N20" s="497" t="s">
        <v>1471</v>
      </c>
      <c r="O20"/>
      <c r="P20" s="574"/>
      <c r="Q20" s="1"/>
      <c r="R20" s="1"/>
      <c r="S20" s="446"/>
      <c r="V20" s="446"/>
      <c r="W20" s="548" t="s">
        <v>1472</v>
      </c>
      <c r="X20" s="510" t="str">
        <f>INDEX(BPC_COLUMNA_NOTA[[#All],[CD_COLUMNA]:[DESCRIPCION_LARGA]],MATCH(X$18,BPC_COLUMNA_NOTA[[#All],[CD_COLUMNA]],0),2)</f>
        <v>Monto en Pesos Colombianos</v>
      </c>
      <c r="Y20" s="510" t="str">
        <f>INDEX(BPC_COLUMNA_NOTA[[#All],[CD_COLUMNA]:[DESCRIPCION_LARGA]],MATCH(Y$18,BPC_COLUMNA_NOTA[[#All],[CD_COLUMNA]],0),2)</f>
        <v>Monto US$</v>
      </c>
      <c r="Z20" s="510" t="str">
        <f>INDEX(BPC_COLUMNA_NOTA[[#All],[CD_COLUMNA]:[DESCRIPCION_LARGA]],MATCH(Z$18,BPC_COLUMNA_NOTA[[#All],[CD_COLUMNA]],0),2)</f>
        <v>Convertido a pesos col</v>
      </c>
      <c r="AA20" s="510" t="str">
        <f>INDEX(BPC_COLUMNA_NOTA[[#All],[CD_COLUMNA]:[DESCRIPCION_LARGA]],MATCH(AA$18,BPC_COLUMNA_NOTA[[#All],[CD_COLUMNA]],0),2)</f>
        <v>Monto EUR</v>
      </c>
      <c r="AB20" s="510" t="str">
        <f>INDEX(BPC_COLUMNA_NOTA[[#All],[CD_COLUMNA]:[DESCRIPCION_LARGA]],MATCH(AB$18,BPC_COLUMNA_NOTA[[#All],[CD_COLUMNA]],0),2)</f>
        <v>Convertido a pesos col</v>
      </c>
      <c r="AC20" s="510" t="str">
        <f>INDEX(BPC_COLUMNA_NOTA[[#All],[CD_COLUMNA]:[DESCRIPCION_LARGA]],MATCH(AC$18,BPC_COLUMNA_NOTA[[#All],[CD_COLUMNA]],0),2)</f>
        <v>Monto Bol</v>
      </c>
      <c r="AD20" s="510" t="str">
        <f>INDEX(BPC_COLUMNA_NOTA[[#All],[CD_COLUMNA]:[DESCRIPCION_LARGA]],MATCH(AD$18,BPC_COLUMNA_NOTA[[#All],[CD_COLUMNA]],0),2)</f>
        <v>Convertido a pesos col</v>
      </c>
      <c r="AE20" s="548" t="s">
        <v>1469</v>
      </c>
      <c r="AF20" s="510" t="str">
        <f>INDEX(BPC_COLUMNA_NOTA[[#All],[CD_COLUMNA]:[DESCRIPCION_LARGA]],MATCH(AF$18,BPC_COLUMNA_NOTA[[#All],[CD_COLUMNA]],0),2)</f>
        <v>Convertido a pesos col.</v>
      </c>
      <c r="AG20" s="548" t="s">
        <v>1471</v>
      </c>
      <c r="AH20" s="498" t="e">
        <f ca="1" xml:space="preserve"> _xll.EPMOlapMemberO("[COLUMNA_NOTA].[PARENTH1].[C11101010]","","Total saldo en pesos COL a la fecha de reporte","","002")</f>
        <v>#NAME?</v>
      </c>
      <c r="AI20"/>
      <c r="AJ20" s="446" t="s">
        <v>157</v>
      </c>
      <c r="AK20" s="446"/>
      <c r="AL20" s="446"/>
      <c r="AM20" s="446"/>
      <c r="AN20" s="446"/>
      <c r="AX20" s="117"/>
      <c r="AY20" s="117"/>
    </row>
    <row r="21" spans="1:51">
      <c r="A21" s="119"/>
      <c r="B21" s="584" t="s">
        <v>847</v>
      </c>
      <c r="C21" s="424" t="str">
        <f>INDEX(BPC_FILA_NOTA[#All],MATCH('900002'!B21,BPC_FILA_NOTA[[#All],[ID]],0),2)</f>
        <v>Total Efectivo y equivalentes al efectivo ( S100_0 )</v>
      </c>
      <c r="D21" s="271"/>
      <c r="E21" s="271"/>
      <c r="F21" s="271"/>
      <c r="G21" s="271"/>
      <c r="H21" s="271"/>
      <c r="I21" s="271"/>
      <c r="J21" s="271"/>
      <c r="K21" s="271"/>
      <c r="L21" s="271"/>
      <c r="M21" s="426">
        <v>12035401818.66</v>
      </c>
      <c r="N21" s="425">
        <f>SUM(D21,F21,H21,J21,L21)</f>
        <v>0</v>
      </c>
      <c r="O21"/>
      <c r="P21" s="341">
        <f>IFERROR(INDEX(BPC_NOTAS[#All],MATCH("S100_0",BPC_NOTAS[[#All],[FILA_COLUMNA]],0),2),0)</f>
        <v>152917024</v>
      </c>
      <c r="Q21" s="158" t="str">
        <f>IF(P21=0,"ok","Error")</f>
        <v>Error</v>
      </c>
      <c r="R21" s="158" t="str">
        <f>IF(ABS(N21-P21)&lt;=1000,IF(AND(F21&lt;&gt;0,E21=0),"Error",IF(AND(H21&lt;&gt;0,G21=0),"Error",IF(AND(J21&lt;&gt;0,I21=0),"Error",IF(AND(L21&lt;&gt;0,K21=0),"Error",IF(RIGHT($C$5,7)="2010.12","Error",IF(AND(E21&lt;&gt;0,F21=0),"Error",IF(AND(G21&lt;&gt;0,H21=0),"Error",IF(AND(I21&lt;&gt;0,J21=0),"Error","Ok")))))))),"Error")</f>
        <v>Error</v>
      </c>
      <c r="S21" s="446"/>
      <c r="T21" s="20" t="e">
        <f ca="1">_xll.EPMSaveData(N21,,N$18,$B21)</f>
        <v>#NAME?</v>
      </c>
      <c r="U21" s="402" t="e">
        <f ca="1" xml:space="preserve"> _xll.EPMOlapMemberO("[TIEMPO].[PARENTH1].[2018.12]","","2018 DIC","","002")</f>
        <v>#NAME?</v>
      </c>
      <c r="V21" s="584" t="s">
        <v>847</v>
      </c>
      <c r="W21" s="549" t="str">
        <f>INDEX(BPC_FILA_NOTA[#All],MATCH($V21,BPC_FILA_NOTA[[#All],[ID]],0),2)</f>
        <v>Total Efectivo y equivalentes al efectivo ( S100_0 )</v>
      </c>
      <c r="X21" s="550">
        <f>IFERROR(INDEX(BPC_NOTAS2[#All],MATCH($V21&amp;"_"&amp;X$18,BPC_NOTAS2[[#All],[FILA_COLUMNA]],0),2),"")</f>
        <v>311106595</v>
      </c>
      <c r="Y21" s="550" t="str">
        <f>IFERROR(INDEX(BPC_NOTAS2[#All],MATCH($V21&amp;"_"&amp;Y$18,BPC_NOTAS2[[#All],[FILA_COLUMNA]],0),2),"")</f>
        <v/>
      </c>
      <c r="Z21" s="550" t="str">
        <f>IFERROR(INDEX(BPC_NOTAS2[#All],MATCH($V21&amp;"_"&amp;Z$18,BPC_NOTAS2[[#All],[FILA_COLUMNA]],0),2),"")</f>
        <v/>
      </c>
      <c r="AA21" s="550" t="str">
        <f>IFERROR(INDEX(BPC_NOTAS2[#All],MATCH($V21&amp;"_"&amp;AA$18,BPC_NOTAS2[[#All],[FILA_COLUMNA]],0),2),"")</f>
        <v/>
      </c>
      <c r="AB21" s="550" t="str">
        <f>IFERROR(INDEX(BPC_NOTAS2[#All],MATCH($V21&amp;"_"&amp;AB$18,BPC_NOTAS2[[#All],[FILA_COLUMNA]],0),2),"")</f>
        <v/>
      </c>
      <c r="AC21" s="550" t="str">
        <f>IFERROR(INDEX(BPC_NOTAS2[#All],MATCH($V21&amp;"_"&amp;AC$18,BPC_NOTAS2[[#All],[FILA_COLUMNA]],0),2),"")</f>
        <v/>
      </c>
      <c r="AD21" s="550" t="str">
        <f>IFERROR(INDEX(BPC_NOTAS2[#All],MATCH($V21&amp;"_"&amp;AD$18,BPC_NOTAS2[[#All],[FILA_COLUMNA]],0),2),"")</f>
        <v/>
      </c>
      <c r="AE21" s="550" t="str">
        <f>IFERROR(INDEX(BPC_COMENTARIOS2[#All],MATCH($V21&amp;"_"&amp;AE$18,BPC_COMENTARIOS2[[#All],[FILA_COLUMNA]],0),2),"")</f>
        <v/>
      </c>
      <c r="AF21" s="550" t="str">
        <f>IFERROR(INDEX(BPC_NOTAS2[#All],MATCH($V21&amp;"_"&amp;AF$18,BPC_NOTAS2[[#All],[FILA_COLUMNA]],0),2),"")</f>
        <v/>
      </c>
      <c r="AG21" s="425">
        <f>SUM(X21,Z21,AB21,AD21,AF21)</f>
        <v>311106595</v>
      </c>
      <c r="AH21" s="425">
        <f>SUM(X21:AD21,AF21)</f>
        <v>311106595</v>
      </c>
      <c r="AI21"/>
      <c r="AJ21" s="446" t="e">
        <f ca="1">_xll.EPMCommentFullContext(,#REF!,$AE$18,$A$4)</f>
        <v>#NAME?</v>
      </c>
      <c r="AK21" s="446">
        <f>IF(R21="ok",0,1)</f>
        <v>1</v>
      </c>
      <c r="AL21" s="446"/>
      <c r="AM21" s="446"/>
      <c r="AN21" s="446"/>
      <c r="AX21" s="117"/>
      <c r="AY21" s="117"/>
    </row>
    <row r="22" spans="1:51" ht="24">
      <c r="A22" s="119"/>
      <c r="B22" s="584" t="s">
        <v>895</v>
      </c>
      <c r="C22" s="424" t="str">
        <f>INDEX(BPC_FILA_NOTA[#All],MATCH('900002'!B22,BPC_FILA_NOTA[[#All],[ID]],0),2)</f>
        <v>Total Cuentas comerciales por cobrar y otras cuentas por cobrar corrientes/no corrientes ( S105_0 + S140_1 )</v>
      </c>
      <c r="D22" s="271"/>
      <c r="E22" s="271"/>
      <c r="F22" s="271"/>
      <c r="G22" s="271"/>
      <c r="H22" s="271"/>
      <c r="I22" s="271"/>
      <c r="J22" s="271"/>
      <c r="K22" s="271"/>
      <c r="L22" s="271"/>
      <c r="M22" s="426">
        <v>20205535908.099998</v>
      </c>
      <c r="N22" s="425">
        <f t="shared" ref="N22:N36" si="0">SUM(D22,F22,H22,J22,L22)</f>
        <v>0</v>
      </c>
      <c r="O22"/>
      <c r="P22" s="341">
        <f>IFERROR(INDEX(BPC_NOTAS[#All],MATCH("S105_0",BPC_NOTAS[[#All],[FILA_COLUMNA]],0),2),0)+IFERROR(INDEX(BPC_NOTAS[#All],MATCH("S140_1",BPC_NOTAS[[#All],[FILA_COLUMNA]],0),2),0)</f>
        <v>477253532</v>
      </c>
      <c r="Q22" s="158" t="str">
        <f>IF(P22=0,"ok","Error")</f>
        <v>Error</v>
      </c>
      <c r="R22" s="158" t="str">
        <f>IF(ABS(N22-P22)&lt;=1000,IF(AND(F22&lt;&gt;0,E22=0),"Error",IF(AND(H22&lt;&gt;0,G22=0),"Error",IF(AND(J22&lt;&gt;0,I22=0),"Error",IF(AND(L22&lt;&gt;0,K22=0),"Error",IF(RIGHT($C$5,7)="2010.12","Error",IF(AND(E22&lt;&gt;0,F22=0),"Error",IF(AND(G22&lt;&gt;0,H22=0),"Error",IF(AND(I22&lt;&gt;0,J22=0),"Error","Ok")))))))),"Error")</f>
        <v>Error</v>
      </c>
      <c r="S22" s="446"/>
      <c r="T22" s="20" t="e">
        <f ca="1">_xll.EPMSaveData(N22,,N$18,$B22)</f>
        <v>#NAME?</v>
      </c>
      <c r="U22" s="402"/>
      <c r="V22" s="584" t="s">
        <v>895</v>
      </c>
      <c r="W22" s="549" t="str">
        <f>INDEX(BPC_FILA_NOTA[#All],MATCH($V22,BPC_FILA_NOTA[[#All],[ID]],0),2)</f>
        <v>Total Cuentas comerciales por cobrar y otras cuentas por cobrar corrientes/no corrientes ( S105_0 + S140_1 )</v>
      </c>
      <c r="X22" s="550">
        <f>IFERROR(INDEX(BPC_NOTAS2[#All],MATCH($V22&amp;"_"&amp;X$18,BPC_NOTAS2[[#All],[FILA_COLUMNA]],0),2),"")</f>
        <v>402278141.05000001</v>
      </c>
      <c r="Y22" s="550">
        <f>IFERROR(INDEX(BPC_NOTAS2[#All],MATCH($V22&amp;"_"&amp;Y$18,BPC_NOTAS2[[#All],[FILA_COLUMNA]],0),2),"")</f>
        <v>2356.1999999999998</v>
      </c>
      <c r="Z22" s="550">
        <f>IFERROR(INDEX(BPC_NOTAS2[#All],MATCH($V22&amp;"_"&amp;Z$18,BPC_NOTAS2[[#All],[FILA_COLUMNA]],0),2),"")</f>
        <v>7657060.9500000002</v>
      </c>
      <c r="AA22" s="550" t="str">
        <f>IFERROR(INDEX(BPC_NOTAS2[#All],MATCH($V22&amp;"_"&amp;AA$18,BPC_NOTAS2[[#All],[FILA_COLUMNA]],0),2),"")</f>
        <v/>
      </c>
      <c r="AB22" s="550" t="str">
        <f>IFERROR(INDEX(BPC_NOTAS2[#All],MATCH($V22&amp;"_"&amp;AB$18,BPC_NOTAS2[[#All],[FILA_COLUMNA]],0),2),"")</f>
        <v/>
      </c>
      <c r="AC22" s="550" t="str">
        <f>IFERROR(INDEX(BPC_NOTAS2[#All],MATCH($V22&amp;"_"&amp;AC$18,BPC_NOTAS2[[#All],[FILA_COLUMNA]],0),2),"")</f>
        <v/>
      </c>
      <c r="AD22" s="550" t="str">
        <f>IFERROR(INDEX(BPC_NOTAS2[#All],MATCH($V22&amp;"_"&amp;AD$18,BPC_NOTAS2[[#All],[FILA_COLUMNA]],0),2),"")</f>
        <v/>
      </c>
      <c r="AE22" s="550" t="str">
        <f>IFERROR(INDEX(BPC_COMENTARIOS2[#All],MATCH($V22&amp;"_"&amp;AE$18,BPC_COMENTARIOS2[[#All],[FILA_COLUMNA]],0),2),"")</f>
        <v/>
      </c>
      <c r="AF22" s="550" t="str">
        <f>IFERROR(INDEX(BPC_NOTAS2[#All],MATCH($V22&amp;"_"&amp;AF$18,BPC_NOTAS2[[#All],[FILA_COLUMNA]],0),2),"")</f>
        <v/>
      </c>
      <c r="AG22" s="425">
        <f t="shared" ref="AG22:AG36" si="1">SUM(X22,Z22,AB22,AD22,AF22)</f>
        <v>409935202</v>
      </c>
      <c r="AH22" s="425">
        <f t="shared" ref="AH22:AH36" si="2">SUM(X22:AD22,AF22)</f>
        <v>409937558.19999999</v>
      </c>
      <c r="AI22"/>
      <c r="AJ22" s="446" t="e">
        <f ca="1">_xll.EPMCommentFullContext(,#REF!,$AE$18,$A$4)</f>
        <v>#NAME?</v>
      </c>
      <c r="AK22" s="446">
        <f t="shared" ref="AK22:AK35" si="3">IF(R22="ok",0,1)</f>
        <v>1</v>
      </c>
      <c r="AL22" s="446"/>
      <c r="AM22" s="446"/>
      <c r="AN22" s="446"/>
      <c r="AX22" s="117"/>
      <c r="AY22" s="117"/>
    </row>
    <row r="23" spans="1:51" ht="36">
      <c r="A23" s="119"/>
      <c r="B23" s="584" t="s">
        <v>945</v>
      </c>
      <c r="C23" s="424" t="str">
        <f>INDEX(BPC_FILA_NOTA[#All],MATCH('900002'!B23,BPC_FILA_NOTA[[#All],[ID]],0),2)</f>
        <v>Cuentas por cobrar partes relacionadas y asociadas corrientes/no corrientes (Que hacen parte de los estados financieros consolidados y por lo tanto se eliminan en este proceso, de acuerdo con las especificaciones del ANEXO 1)</v>
      </c>
      <c r="D23" s="271"/>
      <c r="E23" s="271"/>
      <c r="F23" s="271"/>
      <c r="G23" s="271"/>
      <c r="H23" s="271"/>
      <c r="I23" s="271"/>
      <c r="J23" s="271"/>
      <c r="K23" s="271"/>
      <c r="L23" s="271"/>
      <c r="M23" s="426">
        <v>30268569232</v>
      </c>
      <c r="N23" s="425">
        <f t="shared" si="0"/>
        <v>0</v>
      </c>
      <c r="O23"/>
      <c r="P23" s="1"/>
      <c r="Q23" s="1"/>
      <c r="R23" s="1"/>
      <c r="S23" s="446"/>
      <c r="T23" s="20" t="e">
        <f ca="1">_xll.EPMSaveData(N23,,N$18,$B23)</f>
        <v>#NAME?</v>
      </c>
      <c r="U23" s="402"/>
      <c r="V23" s="584" t="s">
        <v>945</v>
      </c>
      <c r="W23" s="549" t="str">
        <f>INDEX(BPC_FILA_NOTA[#All],MATCH($V23,BPC_FILA_NOTA[[#All],[ID]],0),2)</f>
        <v>Cuentas por cobrar partes relacionadas y asociadas corrientes/no corrientes (Que hacen parte de los estados financieros consolidados y por lo tanto se eliminan en este proceso, de acuerdo con las especificaciones del ANEXO 1)</v>
      </c>
      <c r="X23" s="550">
        <f>IFERROR(INDEX(BPC_NOTAS2[#All],MATCH($V23&amp;"_"&amp;X$18,BPC_NOTAS2[[#All],[FILA_COLUMNA]],0),2),"")</f>
        <v>1243074</v>
      </c>
      <c r="Y23" s="550" t="str">
        <f>IFERROR(INDEX(BPC_NOTAS2[#All],MATCH($V23&amp;"_"&amp;Y$18,BPC_NOTAS2[[#All],[FILA_COLUMNA]],0),2),"")</f>
        <v/>
      </c>
      <c r="Z23" s="550" t="str">
        <f>IFERROR(INDEX(BPC_NOTAS2[#All],MATCH($V23&amp;"_"&amp;Z$18,BPC_NOTAS2[[#All],[FILA_COLUMNA]],0),2),"")</f>
        <v/>
      </c>
      <c r="AA23" s="550" t="str">
        <f>IFERROR(INDEX(BPC_NOTAS2[#All],MATCH($V23&amp;"_"&amp;AA$18,BPC_NOTAS2[[#All],[FILA_COLUMNA]],0),2),"")</f>
        <v/>
      </c>
      <c r="AB23" s="550" t="str">
        <f>IFERROR(INDEX(BPC_NOTAS2[#All],MATCH($V23&amp;"_"&amp;AB$18,BPC_NOTAS2[[#All],[FILA_COLUMNA]],0),2),"")</f>
        <v/>
      </c>
      <c r="AC23" s="550" t="str">
        <f>IFERROR(INDEX(BPC_NOTAS2[#All],MATCH($V23&amp;"_"&amp;AC$18,BPC_NOTAS2[[#All],[FILA_COLUMNA]],0),2),"")</f>
        <v/>
      </c>
      <c r="AD23" s="550" t="str">
        <f>IFERROR(INDEX(BPC_NOTAS2[#All],MATCH($V23&amp;"_"&amp;AD$18,BPC_NOTAS2[[#All],[FILA_COLUMNA]],0),2),"")</f>
        <v/>
      </c>
      <c r="AE23" s="550" t="str">
        <f>IFERROR(INDEX(BPC_COMENTARIOS2[#All],MATCH($V23&amp;"_"&amp;AE$18,BPC_COMENTARIOS2[[#All],[FILA_COLUMNA]],0),2),"")</f>
        <v/>
      </c>
      <c r="AF23" s="550" t="str">
        <f>IFERROR(INDEX(BPC_NOTAS2[#All],MATCH($V23&amp;"_"&amp;AF$18,BPC_NOTAS2[[#All],[FILA_COLUMNA]],0),2),"")</f>
        <v/>
      </c>
      <c r="AG23" s="425">
        <f t="shared" si="1"/>
        <v>1243074</v>
      </c>
      <c r="AH23" s="425">
        <f t="shared" si="2"/>
        <v>1243074</v>
      </c>
      <c r="AI23"/>
      <c r="AJ23" s="446" t="e">
        <f ca="1">_xll.EPMCommentFullContext(,#REF!,$AE$18,$A$4)</f>
        <v>#NAME?</v>
      </c>
      <c r="AK23" s="446"/>
      <c r="AL23" s="446"/>
      <c r="AM23" s="446"/>
      <c r="AN23" s="446"/>
      <c r="AX23" s="117"/>
      <c r="AY23" s="117"/>
    </row>
    <row r="24" spans="1:51" ht="36">
      <c r="A24" s="119"/>
      <c r="B24" s="584" t="s">
        <v>9479</v>
      </c>
      <c r="C24" s="424" t="str">
        <f>INDEX(BPC_FILA_NOTA[#All],MATCH('900002'!B24,BPC_FILA_NOTA[[#All],[ID]],0),2)</f>
        <v>Cuentas por cobrar partes relacionadas y asociadas corrientes/no corrientes (Que NO hacen parte de los estados financieros consolidados y por lo tanto NO se eliminan en este proceso, de acuerdo con las especificaciones del ANEXO 1)</v>
      </c>
      <c r="D24" s="271"/>
      <c r="E24" s="271"/>
      <c r="F24" s="271"/>
      <c r="G24" s="271"/>
      <c r="H24" s="271"/>
      <c r="I24" s="271"/>
      <c r="J24" s="271"/>
      <c r="K24" s="271"/>
      <c r="L24" s="271"/>
      <c r="M24" s="500">
        <v>0</v>
      </c>
      <c r="N24" s="425">
        <f t="shared" si="0"/>
        <v>0</v>
      </c>
      <c r="O24"/>
      <c r="P24" s="1"/>
      <c r="Q24" s="1"/>
      <c r="R24" s="1"/>
      <c r="S24" s="446"/>
      <c r="T24" s="20" t="e">
        <f ca="1">_xll.EPMSaveData(N24,,N$18,$B24)</f>
        <v>#NAME?</v>
      </c>
      <c r="U24" s="402"/>
      <c r="V24" s="584" t="s">
        <v>9479</v>
      </c>
      <c r="W24" s="549" t="str">
        <f>INDEX(BPC_FILA_NOTA[#All],MATCH($V24,BPC_FILA_NOTA[[#All],[ID]],0),2)</f>
        <v>Cuentas por cobrar partes relacionadas y asociadas corrientes/no corrientes (Que NO hacen parte de los estados financieros consolidados y por lo tanto NO se eliminan en este proceso, de acuerdo con las especificaciones del ANEXO 1)</v>
      </c>
      <c r="X24" s="550" t="str">
        <f>IFERROR(INDEX(BPC_NOTAS2[#All],MATCH($V24&amp;"_"&amp;X$18,BPC_NOTAS2[[#All],[FILA_COLUMNA]],0),2),"")</f>
        <v/>
      </c>
      <c r="Y24" s="550" t="str">
        <f>IFERROR(INDEX(BPC_NOTAS2[#All],MATCH($V24&amp;"_"&amp;Y$18,BPC_NOTAS2[[#All],[FILA_COLUMNA]],0),2),"")</f>
        <v/>
      </c>
      <c r="Z24" s="550" t="str">
        <f>IFERROR(INDEX(BPC_NOTAS2[#All],MATCH($V24&amp;"_"&amp;Z$18,BPC_NOTAS2[[#All],[FILA_COLUMNA]],0),2),"")</f>
        <v/>
      </c>
      <c r="AA24" s="550" t="str">
        <f>IFERROR(INDEX(BPC_NOTAS2[#All],MATCH($V24&amp;"_"&amp;AA$18,BPC_NOTAS2[[#All],[FILA_COLUMNA]],0),2),"")</f>
        <v/>
      </c>
      <c r="AB24" s="550" t="str">
        <f>IFERROR(INDEX(BPC_NOTAS2[#All],MATCH($V24&amp;"_"&amp;AB$18,BPC_NOTAS2[[#All],[FILA_COLUMNA]],0),2),"")</f>
        <v/>
      </c>
      <c r="AC24" s="550" t="str">
        <f>IFERROR(INDEX(BPC_NOTAS2[#All],MATCH($V24&amp;"_"&amp;AC$18,BPC_NOTAS2[[#All],[FILA_COLUMNA]],0),2),"")</f>
        <v/>
      </c>
      <c r="AD24" s="550" t="str">
        <f>IFERROR(INDEX(BPC_NOTAS2[#All],MATCH($V24&amp;"_"&amp;AD$18,BPC_NOTAS2[[#All],[FILA_COLUMNA]],0),2),"")</f>
        <v/>
      </c>
      <c r="AE24" s="550" t="str">
        <f>IFERROR(INDEX(BPC_COMENTARIOS2[#All],MATCH($V24&amp;"_"&amp;AE$18,BPC_COMENTARIOS2[[#All],[FILA_COLUMNA]],0),2),"")</f>
        <v/>
      </c>
      <c r="AF24" s="550" t="str">
        <f>IFERROR(INDEX(BPC_NOTAS2[#All],MATCH($V24&amp;"_"&amp;AF$18,BPC_NOTAS2[[#All],[FILA_COLUMNA]],0),2),"")</f>
        <v/>
      </c>
      <c r="AG24" s="425">
        <f t="shared" si="1"/>
        <v>0</v>
      </c>
      <c r="AH24" s="500">
        <f t="shared" si="2"/>
        <v>0</v>
      </c>
      <c r="AI24"/>
      <c r="AJ24" s="446" t="e">
        <f ca="1">_xll.EPMCommentFullContext(,#REF!,$AE$18,$A$4)</f>
        <v>#NAME?</v>
      </c>
      <c r="AK24" s="446"/>
      <c r="AL24" s="446"/>
      <c r="AM24" s="446"/>
      <c r="AN24" s="446"/>
      <c r="AX24" s="117"/>
      <c r="AY24" s="117"/>
    </row>
    <row r="25" spans="1:51" ht="39.75" customHeight="1">
      <c r="A25" s="119"/>
      <c r="B25" s="584" t="s">
        <v>9472</v>
      </c>
      <c r="C25" s="496" t="str">
        <f>INDEX(BPC_FILA_NOTA[#All],MATCH('900002'!B25,BPC_FILA_NOTA[[#All],[ID]],0),2)</f>
        <v>Total Cuentas por cobrar partes relacionadas y asociadas corrientes/no corrientes (S110_0 + S145_1)</v>
      </c>
      <c r="D25" s="270">
        <f>SUM(D23:D24)</f>
        <v>0</v>
      </c>
      <c r="E25" s="270">
        <f t="shared" ref="E25:L25" si="4">SUM(E23:E24)</f>
        <v>0</v>
      </c>
      <c r="F25" s="270">
        <f t="shared" si="4"/>
        <v>0</v>
      </c>
      <c r="G25" s="270">
        <f t="shared" si="4"/>
        <v>0</v>
      </c>
      <c r="H25" s="270">
        <f t="shared" si="4"/>
        <v>0</v>
      </c>
      <c r="I25" s="270">
        <f t="shared" si="4"/>
        <v>0</v>
      </c>
      <c r="J25" s="270">
        <f t="shared" si="4"/>
        <v>0</v>
      </c>
      <c r="K25" s="270"/>
      <c r="L25" s="270">
        <f t="shared" si="4"/>
        <v>0</v>
      </c>
      <c r="M25" s="426">
        <v>30268569232</v>
      </c>
      <c r="N25" s="425">
        <f t="shared" si="0"/>
        <v>0</v>
      </c>
      <c r="O25"/>
      <c r="P25" s="341">
        <f>IFERROR(INDEX(BPC_NOTAS[#All],MATCH("S110_0",BPC_NOTAS[[#All],[FILA_COLUMNA]],0),2),0)+IFERROR(INDEX(BPC_NOTAS[#All],MATCH("S145_1",BPC_NOTAS[[#All],[FILA_COLUMNA]],0),2),0)</f>
        <v>2937147</v>
      </c>
      <c r="Q25" s="158" t="str">
        <f>IF(P25=0,"ok","Error")</f>
        <v>Error</v>
      </c>
      <c r="R25" s="158" t="str">
        <f>IF(ABS(N25-P25)&lt;=1000,IF(AND(F25&lt;&gt;0,E25=0),"Error",IF(AND(H25&lt;&gt;0,G25=0),"Error",IF(AND(J25&lt;&gt;0,I25=0),"Error",IF(AND(L25&lt;&gt;0,K25=0),"Error",IF(A10="2010.12","Error",IF(AND(E25&lt;&gt;0,F25=0),"Error",IF(AND(G25&lt;&gt;0,H25=0),"Error",IF(AND(I25&lt;&gt;0,J25=0),"Error","Ok")))))))),"Error")</f>
        <v>Error</v>
      </c>
      <c r="S25" s="446"/>
      <c r="U25" s="402"/>
      <c r="V25" s="584" t="s">
        <v>9472</v>
      </c>
      <c r="W25" s="549" t="str">
        <f>INDEX(BPC_FILA_NOTA[#All],MATCH($V25,BPC_FILA_NOTA[[#All],[ID]],0),2)</f>
        <v>Total Cuentas por cobrar partes relacionadas y asociadas corrientes/no corrientes (S110_0 + S145_1)</v>
      </c>
      <c r="X25" s="527">
        <f>SUM(X23:X24)</f>
        <v>1243074</v>
      </c>
      <c r="Y25" s="527">
        <f t="shared" ref="Y25:AD25" si="5">SUM(Y23:Y24)</f>
        <v>0</v>
      </c>
      <c r="Z25" s="527">
        <f t="shared" si="5"/>
        <v>0</v>
      </c>
      <c r="AA25" s="527">
        <f t="shared" si="5"/>
        <v>0</v>
      </c>
      <c r="AB25" s="527">
        <f t="shared" si="5"/>
        <v>0</v>
      </c>
      <c r="AC25" s="527">
        <f t="shared" si="5"/>
        <v>0</v>
      </c>
      <c r="AD25" s="527">
        <f t="shared" si="5"/>
        <v>0</v>
      </c>
      <c r="AE25" s="527" t="str">
        <f>IFERROR(INDEX(BPC_COMENTARIOS2[#All],MATCH($V25&amp;"_"&amp;AE$18,BPC_COMENTARIOS2[[#All],[FILA_COLUMNA]],0),2),"")</f>
        <v/>
      </c>
      <c r="AF25" s="527">
        <f>SUM(AF23:AF24)</f>
        <v>0</v>
      </c>
      <c r="AG25" s="425">
        <f t="shared" si="1"/>
        <v>1243074</v>
      </c>
      <c r="AH25" s="425">
        <f t="shared" si="2"/>
        <v>1243074</v>
      </c>
      <c r="AI25"/>
      <c r="AJ25" s="446"/>
      <c r="AK25" s="446">
        <f t="shared" si="3"/>
        <v>1</v>
      </c>
      <c r="AL25" s="446"/>
      <c r="AM25" s="446"/>
      <c r="AN25" s="446"/>
      <c r="AX25" s="117"/>
      <c r="AY25" s="117"/>
    </row>
    <row r="26" spans="1:51">
      <c r="A26" s="119"/>
      <c r="B26" s="584" t="s">
        <v>976</v>
      </c>
      <c r="C26" s="424" t="str">
        <f>INDEX(BPC_FILA_NOTA[#All],MATCH('900002'!B26,BPC_FILA_NOTA[[#All],[ID]],0),2)</f>
        <v>Total Activos por impuestos corrientes, corrientes/no corrientes ( S120_0 + S155_1 )</v>
      </c>
      <c r="D26" s="271"/>
      <c r="E26" s="271"/>
      <c r="F26" s="271"/>
      <c r="G26" s="271"/>
      <c r="H26" s="271"/>
      <c r="I26" s="271"/>
      <c r="J26" s="271"/>
      <c r="K26" s="271"/>
      <c r="L26" s="271"/>
      <c r="M26" s="426">
        <v>3467049000</v>
      </c>
      <c r="N26" s="425">
        <f t="shared" si="0"/>
        <v>0</v>
      </c>
      <c r="O26"/>
      <c r="P26" s="341">
        <f>IFERROR(INDEX(BPC_NOTAS[#All],MATCH("S155_1",BPC_NOTAS[[#All],[FILA_COLUMNA]],0),2),0)+IFERROR(INDEX(BPC_NOTAS[#All],MATCH("S120_0",BPC_NOTAS[[#All],[FILA_COLUMNA]],0),2),0)</f>
        <v>500039572</v>
      </c>
      <c r="Q26" s="158" t="str">
        <f>IF(P26=0,"ok","Error")</f>
        <v>Error</v>
      </c>
      <c r="R26" s="158" t="str">
        <f>IF(ABS(N26-P26)&lt;=1000,IF(AND(F26&lt;&gt;0,E26=0),"Error",IF(AND(H26&lt;&gt;0,G26=0),"Error",IF(AND(J26&lt;&gt;0,I26=0),"Error",IF(AND(L26&lt;&gt;0,K26=0),"Error",IF(A11="2010.12","Error",IF(AND(E26&lt;&gt;0,F26=0),"Error",IF(AND(G26&lt;&gt;0,H26=0),"Error",IF(AND(I26&lt;&gt;0,J26=0),"Error","Ok")))))))),"Error")</f>
        <v>Error</v>
      </c>
      <c r="S26" s="446"/>
      <c r="T26" s="20" t="e">
        <f ca="1">_xll.EPMSaveData(N26,,N$18,$B26)</f>
        <v>#NAME?</v>
      </c>
      <c r="U26" s="402"/>
      <c r="V26" s="584" t="s">
        <v>976</v>
      </c>
      <c r="W26" s="549" t="str">
        <f>INDEX(BPC_FILA_NOTA[#All],MATCH($V26,BPC_FILA_NOTA[[#All],[ID]],0),2)</f>
        <v>Total Activos por impuestos corrientes, corrientes/no corrientes ( S120_0 + S155_1 )</v>
      </c>
      <c r="X26" s="550">
        <f>IFERROR(INDEX(BPC_NOTAS2[#All],MATCH($V26&amp;"_"&amp;X$18,BPC_NOTAS2[[#All],[FILA_COLUMNA]],0),2),"")</f>
        <v>272529966</v>
      </c>
      <c r="Y26" s="550" t="str">
        <f>IFERROR(INDEX(BPC_NOTAS2[#All],MATCH($V26&amp;"_"&amp;Y$18,BPC_NOTAS2[[#All],[FILA_COLUMNA]],0),2),"")</f>
        <v/>
      </c>
      <c r="Z26" s="550" t="str">
        <f>IFERROR(INDEX(BPC_NOTAS2[#All],MATCH($V26&amp;"_"&amp;Z$18,BPC_NOTAS2[[#All],[FILA_COLUMNA]],0),2),"")</f>
        <v/>
      </c>
      <c r="AA26" s="550" t="str">
        <f>IFERROR(INDEX(BPC_NOTAS2[#All],MATCH($V26&amp;"_"&amp;AA$18,BPC_NOTAS2[[#All],[FILA_COLUMNA]],0),2),"")</f>
        <v/>
      </c>
      <c r="AB26" s="550" t="str">
        <f>IFERROR(INDEX(BPC_NOTAS2[#All],MATCH($V26&amp;"_"&amp;AB$18,BPC_NOTAS2[[#All],[FILA_COLUMNA]],0),2),"")</f>
        <v/>
      </c>
      <c r="AC26" s="550" t="str">
        <f>IFERROR(INDEX(BPC_NOTAS2[#All],MATCH($V26&amp;"_"&amp;AC$18,BPC_NOTAS2[[#All],[FILA_COLUMNA]],0),2),"")</f>
        <v/>
      </c>
      <c r="AD26" s="550" t="str">
        <f>IFERROR(INDEX(BPC_NOTAS2[#All],MATCH($V26&amp;"_"&amp;AD$18,BPC_NOTAS2[[#All],[FILA_COLUMNA]],0),2),"")</f>
        <v/>
      </c>
      <c r="AE26" s="550" t="str">
        <f>IFERROR(INDEX(BPC_COMENTARIOS2[#All],MATCH($V26&amp;"_"&amp;AE$18,BPC_COMENTARIOS2[[#All],[FILA_COLUMNA]],0),2),"")</f>
        <v/>
      </c>
      <c r="AF26" s="550" t="str">
        <f>IFERROR(INDEX(BPC_NOTAS2[#All],MATCH($V26&amp;"_"&amp;AF$18,BPC_NOTAS2[[#All],[FILA_COLUMNA]],0),2),"")</f>
        <v/>
      </c>
      <c r="AG26" s="425">
        <f t="shared" si="1"/>
        <v>272529966</v>
      </c>
      <c r="AH26" s="425">
        <f t="shared" si="2"/>
        <v>272529966</v>
      </c>
      <c r="AI26"/>
      <c r="AJ26" s="446" t="e">
        <f ca="1">_xll.EPMCommentFullContext(,#REF!,$AE$18,$A$4)</f>
        <v>#NAME?</v>
      </c>
      <c r="AK26" s="446">
        <f t="shared" si="3"/>
        <v>1</v>
      </c>
      <c r="AL26" s="446"/>
      <c r="AM26" s="446"/>
      <c r="AN26" s="446"/>
      <c r="AX26" s="117"/>
      <c r="AY26" s="117"/>
    </row>
    <row r="27" spans="1:51">
      <c r="A27" s="119"/>
      <c r="B27" s="584" t="s">
        <v>1008</v>
      </c>
      <c r="C27" s="424" t="str">
        <f>INDEX(BPC_FILA_NOTA[#All],MATCH('900002'!B27,BPC_FILA_NOTA[[#All],[ID]],0),2)</f>
        <v>Total Otros activos financieros corrientes/no corrientes( S130_0 + S160_1 )</v>
      </c>
      <c r="D27" s="271"/>
      <c r="E27" s="271"/>
      <c r="F27" s="271"/>
      <c r="G27" s="271"/>
      <c r="H27" s="271"/>
      <c r="I27" s="271"/>
      <c r="J27" s="271"/>
      <c r="K27" s="271"/>
      <c r="L27" s="271"/>
      <c r="M27" s="426">
        <v>26047011977.560001</v>
      </c>
      <c r="N27" s="425">
        <f t="shared" si="0"/>
        <v>0</v>
      </c>
      <c r="O27"/>
      <c r="P27" s="341">
        <f>IFERROR(INDEX(BPC_NOTAS[#All],MATCH("S160_1",BPC_NOTAS[[#All],[FILA_COLUMNA]],0),2),0)+IFERROR(INDEX(BPC_NOTAS[#All],MATCH("S130_0",BPC_NOTAS[[#All],[FILA_COLUMNA]],0),2),0)</f>
        <v>262091406</v>
      </c>
      <c r="Q27" s="158" t="str">
        <f>IF(P27=0,"ok","Error")</f>
        <v>Error</v>
      </c>
      <c r="R27" s="158" t="str">
        <f>IF(ABS(N27-P27)&lt;=1000,IF(AND(F27&lt;&gt;0,E27=0),"Error",IF(AND(H27&lt;&gt;0,G27=0),"Error",IF(AND(J27&lt;&gt;0,I27=0),"Error",IF(AND(L27&lt;&gt;0,K27=0),"Error",IF(A12="2010.12","Error",IF(AND(E27&lt;&gt;0,F27=0),"Error",IF(AND(G27&lt;&gt;0,H27=0),"Error",IF(AND(I27&lt;&gt;0,J27=0),"Error","Ok")))))))),"Error")</f>
        <v>Error</v>
      </c>
      <c r="S27" s="446"/>
      <c r="T27" s="20" t="e">
        <f ca="1">_xll.EPMSaveData(N27,,N$18,$B27)</f>
        <v>#NAME?</v>
      </c>
      <c r="U27" s="402"/>
      <c r="V27" s="584" t="s">
        <v>1008</v>
      </c>
      <c r="W27" s="549" t="str">
        <f>INDEX(BPC_FILA_NOTA[#All],MATCH($V27,BPC_FILA_NOTA[[#All],[ID]],0),2)</f>
        <v>Total Otros activos financieros corrientes/no corrientes( S130_0 + S160_1 )</v>
      </c>
      <c r="X27" s="550">
        <f>IFERROR(INDEX(BPC_NOTAS2[#All],MATCH($V27&amp;"_"&amp;X$18,BPC_NOTAS2[[#All],[FILA_COLUMNA]],0),2),"")</f>
        <v>158825072</v>
      </c>
      <c r="Y27" s="550" t="str">
        <f>IFERROR(INDEX(BPC_NOTAS2[#All],MATCH($V27&amp;"_"&amp;Y$18,BPC_NOTAS2[[#All],[FILA_COLUMNA]],0),2),"")</f>
        <v/>
      </c>
      <c r="Z27" s="550" t="str">
        <f>IFERROR(INDEX(BPC_NOTAS2[#All],MATCH($V27&amp;"_"&amp;Z$18,BPC_NOTAS2[[#All],[FILA_COLUMNA]],0),2),"")</f>
        <v/>
      </c>
      <c r="AA27" s="550" t="str">
        <f>IFERROR(INDEX(BPC_NOTAS2[#All],MATCH($V27&amp;"_"&amp;AA$18,BPC_NOTAS2[[#All],[FILA_COLUMNA]],0),2),"")</f>
        <v/>
      </c>
      <c r="AB27" s="550" t="str">
        <f>IFERROR(INDEX(BPC_NOTAS2[#All],MATCH($V27&amp;"_"&amp;AB$18,BPC_NOTAS2[[#All],[FILA_COLUMNA]],0),2),"")</f>
        <v/>
      </c>
      <c r="AC27" s="550" t="str">
        <f>IFERROR(INDEX(BPC_NOTAS2[#All],MATCH($V27&amp;"_"&amp;AC$18,BPC_NOTAS2[[#All],[FILA_COLUMNA]],0),2),"")</f>
        <v/>
      </c>
      <c r="AD27" s="550" t="str">
        <f>IFERROR(INDEX(BPC_NOTAS2[#All],MATCH($V27&amp;"_"&amp;AD$18,BPC_NOTAS2[[#All],[FILA_COLUMNA]],0),2),"")</f>
        <v/>
      </c>
      <c r="AE27" s="550" t="str">
        <f>IFERROR(INDEX(BPC_COMENTARIOS2[#All],MATCH($V27&amp;"_"&amp;AE$18,BPC_COMENTARIOS2[[#All],[FILA_COLUMNA]],0),2),"")</f>
        <v/>
      </c>
      <c r="AF27" s="550" t="str">
        <f>IFERROR(INDEX(BPC_NOTAS2[#All],MATCH($V27&amp;"_"&amp;AF$18,BPC_NOTAS2[[#All],[FILA_COLUMNA]],0),2),"")</f>
        <v/>
      </c>
      <c r="AG27" s="425">
        <f t="shared" si="1"/>
        <v>158825072</v>
      </c>
      <c r="AH27" s="425">
        <f t="shared" si="2"/>
        <v>158825072</v>
      </c>
      <c r="AI27"/>
      <c r="AJ27" s="446" t="e">
        <f ca="1">_xll.EPMCommentFullContext(,#REF!,$AE$18,$A$4)</f>
        <v>#NAME?</v>
      </c>
      <c r="AK27" s="446">
        <f t="shared" si="3"/>
        <v>1</v>
      </c>
      <c r="AL27" s="446"/>
      <c r="AM27" s="446"/>
      <c r="AN27" s="446"/>
      <c r="AX27" s="117"/>
      <c r="AY27" s="117"/>
    </row>
    <row r="28" spans="1:51">
      <c r="A28" s="119"/>
      <c r="B28" s="584" t="s">
        <v>1172</v>
      </c>
      <c r="C28" s="424" t="str">
        <f>INDEX(BPC_FILA_NOTA[#All],MATCH('900002'!B28,BPC_FILA_NOTA[[#All],[ID]],0),2)</f>
        <v>Total Obligaciones financieras corrientes/no corrientes ( S200_0 + S200_1 )</v>
      </c>
      <c r="D28" s="271"/>
      <c r="E28" s="271"/>
      <c r="F28" s="271"/>
      <c r="G28" s="271"/>
      <c r="H28" s="271"/>
      <c r="I28" s="271"/>
      <c r="J28" s="271"/>
      <c r="K28" s="271"/>
      <c r="L28" s="271"/>
      <c r="M28" s="426">
        <v>-301200000000</v>
      </c>
      <c r="N28" s="425">
        <f t="shared" si="0"/>
        <v>0</v>
      </c>
      <c r="O28"/>
      <c r="P28" s="341">
        <f>-(IFERROR(INDEX(BPC_NOTAS[#All],MATCH("S200_0",BPC_NOTAS[[#All],[FILA_COLUMNA]],0),2),0)+IFERROR(INDEX(BPC_NOTAS[#All],MATCH("S200_1",BPC_NOTAS[[#All],[FILA_COLUMNA]],0),2),0))</f>
        <v>0</v>
      </c>
      <c r="Q28" s="158" t="str">
        <f>IF(P28=0,"ok","Error")</f>
        <v>ok</v>
      </c>
      <c r="R28" s="158" t="str">
        <f>IF(ABS(N28-P28)&lt;=1000,IF(AND(F28&lt;&gt;0,E28=0),"Error",IF(AND(H28&lt;&gt;0,G28=0),"Error",IF(AND(J28&lt;&gt;0,I28=0),"Error",IF(AND(L28&lt;&gt;0,K28=0),"Error",IF(A13="2010.12","Error",IF(AND(E28&lt;&gt;0,F28=0),"Error",IF(AND(G28&lt;&gt;0,H28=0),"Error",IF(AND(I28&lt;&gt;0,J28=0),"Error","Ok")))))))),"Error")</f>
        <v>Ok</v>
      </c>
      <c r="S28" s="446"/>
      <c r="T28" s="20" t="e">
        <f ca="1">_xll.EPMSaveData(N28,,N$18,$B28)</f>
        <v>#NAME?</v>
      </c>
      <c r="U28" s="402"/>
      <c r="V28" s="584" t="s">
        <v>1172</v>
      </c>
      <c r="W28" s="549" t="str">
        <f>INDEX(BPC_FILA_NOTA[#All],MATCH($V28,BPC_FILA_NOTA[[#All],[ID]],0),2)</f>
        <v>Total Obligaciones financieras corrientes/no corrientes ( S200_0 + S200_1 )</v>
      </c>
      <c r="X28" s="550" t="str">
        <f>IFERROR(INDEX(BPC_NOTAS2[#All],MATCH($V28&amp;"_"&amp;X$18,BPC_NOTAS2[[#All],[FILA_COLUMNA]],0),2),"")</f>
        <v/>
      </c>
      <c r="Y28" s="550" t="str">
        <f>IFERROR(INDEX(BPC_NOTAS2[#All],MATCH($V28&amp;"_"&amp;Y$18,BPC_NOTAS2[[#All],[FILA_COLUMNA]],0),2),"")</f>
        <v/>
      </c>
      <c r="Z28" s="550" t="str">
        <f>IFERROR(INDEX(BPC_NOTAS2[#All],MATCH($V28&amp;"_"&amp;Z$18,BPC_NOTAS2[[#All],[FILA_COLUMNA]],0),2),"")</f>
        <v/>
      </c>
      <c r="AA28" s="550" t="str">
        <f>IFERROR(INDEX(BPC_NOTAS2[#All],MATCH($V28&amp;"_"&amp;AA$18,BPC_NOTAS2[[#All],[FILA_COLUMNA]],0),2),"")</f>
        <v/>
      </c>
      <c r="AB28" s="550" t="str">
        <f>IFERROR(INDEX(BPC_NOTAS2[#All],MATCH($V28&amp;"_"&amp;AB$18,BPC_NOTAS2[[#All],[FILA_COLUMNA]],0),2),"")</f>
        <v/>
      </c>
      <c r="AC28" s="550" t="str">
        <f>IFERROR(INDEX(BPC_NOTAS2[#All],MATCH($V28&amp;"_"&amp;AC$18,BPC_NOTAS2[[#All],[FILA_COLUMNA]],0),2),"")</f>
        <v/>
      </c>
      <c r="AD28" s="550" t="str">
        <f>IFERROR(INDEX(BPC_NOTAS2[#All],MATCH($V28&amp;"_"&amp;AD$18,BPC_NOTAS2[[#All],[FILA_COLUMNA]],0),2),"")</f>
        <v/>
      </c>
      <c r="AE28" s="550" t="str">
        <f>IFERROR(INDEX(BPC_COMENTARIOS2[#All],MATCH($V28&amp;"_"&amp;AE$18,BPC_COMENTARIOS2[[#All],[FILA_COLUMNA]],0),2),"")</f>
        <v/>
      </c>
      <c r="AF28" s="550" t="str">
        <f>IFERROR(INDEX(BPC_NOTAS2[#All],MATCH($V28&amp;"_"&amp;AF$18,BPC_NOTAS2[[#All],[FILA_COLUMNA]],0),2),"")</f>
        <v/>
      </c>
      <c r="AG28" s="425">
        <f t="shared" si="1"/>
        <v>0</v>
      </c>
      <c r="AH28" s="425">
        <f t="shared" si="2"/>
        <v>0</v>
      </c>
      <c r="AI28"/>
      <c r="AJ28" s="446" t="e">
        <f ca="1">_xll.EPMCommentFullContext(,#REF!,$AE$18,$A$4)</f>
        <v>#NAME?</v>
      </c>
      <c r="AK28" s="446">
        <f t="shared" si="3"/>
        <v>0</v>
      </c>
      <c r="AL28" s="446"/>
      <c r="AM28" s="446"/>
      <c r="AN28" s="446"/>
      <c r="AX28" s="117"/>
      <c r="AY28" s="117"/>
    </row>
    <row r="29" spans="1:51" ht="24">
      <c r="A29" s="119"/>
      <c r="B29" s="584" t="s">
        <v>867</v>
      </c>
      <c r="C29" s="424" t="str">
        <f>INDEX(BPC_FILA_NOTA[#All],MATCH('900002'!B29,BPC_FILA_NOTA[[#All],[ID]],0),2)</f>
        <v>Total cuentas por pagar comerciales y otras cuentas por pagar corrientes/no corrientes ( S220_0 + S215_1 )</v>
      </c>
      <c r="D29" s="271"/>
      <c r="E29" s="271"/>
      <c r="F29" s="271"/>
      <c r="G29" s="271"/>
      <c r="H29" s="271"/>
      <c r="I29" s="271"/>
      <c r="J29" s="271"/>
      <c r="K29" s="271"/>
      <c r="L29" s="271"/>
      <c r="M29" s="426">
        <v>-9024500493.2800007</v>
      </c>
      <c r="N29" s="425">
        <f t="shared" si="0"/>
        <v>0</v>
      </c>
      <c r="O29"/>
      <c r="P29" s="341">
        <f>-(IFERROR(INDEX(BPC_NOTAS[#All],MATCH("S220_0",BPC_NOTAS[[#All],[FILA_COLUMNA]],0),2),0)+IFERROR(INDEX(BPC_NOTAS[#All],MATCH("S215_1",BPC_NOTAS[[#All],[FILA_COLUMNA]],0),2),0))</f>
        <v>-47054061</v>
      </c>
      <c r="Q29" s="158" t="str">
        <f>IF(P29=0,"ok","Error")</f>
        <v>Error</v>
      </c>
      <c r="R29" s="158" t="str">
        <f>IF(ABS(N29-P29)&lt;=1000,IF(AND(F29&lt;&gt;0,E29=0),"Error",IF(AND(H29&lt;&gt;0,G29=0),"Error",IF(AND(J29&lt;&gt;0,I29=0),"Error",IF(AND(L29&lt;&gt;0,K29=0),"Error",IF(A14="2010.12","Error",IF(AND(E29&lt;&gt;0,F29=0),"Error",IF(AND(G29&lt;&gt;0,H29=0),"Error",IF(AND(I29&lt;&gt;0,J29=0),"Error","Ok")))))))),"Error")</f>
        <v>Error</v>
      </c>
      <c r="S29" s="446"/>
      <c r="T29" s="20" t="e">
        <f ca="1">_xll.EPMSaveData(N29,,N$18,$B29)</f>
        <v>#NAME?</v>
      </c>
      <c r="U29" s="402"/>
      <c r="V29" s="584" t="s">
        <v>867</v>
      </c>
      <c r="W29" s="549" t="str">
        <f>INDEX(BPC_FILA_NOTA[#All],MATCH($V29,BPC_FILA_NOTA[[#All],[ID]],0),2)</f>
        <v>Total cuentas por pagar comerciales y otras cuentas por pagar corrientes/no corrientes ( S220_0 + S215_1 )</v>
      </c>
      <c r="X29" s="550">
        <f>IFERROR(INDEX(BPC_NOTAS2[#All],MATCH($V29&amp;"_"&amp;X$18,BPC_NOTAS2[[#All],[FILA_COLUMNA]],0),2),"")</f>
        <v>-51652611.130000003</v>
      </c>
      <c r="Y29" s="550">
        <f>IFERROR(INDEX(BPC_NOTAS2[#All],MATCH($V29&amp;"_"&amp;Y$18,BPC_NOTAS2[[#All],[FILA_COLUMNA]],0),2),"")</f>
        <v>-888.5</v>
      </c>
      <c r="Z29" s="550">
        <f>IFERROR(INDEX(BPC_NOTAS2[#All],MATCH($V29&amp;"_"&amp;Z$18,BPC_NOTAS2[[#All],[FILA_COLUMNA]],0),2),"")</f>
        <v>-2887402.88</v>
      </c>
      <c r="AA29" s="550" t="str">
        <f>IFERROR(INDEX(BPC_NOTAS2[#All],MATCH($V29&amp;"_"&amp;AA$18,BPC_NOTAS2[[#All],[FILA_COLUMNA]],0),2),"")</f>
        <v/>
      </c>
      <c r="AB29" s="550" t="str">
        <f>IFERROR(INDEX(BPC_NOTAS2[#All],MATCH($V29&amp;"_"&amp;AB$18,BPC_NOTAS2[[#All],[FILA_COLUMNA]],0),2),"")</f>
        <v/>
      </c>
      <c r="AC29" s="550" t="str">
        <f>IFERROR(INDEX(BPC_NOTAS2[#All],MATCH($V29&amp;"_"&amp;AC$18,BPC_NOTAS2[[#All],[FILA_COLUMNA]],0),2),"")</f>
        <v/>
      </c>
      <c r="AD29" s="550" t="str">
        <f>IFERROR(INDEX(BPC_NOTAS2[#All],MATCH($V29&amp;"_"&amp;AD$18,BPC_NOTAS2[[#All],[FILA_COLUMNA]],0),2),"")</f>
        <v/>
      </c>
      <c r="AE29" s="550" t="str">
        <f>IFERROR(INDEX(BPC_COMENTARIOS2[#All],MATCH($V29&amp;"_"&amp;AE$18,BPC_COMENTARIOS2[[#All],[FILA_COLUMNA]],0),2),"")</f>
        <v/>
      </c>
      <c r="AF29" s="550" t="str">
        <f>IFERROR(INDEX(BPC_NOTAS2[#All],MATCH($V29&amp;"_"&amp;AF$18,BPC_NOTAS2[[#All],[FILA_COLUMNA]],0),2),"")</f>
        <v/>
      </c>
      <c r="AG29" s="425">
        <f t="shared" si="1"/>
        <v>-54540014.009999998</v>
      </c>
      <c r="AH29" s="425">
        <f t="shared" si="2"/>
        <v>-54540902.509999998</v>
      </c>
      <c r="AI29"/>
      <c r="AJ29" s="446" t="e">
        <f ca="1">_xll.EPMCommentFullContext(,#REF!,$AE$18,$A$4)</f>
        <v>#NAME?</v>
      </c>
      <c r="AK29" s="446">
        <f t="shared" si="3"/>
        <v>1</v>
      </c>
      <c r="AL29" s="446"/>
      <c r="AM29" s="446"/>
      <c r="AN29" s="446"/>
      <c r="AX29" s="117"/>
      <c r="AY29" s="117"/>
    </row>
    <row r="30" spans="1:51" ht="36">
      <c r="A30" s="121"/>
      <c r="B30" s="584" t="s">
        <v>979</v>
      </c>
      <c r="C30" s="424" t="str">
        <f>INDEX(BPC_FILA_NOTA[#All],MATCH('900002'!B30,BPC_FILA_NOTA[[#All],[ID]],0),2)</f>
        <v>Total Cuentas por pagar partes relacionadas y asociadas corrientes/no corrientes (Que hacen parte de los estados financieros consolidados y por lo tanto se eliminan en este proceso, de acuerdo con las especificaciones del ANEXO 1)</v>
      </c>
      <c r="D30" s="271"/>
      <c r="E30" s="271"/>
      <c r="F30" s="271"/>
      <c r="G30" s="271"/>
      <c r="H30" s="271"/>
      <c r="I30" s="271"/>
      <c r="J30" s="271"/>
      <c r="K30" s="271"/>
      <c r="L30" s="271"/>
      <c r="M30" s="426">
        <v>-24659760140</v>
      </c>
      <c r="N30" s="425">
        <f t="shared" si="0"/>
        <v>0</v>
      </c>
      <c r="O30"/>
      <c r="P30" s="1"/>
      <c r="Q30" s="1"/>
      <c r="R30" s="1"/>
      <c r="S30" s="446"/>
      <c r="T30" s="20" t="e">
        <f ca="1">_xll.EPMSaveData(N30,,N$18,$B30)</f>
        <v>#NAME?</v>
      </c>
      <c r="U30" s="402"/>
      <c r="V30" s="584" t="s">
        <v>979</v>
      </c>
      <c r="W30" s="549" t="str">
        <f>INDEX(BPC_FILA_NOTA[#All],MATCH($V30,BPC_FILA_NOTA[[#All],[ID]],0),2)</f>
        <v>Total Cuentas por pagar partes relacionadas y asociadas corrientes/no corrientes (Que hacen parte de los estados financieros consolidados y por lo tanto se eliminan en este proceso, de acuerdo con las especificaciones del ANEXO 1)</v>
      </c>
      <c r="X30" s="550">
        <f>IFERROR(INDEX(BPC_NOTAS2[#All],MATCH($V30&amp;"_"&amp;X$18,BPC_NOTAS2[[#All],[FILA_COLUMNA]],0),2),"")</f>
        <v>-21846619</v>
      </c>
      <c r="Y30" s="550" t="str">
        <f>IFERROR(INDEX(BPC_NOTAS2[#All],MATCH($V30&amp;"_"&amp;Y$18,BPC_NOTAS2[[#All],[FILA_COLUMNA]],0),2),"")</f>
        <v/>
      </c>
      <c r="Z30" s="550" t="str">
        <f>IFERROR(INDEX(BPC_NOTAS2[#All],MATCH($V30&amp;"_"&amp;Z$18,BPC_NOTAS2[[#All],[FILA_COLUMNA]],0),2),"")</f>
        <v/>
      </c>
      <c r="AA30" s="550" t="str">
        <f>IFERROR(INDEX(BPC_NOTAS2[#All],MATCH($V30&amp;"_"&amp;AA$18,BPC_NOTAS2[[#All],[FILA_COLUMNA]],0),2),"")</f>
        <v/>
      </c>
      <c r="AB30" s="550" t="str">
        <f>IFERROR(INDEX(BPC_NOTAS2[#All],MATCH($V30&amp;"_"&amp;AB$18,BPC_NOTAS2[[#All],[FILA_COLUMNA]],0),2),"")</f>
        <v/>
      </c>
      <c r="AC30" s="550" t="str">
        <f>IFERROR(INDEX(BPC_NOTAS2[#All],MATCH($V30&amp;"_"&amp;AC$18,BPC_NOTAS2[[#All],[FILA_COLUMNA]],0),2),"")</f>
        <v/>
      </c>
      <c r="AD30" s="550" t="str">
        <f>IFERROR(INDEX(BPC_NOTAS2[#All],MATCH($V30&amp;"_"&amp;AD$18,BPC_NOTAS2[[#All],[FILA_COLUMNA]],0),2),"")</f>
        <v/>
      </c>
      <c r="AE30" s="550" t="str">
        <f>IFERROR(INDEX(BPC_COMENTARIOS2[#All],MATCH($V30&amp;"_"&amp;AE$18,BPC_COMENTARIOS2[[#All],[FILA_COLUMNA]],0),2),"")</f>
        <v/>
      </c>
      <c r="AF30" s="550" t="str">
        <f>IFERROR(INDEX(BPC_NOTAS2[#All],MATCH($V30&amp;"_"&amp;AF$18,BPC_NOTAS2[[#All],[FILA_COLUMNA]],0),2),"")</f>
        <v/>
      </c>
      <c r="AG30" s="425">
        <f t="shared" si="1"/>
        <v>-21846619</v>
      </c>
      <c r="AH30" s="425">
        <f t="shared" si="2"/>
        <v>-21846619</v>
      </c>
      <c r="AI30"/>
      <c r="AJ30" s="446" t="e">
        <f ca="1">_xll.EPMCommentFullContext(,#REF!,$AE$18,$A$4)</f>
        <v>#NAME?</v>
      </c>
      <c r="AK30" s="446"/>
      <c r="AL30" s="446"/>
      <c r="AM30" s="446"/>
      <c r="AN30" s="446"/>
      <c r="AX30" s="117"/>
      <c r="AY30" s="117"/>
    </row>
    <row r="31" spans="1:51" ht="36">
      <c r="A31" s="119"/>
      <c r="B31" s="584" t="s">
        <v>9476</v>
      </c>
      <c r="C31" s="424" t="str">
        <f>INDEX(BPC_FILA_NOTA[#All],MATCH('900002'!B31,BPC_FILA_NOTA[[#All],[ID]],0),2)</f>
        <v>Total Cuentas por pagar partes relacionadas y asociadas corrientes/no corrientes (Que NO hacen parte de los estados financieros consolidados y por lo tanto NO se eliminan en este proceso, de acuerdo con las especificaciones del ANEXO 1)</v>
      </c>
      <c r="D31" s="271"/>
      <c r="E31" s="271"/>
      <c r="F31" s="271"/>
      <c r="G31" s="271"/>
      <c r="H31" s="271"/>
      <c r="I31" s="271"/>
      <c r="J31" s="271"/>
      <c r="K31" s="271"/>
      <c r="L31" s="271"/>
      <c r="M31" s="500">
        <v>0</v>
      </c>
      <c r="N31" s="425">
        <f t="shared" si="0"/>
        <v>0</v>
      </c>
      <c r="O31"/>
      <c r="P31" s="1"/>
      <c r="Q31" s="1"/>
      <c r="R31" s="1"/>
      <c r="S31" s="446"/>
      <c r="T31" s="20" t="e">
        <f ca="1">_xll.EPMSaveData(N31,,N$18,$B31)</f>
        <v>#NAME?</v>
      </c>
      <c r="U31" s="402"/>
      <c r="V31" s="584" t="s">
        <v>9476</v>
      </c>
      <c r="W31" s="549" t="str">
        <f>INDEX(BPC_FILA_NOTA[#All],MATCH($V31,BPC_FILA_NOTA[[#All],[ID]],0),2)</f>
        <v>Total Cuentas por pagar partes relacionadas y asociadas corrientes/no corrientes (Que NO hacen parte de los estados financieros consolidados y por lo tanto NO se eliminan en este proceso, de acuerdo con las especificaciones del ANEXO 1)</v>
      </c>
      <c r="X31" s="550" t="str">
        <f>IFERROR(INDEX(BPC_NOTAS2[#All],MATCH($V31&amp;"_"&amp;X$18,BPC_NOTAS2[[#All],[FILA_COLUMNA]],0),2),"")</f>
        <v/>
      </c>
      <c r="Y31" s="550" t="str">
        <f>IFERROR(INDEX(BPC_NOTAS2[#All],MATCH($V31&amp;"_"&amp;Y$18,BPC_NOTAS2[[#All],[FILA_COLUMNA]],0),2),"")</f>
        <v/>
      </c>
      <c r="Z31" s="550" t="str">
        <f>IFERROR(INDEX(BPC_NOTAS2[#All],MATCH($V31&amp;"_"&amp;Z$18,BPC_NOTAS2[[#All],[FILA_COLUMNA]],0),2),"")</f>
        <v/>
      </c>
      <c r="AA31" s="550" t="str">
        <f>IFERROR(INDEX(BPC_NOTAS2[#All],MATCH($V31&amp;"_"&amp;AA$18,BPC_NOTAS2[[#All],[FILA_COLUMNA]],0),2),"")</f>
        <v/>
      </c>
      <c r="AB31" s="550" t="str">
        <f>IFERROR(INDEX(BPC_NOTAS2[#All],MATCH($V31&amp;"_"&amp;AB$18,BPC_NOTAS2[[#All],[FILA_COLUMNA]],0),2),"")</f>
        <v/>
      </c>
      <c r="AC31" s="550" t="str">
        <f>IFERROR(INDEX(BPC_NOTAS2[#All],MATCH($V31&amp;"_"&amp;AC$18,BPC_NOTAS2[[#All],[FILA_COLUMNA]],0),2),"")</f>
        <v/>
      </c>
      <c r="AD31" s="550" t="str">
        <f>IFERROR(INDEX(BPC_NOTAS2[#All],MATCH($V31&amp;"_"&amp;AD$18,BPC_NOTAS2[[#All],[FILA_COLUMNA]],0),2),"")</f>
        <v/>
      </c>
      <c r="AE31" s="550" t="str">
        <f>IFERROR(INDEX(BPC_COMENTARIOS2[#All],MATCH($V31&amp;"_"&amp;AE$18,BPC_COMENTARIOS2[[#All],[FILA_COLUMNA]],0),2),"")</f>
        <v/>
      </c>
      <c r="AF31" s="550" t="str">
        <f>IFERROR(INDEX(BPC_NOTAS2[#All],MATCH($V31&amp;"_"&amp;AF$18,BPC_NOTAS2[[#All],[FILA_COLUMNA]],0),2),"")</f>
        <v/>
      </c>
      <c r="AG31" s="425">
        <f t="shared" si="1"/>
        <v>0</v>
      </c>
      <c r="AH31" s="500">
        <f t="shared" si="2"/>
        <v>0</v>
      </c>
      <c r="AI31"/>
      <c r="AJ31" s="446" t="e">
        <f ca="1">_xll.EPMCommentFullContext(,#REF!,$AE$18,$A$4)</f>
        <v>#NAME?</v>
      </c>
      <c r="AK31" s="446"/>
      <c r="AL31" s="446"/>
      <c r="AM31" s="446"/>
      <c r="AN31" s="446"/>
      <c r="AX31" s="117"/>
      <c r="AY31" s="117"/>
    </row>
    <row r="32" spans="1:51" ht="22.5" customHeight="1">
      <c r="A32" s="119"/>
      <c r="B32" s="584" t="s">
        <v>9466</v>
      </c>
      <c r="C32" s="496" t="str">
        <f>INDEX(BPC_FILA_NOTA[#All],MATCH('900002'!B32,BPC_FILA_NOTA[[#All],[ID]],0),2)</f>
        <v>Total Cuentas por pagar partes relacionadas y asociadas corrientes/no corrientes ( S225_0 + S220_1 )</v>
      </c>
      <c r="D32" s="270">
        <f>SUM(D30:D31)</f>
        <v>0</v>
      </c>
      <c r="E32" s="270">
        <f t="shared" ref="E32:L32" si="6">SUM(E30:E31)</f>
        <v>0</v>
      </c>
      <c r="F32" s="270">
        <f t="shared" si="6"/>
        <v>0</v>
      </c>
      <c r="G32" s="270">
        <f t="shared" si="6"/>
        <v>0</v>
      </c>
      <c r="H32" s="270">
        <f t="shared" si="6"/>
        <v>0</v>
      </c>
      <c r="I32" s="270">
        <f t="shared" si="6"/>
        <v>0</v>
      </c>
      <c r="J32" s="270">
        <f t="shared" si="6"/>
        <v>0</v>
      </c>
      <c r="K32" s="270"/>
      <c r="L32" s="270">
        <f t="shared" si="6"/>
        <v>0</v>
      </c>
      <c r="M32" s="426">
        <v>-24659760140</v>
      </c>
      <c r="N32" s="425">
        <f t="shared" si="0"/>
        <v>0</v>
      </c>
      <c r="O32"/>
      <c r="P32" s="341">
        <f>-(IFERROR(INDEX(BPC_NOTAS[#All],MATCH("S225_0",BPC_NOTAS[[#All],[FILA_COLUMNA]],0),2),0)+IFERROR(INDEX(BPC_NOTAS[#All],MATCH("S220_1",BPC_NOTAS[[#All],[FILA_COLUMNA]],0),2),0))</f>
        <v>-10174703</v>
      </c>
      <c r="Q32" s="158" t="str">
        <f>IF(P32=0,"ok","Error")</f>
        <v>Error</v>
      </c>
      <c r="R32" s="158" t="str">
        <f>IF(ABS(N32-P32)&lt;=1000,IF(AND(F32&lt;&gt;0,E32=0),"Error",IF(AND(H32&lt;&gt;0,G32=0),"Error",IF(AND(J32&lt;&gt;0,I32=0),"Error",IF(AND(L32&lt;&gt;0,K32=0),"Error",IF(A17="2010.12","Error",IF(AND(E32&lt;&gt;0,F32=0),"Error",IF(AND(G32&lt;&gt;0,H32=0),"Error",IF(AND(I32&lt;&gt;0,J32=0),"Error","Ok")))))))),"Error")</f>
        <v>Error</v>
      </c>
      <c r="S32" s="446"/>
      <c r="U32" s="402"/>
      <c r="V32" s="584" t="s">
        <v>9466</v>
      </c>
      <c r="W32" s="549" t="str">
        <f>INDEX(BPC_FILA_NOTA[#All],MATCH($V32,BPC_FILA_NOTA[[#All],[ID]],0),2)</f>
        <v>Total Cuentas por pagar partes relacionadas y asociadas corrientes/no corrientes ( S225_0 + S220_1 )</v>
      </c>
      <c r="X32" s="527">
        <f>SUM(X30:X31)</f>
        <v>-21846619</v>
      </c>
      <c r="Y32" s="527">
        <f t="shared" ref="Y32:AD32" si="7">SUM(Y30:Y31)</f>
        <v>0</v>
      </c>
      <c r="Z32" s="527">
        <f t="shared" si="7"/>
        <v>0</v>
      </c>
      <c r="AA32" s="527">
        <f t="shared" si="7"/>
        <v>0</v>
      </c>
      <c r="AB32" s="527">
        <f t="shared" si="7"/>
        <v>0</v>
      </c>
      <c r="AC32" s="527">
        <f t="shared" si="7"/>
        <v>0</v>
      </c>
      <c r="AD32" s="527">
        <f t="shared" si="7"/>
        <v>0</v>
      </c>
      <c r="AE32" s="527" t="str">
        <f>IFERROR(INDEX(BPC_COMENTARIOS2[#All],MATCH($V32&amp;"_"&amp;AE$18,BPC_COMENTARIOS2[[#All],[FILA_COLUMNA]],0),2),"")</f>
        <v/>
      </c>
      <c r="AF32" s="527">
        <f>SUM(AF30:AF31)</f>
        <v>0</v>
      </c>
      <c r="AG32" s="425">
        <f t="shared" si="1"/>
        <v>-21846619</v>
      </c>
      <c r="AH32" s="425">
        <f t="shared" si="2"/>
        <v>-21846619</v>
      </c>
      <c r="AI32"/>
      <c r="AJ32" s="446"/>
      <c r="AK32" s="446">
        <f t="shared" si="3"/>
        <v>1</v>
      </c>
      <c r="AL32" s="446"/>
      <c r="AM32" s="446"/>
      <c r="AN32" s="446"/>
      <c r="AX32" s="117"/>
      <c r="AY32" s="117"/>
    </row>
    <row r="33" spans="1:51">
      <c r="A33" s="119"/>
      <c r="B33" s="584" t="s">
        <v>1087</v>
      </c>
      <c r="C33" s="424" t="str">
        <f>INDEX(BPC_FILA_NOTA[#All],MATCH('900002'!B33,BPC_FILA_NOTA[[#All],[ID]],0),2)</f>
        <v>Total Otros pasivos financieros corrientes/no corrientes ( S235_0 + S235_1 )</v>
      </c>
      <c r="D33" s="271"/>
      <c r="E33" s="271"/>
      <c r="F33" s="271"/>
      <c r="G33" s="271"/>
      <c r="H33" s="271"/>
      <c r="I33" s="271"/>
      <c r="J33" s="271"/>
      <c r="K33" s="271"/>
      <c r="L33" s="271"/>
      <c r="M33" s="426">
        <v>-164242332</v>
      </c>
      <c r="N33" s="425">
        <f t="shared" si="0"/>
        <v>0</v>
      </c>
      <c r="O33"/>
      <c r="P33" s="341">
        <f>-(IFERROR(INDEX(BPC_NOTAS[#All],MATCH("S235_0",BPC_NOTAS[[#All],[FILA_COLUMNA]],0),2),0)+IFERROR(INDEX(BPC_NOTAS[#All],MATCH("S235_1",BPC_NOTAS[[#All],[FILA_COLUMNA]],0),2),0))</f>
        <v>0</v>
      </c>
      <c r="Q33" s="158" t="str">
        <f>IF(P33=0,"ok","Error")</f>
        <v>ok</v>
      </c>
      <c r="R33" s="158" t="str">
        <f>IF(ABS(N33-P33)&lt;=1000,IF(AND(F33&lt;&gt;0,E33=0),"Error",IF(AND(H33&lt;&gt;0,G33=0),"Error",IF(AND(J33&lt;&gt;0,I33=0),"Error",IF(AND(L33&lt;&gt;0,K33=0),"Error",IF(A18="2010.12","Error",IF(AND(E33&lt;&gt;0,F33=0),"Error",IF(AND(G33&lt;&gt;0,H33=0),"Error",IF(AND(I33&lt;&gt;0,J33=0),"Error","Ok")))))))),"Error")</f>
        <v>Ok</v>
      </c>
      <c r="S33" s="446"/>
      <c r="T33" s="20" t="e">
        <f ca="1">_xll.EPMSaveData(N33,,N$18,$B33)</f>
        <v>#NAME?</v>
      </c>
      <c r="U33" s="402"/>
      <c r="V33" s="584" t="s">
        <v>1087</v>
      </c>
      <c r="W33" s="549" t="str">
        <f>INDEX(BPC_FILA_NOTA[#All],MATCH($V33,BPC_FILA_NOTA[[#All],[ID]],0),2)</f>
        <v>Total Otros pasivos financieros corrientes/no corrientes ( S235_0 + S235_1 )</v>
      </c>
      <c r="X33" s="550" t="str">
        <f>IFERROR(INDEX(BPC_NOTAS2[#All],MATCH($V33&amp;"_"&amp;X$18,BPC_NOTAS2[[#All],[FILA_COLUMNA]],0),2),"")</f>
        <v/>
      </c>
      <c r="Y33" s="550" t="str">
        <f>IFERROR(INDEX(BPC_NOTAS2[#All],MATCH($V33&amp;"_"&amp;Y$18,BPC_NOTAS2[[#All],[FILA_COLUMNA]],0),2),"")</f>
        <v/>
      </c>
      <c r="Z33" s="550" t="str">
        <f>IFERROR(INDEX(BPC_NOTAS2[#All],MATCH($V33&amp;"_"&amp;Z$18,BPC_NOTAS2[[#All],[FILA_COLUMNA]],0),2),"")</f>
        <v/>
      </c>
      <c r="AA33" s="550" t="str">
        <f>IFERROR(INDEX(BPC_NOTAS2[#All],MATCH($V33&amp;"_"&amp;AA$18,BPC_NOTAS2[[#All],[FILA_COLUMNA]],0),2),"")</f>
        <v/>
      </c>
      <c r="AB33" s="550" t="str">
        <f>IFERROR(INDEX(BPC_NOTAS2[#All],MATCH($V33&amp;"_"&amp;AB$18,BPC_NOTAS2[[#All],[FILA_COLUMNA]],0),2),"")</f>
        <v/>
      </c>
      <c r="AC33" s="550" t="str">
        <f>IFERROR(INDEX(BPC_NOTAS2[#All],MATCH($V33&amp;"_"&amp;AC$18,BPC_NOTAS2[[#All],[FILA_COLUMNA]],0),2),"")</f>
        <v/>
      </c>
      <c r="AD33" s="550" t="str">
        <f>IFERROR(INDEX(BPC_NOTAS2[#All],MATCH($V33&amp;"_"&amp;AD$18,BPC_NOTAS2[[#All],[FILA_COLUMNA]],0),2),"")</f>
        <v/>
      </c>
      <c r="AE33" s="550" t="str">
        <f>IFERROR(INDEX(BPC_COMENTARIOS2[#All],MATCH($V33&amp;"_"&amp;AE$18,BPC_COMENTARIOS2[[#All],[FILA_COLUMNA]],0),2),"")</f>
        <v/>
      </c>
      <c r="AF33" s="550" t="str">
        <f>IFERROR(INDEX(BPC_NOTAS2[#All],MATCH($V33&amp;"_"&amp;AF$18,BPC_NOTAS2[[#All],[FILA_COLUMNA]],0),2),"")</f>
        <v/>
      </c>
      <c r="AG33" s="425">
        <f t="shared" si="1"/>
        <v>0</v>
      </c>
      <c r="AH33" s="425">
        <f t="shared" si="2"/>
        <v>0</v>
      </c>
      <c r="AI33"/>
      <c r="AJ33" s="446" t="e">
        <f ca="1">_xll.EPMCommentFullContext(,#REF!,$AE$18,$A$4)</f>
        <v>#NAME?</v>
      </c>
      <c r="AK33" s="446">
        <f t="shared" si="3"/>
        <v>0</v>
      </c>
      <c r="AL33" s="446"/>
      <c r="AM33" s="446"/>
      <c r="AN33" s="446"/>
      <c r="AX33" s="117"/>
      <c r="AY33" s="117"/>
    </row>
    <row r="34" spans="1:51" ht="24">
      <c r="A34" s="119"/>
      <c r="B34" s="584" t="s">
        <v>999</v>
      </c>
      <c r="C34" s="424" t="str">
        <f>INDEX(BPC_FILA_NOTA[#All],MATCH('900002'!B34,BPC_FILA_NOTA[[#All],[ID]],0),2)</f>
        <v>Subtotal provisiones corrientes/No corrientes por beneficios a los empleados/no corrientes( S210_0 + S205_1 )</v>
      </c>
      <c r="D34" s="271"/>
      <c r="E34" s="271"/>
      <c r="F34" s="271"/>
      <c r="G34" s="271"/>
      <c r="H34" s="271"/>
      <c r="I34" s="271"/>
      <c r="J34" s="271"/>
      <c r="K34" s="271"/>
      <c r="L34" s="271"/>
      <c r="M34" s="426">
        <v>-1258964097</v>
      </c>
      <c r="N34" s="425">
        <f t="shared" si="0"/>
        <v>0</v>
      </c>
      <c r="O34"/>
      <c r="P34" s="341">
        <f>-(IFERROR(INDEX(BPC_NOTAS[#All],MATCH("S210_0",BPC_NOTAS[[#All],[FILA_COLUMNA]],0),2),0)+IFERROR(INDEX(BPC_NOTAS[#All],MATCH("S205_1",BPC_NOTAS[[#All],[FILA_COLUMNA]],0),2),0))</f>
        <v>-69136085</v>
      </c>
      <c r="Q34" s="158" t="str">
        <f>IF(P34=0,"ok","Error")</f>
        <v>Error</v>
      </c>
      <c r="R34" s="158" t="str">
        <f>IF(ABS(N34-P34)&lt;=1000,IF(AND(F34&lt;&gt;0,E34=0),"Error",IF(AND(H34&lt;&gt;0,G34=0),"Error",IF(AND(J34&lt;&gt;0,I34=0),"Error",IF(AND(L34&lt;&gt;0,K34=0),"Error",IF(A19="2010.12","Error",IF(AND(E34&lt;&gt;0,F34=0),"Error",IF(AND(G34&lt;&gt;0,H34=0),"Error",IF(AND(I34&lt;&gt;0,J34=0),"Error","Ok")))))))),"Error")</f>
        <v>Error</v>
      </c>
      <c r="S34" s="446"/>
      <c r="T34" s="20" t="e">
        <f ca="1">_xll.EPMSaveData(N34,,N$18,$B34)</f>
        <v>#NAME?</v>
      </c>
      <c r="U34" s="402"/>
      <c r="V34" s="584" t="s">
        <v>999</v>
      </c>
      <c r="W34" s="549" t="str">
        <f>INDEX(BPC_FILA_NOTA[#All],MATCH($V34,BPC_FILA_NOTA[[#All],[ID]],0),2)</f>
        <v>Subtotal provisiones corrientes/No corrientes por beneficios a los empleados/no corrientes( S210_0 + S205_1 )</v>
      </c>
      <c r="X34" s="550">
        <f>IFERROR(INDEX(BPC_NOTAS2[#All],MATCH($V34&amp;"_"&amp;X$18,BPC_NOTAS2[[#All],[FILA_COLUMNA]],0),2),"")</f>
        <v>-51193440</v>
      </c>
      <c r="Y34" s="550" t="str">
        <f>IFERROR(INDEX(BPC_NOTAS2[#All],MATCH($V34&amp;"_"&amp;Y$18,BPC_NOTAS2[[#All],[FILA_COLUMNA]],0),2),"")</f>
        <v/>
      </c>
      <c r="Z34" s="550" t="str">
        <f>IFERROR(INDEX(BPC_NOTAS2[#All],MATCH($V34&amp;"_"&amp;Z$18,BPC_NOTAS2[[#All],[FILA_COLUMNA]],0),2),"")</f>
        <v/>
      </c>
      <c r="AA34" s="550" t="str">
        <f>IFERROR(INDEX(BPC_NOTAS2[#All],MATCH($V34&amp;"_"&amp;AA$18,BPC_NOTAS2[[#All],[FILA_COLUMNA]],0),2),"")</f>
        <v/>
      </c>
      <c r="AB34" s="550" t="str">
        <f>IFERROR(INDEX(BPC_NOTAS2[#All],MATCH($V34&amp;"_"&amp;AB$18,BPC_NOTAS2[[#All],[FILA_COLUMNA]],0),2),"")</f>
        <v/>
      </c>
      <c r="AC34" s="550" t="str">
        <f>IFERROR(INDEX(BPC_NOTAS2[#All],MATCH($V34&amp;"_"&amp;AC$18,BPC_NOTAS2[[#All],[FILA_COLUMNA]],0),2),"")</f>
        <v/>
      </c>
      <c r="AD34" s="550" t="str">
        <f>IFERROR(INDEX(BPC_NOTAS2[#All],MATCH($V34&amp;"_"&amp;AD$18,BPC_NOTAS2[[#All],[FILA_COLUMNA]],0),2),"")</f>
        <v/>
      </c>
      <c r="AE34" s="550" t="str">
        <f>IFERROR(INDEX(BPC_COMENTARIOS2[#All],MATCH($V34&amp;"_"&amp;AE$18,BPC_COMENTARIOS2[[#All],[FILA_COLUMNA]],0),2),"")</f>
        <v/>
      </c>
      <c r="AF34" s="550" t="str">
        <f>IFERROR(INDEX(BPC_NOTAS2[#All],MATCH($V34&amp;"_"&amp;AF$18,BPC_NOTAS2[[#All],[FILA_COLUMNA]],0),2),"")</f>
        <v/>
      </c>
      <c r="AG34" s="425">
        <f t="shared" si="1"/>
        <v>-51193440</v>
      </c>
      <c r="AH34" s="425">
        <f t="shared" si="2"/>
        <v>-51193440</v>
      </c>
      <c r="AI34"/>
      <c r="AJ34" s="446" t="e">
        <f ca="1">_xll.EPMCommentFullContext(,#REF!,$AE$18,$A$4)</f>
        <v>#NAME?</v>
      </c>
      <c r="AK34" s="446">
        <f t="shared" si="3"/>
        <v>1</v>
      </c>
      <c r="AL34" s="446"/>
      <c r="AM34" s="446"/>
      <c r="AN34" s="446"/>
      <c r="AX34" s="117"/>
      <c r="AY34" s="117"/>
    </row>
    <row r="35" spans="1:51">
      <c r="A35" s="119"/>
      <c r="B35" s="584" t="s">
        <v>986</v>
      </c>
      <c r="C35" s="424" t="str">
        <f>INDEX(BPC_FILA_NOTA[#All],MATCH('900002'!B35,BPC_FILA_NOTA[[#All],[ID]],0),2)</f>
        <v>Total Pasivos por impuestos corrientes, corriente /no corriente(S230_0 + S230_1)</v>
      </c>
      <c r="D35" s="271"/>
      <c r="E35" s="271"/>
      <c r="F35" s="271"/>
      <c r="G35" s="271"/>
      <c r="H35" s="271"/>
      <c r="I35" s="271"/>
      <c r="J35" s="271"/>
      <c r="K35" s="271"/>
      <c r="L35" s="271"/>
      <c r="M35" s="426">
        <v>-8598000</v>
      </c>
      <c r="N35" s="425">
        <f t="shared" si="0"/>
        <v>0</v>
      </c>
      <c r="O35"/>
      <c r="P35" s="341">
        <f>-(IFERROR(INDEX(BPC_NOTAS[#All],MATCH("S230_0",BPC_NOTAS[[#All],[FILA_COLUMNA]],0),2),0)+IFERROR(INDEX(BPC_NOTAS[#All],MATCH("S230_1",BPC_NOTAS[[#All],[FILA_COLUMNA]],0),2),0))</f>
        <v>-128997000</v>
      </c>
      <c r="Q35" s="158" t="str">
        <f>IF(P35=0,"ok","Error")</f>
        <v>Error</v>
      </c>
      <c r="R35" s="158" t="str">
        <f>IF(ABS(N35-P35)&lt;=1000,IF(AND(F35&lt;&gt;0,E35=0),"Error",IF(AND(H35&lt;&gt;0,G35=0),"Error",IF(AND(J35&lt;&gt;0,I35=0),"Error",IF(AND(L35&lt;&gt;0,K35=0),"Error",IF(A20="2010.12","Error",IF(AND(E35&lt;&gt;0,F35=0),"Error",IF(AND(G35&lt;&gt;0,H35=0),"Error",IF(AND(I35&lt;&gt;0,J35=0),"Error","Ok")))))))),"Error")</f>
        <v>Error</v>
      </c>
      <c r="S35" s="446"/>
      <c r="T35" s="20" t="e">
        <f ca="1">_xll.EPMSaveData(N35,,N$18,$B35)</f>
        <v>#NAME?</v>
      </c>
      <c r="U35" s="402"/>
      <c r="V35" s="584" t="s">
        <v>986</v>
      </c>
      <c r="W35" s="549" t="str">
        <f>INDEX(BPC_FILA_NOTA[#All],MATCH($V35,BPC_FILA_NOTA[[#All],[ID]],0),2)</f>
        <v>Total Pasivos por impuestos corrientes, corriente /no corriente(S230_0 + S230_1)</v>
      </c>
      <c r="X35" s="550">
        <f>IFERROR(INDEX(BPC_NOTAS2[#All],MATCH($V35&amp;"_"&amp;X$18,BPC_NOTAS2[[#All],[FILA_COLUMNA]],0),2),"")</f>
        <v>-151811000</v>
      </c>
      <c r="Y35" s="550" t="str">
        <f>IFERROR(INDEX(BPC_NOTAS2[#All],MATCH($V35&amp;"_"&amp;Y$18,BPC_NOTAS2[[#All],[FILA_COLUMNA]],0),2),"")</f>
        <v/>
      </c>
      <c r="Z35" s="550" t="str">
        <f>IFERROR(INDEX(BPC_NOTAS2[#All],MATCH($V35&amp;"_"&amp;Z$18,BPC_NOTAS2[[#All],[FILA_COLUMNA]],0),2),"")</f>
        <v/>
      </c>
      <c r="AA35" s="550" t="str">
        <f>IFERROR(INDEX(BPC_NOTAS2[#All],MATCH($V35&amp;"_"&amp;AA$18,BPC_NOTAS2[[#All],[FILA_COLUMNA]],0),2),"")</f>
        <v/>
      </c>
      <c r="AB35" s="550" t="str">
        <f>IFERROR(INDEX(BPC_NOTAS2[#All],MATCH($V35&amp;"_"&amp;AB$18,BPC_NOTAS2[[#All],[FILA_COLUMNA]],0),2),"")</f>
        <v/>
      </c>
      <c r="AC35" s="550" t="str">
        <f>IFERROR(INDEX(BPC_NOTAS2[#All],MATCH($V35&amp;"_"&amp;AC$18,BPC_NOTAS2[[#All],[FILA_COLUMNA]],0),2),"")</f>
        <v/>
      </c>
      <c r="AD35" s="550" t="str">
        <f>IFERROR(INDEX(BPC_NOTAS2[#All],MATCH($V35&amp;"_"&amp;AD$18,BPC_NOTAS2[[#All],[FILA_COLUMNA]],0),2),"")</f>
        <v/>
      </c>
      <c r="AE35" s="550" t="str">
        <f>IFERROR(INDEX(BPC_COMENTARIOS2[#All],MATCH($V35&amp;"_"&amp;AE$18,BPC_COMENTARIOS2[[#All],[FILA_COLUMNA]],0),2),"")</f>
        <v/>
      </c>
      <c r="AF35" s="550" t="str">
        <f>IFERROR(INDEX(BPC_NOTAS2[#All],MATCH($V35&amp;"_"&amp;AF$18,BPC_NOTAS2[[#All],[FILA_COLUMNA]],0),2),"")</f>
        <v/>
      </c>
      <c r="AG35" s="425">
        <f t="shared" si="1"/>
        <v>-151811000</v>
      </c>
      <c r="AH35" s="425">
        <f t="shared" si="2"/>
        <v>-151811000</v>
      </c>
      <c r="AI35"/>
      <c r="AJ35" s="446" t="e">
        <f ca="1">_xll.EPMCommentFullContext(,#REF!,$AE$18,$A$4)</f>
        <v>#NAME?</v>
      </c>
      <c r="AK35" s="446">
        <f t="shared" si="3"/>
        <v>1</v>
      </c>
      <c r="AL35" s="446"/>
      <c r="AM35" s="446"/>
      <c r="AN35" s="446"/>
      <c r="AX35" s="117"/>
      <c r="AY35" s="117"/>
    </row>
    <row r="36" spans="1:51">
      <c r="A36" s="119"/>
      <c r="B36" s="584" t="s">
        <v>9461</v>
      </c>
      <c r="C36" s="496" t="str">
        <f>INDEX(BPC_FILA_NOTA[#All],MATCH('900002'!B36,BPC_FILA_NOTA[[#All],[ID]],0),2)</f>
        <v>Exposición financiera neta (Activos - Pasivos)</v>
      </c>
      <c r="D36" s="270">
        <f>SUM(D21:D22,D25:D29,D32:D35)</f>
        <v>0</v>
      </c>
      <c r="E36" s="270">
        <f t="shared" ref="E36:L36" si="8">SUM(E21:E22,E25:E29,E32:E35)</f>
        <v>0</v>
      </c>
      <c r="F36" s="270">
        <f t="shared" si="8"/>
        <v>0</v>
      </c>
      <c r="G36" s="270">
        <f t="shared" si="8"/>
        <v>0</v>
      </c>
      <c r="H36" s="270">
        <f t="shared" si="8"/>
        <v>0</v>
      </c>
      <c r="I36" s="270">
        <f t="shared" si="8"/>
        <v>0</v>
      </c>
      <c r="J36" s="270">
        <f t="shared" si="8"/>
        <v>0</v>
      </c>
      <c r="K36" s="270"/>
      <c r="L36" s="270">
        <f t="shared" si="8"/>
        <v>0</v>
      </c>
      <c r="M36" s="426">
        <v>-244292497125.95999</v>
      </c>
      <c r="N36" s="425">
        <f t="shared" si="0"/>
        <v>0</v>
      </c>
      <c r="O36"/>
      <c r="P36" s="1"/>
      <c r="Q36" s="1"/>
      <c r="R36" s="1"/>
      <c r="S36" s="446"/>
      <c r="U36" s="402"/>
      <c r="V36" s="584" t="s">
        <v>9461</v>
      </c>
      <c r="W36" s="549" t="str">
        <f>INDEX(BPC_FILA_NOTA[#All],MATCH($V36,BPC_FILA_NOTA[[#All],[ID]],0),2)</f>
        <v>Exposición financiera neta (Activos - Pasivos)</v>
      </c>
      <c r="X36" s="527">
        <f>SUM(X21:X22,X25:X29,X32:X35)</f>
        <v>869479177.91999996</v>
      </c>
      <c r="Y36" s="527">
        <f t="shared" ref="Y36:AD36" si="9">SUM(Y21:Y22,Y25:Y29,Y32:Y35)</f>
        <v>1467.7</v>
      </c>
      <c r="Z36" s="527">
        <f t="shared" si="9"/>
        <v>4769658.07</v>
      </c>
      <c r="AA36" s="527">
        <f t="shared" si="9"/>
        <v>0</v>
      </c>
      <c r="AB36" s="527">
        <f t="shared" si="9"/>
        <v>0</v>
      </c>
      <c r="AC36" s="527">
        <f t="shared" si="9"/>
        <v>0</v>
      </c>
      <c r="AD36" s="527">
        <f t="shared" si="9"/>
        <v>0</v>
      </c>
      <c r="AE36" s="527" t="str">
        <f>IFERROR(INDEX(BPC_COMENTARIOS2[#All],MATCH($V36&amp;"_"&amp;AE$18,BPC_COMENTARIOS2[[#All],[FILA_COLUMNA]],0),2),"")</f>
        <v/>
      </c>
      <c r="AF36" s="527">
        <f>SUM(AF21:AF22,AF25:AF29,AF32:AF35)</f>
        <v>0</v>
      </c>
      <c r="AG36" s="425">
        <f t="shared" si="1"/>
        <v>874248835.99000001</v>
      </c>
      <c r="AH36" s="425">
        <f t="shared" si="2"/>
        <v>874250303.69000006</v>
      </c>
      <c r="AI36"/>
      <c r="AJ36" s="446"/>
      <c r="AK36" s="446"/>
      <c r="AL36" s="446"/>
      <c r="AM36" s="446"/>
      <c r="AN36" s="446"/>
      <c r="AX36" s="117"/>
      <c r="AY36" s="117"/>
    </row>
    <row r="37" spans="1:51">
      <c r="B37" s="585"/>
      <c r="C37" s="446"/>
      <c r="D37" s="446"/>
      <c r="E37" s="446"/>
      <c r="F37" s="446"/>
      <c r="G37" s="446"/>
      <c r="H37" s="446"/>
      <c r="I37" s="446"/>
      <c r="J37" s="446"/>
      <c r="K37" s="446"/>
      <c r="L37" s="446"/>
      <c r="M37" s="446"/>
      <c r="N37" s="446"/>
      <c r="O37" s="446"/>
      <c r="P37" s="446"/>
      <c r="Q37" s="446"/>
      <c r="R37" s="446"/>
      <c r="S37" s="446"/>
      <c r="T37" s="446"/>
      <c r="U37" s="446"/>
      <c r="V37" s="446"/>
      <c r="W37" s="446"/>
      <c r="X37" s="446"/>
      <c r="Y37" s="446"/>
      <c r="Z37" s="446"/>
      <c r="AA37" s="446"/>
      <c r="AB37" s="446"/>
      <c r="AC37" s="446"/>
      <c r="AD37" s="446"/>
      <c r="AE37" s="446"/>
      <c r="AF37" s="446"/>
      <c r="AG37" s="446"/>
      <c r="AI37" s="446"/>
      <c r="AJ37" s="446"/>
      <c r="AK37" s="446"/>
      <c r="AL37" s="446"/>
      <c r="AM37" s="446"/>
      <c r="AN37" s="446"/>
    </row>
    <row r="38" spans="1:51">
      <c r="B38" s="586"/>
      <c r="C38" s="446"/>
      <c r="D38" s="438"/>
      <c r="E38" s="438"/>
      <c r="F38" s="438"/>
      <c r="G38" s="438"/>
      <c r="H38" s="438"/>
      <c r="I38" s="438"/>
      <c r="J38" s="438"/>
      <c r="K38" s="446"/>
      <c r="L38" s="446"/>
      <c r="M38" s="446"/>
      <c r="N38" s="446"/>
      <c r="O38" s="446"/>
      <c r="P38" s="446"/>
      <c r="Q38" s="446"/>
      <c r="R38" s="446"/>
      <c r="S38" s="446"/>
      <c r="T38" s="446"/>
      <c r="U38" s="446"/>
      <c r="V38" s="446"/>
      <c r="W38" s="1"/>
      <c r="X38" s="438"/>
      <c r="Y38" s="446"/>
      <c r="Z38" s="446"/>
      <c r="AA38" s="446"/>
      <c r="AB38" s="446"/>
      <c r="AC38" s="446"/>
      <c r="AD38" s="446"/>
      <c r="AE38" s="446"/>
      <c r="AF38" s="446"/>
      <c r="AG38" s="446"/>
      <c r="AI38" s="446"/>
      <c r="AJ38" s="446"/>
      <c r="AK38" s="446"/>
      <c r="AL38" s="446"/>
      <c r="AM38" s="446"/>
      <c r="AN38" s="446"/>
    </row>
    <row r="39" spans="1:51">
      <c r="B39" s="587"/>
      <c r="C39" s="115" t="s">
        <v>65</v>
      </c>
      <c r="D39" s="438"/>
      <c r="E39" s="438"/>
      <c r="F39" s="438"/>
      <c r="G39" s="438"/>
      <c r="H39" s="438"/>
      <c r="I39" s="438"/>
      <c r="J39" s="438"/>
      <c r="K39" s="446"/>
      <c r="L39" s="446"/>
      <c r="M39" s="446"/>
      <c r="N39" s="446"/>
      <c r="O39" s="446"/>
      <c r="P39" s="446"/>
      <c r="Q39" s="446"/>
      <c r="R39" s="446"/>
      <c r="S39" s="446"/>
      <c r="T39" s="446"/>
      <c r="U39" s="446"/>
      <c r="V39" s="447"/>
      <c r="W39" s="447" t="s">
        <v>65</v>
      </c>
      <c r="X39" s="438"/>
      <c r="Y39" s="446"/>
      <c r="Z39" s="446"/>
      <c r="AA39" s="446"/>
      <c r="AB39" s="446"/>
      <c r="AC39" s="446"/>
      <c r="AD39" s="446"/>
      <c r="AE39" s="446"/>
      <c r="AF39" s="446"/>
      <c r="AG39" s="446"/>
      <c r="AI39" s="446"/>
      <c r="AJ39" s="446"/>
      <c r="AK39" s="446"/>
      <c r="AL39" s="446"/>
      <c r="AM39" s="446"/>
      <c r="AN39" s="446"/>
    </row>
    <row r="40" spans="1:51">
      <c r="B40" s="587"/>
      <c r="C40" s="150" t="s">
        <v>66</v>
      </c>
      <c r="D40" s="25" t="e">
        <f>+ABS(D66)</f>
        <v>#N/A</v>
      </c>
      <c r="E40" s="230" t="s">
        <v>67</v>
      </c>
      <c r="F40" s="1"/>
      <c r="G40" s="1"/>
      <c r="H40" s="34"/>
      <c r="I40" s="34"/>
      <c r="J40" s="34"/>
      <c r="K40" s="1"/>
      <c r="L40" s="1"/>
      <c r="M40" s="1"/>
      <c r="N40" s="1"/>
      <c r="P40" s="1"/>
      <c r="Q40" s="1"/>
      <c r="R40" s="1"/>
      <c r="S40" s="446"/>
      <c r="W40" s="150" t="s">
        <v>66</v>
      </c>
      <c r="X40" s="25">
        <f>+ABS(W67)</f>
        <v>0</v>
      </c>
      <c r="Y40" s="122" t="s">
        <v>67</v>
      </c>
      <c r="AI40" s="446"/>
      <c r="AJ40" s="446"/>
      <c r="AK40" s="446"/>
      <c r="AL40" s="446"/>
      <c r="AM40" s="446"/>
      <c r="AN40" s="446"/>
    </row>
    <row r="41" spans="1:51">
      <c r="B41" s="586"/>
      <c r="C41" s="437" t="s">
        <v>68</v>
      </c>
      <c r="D41" s="438"/>
      <c r="E41" s="438"/>
      <c r="F41" s="438"/>
      <c r="G41" s="438"/>
      <c r="H41" s="438"/>
      <c r="I41" s="438"/>
      <c r="J41" s="438"/>
      <c r="K41" s="446"/>
      <c r="L41" s="446"/>
      <c r="M41" s="446"/>
      <c r="N41" s="446"/>
      <c r="O41" s="446"/>
      <c r="P41" s="446"/>
      <c r="Q41" s="446"/>
      <c r="R41" s="446"/>
      <c r="S41" s="446"/>
      <c r="T41" s="446"/>
      <c r="U41" s="446"/>
      <c r="V41" s="446"/>
      <c r="W41" s="446"/>
      <c r="X41" s="446"/>
      <c r="Y41" s="446"/>
      <c r="Z41" s="446"/>
      <c r="AA41" s="446"/>
      <c r="AB41" s="446"/>
      <c r="AC41" s="446"/>
      <c r="AD41" s="446"/>
      <c r="AE41" s="446"/>
      <c r="AF41" s="446"/>
      <c r="AG41" s="446"/>
      <c r="AI41" s="446"/>
      <c r="AJ41" s="446"/>
      <c r="AK41" s="446"/>
      <c r="AL41" s="446"/>
      <c r="AM41" s="446"/>
      <c r="AN41" s="446"/>
    </row>
    <row r="42" spans="1:51">
      <c r="B42" s="586"/>
      <c r="C42" s="438"/>
      <c r="D42" s="438"/>
      <c r="E42" s="438"/>
      <c r="F42" s="438"/>
      <c r="G42" s="438"/>
      <c r="H42" s="438"/>
      <c r="I42" s="438"/>
      <c r="J42" s="438"/>
      <c r="K42" s="446"/>
      <c r="L42" s="446"/>
      <c r="M42" s="446"/>
      <c r="N42" s="446"/>
      <c r="O42" s="446"/>
      <c r="P42" s="446"/>
      <c r="Q42" s="446"/>
      <c r="R42" s="446"/>
      <c r="S42" s="446"/>
      <c r="T42" s="446"/>
      <c r="U42" s="446" t="e">
        <f ca="1">_xll.EPMDimensionOverride("003","TIEMPO",$A$4)</f>
        <v>#NAME?</v>
      </c>
      <c r="V42" s="446"/>
      <c r="W42" s="446"/>
      <c r="X42" s="446"/>
      <c r="Y42" s="446"/>
      <c r="Z42" s="446"/>
      <c r="AA42" s="446"/>
      <c r="AB42" s="446"/>
      <c r="AC42" s="446"/>
      <c r="AD42" s="446"/>
      <c r="AE42" s="446"/>
      <c r="AF42" s="446"/>
      <c r="AG42" s="446"/>
      <c r="AI42" s="446"/>
      <c r="AJ42" s="446"/>
      <c r="AK42" s="446"/>
      <c r="AL42" s="446"/>
      <c r="AM42" s="446"/>
      <c r="AN42" s="446"/>
    </row>
    <row r="43" spans="1:51" ht="14.25" customHeight="1" thickBot="1">
      <c r="B43" s="588"/>
      <c r="C43" s="124" t="s">
        <v>69</v>
      </c>
      <c r="D43" s="589" t="s">
        <v>14240</v>
      </c>
      <c r="E43" s="446"/>
      <c r="F43" s="446"/>
      <c r="G43" s="446"/>
      <c r="H43" s="446"/>
      <c r="I43" s="446"/>
      <c r="J43" s="446"/>
      <c r="K43" s="446"/>
      <c r="L43" s="446"/>
      <c r="M43" s="446"/>
      <c r="N43" s="446"/>
      <c r="O43" s="446"/>
      <c r="P43" s="446"/>
      <c r="Q43" s="446"/>
      <c r="R43" s="446"/>
      <c r="S43" s="446"/>
      <c r="U43" s="123"/>
      <c r="V43" s="123"/>
      <c r="W43" s="123"/>
      <c r="X43" s="589" t="s">
        <v>14240</v>
      </c>
      <c r="Y43" s="446"/>
      <c r="Z43" s="446"/>
      <c r="AA43" s="446"/>
      <c r="AB43" s="446"/>
      <c r="AC43" s="446"/>
      <c r="AD43" s="446"/>
      <c r="AE43" s="446"/>
      <c r="AF43" s="446"/>
      <c r="AG43" s="446"/>
      <c r="AI43" s="446"/>
      <c r="AJ43" s="446"/>
      <c r="AK43" s="446"/>
      <c r="AL43" s="446"/>
      <c r="AM43" s="446"/>
      <c r="AN43" s="446"/>
    </row>
    <row r="44" spans="1:51" ht="24" customHeight="1" thickTop="1">
      <c r="B44" s="108"/>
      <c r="C44" s="532"/>
      <c r="D44" s="532" t="str">
        <f>INDEX(BPC_COLUMNA_NOTA[[#All],[CD_COLUMNA]:[DESCRIPCION_LARGA]],MATCH(D$43,BPC_COLUMNA_NOTA[[#All],[CD_COLUMNA]],0),2)</f>
        <v>Diferencia en Cambio</v>
      </c>
      <c r="E44" s="448"/>
      <c r="F44" s="446"/>
      <c r="G44" s="446"/>
      <c r="H44" s="446"/>
      <c r="I44" s="446"/>
      <c r="J44" s="446"/>
      <c r="K44" s="446"/>
      <c r="L44" s="446"/>
      <c r="M44" s="446"/>
      <c r="N44" s="446"/>
      <c r="O44" s="446"/>
      <c r="P44" s="446"/>
      <c r="Q44" s="446"/>
      <c r="R44" s="446"/>
      <c r="S44" s="446"/>
      <c r="W44" s="556"/>
      <c r="X44" s="556" t="str">
        <f>INDEX(BPC_COLUMNA_NOTA[[#All],[CD_COLUMNA]:[DESCRIPCION_LARGA]],MATCH(X$43,BPC_COLUMNA_NOTA[[#All],[CD_COLUMNA]],0),2)</f>
        <v>Diferencia en Cambio</v>
      </c>
      <c r="Y44" s="448"/>
      <c r="Z44" s="446"/>
      <c r="AA44" s="446"/>
      <c r="AB44" s="446"/>
      <c r="AC44" s="446"/>
      <c r="AD44" s="446"/>
      <c r="AE44" s="446"/>
      <c r="AF44" s="446"/>
      <c r="AG44" s="446"/>
      <c r="AI44" s="446"/>
      <c r="AJ44" s="446"/>
      <c r="AK44" s="446"/>
      <c r="AL44" s="446"/>
      <c r="AM44" s="446"/>
      <c r="AN44" s="446"/>
    </row>
    <row r="45" spans="1:51">
      <c r="B45" s="551" t="s">
        <v>9491</v>
      </c>
      <c r="C45" s="533" t="str">
        <f>INDEX(BPC_FILA_NOTA[#All],MATCH('900002'!B45,BPC_FILA_NOTA[[#All],[ID]],0),2)</f>
        <v>Diferencia en cambio - ingreso</v>
      </c>
      <c r="D45" s="531">
        <v>0</v>
      </c>
      <c r="E45" s="448"/>
      <c r="F45" s="446"/>
      <c r="G45" s="446"/>
      <c r="H45" s="446"/>
      <c r="I45" s="446"/>
      <c r="J45" s="446"/>
      <c r="K45" s="446"/>
      <c r="L45" s="446"/>
      <c r="M45" s="446"/>
      <c r="N45" s="446"/>
      <c r="O45" s="446"/>
      <c r="P45" s="446"/>
      <c r="Q45" s="446"/>
      <c r="R45" s="446"/>
      <c r="S45" s="446"/>
      <c r="U45" s="499" t="e">
        <f ca="1" xml:space="preserve"> _xll.EPMOlapMemberO("[TIEMPO].[PARENTH1].[2018.12]","","2018 DIC","","003")</f>
        <v>#NAME?</v>
      </c>
      <c r="V45" s="499" t="s">
        <v>9491</v>
      </c>
      <c r="W45" s="557" t="str">
        <f>INDEX(BPC_FILA_NOTA[#All],MATCH($V45,BPC_FILA_NOTA[[#All],[ID]],0),2)</f>
        <v>Diferencia en cambio - ingreso</v>
      </c>
      <c r="X45" s="558">
        <v>0</v>
      </c>
      <c r="Y45" s="448"/>
      <c r="Z45" s="446"/>
      <c r="AA45" s="446"/>
      <c r="AB45" s="446"/>
      <c r="AC45" s="446"/>
      <c r="AD45" s="446"/>
      <c r="AE45" s="446"/>
      <c r="AF45" s="446"/>
      <c r="AG45" s="446"/>
      <c r="AI45" s="446"/>
      <c r="AJ45" s="446"/>
      <c r="AK45" s="446"/>
      <c r="AL45" s="446"/>
      <c r="AM45" s="446"/>
      <c r="AN45" s="446"/>
    </row>
    <row r="46" spans="1:51">
      <c r="B46" s="551" t="s">
        <v>1099</v>
      </c>
      <c r="C46" s="534" t="str">
        <f>INDEX(BPC_FILA_NOTA[#All],MATCH('900002'!B46,BPC_FILA_NOTA[[#All],[ID]],0),2)</f>
        <v>Diferencia en cambio ( G412020 )</v>
      </c>
      <c r="D46" s="535">
        <f>IFERROR(INDEX(BPC_NOTAS[#All],MATCH($B46&amp;"_"&amp;D$43,BPC_NOTAS[[#All],[FILA_COLUMNA]],0),2),0)</f>
        <v>0</v>
      </c>
      <c r="E46" s="482"/>
      <c r="F46" s="446"/>
      <c r="G46" s="446"/>
      <c r="H46" s="446"/>
      <c r="I46" s="446"/>
      <c r="J46" s="446"/>
      <c r="K46" s="446"/>
      <c r="L46" s="446"/>
      <c r="M46" s="446"/>
      <c r="N46" s="446"/>
      <c r="O46" s="446"/>
      <c r="P46" s="446"/>
      <c r="Q46" s="446"/>
      <c r="R46" s="446"/>
      <c r="S46" s="446"/>
      <c r="U46" s="499"/>
      <c r="V46" s="499" t="s">
        <v>1099</v>
      </c>
      <c r="W46" s="559" t="str">
        <f>INDEX(BPC_FILA_NOTA[#All],MATCH($V46,BPC_FILA_NOTA[[#All],[ID]],0),2)</f>
        <v>Diferencia en cambio ( G412020 )</v>
      </c>
      <c r="X46" s="560">
        <f>IFERROR(INDEX(BPC_NOTAS2[#All],MATCH($V46&amp;"_"&amp;X$43,BPC_NOTAS2[[#All],[FILA_COLUMNA]],0),2),0)</f>
        <v>0</v>
      </c>
      <c r="Y46" s="448"/>
      <c r="Z46" s="446"/>
      <c r="AA46" s="446"/>
      <c r="AB46" s="446"/>
      <c r="AC46" s="446"/>
      <c r="AD46" s="446"/>
      <c r="AE46" s="446"/>
      <c r="AF46" s="446"/>
      <c r="AG46" s="446"/>
      <c r="AI46" s="446"/>
      <c r="AJ46" s="446"/>
      <c r="AK46" s="446"/>
      <c r="AL46" s="446"/>
      <c r="AM46" s="446"/>
      <c r="AN46" s="446"/>
    </row>
    <row r="47" spans="1:51">
      <c r="B47" s="551" t="s">
        <v>9489</v>
      </c>
      <c r="C47" s="534" t="str">
        <f>INDEX(BPC_FILA_NOTA[#All],MATCH('900002'!B47,BPC_FILA_NOTA[[#All],[ID]],0),2)</f>
        <v>Financieros - Diferencia en cambio y/o pacto de reajuste ( G421020 )</v>
      </c>
      <c r="D47" s="535">
        <f>IFERROR(INDEX(BPC_NOTAS[#All],MATCH($B47&amp;"_"&amp;D$43,BPC_NOTAS[[#All],[FILA_COLUMNA]],0),2),0)</f>
        <v>998906</v>
      </c>
      <c r="E47" s="482"/>
      <c r="F47" s="446"/>
      <c r="G47" s="446"/>
      <c r="H47" s="446"/>
      <c r="I47" s="446"/>
      <c r="J47" s="446"/>
      <c r="K47" s="446"/>
      <c r="L47" s="446"/>
      <c r="M47" s="446"/>
      <c r="N47" s="446"/>
      <c r="O47" s="446"/>
      <c r="P47" s="446"/>
      <c r="Q47" s="446"/>
      <c r="R47" s="446"/>
      <c r="S47" s="446"/>
      <c r="U47" s="499"/>
      <c r="V47" s="499" t="s">
        <v>9489</v>
      </c>
      <c r="W47" s="559" t="str">
        <f>INDEX(BPC_FILA_NOTA[#All],MATCH($V47,BPC_FILA_NOTA[[#All],[ID]],0),2)</f>
        <v>Financieros - Diferencia en cambio y/o pacto de reajuste ( G421020 )</v>
      </c>
      <c r="X47" s="560">
        <f>IFERROR(INDEX(BPC_NOTAS2[#All],MATCH($V47&amp;"_"&amp;X$43,BPC_NOTAS2[[#All],[FILA_COLUMNA]],0),2),0)</f>
        <v>1905411</v>
      </c>
      <c r="Y47" s="448"/>
      <c r="Z47" s="446"/>
      <c r="AA47" s="446"/>
      <c r="AB47" s="446"/>
      <c r="AC47" s="446"/>
      <c r="AD47" s="446"/>
      <c r="AE47" s="446"/>
      <c r="AF47" s="446"/>
      <c r="AG47" s="446"/>
      <c r="AI47" s="446"/>
      <c r="AJ47" s="446"/>
      <c r="AK47" s="446"/>
      <c r="AL47" s="446"/>
      <c r="AM47" s="446"/>
      <c r="AN47" s="446"/>
    </row>
    <row r="48" spans="1:51">
      <c r="B48" s="551" t="s">
        <v>9486</v>
      </c>
      <c r="C48" s="533" t="str">
        <f>INDEX(BPC_FILA_NOTA[#All],MATCH('900002'!B48,BPC_FILA_NOTA[[#All],[ID]],0),2)</f>
        <v>Diferencia en cambio - gasto (con signo negativo)</v>
      </c>
      <c r="D48" s="531">
        <v>0</v>
      </c>
      <c r="E48" s="448"/>
      <c r="F48" s="446"/>
      <c r="G48" s="446"/>
      <c r="H48" s="446"/>
      <c r="I48" s="446"/>
      <c r="J48" s="446"/>
      <c r="K48" s="446"/>
      <c r="L48" s="446"/>
      <c r="M48" s="446"/>
      <c r="N48" s="446"/>
      <c r="O48" s="446"/>
      <c r="P48" s="446"/>
      <c r="Q48" s="446"/>
      <c r="R48" s="446"/>
      <c r="S48" s="446"/>
      <c r="U48" s="499"/>
      <c r="V48" s="499" t="s">
        <v>9486</v>
      </c>
      <c r="W48" s="557" t="str">
        <f>INDEX(BPC_FILA_NOTA[#All],MATCH($V48,BPC_FILA_NOTA[[#All],[ID]],0),2)</f>
        <v>Diferencia en cambio - gasto (con signo negativo)</v>
      </c>
      <c r="X48" s="558">
        <v>0</v>
      </c>
      <c r="Y48" s="448"/>
      <c r="Z48" s="446"/>
      <c r="AA48" s="446"/>
      <c r="AB48" s="446"/>
      <c r="AC48" s="446"/>
      <c r="AD48" s="446"/>
      <c r="AE48" s="446"/>
      <c r="AF48" s="446"/>
      <c r="AG48" s="446"/>
      <c r="AI48" s="446"/>
      <c r="AJ48" s="446"/>
      <c r="AK48" s="446"/>
      <c r="AL48" s="446"/>
      <c r="AM48" s="446"/>
      <c r="AN48" s="446"/>
    </row>
    <row r="49" spans="1:49">
      <c r="B49" s="551" t="s">
        <v>1399</v>
      </c>
      <c r="C49" s="534" t="str">
        <f>INDEX(BPC_FILA_NOTA[#All],MATCH('900002'!B49,BPC_FILA_NOTA[[#All],[ID]],0),2)</f>
        <v>Diferencia en cambio ( G517020 )</v>
      </c>
      <c r="D49" s="535">
        <f>IFERROR(INDEX(BPC_NOTAS[#All],MATCH($B49&amp;"_"&amp;D$43,BPC_NOTAS[[#All],[FILA_COLUMNA]],0),2),0)</f>
        <v>0</v>
      </c>
      <c r="E49" s="448"/>
      <c r="F49" s="446"/>
      <c r="G49" s="446"/>
      <c r="H49" s="446"/>
      <c r="I49" s="446"/>
      <c r="J49" s="446"/>
      <c r="K49" s="446"/>
      <c r="L49" s="446"/>
      <c r="M49" s="446"/>
      <c r="N49" s="446"/>
      <c r="O49" s="446"/>
      <c r="P49" s="446"/>
      <c r="Q49" s="446"/>
      <c r="R49" s="446"/>
      <c r="S49" s="446"/>
      <c r="U49" s="499"/>
      <c r="V49" s="499" t="s">
        <v>1399</v>
      </c>
      <c r="W49" s="559" t="str">
        <f>INDEX(BPC_FILA_NOTA[#All],MATCH($V49,BPC_FILA_NOTA[[#All],[ID]],0),2)</f>
        <v>Diferencia en cambio ( G517020 )</v>
      </c>
      <c r="X49" s="560">
        <f>IFERROR(INDEX(BPC_NOTAS2[#All],MATCH($V49&amp;"_"&amp;X$43,BPC_NOTAS2[[#All],[FILA_COLUMNA]],0),2),0)</f>
        <v>0</v>
      </c>
      <c r="Y49" s="448"/>
      <c r="Z49" s="446"/>
      <c r="AA49" s="446"/>
      <c r="AB49" s="446"/>
      <c r="AC49" s="446"/>
      <c r="AD49" s="446"/>
      <c r="AE49" s="446"/>
      <c r="AF49" s="446"/>
      <c r="AG49" s="446"/>
      <c r="AI49" s="446"/>
      <c r="AJ49" s="446"/>
      <c r="AK49" s="446"/>
      <c r="AL49" s="446"/>
      <c r="AM49" s="446"/>
      <c r="AN49" s="446"/>
    </row>
    <row r="50" spans="1:49">
      <c r="B50" s="551" t="s">
        <v>9484</v>
      </c>
      <c r="C50" s="534" t="str">
        <f>INDEX(BPC_FILA_NOTA[#All],MATCH('900002'!B50,BPC_FILA_NOTA[[#All],[ID]],0),2)</f>
        <v>Financieros - Diferencia en cambio y/o pacto de reajuste ( G530525 )</v>
      </c>
      <c r="D50" s="535">
        <f>IFERROR(INDEX(BPC_NOTAS[#All],MATCH($B50&amp;"_"&amp;D$43,BPC_NOTAS[[#All],[FILA_COLUMNA]],0),2),0)</f>
        <v>-2334658</v>
      </c>
      <c r="E50" s="448"/>
      <c r="F50" s="446"/>
      <c r="G50" s="446"/>
      <c r="H50" s="446"/>
      <c r="I50" s="446"/>
      <c r="J50" s="446"/>
      <c r="K50" s="446"/>
      <c r="L50" s="446"/>
      <c r="M50" s="446"/>
      <c r="N50" s="446"/>
      <c r="O50" s="446"/>
      <c r="P50" s="446"/>
      <c r="Q50" s="446"/>
      <c r="R50" s="446"/>
      <c r="S50" s="446"/>
      <c r="U50" s="499"/>
      <c r="V50" s="499" t="s">
        <v>9484</v>
      </c>
      <c r="W50" s="559" t="str">
        <f>INDEX(BPC_FILA_NOTA[#All],MATCH($V50,BPC_FILA_NOTA[[#All],[ID]],0),2)</f>
        <v>Financieros - Diferencia en cambio y/o pacto de reajuste ( G530525 )</v>
      </c>
      <c r="X50" s="560">
        <f>IFERROR(INDEX(BPC_NOTAS2[#All],MATCH($V50&amp;"_"&amp;X$43,BPC_NOTAS2[[#All],[FILA_COLUMNA]],0),2),0)</f>
        <v>-592062</v>
      </c>
      <c r="Y50" s="448"/>
      <c r="Z50" s="446"/>
      <c r="AA50" s="446"/>
      <c r="AB50" s="446"/>
      <c r="AC50" s="446"/>
      <c r="AD50" s="446"/>
      <c r="AE50" s="446"/>
      <c r="AF50" s="446"/>
      <c r="AG50" s="446"/>
      <c r="AI50" s="446"/>
      <c r="AJ50" s="446"/>
      <c r="AK50" s="446"/>
      <c r="AL50" s="446"/>
      <c r="AM50" s="446"/>
      <c r="AN50" s="446"/>
    </row>
    <row r="51" spans="1:49" s="1" customFormat="1">
      <c r="A51" s="231"/>
      <c r="B51" s="32"/>
      <c r="C51" s="446"/>
      <c r="D51" s="449"/>
      <c r="E51" s="448"/>
      <c r="F51" s="446"/>
      <c r="G51" s="446"/>
      <c r="H51" s="446"/>
      <c r="I51" s="446"/>
      <c r="J51" s="446"/>
      <c r="K51" s="446"/>
      <c r="L51" s="446"/>
      <c r="M51" s="446"/>
      <c r="N51" s="446"/>
      <c r="O51" s="446"/>
      <c r="P51" s="446"/>
      <c r="Q51" s="446"/>
      <c r="R51" s="446"/>
      <c r="S51" s="446"/>
      <c r="W51" s="446"/>
      <c r="X51" s="453"/>
      <c r="Y51" s="446"/>
      <c r="Z51" s="446"/>
      <c r="AA51" s="446"/>
      <c r="AB51" s="446"/>
      <c r="AC51" s="446"/>
      <c r="AD51" s="446"/>
      <c r="AE51" s="446"/>
      <c r="AF51" s="446"/>
      <c r="AG51" s="446"/>
      <c r="AH51" s="32"/>
      <c r="AI51" s="446"/>
      <c r="AJ51" s="446"/>
      <c r="AK51" s="446"/>
      <c r="AL51" s="446"/>
      <c r="AM51" s="446"/>
      <c r="AN51" s="446"/>
      <c r="AO51" s="33"/>
      <c r="AP51" s="33"/>
      <c r="AQ51" s="33"/>
      <c r="AR51" s="33"/>
      <c r="AS51" s="33"/>
      <c r="AT51" s="33"/>
      <c r="AU51" s="33"/>
      <c r="AV51" s="33"/>
      <c r="AW51" s="33"/>
    </row>
    <row r="52" spans="1:49">
      <c r="C52" s="536" t="s">
        <v>73</v>
      </c>
      <c r="D52" s="537">
        <f>D46+D47+(D49+D50)</f>
        <v>-1335752</v>
      </c>
      <c r="E52" s="446"/>
      <c r="F52" s="446"/>
      <c r="G52" s="446"/>
      <c r="H52" s="446"/>
      <c r="I52" s="446"/>
      <c r="J52" s="446"/>
      <c r="K52" s="446"/>
      <c r="L52" s="446"/>
      <c r="M52" s="446"/>
      <c r="N52" s="446"/>
      <c r="O52" s="446"/>
      <c r="P52" s="446"/>
      <c r="Q52" s="446"/>
      <c r="R52" s="446"/>
      <c r="S52" s="446"/>
      <c r="W52" s="561" t="s">
        <v>73</v>
      </c>
      <c r="X52" s="562">
        <f>X46+X47+(X49+X50)</f>
        <v>1313349</v>
      </c>
      <c r="Y52" s="446"/>
      <c r="Z52" s="446"/>
      <c r="AA52" s="446"/>
      <c r="AB52" s="446"/>
      <c r="AC52" s="446"/>
      <c r="AD52" s="446"/>
      <c r="AE52" s="446"/>
      <c r="AF52" s="446"/>
      <c r="AG52" s="446"/>
      <c r="AI52" s="446"/>
      <c r="AJ52" s="446"/>
      <c r="AK52" s="446"/>
      <c r="AL52" s="446"/>
      <c r="AM52" s="446"/>
      <c r="AN52" s="446"/>
    </row>
    <row r="53" spans="1:49" s="1" customFormat="1">
      <c r="A53" s="231"/>
      <c r="C53" s="446"/>
      <c r="D53" s="453"/>
      <c r="E53" s="449"/>
      <c r="F53" s="446"/>
      <c r="G53" s="446"/>
      <c r="H53" s="446"/>
      <c r="I53" s="446"/>
      <c r="J53" s="446"/>
      <c r="K53" s="446"/>
      <c r="L53" s="446"/>
      <c r="M53" s="446"/>
      <c r="N53" s="446"/>
      <c r="O53" s="446"/>
      <c r="P53" s="446"/>
      <c r="Q53" s="446"/>
      <c r="R53" s="446"/>
      <c r="S53" s="446"/>
      <c r="W53" s="446"/>
      <c r="X53" s="452"/>
      <c r="Y53" s="446"/>
      <c r="Z53" s="446"/>
      <c r="AA53" s="446"/>
      <c r="AB53" s="446"/>
      <c r="AC53" s="446"/>
      <c r="AD53" s="446"/>
      <c r="AE53" s="446"/>
      <c r="AF53" s="446"/>
      <c r="AG53" s="446"/>
      <c r="AH53" s="32"/>
      <c r="AI53" s="446"/>
      <c r="AJ53" s="446"/>
      <c r="AK53" s="446"/>
      <c r="AL53" s="446"/>
      <c r="AM53" s="446"/>
      <c r="AN53" s="446"/>
      <c r="AO53" s="33"/>
      <c r="AP53" s="33"/>
      <c r="AQ53" s="33"/>
      <c r="AR53" s="33"/>
      <c r="AS53" s="33"/>
      <c r="AT53" s="33"/>
      <c r="AU53" s="33"/>
      <c r="AV53" s="33"/>
      <c r="AW53" s="33"/>
    </row>
    <row r="54" spans="1:49">
      <c r="C54" s="538" t="s">
        <v>70</v>
      </c>
      <c r="D54" s="539" t="e">
        <f>INDEX(BPC_TASAS[#All],MATCH("USD"&amp;"_"&amp;$A$104,BPC_TASAS[[#All],[Concatenacion]],0),2)</f>
        <v>#N/A</v>
      </c>
      <c r="E54" s="449"/>
      <c r="F54" s="446"/>
      <c r="G54" s="446"/>
      <c r="H54" s="446"/>
      <c r="I54" s="446"/>
      <c r="J54" s="446"/>
      <c r="K54" s="446"/>
      <c r="L54" s="446"/>
      <c r="M54" s="446"/>
      <c r="N54" s="446"/>
      <c r="O54" s="446"/>
      <c r="P54" s="446"/>
      <c r="Q54" s="446"/>
      <c r="R54" s="446"/>
      <c r="S54" s="446"/>
      <c r="W54" s="563" t="s">
        <v>70</v>
      </c>
      <c r="X54" s="564" t="e">
        <f>INDEX(BPC_TASAS[#All],MATCH("USD"&amp;"_"&amp;$A$105,BPC_TASAS[[#All],[Concatenacion]],0),2)</f>
        <v>#N/A</v>
      </c>
      <c r="Y54" s="446"/>
      <c r="Z54" s="446"/>
      <c r="AA54" s="446"/>
      <c r="AB54" s="446"/>
      <c r="AC54" s="446"/>
      <c r="AD54" s="446"/>
      <c r="AE54" s="446"/>
      <c r="AF54" s="446"/>
      <c r="AG54" s="446"/>
      <c r="AI54" s="446"/>
      <c r="AJ54" s="446"/>
      <c r="AK54" s="446"/>
      <c r="AL54" s="446"/>
      <c r="AM54" s="446"/>
      <c r="AN54" s="446"/>
    </row>
    <row r="55" spans="1:49" s="1" customFormat="1">
      <c r="A55" s="231"/>
      <c r="C55" s="450"/>
      <c r="D55" s="451"/>
      <c r="E55" s="449"/>
      <c r="F55" s="446"/>
      <c r="G55" s="446"/>
      <c r="H55" s="446"/>
      <c r="I55" s="446"/>
      <c r="J55" s="446"/>
      <c r="K55" s="446"/>
      <c r="L55" s="446"/>
      <c r="M55" s="446"/>
      <c r="N55" s="446"/>
      <c r="O55" s="446"/>
      <c r="P55" s="446"/>
      <c r="Q55" s="446"/>
      <c r="R55" s="446"/>
      <c r="S55" s="446"/>
      <c r="W55" s="450"/>
      <c r="X55" s="451"/>
      <c r="Y55" s="446"/>
      <c r="Z55" s="446"/>
      <c r="AA55" s="446"/>
      <c r="AB55" s="446"/>
      <c r="AC55" s="446"/>
      <c r="AD55" s="446"/>
      <c r="AE55" s="446"/>
      <c r="AF55" s="446"/>
      <c r="AG55" s="446"/>
      <c r="AH55" s="32"/>
      <c r="AI55" s="446"/>
      <c r="AJ55" s="446"/>
      <c r="AK55" s="446"/>
      <c r="AL55" s="446"/>
      <c r="AM55" s="446"/>
      <c r="AN55" s="446"/>
      <c r="AO55" s="33"/>
      <c r="AP55" s="33"/>
      <c r="AQ55" s="33"/>
      <c r="AR55" s="33"/>
      <c r="AS55" s="33"/>
      <c r="AT55" s="33"/>
      <c r="AU55" s="33"/>
      <c r="AV55" s="33"/>
      <c r="AW55" s="33"/>
    </row>
    <row r="56" spans="1:49">
      <c r="C56" s="538" t="s">
        <v>71</v>
      </c>
      <c r="D56" s="540">
        <f>IFERROR(+ABS(D52)/D54,0)</f>
        <v>0</v>
      </c>
      <c r="E56" s="449"/>
      <c r="F56" s="446"/>
      <c r="G56" s="446"/>
      <c r="H56" s="446"/>
      <c r="I56" s="446"/>
      <c r="J56" s="446"/>
      <c r="K56" s="446"/>
      <c r="L56" s="446"/>
      <c r="M56" s="446"/>
      <c r="N56" s="446"/>
      <c r="O56" s="446"/>
      <c r="P56" s="446"/>
      <c r="Q56" s="446"/>
      <c r="R56" s="446"/>
      <c r="S56" s="446"/>
      <c r="W56" s="563" t="s">
        <v>71</v>
      </c>
      <c r="X56" s="562">
        <f>IFERROR(+ABS(X52)/X54,0)</f>
        <v>0</v>
      </c>
      <c r="Y56" s="446"/>
      <c r="Z56" s="446"/>
      <c r="AA56" s="446"/>
      <c r="AB56" s="446"/>
      <c r="AC56" s="446"/>
      <c r="AD56" s="446"/>
      <c r="AE56" s="446"/>
      <c r="AF56" s="446"/>
      <c r="AG56" s="446"/>
      <c r="AI56" s="446"/>
      <c r="AJ56" s="446"/>
      <c r="AK56" s="446"/>
      <c r="AL56" s="446"/>
      <c r="AM56" s="446"/>
      <c r="AN56" s="446"/>
    </row>
    <row r="57" spans="1:49" s="1" customFormat="1" ht="15.75" thickBot="1">
      <c r="A57" s="231"/>
      <c r="B57" s="246"/>
      <c r="C57" s="454"/>
      <c r="D57" s="455"/>
      <c r="E57" s="449"/>
      <c r="F57" s="446"/>
      <c r="G57" s="446"/>
      <c r="H57" s="446"/>
      <c r="I57" s="446"/>
      <c r="J57" s="446"/>
      <c r="K57" s="446"/>
      <c r="L57" s="446"/>
      <c r="M57" s="446"/>
      <c r="N57" s="446"/>
      <c r="O57" s="446"/>
      <c r="P57" s="446"/>
      <c r="Q57" s="446"/>
      <c r="R57" s="446"/>
      <c r="S57" s="446"/>
      <c r="U57" s="246"/>
      <c r="V57" s="246"/>
      <c r="W57" s="246"/>
      <c r="X57" s="247"/>
      <c r="Y57" s="446"/>
      <c r="Z57" s="446"/>
      <c r="AA57" s="446"/>
      <c r="AB57" s="446"/>
      <c r="AC57" s="446"/>
      <c r="AD57" s="446"/>
      <c r="AE57" s="446"/>
      <c r="AF57" s="446"/>
      <c r="AG57" s="446"/>
      <c r="AH57" s="32"/>
      <c r="AI57" s="446"/>
      <c r="AJ57" s="446"/>
      <c r="AK57" s="446"/>
      <c r="AL57" s="446"/>
      <c r="AM57" s="446"/>
      <c r="AN57" s="446"/>
      <c r="AO57" s="33"/>
      <c r="AP57" s="33"/>
      <c r="AQ57" s="33"/>
      <c r="AR57" s="33"/>
      <c r="AS57" s="33"/>
      <c r="AT57" s="33"/>
      <c r="AU57" s="33"/>
      <c r="AV57" s="33"/>
      <c r="AW57" s="33"/>
    </row>
    <row r="58" spans="1:49" s="1" customFormat="1" ht="15.75" thickTop="1">
      <c r="A58" s="231"/>
      <c r="B58" s="519"/>
      <c r="C58" s="449"/>
      <c r="D58" s="449"/>
      <c r="E58" s="446"/>
      <c r="F58" s="446"/>
      <c r="G58" s="446"/>
      <c r="H58" s="446"/>
      <c r="I58" s="446"/>
      <c r="J58" s="446"/>
      <c r="K58" s="446"/>
      <c r="L58" s="446"/>
      <c r="M58" s="446"/>
      <c r="N58" s="446"/>
      <c r="O58" s="446"/>
      <c r="P58" s="446"/>
      <c r="Q58" s="446"/>
      <c r="R58" s="446"/>
      <c r="S58" s="446"/>
      <c r="V58" s="446"/>
      <c r="W58" s="446"/>
      <c r="X58" s="446"/>
      <c r="Y58" s="446"/>
      <c r="Z58" s="446"/>
      <c r="AA58" s="446"/>
      <c r="AB58" s="446"/>
      <c r="AC58" s="446"/>
      <c r="AD58" s="446"/>
      <c r="AE58" s="446"/>
      <c r="AF58" s="446"/>
      <c r="AG58" s="446"/>
      <c r="AH58" s="32"/>
      <c r="AI58" s="446"/>
      <c r="AJ58" s="446"/>
      <c r="AK58" s="446"/>
      <c r="AL58" s="446"/>
      <c r="AM58" s="446"/>
      <c r="AN58" s="446"/>
      <c r="AO58" s="33"/>
      <c r="AP58" s="33"/>
      <c r="AQ58" s="33"/>
      <c r="AR58" s="33"/>
      <c r="AS58" s="33"/>
      <c r="AT58" s="33"/>
      <c r="AU58" s="33"/>
      <c r="AV58" s="33"/>
      <c r="AW58" s="33"/>
    </row>
    <row r="59" spans="1:49" ht="15" customHeight="1">
      <c r="B59" s="518"/>
      <c r="C59" s="541" t="s">
        <v>74</v>
      </c>
      <c r="D59" s="542" t="e">
        <f>+D54*1%</f>
        <v>#N/A</v>
      </c>
      <c r="E59" s="446"/>
      <c r="F59" s="446"/>
      <c r="G59" s="446"/>
      <c r="H59" s="446"/>
      <c r="I59" s="446"/>
      <c r="J59" s="446"/>
      <c r="K59" s="446"/>
      <c r="L59" s="446"/>
      <c r="M59" s="446"/>
      <c r="N59" s="446"/>
      <c r="O59" s="446"/>
      <c r="P59" s="446"/>
      <c r="Q59" s="446"/>
      <c r="R59" s="446"/>
      <c r="S59" s="446"/>
      <c r="W59" s="565" t="s">
        <v>74</v>
      </c>
      <c r="X59" s="561" t="e">
        <f>+X54*1%</f>
        <v>#N/A</v>
      </c>
      <c r="Y59" s="446"/>
      <c r="Z59" s="446"/>
      <c r="AA59" s="446"/>
      <c r="AB59" s="446"/>
      <c r="AC59" s="446"/>
      <c r="AD59" s="446"/>
      <c r="AE59" s="446"/>
      <c r="AF59" s="446"/>
      <c r="AG59" s="446"/>
      <c r="AI59" s="446"/>
      <c r="AJ59" s="446"/>
      <c r="AK59" s="446"/>
      <c r="AL59" s="446"/>
      <c r="AM59" s="446"/>
      <c r="AN59" s="446"/>
    </row>
    <row r="60" spans="1:49" s="1" customFormat="1">
      <c r="A60" s="231"/>
      <c r="B60" s="517"/>
      <c r="C60" s="438"/>
      <c r="D60" s="438"/>
      <c r="E60" s="446"/>
      <c r="F60" s="446"/>
      <c r="G60" s="446"/>
      <c r="H60" s="446"/>
      <c r="I60" s="446"/>
      <c r="J60" s="446"/>
      <c r="K60" s="446"/>
      <c r="L60" s="446"/>
      <c r="M60" s="446"/>
      <c r="N60" s="446"/>
      <c r="O60" s="446"/>
      <c r="P60" s="446"/>
      <c r="Q60" s="446"/>
      <c r="R60" s="446"/>
      <c r="S60" s="446"/>
      <c r="V60" s="438"/>
      <c r="W60" s="438"/>
      <c r="X60" s="446"/>
      <c r="Y60" s="446"/>
      <c r="Z60" s="446"/>
      <c r="AA60" s="446"/>
      <c r="AB60" s="446"/>
      <c r="AC60" s="446"/>
      <c r="AD60" s="446"/>
      <c r="AE60" s="446"/>
      <c r="AF60" s="446"/>
      <c r="AG60" s="446"/>
      <c r="AH60" s="32"/>
      <c r="AI60" s="446"/>
      <c r="AJ60" s="446"/>
      <c r="AK60" s="446"/>
      <c r="AL60" s="446"/>
      <c r="AM60" s="446"/>
      <c r="AN60" s="446"/>
      <c r="AO60" s="33"/>
      <c r="AP60" s="33"/>
      <c r="AQ60" s="33"/>
      <c r="AR60" s="33"/>
      <c r="AS60" s="33"/>
      <c r="AT60" s="33"/>
      <c r="AU60" s="33"/>
      <c r="AV60" s="33"/>
      <c r="AW60" s="33"/>
    </row>
    <row r="61" spans="1:49" ht="15" customHeight="1">
      <c r="B61" s="518"/>
      <c r="C61" s="541" t="s">
        <v>75</v>
      </c>
      <c r="D61" s="542" t="e">
        <f>+D54+D59</f>
        <v>#N/A</v>
      </c>
      <c r="E61" s="446"/>
      <c r="F61" s="446"/>
      <c r="G61" s="446"/>
      <c r="H61" s="446"/>
      <c r="I61" s="446"/>
      <c r="J61" s="446"/>
      <c r="K61" s="446"/>
      <c r="L61" s="446"/>
      <c r="M61" s="446"/>
      <c r="N61" s="446"/>
      <c r="O61" s="446"/>
      <c r="P61" s="446"/>
      <c r="Q61" s="446"/>
      <c r="R61" s="446"/>
      <c r="S61" s="446"/>
      <c r="W61" s="565" t="s">
        <v>75</v>
      </c>
      <c r="X61" s="561" t="e">
        <f>+X54+X59</f>
        <v>#N/A</v>
      </c>
      <c r="Y61" s="446"/>
      <c r="Z61" s="446"/>
      <c r="AA61" s="446"/>
      <c r="AB61" s="446"/>
      <c r="AC61" s="446"/>
      <c r="AD61" s="446"/>
      <c r="AE61" s="446"/>
      <c r="AF61" s="446"/>
      <c r="AG61" s="446"/>
      <c r="AI61" s="446"/>
      <c r="AJ61" s="446"/>
      <c r="AK61" s="446"/>
      <c r="AL61" s="446"/>
      <c r="AM61" s="446"/>
      <c r="AN61" s="446"/>
    </row>
    <row r="62" spans="1:49" ht="15" customHeight="1">
      <c r="B62" s="518"/>
      <c r="C62" s="541" t="s">
        <v>76</v>
      </c>
      <c r="D62" s="542" t="e">
        <f>+D54-D59</f>
        <v>#N/A</v>
      </c>
      <c r="E62" s="446"/>
      <c r="F62" s="446"/>
      <c r="G62" s="446"/>
      <c r="H62" s="446"/>
      <c r="I62" s="446"/>
      <c r="J62" s="446"/>
      <c r="K62" s="446"/>
      <c r="L62" s="446"/>
      <c r="M62" s="446"/>
      <c r="N62" s="446"/>
      <c r="O62" s="446"/>
      <c r="P62" s="446"/>
      <c r="Q62" s="446"/>
      <c r="R62" s="446"/>
      <c r="S62" s="446"/>
      <c r="W62" s="565" t="s">
        <v>76</v>
      </c>
      <c r="X62" s="561" t="e">
        <f>+X54-X59</f>
        <v>#N/A</v>
      </c>
      <c r="Y62" s="446"/>
      <c r="Z62" s="446"/>
      <c r="AA62" s="446"/>
      <c r="AB62" s="446"/>
      <c r="AC62" s="446"/>
      <c r="AD62" s="446"/>
      <c r="AE62" s="446"/>
      <c r="AF62" s="446"/>
      <c r="AG62" s="446"/>
      <c r="AI62" s="446"/>
      <c r="AJ62" s="446"/>
      <c r="AK62" s="446"/>
      <c r="AL62" s="446"/>
      <c r="AM62" s="446"/>
      <c r="AN62" s="446"/>
    </row>
    <row r="63" spans="1:49" s="1" customFormat="1">
      <c r="A63" s="231"/>
      <c r="B63" s="517"/>
      <c r="C63" s="438"/>
      <c r="D63" s="438"/>
      <c r="E63" s="446"/>
      <c r="F63" s="446"/>
      <c r="G63" s="446"/>
      <c r="H63" s="446"/>
      <c r="I63" s="446"/>
      <c r="J63" s="446"/>
      <c r="K63" s="446"/>
      <c r="L63" s="446"/>
      <c r="M63" s="446"/>
      <c r="N63" s="446"/>
      <c r="O63" s="446"/>
      <c r="P63" s="446"/>
      <c r="Q63" s="446"/>
      <c r="R63" s="446"/>
      <c r="S63" s="446"/>
      <c r="V63" s="438"/>
      <c r="W63" s="446"/>
      <c r="X63" s="438"/>
      <c r="Y63" s="446"/>
      <c r="Z63" s="446"/>
      <c r="AA63" s="446"/>
      <c r="AB63" s="446"/>
      <c r="AC63" s="446"/>
      <c r="AD63" s="446"/>
      <c r="AE63" s="446"/>
      <c r="AF63" s="446"/>
      <c r="AG63" s="446"/>
      <c r="AH63" s="32"/>
      <c r="AI63" s="446"/>
      <c r="AJ63" s="446"/>
      <c r="AK63" s="446"/>
      <c r="AL63" s="446"/>
      <c r="AM63" s="446"/>
      <c r="AN63" s="446"/>
      <c r="AO63" s="33"/>
      <c r="AP63" s="33"/>
      <c r="AQ63" s="33"/>
      <c r="AR63" s="33"/>
      <c r="AS63" s="33"/>
      <c r="AT63" s="33"/>
      <c r="AU63" s="33"/>
      <c r="AV63" s="33"/>
      <c r="AW63" s="33"/>
    </row>
    <row r="64" spans="1:49" ht="15" customHeight="1">
      <c r="B64" s="518"/>
      <c r="C64" s="541" t="s">
        <v>77</v>
      </c>
      <c r="D64" s="542" t="e">
        <f>+D56*D61</f>
        <v>#N/A</v>
      </c>
      <c r="E64" s="446"/>
      <c r="F64" s="446"/>
      <c r="G64" s="446"/>
      <c r="H64" s="446"/>
      <c r="I64" s="446"/>
      <c r="J64" s="446"/>
      <c r="K64" s="446"/>
      <c r="L64" s="446"/>
      <c r="M64" s="446"/>
      <c r="N64" s="446"/>
      <c r="O64" s="446"/>
      <c r="P64" s="446"/>
      <c r="Q64" s="446"/>
      <c r="R64" s="446"/>
      <c r="S64" s="446"/>
      <c r="W64" s="565" t="s">
        <v>77</v>
      </c>
      <c r="X64" s="561" t="e">
        <f>+X56*X61</f>
        <v>#N/A</v>
      </c>
      <c r="Y64" s="446"/>
      <c r="Z64" s="446"/>
      <c r="AA64" s="446"/>
      <c r="AB64" s="446"/>
      <c r="AC64" s="446"/>
      <c r="AD64" s="446"/>
      <c r="AE64" s="446"/>
      <c r="AF64" s="446"/>
      <c r="AG64" s="446"/>
      <c r="AI64" s="446"/>
      <c r="AJ64" s="446"/>
      <c r="AK64" s="446"/>
      <c r="AL64" s="446"/>
      <c r="AM64" s="446"/>
      <c r="AN64" s="446"/>
    </row>
    <row r="65" spans="1:49" s="1" customFormat="1">
      <c r="A65" s="231"/>
      <c r="B65" s="517"/>
      <c r="C65" s="438"/>
      <c r="D65" s="438"/>
      <c r="E65" s="446"/>
      <c r="F65" s="446"/>
      <c r="G65" s="446"/>
      <c r="H65" s="446"/>
      <c r="I65" s="446"/>
      <c r="J65" s="446"/>
      <c r="K65" s="446"/>
      <c r="L65" s="446"/>
      <c r="M65" s="446"/>
      <c r="N65" s="446"/>
      <c r="O65" s="446"/>
      <c r="P65" s="446"/>
      <c r="Q65" s="446"/>
      <c r="R65" s="446"/>
      <c r="S65" s="446"/>
      <c r="V65" s="438"/>
      <c r="W65" s="446"/>
      <c r="X65" s="438"/>
      <c r="Y65" s="446"/>
      <c r="Z65" s="446"/>
      <c r="AA65" s="446"/>
      <c r="AB65" s="446"/>
      <c r="AC65" s="446"/>
      <c r="AD65" s="446"/>
      <c r="AE65" s="446"/>
      <c r="AF65" s="446"/>
      <c r="AG65" s="446"/>
      <c r="AH65" s="32"/>
      <c r="AI65" s="446"/>
      <c r="AJ65" s="446"/>
      <c r="AK65" s="446"/>
      <c r="AL65" s="446"/>
      <c r="AM65" s="446"/>
      <c r="AN65" s="446"/>
      <c r="AO65" s="33"/>
      <c r="AP65" s="33"/>
      <c r="AQ65" s="33"/>
      <c r="AR65" s="33"/>
      <c r="AS65" s="33"/>
      <c r="AT65" s="33"/>
      <c r="AU65" s="33"/>
      <c r="AV65" s="33"/>
      <c r="AW65" s="33"/>
    </row>
    <row r="66" spans="1:49" ht="15" customHeight="1">
      <c r="B66" s="518"/>
      <c r="C66" s="541" t="s">
        <v>69</v>
      </c>
      <c r="D66" s="542" t="e">
        <f>ROUND(+ABS(D52)-D64,0)</f>
        <v>#N/A</v>
      </c>
      <c r="E66" s="446"/>
      <c r="F66" s="446"/>
      <c r="G66" s="446"/>
      <c r="H66" s="446"/>
      <c r="I66" s="446"/>
      <c r="J66" s="446"/>
      <c r="K66" s="446"/>
      <c r="L66" s="446"/>
      <c r="M66" s="446"/>
      <c r="N66" s="446"/>
      <c r="O66" s="446"/>
      <c r="P66" s="446"/>
      <c r="Q66" s="446"/>
      <c r="R66" s="446"/>
      <c r="S66" s="446"/>
      <c r="W66" s="565" t="s">
        <v>69</v>
      </c>
      <c r="X66" s="561" t="e">
        <f>ROUND(+ABS(X52)-X64,0)</f>
        <v>#N/A</v>
      </c>
      <c r="Y66" s="446"/>
      <c r="Z66" s="446"/>
      <c r="AA66" s="446"/>
      <c r="AB66" s="446"/>
      <c r="AC66" s="446"/>
      <c r="AD66" s="446"/>
      <c r="AE66" s="446"/>
      <c r="AF66" s="446"/>
      <c r="AG66" s="446"/>
      <c r="AI66" s="446"/>
      <c r="AJ66" s="446"/>
      <c r="AK66" s="446"/>
      <c r="AL66" s="446"/>
      <c r="AM66" s="446"/>
      <c r="AN66" s="446"/>
    </row>
    <row r="67" spans="1:49">
      <c r="A67" s="231"/>
      <c r="B67" s="446"/>
      <c r="C67" s="446"/>
      <c r="D67" s="446"/>
      <c r="E67" s="446"/>
      <c r="F67" s="446"/>
      <c r="G67" s="446"/>
      <c r="H67" s="446"/>
      <c r="I67" s="446"/>
      <c r="J67" s="446"/>
      <c r="K67" s="446"/>
      <c r="L67" s="446"/>
      <c r="M67" s="446"/>
      <c r="N67" s="446"/>
      <c r="O67" s="446"/>
      <c r="P67" s="446"/>
      <c r="Q67" s="446"/>
      <c r="R67" s="446"/>
      <c r="S67" s="446"/>
      <c r="T67" s="446"/>
      <c r="U67" s="446"/>
      <c r="V67" s="446"/>
      <c r="W67" s="446"/>
      <c r="X67" s="446"/>
      <c r="Y67" s="446"/>
      <c r="Z67" s="446"/>
      <c r="AA67" s="446"/>
      <c r="AB67" s="446"/>
      <c r="AC67" s="446"/>
      <c r="AD67" s="446"/>
      <c r="AE67" s="446"/>
      <c r="AF67" s="446"/>
      <c r="AG67" s="446"/>
      <c r="AI67" s="446"/>
      <c r="AJ67" s="446"/>
      <c r="AK67" s="446"/>
      <c r="AL67" s="446"/>
      <c r="AM67" s="446"/>
      <c r="AN67" s="446"/>
    </row>
    <row r="68" spans="1:49">
      <c r="A68" s="231"/>
      <c r="B68" s="446"/>
      <c r="C68" s="446"/>
      <c r="D68" s="446"/>
      <c r="E68" s="446"/>
      <c r="F68" s="446"/>
      <c r="G68" s="446"/>
      <c r="H68" s="446"/>
      <c r="I68" s="446"/>
      <c r="J68" s="446"/>
      <c r="K68" s="446"/>
      <c r="L68" s="446"/>
      <c r="M68" s="446"/>
      <c r="N68" s="446"/>
      <c r="O68" s="446"/>
      <c r="P68" s="446"/>
      <c r="Q68" s="446"/>
      <c r="R68" s="446"/>
      <c r="S68" s="446"/>
      <c r="T68" s="446"/>
      <c r="U68" s="446"/>
      <c r="V68" s="446"/>
      <c r="W68" s="446"/>
      <c r="X68" s="446"/>
      <c r="Y68" s="446"/>
      <c r="Z68" s="446"/>
      <c r="AA68" s="446"/>
      <c r="AB68" s="446"/>
      <c r="AC68" s="446"/>
      <c r="AD68" s="446"/>
      <c r="AE68" s="446"/>
      <c r="AF68" s="446"/>
      <c r="AG68" s="446"/>
      <c r="AI68" s="446"/>
      <c r="AJ68" s="446"/>
      <c r="AK68" s="446"/>
      <c r="AL68" s="446"/>
      <c r="AM68" s="446"/>
      <c r="AN68" s="446"/>
    </row>
    <row r="69" spans="1:49">
      <c r="A69" s="231"/>
      <c r="B69" s="446"/>
      <c r="C69" s="446"/>
      <c r="D69" s="446"/>
      <c r="E69" s="446"/>
      <c r="F69" s="446"/>
      <c r="G69" s="446"/>
      <c r="H69" s="446"/>
      <c r="I69" s="446"/>
      <c r="J69" s="446"/>
      <c r="K69" s="446"/>
      <c r="L69" s="446"/>
      <c r="M69" s="446"/>
      <c r="N69" s="446"/>
      <c r="O69" s="446"/>
      <c r="P69" s="446"/>
      <c r="Q69" s="446"/>
      <c r="R69" s="446"/>
      <c r="S69" s="446"/>
      <c r="T69" s="446"/>
      <c r="U69" s="446"/>
      <c r="V69" s="446"/>
      <c r="W69" s="446"/>
      <c r="X69" s="446"/>
      <c r="Y69" s="446"/>
      <c r="Z69" s="446"/>
      <c r="AA69" s="446"/>
      <c r="AB69" s="446"/>
      <c r="AC69" s="446"/>
      <c r="AD69" s="446"/>
      <c r="AE69" s="446"/>
      <c r="AF69" s="446"/>
      <c r="AG69" s="446"/>
      <c r="AI69" s="446"/>
      <c r="AJ69" s="446"/>
      <c r="AK69" s="446"/>
      <c r="AL69" s="446"/>
      <c r="AM69" s="446"/>
      <c r="AN69" s="446"/>
    </row>
    <row r="70" spans="1:49">
      <c r="A70" s="231"/>
      <c r="B70" s="446"/>
      <c r="C70" s="446"/>
      <c r="D70" s="446"/>
      <c r="E70" s="446"/>
      <c r="F70" s="446"/>
      <c r="G70" s="446"/>
      <c r="H70" s="446"/>
      <c r="I70" s="446"/>
      <c r="J70" s="446"/>
      <c r="K70" s="446"/>
      <c r="L70" s="446"/>
      <c r="M70" s="446"/>
      <c r="N70" s="446"/>
      <c r="O70" s="446"/>
      <c r="P70" s="446"/>
      <c r="Q70" s="446"/>
      <c r="R70" s="446"/>
      <c r="S70" s="446"/>
      <c r="T70" s="446"/>
      <c r="U70" s="446"/>
      <c r="V70" s="446"/>
      <c r="W70" s="446"/>
      <c r="X70" s="446"/>
      <c r="Y70" s="446"/>
      <c r="Z70" s="446"/>
      <c r="AA70" s="446"/>
      <c r="AB70" s="446"/>
      <c r="AC70" s="446"/>
      <c r="AD70" s="446"/>
      <c r="AE70" s="446"/>
      <c r="AF70" s="446"/>
      <c r="AG70" s="446"/>
      <c r="AI70" s="446"/>
      <c r="AJ70" s="446"/>
      <c r="AK70" s="446"/>
      <c r="AL70" s="446"/>
      <c r="AM70" s="446"/>
      <c r="AN70" s="446"/>
    </row>
    <row r="71" spans="1:49">
      <c r="A71" s="231"/>
      <c r="B71" s="446"/>
      <c r="C71" s="446"/>
      <c r="D71" s="446"/>
      <c r="E71" s="446"/>
      <c r="F71" s="446"/>
      <c r="G71" s="446"/>
      <c r="H71" s="446"/>
      <c r="I71" s="446"/>
      <c r="J71" s="446"/>
      <c r="K71" s="446"/>
      <c r="L71" s="446"/>
      <c r="M71" s="446"/>
      <c r="N71" s="446"/>
      <c r="O71" s="446"/>
      <c r="P71" s="446"/>
      <c r="Q71" s="446"/>
      <c r="R71" s="446"/>
      <c r="S71" s="446"/>
      <c r="T71" s="446"/>
      <c r="U71" s="446"/>
      <c r="V71" s="446"/>
      <c r="W71" s="446"/>
      <c r="X71" s="446"/>
      <c r="Y71" s="446"/>
      <c r="Z71" s="446"/>
      <c r="AA71" s="446"/>
      <c r="AB71" s="446"/>
      <c r="AC71" s="446"/>
      <c r="AD71" s="446"/>
      <c r="AE71" s="446"/>
      <c r="AF71" s="446"/>
      <c r="AG71" s="446"/>
      <c r="AI71" s="446"/>
      <c r="AJ71" s="446"/>
      <c r="AK71" s="446"/>
      <c r="AL71" s="446"/>
      <c r="AM71" s="446"/>
      <c r="AN71" s="446"/>
    </row>
    <row r="72" spans="1:49">
      <c r="A72" s="231"/>
      <c r="B72" s="446"/>
      <c r="C72" s="446"/>
      <c r="D72" s="446"/>
      <c r="E72" s="446"/>
      <c r="F72" s="446"/>
      <c r="G72" s="446"/>
      <c r="H72" s="446"/>
      <c r="I72" s="446"/>
      <c r="J72" s="446"/>
      <c r="K72" s="446"/>
      <c r="L72" s="446"/>
      <c r="M72" s="446"/>
      <c r="N72" s="446"/>
      <c r="O72" s="446"/>
      <c r="P72" s="446"/>
      <c r="Q72" s="446"/>
      <c r="R72" s="446"/>
      <c r="S72" s="446"/>
      <c r="T72" s="446"/>
      <c r="U72" s="446"/>
      <c r="V72" s="446"/>
      <c r="W72" s="446"/>
      <c r="X72" s="446"/>
      <c r="Y72" s="446"/>
      <c r="Z72" s="446"/>
      <c r="AA72" s="446"/>
      <c r="AB72" s="446"/>
      <c r="AC72" s="446"/>
      <c r="AD72" s="446"/>
      <c r="AE72" s="446"/>
      <c r="AF72" s="446"/>
      <c r="AG72" s="446"/>
      <c r="AI72" s="446"/>
      <c r="AJ72" s="446"/>
      <c r="AK72" s="446"/>
      <c r="AL72" s="446"/>
      <c r="AM72" s="446"/>
      <c r="AN72" s="446"/>
    </row>
    <row r="73" spans="1:49">
      <c r="A73" s="231"/>
      <c r="B73" s="446"/>
      <c r="C73" s="446"/>
      <c r="D73" s="446"/>
      <c r="E73" s="446"/>
      <c r="F73" s="446"/>
      <c r="G73" s="446"/>
      <c r="H73" s="446"/>
      <c r="I73" s="446"/>
      <c r="J73" s="446"/>
      <c r="K73" s="446"/>
      <c r="L73" s="446"/>
      <c r="M73" s="446"/>
      <c r="N73" s="446"/>
      <c r="O73" s="446"/>
      <c r="P73" s="446"/>
      <c r="Q73" s="446"/>
      <c r="R73" s="446"/>
      <c r="S73" s="446"/>
      <c r="T73" s="446"/>
      <c r="U73" s="446"/>
      <c r="V73" s="446"/>
      <c r="W73" s="446"/>
      <c r="X73" s="446"/>
      <c r="Y73" s="446"/>
      <c r="Z73" s="446"/>
      <c r="AA73" s="446"/>
      <c r="AB73" s="446"/>
      <c r="AC73" s="446"/>
      <c r="AD73" s="446"/>
      <c r="AE73" s="446"/>
      <c r="AF73" s="446"/>
      <c r="AG73" s="446"/>
      <c r="AI73" s="446"/>
      <c r="AJ73" s="446"/>
      <c r="AK73" s="446"/>
      <c r="AL73" s="446"/>
      <c r="AM73" s="446"/>
      <c r="AN73" s="446"/>
    </row>
    <row r="74" spans="1:49">
      <c r="A74" s="231"/>
      <c r="B74" s="446"/>
      <c r="C74" s="446"/>
      <c r="D74" s="446"/>
      <c r="E74" s="446"/>
      <c r="F74" s="446"/>
      <c r="G74" s="446"/>
      <c r="H74" s="446"/>
      <c r="I74" s="446"/>
      <c r="J74" s="446"/>
      <c r="K74" s="446"/>
      <c r="L74" s="446"/>
      <c r="M74" s="446"/>
      <c r="N74" s="446"/>
      <c r="O74" s="446"/>
      <c r="P74" s="446"/>
      <c r="Q74" s="446"/>
      <c r="R74" s="446"/>
      <c r="S74" s="446"/>
      <c r="T74" s="446"/>
      <c r="U74" s="446"/>
      <c r="V74" s="446"/>
      <c r="W74" s="446"/>
      <c r="X74" s="446"/>
      <c r="Y74" s="446"/>
      <c r="Z74" s="446"/>
      <c r="AA74" s="446"/>
      <c r="AB74" s="446"/>
      <c r="AC74" s="446"/>
      <c r="AD74" s="446"/>
      <c r="AE74" s="446"/>
      <c r="AF74" s="446"/>
      <c r="AG74" s="446"/>
      <c r="AI74" s="446"/>
      <c r="AJ74" s="446"/>
      <c r="AK74" s="446"/>
      <c r="AL74" s="446"/>
      <c r="AM74" s="446"/>
      <c r="AN74" s="446"/>
    </row>
    <row r="75" spans="1:49">
      <c r="A75" s="231"/>
      <c r="B75" s="446"/>
      <c r="C75" s="446"/>
      <c r="D75" s="446"/>
      <c r="E75" s="446"/>
      <c r="F75" s="446"/>
      <c r="G75" s="446"/>
      <c r="H75" s="446"/>
      <c r="I75" s="446"/>
      <c r="J75" s="446"/>
      <c r="K75" s="446"/>
      <c r="L75" s="446"/>
      <c r="M75" s="446"/>
      <c r="N75" s="446"/>
      <c r="O75" s="446"/>
      <c r="P75" s="446"/>
      <c r="Q75" s="446"/>
      <c r="R75" s="446"/>
      <c r="S75" s="446"/>
      <c r="T75" s="446"/>
      <c r="U75" s="446"/>
      <c r="V75" s="446"/>
      <c r="W75" s="446"/>
      <c r="X75" s="446"/>
      <c r="Y75" s="446"/>
      <c r="Z75" s="446"/>
      <c r="AA75" s="446"/>
      <c r="AB75" s="446"/>
      <c r="AC75" s="446"/>
      <c r="AD75" s="446"/>
      <c r="AE75" s="446"/>
      <c r="AF75" s="446"/>
      <c r="AG75" s="446"/>
      <c r="AI75" s="446"/>
      <c r="AJ75" s="446"/>
      <c r="AK75" s="446"/>
      <c r="AL75" s="446"/>
      <c r="AM75" s="446"/>
      <c r="AN75" s="446"/>
    </row>
    <row r="76" spans="1:49">
      <c r="A76" s="231"/>
      <c r="B76" s="446"/>
      <c r="C76" s="446"/>
      <c r="D76" s="446"/>
      <c r="E76" s="446"/>
      <c r="F76" s="446"/>
      <c r="G76" s="446"/>
      <c r="H76" s="446"/>
      <c r="I76" s="446"/>
      <c r="J76" s="446"/>
      <c r="K76" s="446"/>
      <c r="L76" s="446"/>
      <c r="M76" s="446"/>
      <c r="N76" s="446"/>
      <c r="O76" s="446"/>
      <c r="P76" s="446"/>
      <c r="Q76" s="446"/>
      <c r="R76" s="446"/>
      <c r="S76" s="446"/>
      <c r="T76" s="446"/>
      <c r="U76" s="446"/>
      <c r="V76" s="446"/>
      <c r="W76" s="446"/>
      <c r="X76" s="446"/>
      <c r="Y76" s="446"/>
      <c r="Z76" s="446"/>
      <c r="AA76" s="446"/>
      <c r="AB76" s="446"/>
      <c r="AC76" s="446"/>
      <c r="AD76" s="446"/>
      <c r="AE76" s="446"/>
      <c r="AF76" s="446"/>
      <c r="AG76" s="446"/>
      <c r="AI76" s="446"/>
      <c r="AJ76" s="446"/>
      <c r="AK76" s="446"/>
      <c r="AL76" s="446"/>
      <c r="AM76" s="446"/>
      <c r="AN76" s="446"/>
    </row>
    <row r="77" spans="1:49">
      <c r="A77" s="231"/>
      <c r="B77" s="446"/>
      <c r="C77" s="446"/>
      <c r="D77" s="446"/>
      <c r="E77" s="446"/>
      <c r="F77" s="446"/>
      <c r="G77" s="446"/>
      <c r="H77" s="446"/>
      <c r="I77" s="446"/>
      <c r="J77" s="446"/>
      <c r="K77" s="446"/>
      <c r="L77" s="446"/>
      <c r="M77" s="446"/>
      <c r="N77" s="446"/>
      <c r="O77" s="446"/>
      <c r="P77" s="446"/>
      <c r="Q77" s="446"/>
      <c r="R77" s="446"/>
      <c r="S77" s="446"/>
      <c r="T77" s="446"/>
      <c r="U77" s="446"/>
      <c r="V77" s="446"/>
      <c r="W77" s="446"/>
      <c r="X77" s="446"/>
      <c r="Y77" s="446"/>
      <c r="Z77" s="446"/>
      <c r="AA77" s="446"/>
      <c r="AB77" s="446"/>
      <c r="AC77" s="446"/>
      <c r="AD77" s="446"/>
      <c r="AE77" s="446"/>
      <c r="AF77" s="446"/>
      <c r="AG77" s="446"/>
      <c r="AI77" s="446"/>
      <c r="AJ77" s="446"/>
      <c r="AK77" s="446"/>
      <c r="AL77" s="446"/>
      <c r="AM77" s="446"/>
      <c r="AN77" s="446"/>
    </row>
    <row r="78" spans="1:49">
      <c r="A78" s="231"/>
      <c r="B78" s="446"/>
      <c r="C78" s="446"/>
      <c r="D78" s="446"/>
      <c r="E78" s="446"/>
      <c r="F78" s="446"/>
      <c r="G78" s="446"/>
      <c r="H78" s="446"/>
      <c r="I78" s="446"/>
      <c r="J78" s="446"/>
      <c r="K78" s="446"/>
      <c r="L78" s="446"/>
      <c r="M78" s="446"/>
      <c r="N78" s="446"/>
      <c r="O78" s="446"/>
      <c r="P78" s="446"/>
      <c r="Q78" s="446"/>
      <c r="R78" s="446"/>
      <c r="S78" s="446"/>
      <c r="T78" s="446"/>
      <c r="U78" s="446"/>
      <c r="V78" s="446"/>
      <c r="W78" s="446"/>
      <c r="X78" s="446"/>
      <c r="Y78" s="446"/>
      <c r="Z78" s="446"/>
      <c r="AA78" s="446"/>
      <c r="AB78" s="446"/>
      <c r="AC78" s="446"/>
      <c r="AD78" s="446"/>
      <c r="AE78" s="446"/>
      <c r="AF78" s="446"/>
      <c r="AG78" s="446"/>
      <c r="AI78" s="446"/>
      <c r="AJ78" s="446"/>
      <c r="AK78" s="446"/>
      <c r="AL78" s="446"/>
      <c r="AM78" s="446"/>
      <c r="AN78" s="446"/>
    </row>
    <row r="79" spans="1:49">
      <c r="A79" s="231"/>
      <c r="B79" s="446"/>
      <c r="C79" s="446"/>
      <c r="D79" s="446"/>
      <c r="E79" s="446"/>
      <c r="F79" s="446"/>
      <c r="G79" s="446"/>
      <c r="H79" s="446"/>
      <c r="I79" s="446"/>
      <c r="J79" s="446"/>
      <c r="K79" s="446"/>
      <c r="L79" s="446"/>
      <c r="M79" s="446"/>
      <c r="N79" s="446"/>
      <c r="O79" s="446"/>
      <c r="P79" s="446"/>
      <c r="Q79" s="446"/>
      <c r="R79" s="446"/>
      <c r="S79" s="446"/>
      <c r="T79" s="446"/>
      <c r="U79" s="446"/>
      <c r="V79" s="446"/>
      <c r="W79" s="446"/>
      <c r="X79" s="446"/>
      <c r="Y79" s="446"/>
      <c r="Z79" s="446"/>
      <c r="AA79" s="446"/>
      <c r="AB79" s="446"/>
      <c r="AC79" s="446"/>
      <c r="AD79" s="446"/>
      <c r="AE79" s="446"/>
      <c r="AF79" s="446"/>
      <c r="AG79" s="446"/>
      <c r="AI79" s="446"/>
      <c r="AJ79" s="446"/>
      <c r="AK79" s="446"/>
      <c r="AL79" s="446"/>
      <c r="AM79" s="446"/>
      <c r="AN79" s="446"/>
    </row>
    <row r="80" spans="1:49">
      <c r="A80" s="231"/>
      <c r="B80" s="446"/>
      <c r="C80" s="446"/>
      <c r="D80" s="446"/>
      <c r="E80" s="446"/>
      <c r="F80" s="446"/>
      <c r="G80" s="446"/>
      <c r="H80" s="446"/>
      <c r="I80" s="446"/>
      <c r="J80" s="446"/>
      <c r="K80" s="446"/>
      <c r="L80" s="446"/>
      <c r="M80" s="446"/>
      <c r="N80" s="446"/>
      <c r="O80" s="446"/>
      <c r="P80" s="446"/>
      <c r="Q80" s="446"/>
      <c r="R80" s="446"/>
      <c r="S80" s="446"/>
      <c r="T80" s="446"/>
      <c r="U80" s="446"/>
      <c r="V80" s="446"/>
      <c r="W80" s="446"/>
      <c r="X80" s="446"/>
      <c r="Y80" s="446"/>
      <c r="Z80" s="446"/>
      <c r="AA80" s="446"/>
      <c r="AB80" s="446"/>
      <c r="AC80" s="446"/>
      <c r="AD80" s="446"/>
      <c r="AE80" s="446"/>
      <c r="AF80" s="446"/>
      <c r="AG80" s="446"/>
      <c r="AI80" s="446"/>
      <c r="AJ80" s="446"/>
      <c r="AK80" s="446"/>
      <c r="AL80" s="446"/>
      <c r="AM80" s="446"/>
      <c r="AN80" s="446"/>
    </row>
    <row r="81" spans="1:40">
      <c r="A81" s="231"/>
      <c r="B81" s="446"/>
      <c r="C81" s="446"/>
      <c r="D81" s="446"/>
      <c r="E81" s="446"/>
      <c r="F81" s="446"/>
      <c r="G81" s="446"/>
      <c r="H81" s="446"/>
      <c r="I81" s="446"/>
      <c r="J81" s="446"/>
      <c r="K81" s="446"/>
      <c r="L81" s="446"/>
      <c r="M81" s="446"/>
      <c r="N81" s="446"/>
      <c r="O81" s="446"/>
      <c r="P81" s="446"/>
      <c r="Q81" s="446"/>
      <c r="R81" s="446"/>
      <c r="S81" s="446"/>
      <c r="T81" s="446"/>
      <c r="U81" s="446"/>
      <c r="V81" s="446"/>
      <c r="W81" s="446"/>
      <c r="X81" s="446"/>
      <c r="Y81" s="446"/>
      <c r="Z81" s="446"/>
      <c r="AA81" s="446"/>
      <c r="AB81" s="446"/>
      <c r="AC81" s="446"/>
      <c r="AD81" s="446"/>
      <c r="AE81" s="446"/>
      <c r="AF81" s="446"/>
      <c r="AG81" s="446"/>
      <c r="AI81" s="446"/>
      <c r="AJ81" s="446"/>
      <c r="AK81" s="446"/>
      <c r="AL81" s="446"/>
      <c r="AM81" s="446"/>
      <c r="AN81" s="446"/>
    </row>
    <row r="82" spans="1:40">
      <c r="A82" s="231"/>
      <c r="B82" s="446"/>
      <c r="C82" s="446"/>
      <c r="D82" s="446"/>
      <c r="E82" s="446"/>
      <c r="F82" s="446"/>
      <c r="G82" s="446"/>
      <c r="H82" s="446"/>
      <c r="I82" s="446"/>
      <c r="J82" s="446"/>
      <c r="K82" s="446"/>
      <c r="L82" s="446"/>
      <c r="M82" s="446"/>
      <c r="N82" s="446"/>
      <c r="O82" s="446"/>
      <c r="P82" s="446"/>
      <c r="Q82" s="446"/>
      <c r="R82" s="446"/>
      <c r="S82" s="446"/>
      <c r="T82" s="446"/>
      <c r="U82" s="446"/>
      <c r="V82" s="446"/>
      <c r="W82" s="446"/>
      <c r="X82" s="446"/>
      <c r="Y82" s="446"/>
      <c r="Z82" s="446"/>
      <c r="AA82" s="446"/>
      <c r="AB82" s="446"/>
      <c r="AC82" s="446"/>
      <c r="AD82" s="446"/>
      <c r="AE82" s="446"/>
      <c r="AF82" s="446"/>
      <c r="AG82" s="446"/>
      <c r="AI82" s="446"/>
      <c r="AJ82" s="446"/>
      <c r="AK82" s="446"/>
      <c r="AL82" s="446"/>
      <c r="AM82" s="446"/>
      <c r="AN82" s="446"/>
    </row>
    <row r="83" spans="1:40">
      <c r="A83" s="231"/>
      <c r="B83" s="446"/>
      <c r="C83" s="446"/>
      <c r="D83" s="446"/>
      <c r="E83" s="446"/>
      <c r="F83" s="446"/>
      <c r="G83" s="446"/>
      <c r="H83" s="446"/>
      <c r="I83" s="446"/>
      <c r="J83" s="446"/>
      <c r="K83" s="446"/>
      <c r="L83" s="446"/>
      <c r="M83" s="446"/>
      <c r="N83" s="446"/>
      <c r="O83" s="446"/>
      <c r="P83" s="446"/>
      <c r="Q83" s="446"/>
      <c r="R83" s="446"/>
      <c r="S83" s="446"/>
      <c r="T83" s="446"/>
      <c r="U83" s="446"/>
      <c r="V83" s="446"/>
      <c r="W83" s="446"/>
      <c r="X83" s="446"/>
      <c r="Y83" s="446"/>
      <c r="Z83" s="446"/>
      <c r="AA83" s="446"/>
      <c r="AB83" s="446"/>
      <c r="AC83" s="446"/>
      <c r="AD83" s="446"/>
      <c r="AE83" s="446"/>
      <c r="AF83" s="446"/>
      <c r="AG83" s="446"/>
      <c r="AI83" s="446"/>
      <c r="AJ83" s="446"/>
      <c r="AK83" s="446"/>
      <c r="AL83" s="446"/>
      <c r="AM83" s="446"/>
      <c r="AN83" s="446"/>
    </row>
    <row r="84" spans="1:40">
      <c r="A84" s="231"/>
      <c r="B84" s="446"/>
      <c r="C84" s="446"/>
      <c r="D84" s="446"/>
      <c r="E84" s="446"/>
      <c r="F84" s="446"/>
      <c r="G84" s="446"/>
      <c r="H84" s="446"/>
      <c r="I84" s="446"/>
      <c r="J84" s="446"/>
      <c r="K84" s="446"/>
      <c r="L84" s="446"/>
      <c r="M84" s="446"/>
      <c r="N84" s="446"/>
      <c r="O84" s="446"/>
      <c r="P84" s="446"/>
      <c r="Q84" s="446"/>
      <c r="R84" s="446"/>
      <c r="S84" s="446"/>
      <c r="T84" s="446"/>
      <c r="U84" s="446"/>
      <c r="V84" s="446"/>
      <c r="W84" s="446"/>
      <c r="X84" s="446"/>
      <c r="Y84" s="446"/>
      <c r="Z84" s="446"/>
      <c r="AA84" s="446"/>
      <c r="AB84" s="446"/>
      <c r="AC84" s="446"/>
      <c r="AD84" s="446"/>
      <c r="AE84" s="446"/>
      <c r="AF84" s="446"/>
      <c r="AG84" s="446"/>
      <c r="AI84" s="446"/>
      <c r="AJ84" s="446"/>
      <c r="AK84" s="446"/>
      <c r="AL84" s="446"/>
      <c r="AM84" s="446"/>
      <c r="AN84" s="446"/>
    </row>
    <row r="85" spans="1:40">
      <c r="A85" s="231"/>
      <c r="B85" s="446"/>
      <c r="C85" s="446"/>
      <c r="D85" s="446"/>
      <c r="E85" s="446"/>
      <c r="F85" s="446"/>
      <c r="G85" s="446"/>
      <c r="H85" s="446"/>
      <c r="I85" s="446"/>
      <c r="J85" s="446"/>
      <c r="K85" s="446"/>
      <c r="L85" s="446"/>
      <c r="M85" s="446"/>
      <c r="N85" s="446"/>
      <c r="O85" s="446"/>
      <c r="P85" s="446"/>
      <c r="Q85" s="446"/>
      <c r="R85" s="446"/>
      <c r="S85" s="446"/>
      <c r="T85" s="446"/>
      <c r="U85" s="446"/>
      <c r="V85" s="446"/>
      <c r="W85" s="446"/>
      <c r="X85" s="446"/>
      <c r="Y85" s="446"/>
      <c r="Z85" s="446"/>
      <c r="AA85" s="446"/>
      <c r="AB85" s="446"/>
      <c r="AC85" s="446"/>
      <c r="AD85" s="446"/>
      <c r="AE85" s="446"/>
      <c r="AF85" s="446"/>
      <c r="AG85" s="446"/>
      <c r="AI85" s="446"/>
      <c r="AJ85" s="446"/>
      <c r="AK85" s="446"/>
      <c r="AL85" s="446"/>
      <c r="AM85" s="446"/>
      <c r="AN85" s="446"/>
    </row>
    <row r="86" spans="1:40">
      <c r="A86" s="231"/>
      <c r="B86" s="446"/>
      <c r="C86" s="446"/>
      <c r="D86" s="446"/>
      <c r="E86" s="446"/>
      <c r="F86" s="446"/>
      <c r="G86" s="446"/>
      <c r="H86" s="446"/>
      <c r="I86" s="446"/>
      <c r="J86" s="446"/>
      <c r="K86" s="446"/>
      <c r="L86" s="446"/>
      <c r="M86" s="446"/>
      <c r="N86" s="446"/>
      <c r="O86" s="446"/>
      <c r="P86" s="446"/>
      <c r="Q86" s="446"/>
      <c r="R86" s="446"/>
      <c r="S86" s="446"/>
      <c r="T86" s="446"/>
      <c r="U86" s="446"/>
      <c r="V86" s="446"/>
      <c r="W86" s="446"/>
      <c r="X86" s="446"/>
      <c r="Y86" s="446"/>
      <c r="Z86" s="446"/>
      <c r="AA86" s="446"/>
      <c r="AB86" s="446"/>
      <c r="AC86" s="446"/>
      <c r="AD86" s="446"/>
      <c r="AE86" s="446"/>
      <c r="AF86" s="446"/>
      <c r="AG86" s="446"/>
      <c r="AI86" s="446"/>
      <c r="AJ86" s="446"/>
      <c r="AK86" s="446"/>
      <c r="AL86" s="446"/>
      <c r="AM86" s="446"/>
      <c r="AN86" s="446"/>
    </row>
    <row r="87" spans="1:40">
      <c r="A87" s="231"/>
      <c r="B87" s="446"/>
      <c r="C87" s="446"/>
      <c r="D87" s="446"/>
      <c r="E87" s="446"/>
      <c r="F87" s="446"/>
      <c r="G87" s="446"/>
      <c r="H87" s="446"/>
      <c r="I87" s="446"/>
      <c r="J87" s="446"/>
      <c r="K87" s="446"/>
      <c r="L87" s="446"/>
      <c r="M87" s="446"/>
      <c r="N87" s="446"/>
      <c r="O87" s="446"/>
      <c r="P87" s="446"/>
      <c r="Q87" s="446"/>
      <c r="R87" s="446"/>
      <c r="S87" s="446"/>
      <c r="T87" s="446"/>
      <c r="U87" s="446"/>
      <c r="V87" s="446"/>
      <c r="W87" s="446"/>
      <c r="X87" s="446"/>
      <c r="Y87" s="446"/>
      <c r="Z87" s="446"/>
      <c r="AA87" s="446"/>
      <c r="AB87" s="446"/>
      <c r="AC87" s="446"/>
      <c r="AD87" s="446"/>
      <c r="AE87" s="446"/>
      <c r="AF87" s="446"/>
      <c r="AG87" s="446"/>
      <c r="AI87" s="446"/>
      <c r="AJ87" s="446"/>
      <c r="AK87" s="446"/>
      <c r="AL87" s="446"/>
      <c r="AM87" s="446"/>
      <c r="AN87" s="446"/>
    </row>
    <row r="88" spans="1:40">
      <c r="A88" s="231"/>
      <c r="B88" s="446"/>
      <c r="C88" s="446"/>
      <c r="D88" s="446"/>
      <c r="E88" s="446"/>
      <c r="F88" s="446"/>
      <c r="G88" s="446"/>
      <c r="H88" s="446"/>
      <c r="I88" s="446"/>
      <c r="J88" s="446"/>
      <c r="K88" s="446"/>
      <c r="L88" s="446"/>
      <c r="M88" s="446"/>
      <c r="N88" s="446"/>
      <c r="O88" s="446"/>
      <c r="P88" s="446"/>
      <c r="Q88" s="446"/>
      <c r="R88" s="446"/>
      <c r="S88" s="446"/>
      <c r="T88" s="446"/>
      <c r="U88" s="446"/>
      <c r="V88" s="446"/>
      <c r="W88" s="446"/>
      <c r="X88" s="446"/>
      <c r="Y88" s="446"/>
      <c r="Z88" s="446"/>
      <c r="AA88" s="446"/>
      <c r="AB88" s="446"/>
      <c r="AC88" s="446"/>
      <c r="AD88" s="446"/>
      <c r="AE88" s="446"/>
      <c r="AF88" s="446"/>
      <c r="AG88" s="446"/>
      <c r="AI88" s="446"/>
      <c r="AJ88" s="446"/>
      <c r="AK88" s="446"/>
      <c r="AL88" s="446"/>
      <c r="AM88" s="446"/>
      <c r="AN88" s="446"/>
    </row>
    <row r="89" spans="1:40">
      <c r="A89" s="231"/>
      <c r="B89" s="446"/>
      <c r="C89" s="446"/>
      <c r="D89" s="446"/>
      <c r="E89" s="446"/>
      <c r="F89" s="446"/>
      <c r="G89" s="446"/>
      <c r="H89" s="446"/>
      <c r="I89" s="446"/>
      <c r="J89" s="446"/>
      <c r="K89" s="446"/>
      <c r="L89" s="446"/>
      <c r="M89" s="446"/>
      <c r="N89" s="446"/>
      <c r="O89" s="446"/>
      <c r="P89" s="446"/>
      <c r="Q89" s="446"/>
      <c r="R89" s="446"/>
      <c r="S89" s="446"/>
      <c r="T89" s="446"/>
      <c r="U89" s="446"/>
      <c r="V89" s="446"/>
      <c r="W89" s="446"/>
      <c r="X89" s="446"/>
      <c r="Y89" s="446"/>
      <c r="Z89" s="446"/>
      <c r="AA89" s="446"/>
      <c r="AB89" s="446"/>
      <c r="AC89" s="446"/>
      <c r="AD89" s="446"/>
      <c r="AE89" s="446"/>
      <c r="AF89" s="446"/>
      <c r="AG89" s="446"/>
      <c r="AI89" s="446"/>
      <c r="AJ89" s="446"/>
      <c r="AK89" s="446"/>
      <c r="AL89" s="446"/>
      <c r="AM89" s="446"/>
      <c r="AN89" s="446"/>
    </row>
    <row r="90" spans="1:40">
      <c r="A90" s="231"/>
      <c r="B90" s="446"/>
      <c r="C90" s="446"/>
      <c r="D90" s="446"/>
      <c r="E90" s="446"/>
      <c r="F90" s="446"/>
      <c r="G90" s="446"/>
      <c r="H90" s="446"/>
      <c r="I90" s="446"/>
      <c r="J90" s="446"/>
      <c r="K90" s="446"/>
      <c r="L90" s="446"/>
      <c r="M90" s="446"/>
      <c r="N90" s="446"/>
      <c r="O90" s="446"/>
      <c r="P90" s="446"/>
      <c r="Q90" s="446"/>
      <c r="R90" s="446"/>
      <c r="S90" s="446"/>
      <c r="T90" s="446"/>
      <c r="U90" s="446"/>
      <c r="V90" s="446"/>
      <c r="W90" s="446"/>
      <c r="X90" s="446"/>
      <c r="Y90" s="446"/>
      <c r="Z90" s="446"/>
      <c r="AA90" s="446"/>
      <c r="AB90" s="446"/>
      <c r="AC90" s="446"/>
      <c r="AD90" s="446"/>
      <c r="AE90" s="446"/>
      <c r="AF90" s="446"/>
      <c r="AG90" s="446"/>
      <c r="AI90" s="446"/>
      <c r="AJ90" s="446"/>
      <c r="AK90" s="446"/>
      <c r="AL90" s="446"/>
      <c r="AM90" s="446"/>
      <c r="AN90" s="446"/>
    </row>
    <row r="91" spans="1:40">
      <c r="A91" s="231"/>
      <c r="B91" s="446"/>
      <c r="C91" s="446"/>
      <c r="D91" s="446"/>
      <c r="E91" s="446"/>
      <c r="F91" s="446"/>
      <c r="G91" s="446"/>
      <c r="H91" s="446"/>
      <c r="I91" s="446"/>
      <c r="J91" s="446"/>
      <c r="K91" s="446"/>
      <c r="L91" s="446"/>
      <c r="M91" s="446"/>
      <c r="N91" s="446"/>
      <c r="O91" s="446"/>
      <c r="P91" s="446"/>
      <c r="Q91" s="446"/>
      <c r="R91" s="446"/>
      <c r="S91" s="446"/>
      <c r="T91" s="446"/>
      <c r="U91" s="446"/>
      <c r="V91" s="446"/>
      <c r="W91" s="446"/>
      <c r="X91" s="446"/>
      <c r="Y91" s="446"/>
      <c r="Z91" s="446"/>
      <c r="AA91" s="446"/>
      <c r="AB91" s="446"/>
      <c r="AC91" s="446"/>
      <c r="AD91" s="446"/>
      <c r="AE91" s="446"/>
      <c r="AF91" s="446"/>
      <c r="AG91" s="446"/>
      <c r="AI91" s="446"/>
      <c r="AJ91" s="446"/>
      <c r="AK91" s="446"/>
      <c r="AL91" s="446"/>
      <c r="AM91" s="446"/>
      <c r="AN91" s="446"/>
    </row>
    <row r="92" spans="1:40">
      <c r="A92" s="231"/>
      <c r="B92" s="446"/>
      <c r="C92" s="446"/>
      <c r="D92" s="446"/>
      <c r="E92" s="446"/>
      <c r="F92" s="446"/>
      <c r="G92" s="446"/>
      <c r="H92" s="446"/>
      <c r="I92" s="446"/>
      <c r="J92" s="446"/>
      <c r="K92" s="446"/>
      <c r="L92" s="446"/>
      <c r="M92" s="446"/>
      <c r="N92" s="446"/>
      <c r="O92" s="446"/>
      <c r="P92" s="446"/>
      <c r="Q92" s="446"/>
      <c r="R92" s="446"/>
      <c r="S92" s="446"/>
      <c r="T92" s="446"/>
      <c r="U92" s="446"/>
      <c r="V92" s="446"/>
      <c r="W92" s="446"/>
      <c r="X92" s="446"/>
      <c r="Y92" s="446"/>
      <c r="Z92" s="446"/>
      <c r="AA92" s="446"/>
      <c r="AB92" s="446"/>
      <c r="AC92" s="446"/>
      <c r="AD92" s="446"/>
      <c r="AE92" s="446"/>
      <c r="AF92" s="446"/>
      <c r="AG92" s="446"/>
      <c r="AI92" s="446"/>
      <c r="AJ92" s="446"/>
      <c r="AK92" s="446"/>
      <c r="AL92" s="446"/>
      <c r="AM92" s="446"/>
      <c r="AN92" s="446"/>
    </row>
    <row r="93" spans="1:40">
      <c r="A93" s="231"/>
      <c r="B93" s="1"/>
      <c r="C93" s="1"/>
      <c r="D93" s="1"/>
      <c r="E93" s="1"/>
      <c r="F93" s="1"/>
      <c r="G93" s="1"/>
      <c r="H93" s="1"/>
      <c r="I93" s="1"/>
      <c r="J93" s="1"/>
      <c r="K93" s="1"/>
      <c r="L93" s="1"/>
      <c r="M93" s="1"/>
      <c r="N93" s="1"/>
      <c r="Y93" s="446"/>
      <c r="Z93" s="446"/>
      <c r="AA93" s="446"/>
      <c r="AB93" s="446"/>
      <c r="AC93" s="446"/>
      <c r="AD93" s="446"/>
      <c r="AE93" s="446"/>
      <c r="AF93" s="446"/>
      <c r="AG93" s="446"/>
      <c r="AI93" s="446"/>
      <c r="AJ93" s="446"/>
      <c r="AK93" s="446"/>
      <c r="AL93" s="446"/>
      <c r="AM93" s="446"/>
      <c r="AN93" s="446"/>
    </row>
    <row r="94" spans="1:40">
      <c r="A94" s="231"/>
      <c r="B94" s="1"/>
      <c r="C94" s="1"/>
      <c r="D94" s="1"/>
      <c r="E94" s="1"/>
      <c r="F94" s="1"/>
      <c r="G94" s="1"/>
      <c r="H94" s="1"/>
      <c r="I94" s="1"/>
      <c r="J94" s="1"/>
      <c r="K94" s="1"/>
      <c r="L94" s="1"/>
      <c r="M94" s="1"/>
      <c r="N94" s="1"/>
      <c r="Y94" s="446"/>
      <c r="Z94" s="446"/>
      <c r="AA94" s="446"/>
      <c r="AB94" s="446"/>
      <c r="AC94" s="446"/>
      <c r="AD94" s="446"/>
      <c r="AE94" s="446"/>
      <c r="AF94" s="446"/>
      <c r="AG94" s="446"/>
      <c r="AI94" s="446"/>
      <c r="AJ94" s="446"/>
      <c r="AK94" s="446"/>
      <c r="AL94" s="446"/>
      <c r="AM94" s="446"/>
      <c r="AN94" s="446"/>
    </row>
    <row r="95" spans="1:40">
      <c r="A95" s="231"/>
      <c r="B95" s="1"/>
      <c r="C95" s="1"/>
      <c r="D95" s="1"/>
      <c r="E95" s="1"/>
      <c r="F95" s="1"/>
      <c r="G95" s="1"/>
      <c r="H95" s="1"/>
      <c r="I95" s="1"/>
      <c r="J95" s="1"/>
      <c r="K95" s="1"/>
      <c r="L95" s="1"/>
      <c r="M95" s="1"/>
      <c r="N95" s="1"/>
      <c r="Y95" s="446"/>
      <c r="Z95" s="446"/>
      <c r="AA95" s="446"/>
      <c r="AB95" s="446"/>
      <c r="AC95" s="446"/>
      <c r="AD95" s="446"/>
      <c r="AE95" s="446"/>
      <c r="AF95" s="446"/>
      <c r="AG95" s="446"/>
      <c r="AI95" s="446"/>
      <c r="AJ95" s="446"/>
      <c r="AK95" s="446"/>
      <c r="AL95" s="446"/>
      <c r="AM95" s="446"/>
      <c r="AN95" s="446"/>
    </row>
    <row r="96" spans="1:40">
      <c r="A96" s="231"/>
      <c r="B96" s="1"/>
      <c r="C96" s="1"/>
      <c r="D96" s="1"/>
      <c r="E96" s="1"/>
      <c r="F96" s="1"/>
      <c r="G96" s="1"/>
      <c r="H96" s="1"/>
      <c r="I96" s="1"/>
      <c r="J96" s="1"/>
      <c r="K96" s="1"/>
      <c r="L96" s="1"/>
      <c r="M96" s="1"/>
      <c r="N96" s="1"/>
      <c r="Y96" s="446"/>
      <c r="Z96" s="446"/>
      <c r="AA96" s="446"/>
      <c r="AB96" s="446"/>
      <c r="AC96" s="446"/>
      <c r="AD96" s="446"/>
      <c r="AE96" s="446"/>
      <c r="AF96" s="446"/>
      <c r="AG96" s="446"/>
      <c r="AI96" s="446"/>
      <c r="AJ96" s="446"/>
      <c r="AK96" s="446"/>
      <c r="AL96" s="446"/>
      <c r="AM96" s="446"/>
      <c r="AN96" s="446"/>
    </row>
    <row r="97" spans="1:40">
      <c r="A97" s="231"/>
      <c r="B97" s="1"/>
      <c r="C97" s="1"/>
      <c r="D97" s="1"/>
      <c r="E97" s="1"/>
      <c r="F97" s="1"/>
      <c r="G97" s="1"/>
      <c r="H97" s="1"/>
      <c r="I97" s="1"/>
      <c r="J97" s="1"/>
      <c r="K97" s="1"/>
      <c r="L97" s="1"/>
      <c r="M97" s="1"/>
      <c r="N97" s="1"/>
      <c r="Y97" s="446"/>
      <c r="Z97" s="446"/>
      <c r="AA97" s="446"/>
      <c r="AB97" s="446"/>
      <c r="AC97" s="446"/>
      <c r="AD97" s="446"/>
      <c r="AE97" s="446"/>
      <c r="AF97" s="446"/>
      <c r="AG97" s="446"/>
      <c r="AI97" s="446"/>
      <c r="AJ97" s="446"/>
      <c r="AK97" s="446"/>
      <c r="AL97" s="446"/>
      <c r="AM97" s="446"/>
      <c r="AN97" s="446"/>
    </row>
    <row r="98" spans="1:40">
      <c r="A98" s="1" t="s">
        <v>57</v>
      </c>
      <c r="B98" s="1"/>
      <c r="C98" s="1"/>
      <c r="D98" s="1"/>
      <c r="E98" s="1"/>
      <c r="F98" s="1"/>
      <c r="G98" s="1"/>
      <c r="H98" s="1"/>
      <c r="I98" s="1"/>
      <c r="J98" s="1"/>
      <c r="K98" s="1"/>
      <c r="L98" s="1"/>
      <c r="M98" s="1"/>
      <c r="N98" s="1"/>
      <c r="Y98" s="446"/>
      <c r="Z98" s="446"/>
      <c r="AA98" s="446"/>
      <c r="AB98" s="446"/>
      <c r="AC98" s="446"/>
      <c r="AD98" s="446"/>
      <c r="AE98" s="446"/>
      <c r="AF98" s="446"/>
      <c r="AG98" s="446"/>
      <c r="AI98" s="446"/>
      <c r="AJ98" s="446"/>
      <c r="AK98" s="446"/>
      <c r="AL98" s="446"/>
      <c r="AM98" s="446"/>
      <c r="AN98" s="446"/>
    </row>
    <row r="99" spans="1:40">
      <c r="A99" s="1" t="s">
        <v>58</v>
      </c>
      <c r="B99" s="32" t="s">
        <v>14807</v>
      </c>
      <c r="C99" s="1"/>
      <c r="D99" s="1"/>
      <c r="E99" s="1"/>
      <c r="F99" s="1"/>
      <c r="G99" s="1"/>
      <c r="H99" s="1"/>
      <c r="I99" s="1"/>
      <c r="J99" s="1"/>
      <c r="K99" s="1"/>
      <c r="L99" s="1"/>
      <c r="M99" s="1"/>
      <c r="N99" s="1"/>
      <c r="Y99" s="446"/>
      <c r="Z99" s="446"/>
      <c r="AA99" s="446"/>
      <c r="AB99" s="446"/>
      <c r="AC99" s="446"/>
      <c r="AD99" s="446"/>
      <c r="AE99" s="446"/>
      <c r="AF99" s="446"/>
      <c r="AG99" s="446"/>
      <c r="AI99" s="446"/>
      <c r="AJ99" s="446"/>
      <c r="AK99" s="446"/>
      <c r="AL99" s="446"/>
      <c r="AM99" s="446"/>
      <c r="AN99" s="446"/>
    </row>
    <row r="100" spans="1:40">
      <c r="A100" s="1" t="s">
        <v>59</v>
      </c>
      <c r="B100" s="32" t="s">
        <v>697</v>
      </c>
      <c r="C100" s="1"/>
      <c r="D100" s="1"/>
      <c r="E100" s="1"/>
      <c r="F100" s="1"/>
      <c r="G100" s="1"/>
      <c r="H100" s="1"/>
      <c r="I100" s="1"/>
      <c r="J100" s="1"/>
      <c r="K100" s="1"/>
      <c r="L100" s="1"/>
      <c r="M100" s="1"/>
      <c r="N100" s="1"/>
      <c r="Y100" s="446"/>
      <c r="Z100" s="446"/>
      <c r="AA100" s="446"/>
      <c r="AB100" s="446"/>
      <c r="AC100" s="446"/>
      <c r="AD100" s="446"/>
      <c r="AE100" s="446"/>
      <c r="AF100" s="446"/>
      <c r="AG100" s="446"/>
      <c r="AI100" s="446"/>
      <c r="AJ100" s="446"/>
      <c r="AK100" s="446"/>
      <c r="AL100" s="446"/>
      <c r="AM100" s="446"/>
      <c r="AN100" s="446"/>
    </row>
    <row r="101" spans="1:40">
      <c r="A101" s="1" t="s">
        <v>60</v>
      </c>
      <c r="B101" s="32" t="s">
        <v>14808</v>
      </c>
      <c r="C101" s="1"/>
      <c r="D101" s="1"/>
      <c r="E101" s="1"/>
      <c r="F101" s="1"/>
      <c r="G101" s="1"/>
      <c r="H101" s="1"/>
      <c r="I101" s="1"/>
      <c r="J101" s="1"/>
      <c r="K101" s="1"/>
      <c r="L101" s="1"/>
      <c r="M101" s="1"/>
      <c r="N101" s="1"/>
      <c r="Y101" s="446"/>
      <c r="Z101" s="446"/>
      <c r="AA101" s="446"/>
      <c r="AB101" s="446"/>
      <c r="AC101" s="446"/>
      <c r="AD101" s="446"/>
      <c r="AE101" s="446"/>
      <c r="AF101" s="446"/>
      <c r="AG101" s="446"/>
      <c r="AI101" s="446"/>
      <c r="AJ101" s="446"/>
      <c r="AK101" s="446"/>
      <c r="AL101" s="446"/>
      <c r="AM101" s="446"/>
      <c r="AN101" s="446"/>
    </row>
    <row r="102" spans="1:40">
      <c r="A102" s="1" t="s">
        <v>21</v>
      </c>
      <c r="B102" s="32" t="s">
        <v>702</v>
      </c>
      <c r="C102" s="1"/>
      <c r="D102" s="1"/>
      <c r="E102" s="1"/>
      <c r="F102" s="1"/>
      <c r="G102" s="1"/>
      <c r="H102" s="1"/>
      <c r="I102" s="1"/>
      <c r="J102" s="1"/>
      <c r="K102" s="1"/>
      <c r="L102" s="1"/>
      <c r="M102" s="1"/>
      <c r="N102" s="1"/>
      <c r="Y102" s="446"/>
      <c r="Z102" s="446"/>
      <c r="AA102" s="446"/>
      <c r="AB102" s="446"/>
      <c r="AC102" s="446"/>
      <c r="AD102" s="446"/>
      <c r="AE102" s="446"/>
      <c r="AF102" s="446"/>
      <c r="AG102" s="446"/>
      <c r="AI102" s="446"/>
      <c r="AJ102" s="446"/>
      <c r="AK102" s="446"/>
      <c r="AL102" s="446"/>
      <c r="AM102" s="446"/>
      <c r="AN102" s="446"/>
    </row>
    <row r="103" spans="1:40">
      <c r="A103" s="1" t="s">
        <v>72</v>
      </c>
      <c r="B103" s="32" t="s">
        <v>14809</v>
      </c>
      <c r="C103" s="1"/>
      <c r="D103" s="1"/>
      <c r="E103" s="1"/>
      <c r="F103" s="1"/>
      <c r="G103" s="1"/>
      <c r="H103" s="1"/>
      <c r="I103" s="1"/>
      <c r="J103" s="1"/>
      <c r="K103" s="1"/>
      <c r="L103" s="1"/>
      <c r="M103" s="1"/>
      <c r="N103" s="1"/>
      <c r="AI103" s="446"/>
      <c r="AJ103" s="446"/>
      <c r="AK103" s="446"/>
      <c r="AL103" s="446"/>
      <c r="AM103" s="446"/>
      <c r="AN103" s="446"/>
    </row>
    <row r="104" spans="1:40">
      <c r="A104" s="213" t="str">
        <f>Resultados!K4</f>
        <v/>
      </c>
      <c r="B104" s="1"/>
      <c r="C104" s="1"/>
      <c r="D104" s="1"/>
      <c r="E104" s="1"/>
      <c r="F104" s="1"/>
      <c r="G104" s="1"/>
      <c r="H104" s="1"/>
      <c r="I104" s="1"/>
      <c r="J104" s="1"/>
      <c r="K104" s="1"/>
      <c r="L104" s="1"/>
      <c r="M104" s="1"/>
      <c r="N104" s="1"/>
    </row>
    <row r="105" spans="1:40">
      <c r="A105" s="213" t="str">
        <f>Resultados!K5</f>
        <v/>
      </c>
      <c r="B105" s="1"/>
      <c r="C105" s="1"/>
      <c r="D105" s="1"/>
      <c r="E105" s="1"/>
      <c r="F105" s="1"/>
      <c r="G105" s="1"/>
      <c r="H105" s="1"/>
      <c r="I105" s="1"/>
      <c r="J105" s="1"/>
      <c r="K105" s="1"/>
      <c r="L105" s="1"/>
      <c r="M105" s="1"/>
      <c r="N105" s="1"/>
    </row>
    <row r="106" spans="1:40">
      <c r="A106" s="213"/>
      <c r="B106" s="1"/>
      <c r="C106" s="1"/>
      <c r="D106" s="1"/>
      <c r="E106" s="1"/>
      <c r="F106" s="1"/>
      <c r="G106" s="1"/>
      <c r="H106" s="1"/>
      <c r="I106" s="1"/>
      <c r="J106" s="1"/>
      <c r="K106" s="1"/>
      <c r="L106" s="1"/>
      <c r="M106" s="1"/>
      <c r="N106" s="1"/>
    </row>
    <row r="107" spans="1:40">
      <c r="A107" s="213" t="s">
        <v>78</v>
      </c>
      <c r="B107" s="1"/>
      <c r="C107" s="232"/>
      <c r="D107" s="1"/>
      <c r="E107" s="1"/>
      <c r="F107" s="1"/>
      <c r="G107" s="1"/>
      <c r="H107" s="1"/>
      <c r="I107" s="1"/>
      <c r="J107" s="1"/>
      <c r="K107" s="1"/>
      <c r="L107" s="1"/>
      <c r="M107" s="1"/>
      <c r="N107" s="1"/>
    </row>
    <row r="108" spans="1:40">
      <c r="A108" s="233" t="s">
        <v>18</v>
      </c>
      <c r="B108" s="1"/>
      <c r="C108" s="232"/>
      <c r="D108" s="1"/>
      <c r="E108" s="1"/>
      <c r="F108" s="1"/>
      <c r="G108" s="1"/>
      <c r="H108" s="1"/>
      <c r="I108" s="1"/>
      <c r="J108" s="1"/>
      <c r="K108" s="1"/>
      <c r="L108" s="1"/>
      <c r="M108" s="1"/>
      <c r="N108" s="1"/>
    </row>
    <row r="109" spans="1:40">
      <c r="A109" s="233" t="s">
        <v>19</v>
      </c>
      <c r="B109" s="1"/>
      <c r="C109" s="1"/>
      <c r="D109" s="1"/>
      <c r="E109" s="1"/>
      <c r="F109" s="1"/>
      <c r="G109" s="1"/>
      <c r="H109" s="1"/>
      <c r="I109" s="1"/>
      <c r="J109" s="1"/>
      <c r="K109" s="1"/>
      <c r="L109" s="1"/>
      <c r="M109" s="1"/>
      <c r="N109" s="1"/>
    </row>
    <row r="110" spans="1:40">
      <c r="A110" s="119" t="str">
        <f>"FUENTE:"&amp;IF(A117="E","AJUST_HOMOGENIZADOS","TOTAL_FTES")</f>
        <v>FUENTE:AJUST_HOMOGENIZADOS</v>
      </c>
      <c r="E110" s="1"/>
      <c r="F110" s="1"/>
      <c r="G110" s="1"/>
      <c r="H110" s="1"/>
      <c r="I110" s="1"/>
      <c r="J110" s="1"/>
      <c r="K110" s="1"/>
      <c r="L110" s="1"/>
      <c r="M110" s="1"/>
      <c r="N110" s="1"/>
    </row>
    <row r="111" spans="1:40">
      <c r="A111" s="119" t="str">
        <f>"MONEDA:"&amp;IF(A117="E","LC","COP")</f>
        <v>MONEDA:LC</v>
      </c>
      <c r="E111" s="1"/>
      <c r="F111" s="1"/>
      <c r="G111" s="1"/>
      <c r="H111" s="1"/>
      <c r="I111" s="1"/>
      <c r="J111" s="1"/>
      <c r="K111" s="1"/>
      <c r="L111" s="1"/>
      <c r="M111" s="1"/>
      <c r="N111" s="1"/>
    </row>
    <row r="112" spans="1:40">
      <c r="A112" s="119" t="s">
        <v>20</v>
      </c>
      <c r="E112" s="1"/>
      <c r="F112" s="1"/>
      <c r="G112" s="1"/>
      <c r="H112" s="1"/>
      <c r="I112" s="1"/>
      <c r="J112" s="1"/>
      <c r="K112" s="1"/>
      <c r="L112" s="1"/>
      <c r="M112" s="1"/>
      <c r="N112" s="1"/>
    </row>
    <row r="113" spans="1:14">
      <c r="A113" s="119" t="s">
        <v>21</v>
      </c>
      <c r="E113" s="1"/>
      <c r="F113" s="1"/>
      <c r="G113" s="1"/>
      <c r="H113" s="1"/>
      <c r="I113" s="1"/>
      <c r="J113" s="1"/>
      <c r="K113" s="1"/>
      <c r="L113" s="1"/>
      <c r="M113" s="1"/>
      <c r="N113" s="1"/>
    </row>
    <row r="114" spans="1:14">
      <c r="A114" s="119" t="str">
        <f>"GRUPO:"&amp;IF(A117="E","G_NONE",_xll.EPMMemberProperty("ANEXO_NOTAS_XBRL","ENTIDAD:"&amp;C3,"ID"))</f>
        <v>GRUPO:G_NONE</v>
      </c>
      <c r="E114" s="1"/>
      <c r="F114" s="1"/>
      <c r="G114" s="1"/>
      <c r="H114" s="1"/>
      <c r="I114" s="1"/>
      <c r="J114" s="1"/>
      <c r="K114" s="1"/>
      <c r="L114" s="1"/>
      <c r="M114" s="1"/>
      <c r="N114" s="1"/>
    </row>
    <row r="115" spans="1:14">
      <c r="A115" s="125"/>
      <c r="E115" s="1"/>
      <c r="F115" s="1"/>
      <c r="G115" s="1"/>
      <c r="H115" s="1"/>
      <c r="I115" s="1"/>
      <c r="J115" s="1"/>
      <c r="K115" s="1"/>
      <c r="L115" s="1"/>
      <c r="M115" s="1"/>
      <c r="N115" s="1"/>
    </row>
    <row r="116" spans="1:14">
      <c r="A116" s="125"/>
      <c r="E116" s="1"/>
      <c r="F116" s="1"/>
      <c r="G116" s="1"/>
      <c r="H116" s="1"/>
      <c r="I116" s="1"/>
      <c r="J116" s="1"/>
      <c r="K116" s="1"/>
      <c r="L116" s="1"/>
      <c r="M116" s="1"/>
      <c r="N116" s="1"/>
    </row>
    <row r="117" spans="1:14">
      <c r="A117" s="125" t="s">
        <v>238</v>
      </c>
      <c r="E117" s="1"/>
      <c r="F117" s="1"/>
      <c r="G117" s="1"/>
      <c r="H117" s="1"/>
      <c r="I117" s="1"/>
      <c r="J117" s="1"/>
      <c r="K117" s="1"/>
      <c r="L117" s="1"/>
      <c r="M117" s="1"/>
      <c r="N117" s="1"/>
    </row>
    <row r="118" spans="1:14">
      <c r="A118" s="125"/>
      <c r="E118" s="1"/>
      <c r="F118" s="1"/>
      <c r="G118" s="1"/>
      <c r="H118" s="1"/>
      <c r="I118" s="1"/>
      <c r="J118" s="1"/>
      <c r="K118" s="1"/>
      <c r="L118" s="1"/>
      <c r="M118" s="1"/>
      <c r="N118" s="1"/>
    </row>
    <row r="119" spans="1:14">
      <c r="A119" s="125"/>
      <c r="E119" s="1"/>
      <c r="F119" s="1"/>
      <c r="G119" s="1"/>
      <c r="H119" s="1"/>
      <c r="I119" s="1"/>
      <c r="J119" s="1"/>
      <c r="K119" s="1"/>
      <c r="L119" s="1"/>
      <c r="M119" s="1"/>
      <c r="N119" s="1"/>
    </row>
    <row r="120" spans="1:14">
      <c r="A120" s="125"/>
    </row>
  </sheetData>
  <sheetProtection password="C07B" sheet="1" objects="1" scenarios="1"/>
  <mergeCells count="12">
    <mergeCell ref="AA19:AB19"/>
    <mergeCell ref="AC19:AD19"/>
    <mergeCell ref="T13:AE13"/>
    <mergeCell ref="AE19:AF19"/>
    <mergeCell ref="B13:M13"/>
    <mergeCell ref="C16:M16"/>
    <mergeCell ref="C17:M17"/>
    <mergeCell ref="Y19:Z19"/>
    <mergeCell ref="E19:F19"/>
    <mergeCell ref="G19:H19"/>
    <mergeCell ref="I19:J19"/>
    <mergeCell ref="K19:L19"/>
  </mergeCells>
  <conditionalFormatting sqref="Q21:R21">
    <cfRule type="containsText" dxfId="277" priority="217" operator="containsText" text="OK">
      <formula>NOT(ISERROR(SEARCH("OK",Q21)))</formula>
    </cfRule>
    <cfRule type="containsText" dxfId="276" priority="218" operator="containsText" text="ERROR">
      <formula>NOT(ISERROR(SEARCH("ERROR",Q21)))</formula>
    </cfRule>
    <cfRule type="expression" dxfId="275" priority="219">
      <formula>"ERROR"</formula>
    </cfRule>
    <cfRule type="colorScale" priority="220">
      <colorScale>
        <cfvo type="min"/>
        <cfvo type="max"/>
        <color rgb="FFFF0000"/>
        <color rgb="FFFFEF9C"/>
      </colorScale>
    </cfRule>
  </conditionalFormatting>
  <conditionalFormatting sqref="Q22">
    <cfRule type="containsText" dxfId="274" priority="213" operator="containsText" text="OK">
      <formula>NOT(ISERROR(SEARCH("OK",Q22)))</formula>
    </cfRule>
    <cfRule type="containsText" dxfId="273" priority="214" operator="containsText" text="ERROR">
      <formula>NOT(ISERROR(SEARCH("ERROR",Q22)))</formula>
    </cfRule>
    <cfRule type="expression" dxfId="272" priority="215">
      <formula>"ERROR"</formula>
    </cfRule>
    <cfRule type="colorScale" priority="216">
      <colorScale>
        <cfvo type="min"/>
        <cfvo type="max"/>
        <color rgb="FFFF0000"/>
        <color rgb="FFFFEF9C"/>
      </colorScale>
    </cfRule>
  </conditionalFormatting>
  <conditionalFormatting sqref="Q25">
    <cfRule type="containsText" dxfId="271" priority="209" operator="containsText" text="OK">
      <formula>NOT(ISERROR(SEARCH("OK",Q25)))</formula>
    </cfRule>
    <cfRule type="containsText" dxfId="270" priority="210" operator="containsText" text="ERROR">
      <formula>NOT(ISERROR(SEARCH("ERROR",Q25)))</formula>
    </cfRule>
    <cfRule type="expression" dxfId="269" priority="211">
      <formula>"ERROR"</formula>
    </cfRule>
    <cfRule type="colorScale" priority="212">
      <colorScale>
        <cfvo type="min"/>
        <cfvo type="max"/>
        <color rgb="FFFF0000"/>
        <color rgb="FFFFEF9C"/>
      </colorScale>
    </cfRule>
  </conditionalFormatting>
  <conditionalFormatting sqref="Q26">
    <cfRule type="containsText" dxfId="268" priority="205" operator="containsText" text="OK">
      <formula>NOT(ISERROR(SEARCH("OK",Q26)))</formula>
    </cfRule>
    <cfRule type="containsText" dxfId="267" priority="206" operator="containsText" text="ERROR">
      <formula>NOT(ISERROR(SEARCH("ERROR",Q26)))</formula>
    </cfRule>
    <cfRule type="expression" dxfId="266" priority="207">
      <formula>"ERROR"</formula>
    </cfRule>
    <cfRule type="colorScale" priority="208">
      <colorScale>
        <cfvo type="min"/>
        <cfvo type="max"/>
        <color rgb="FFFF0000"/>
        <color rgb="FFFFEF9C"/>
      </colorScale>
    </cfRule>
  </conditionalFormatting>
  <conditionalFormatting sqref="Q27">
    <cfRule type="containsText" dxfId="265" priority="201" operator="containsText" text="OK">
      <formula>NOT(ISERROR(SEARCH("OK",Q27)))</formula>
    </cfRule>
    <cfRule type="containsText" dxfId="264" priority="202" operator="containsText" text="ERROR">
      <formula>NOT(ISERROR(SEARCH("ERROR",Q27)))</formula>
    </cfRule>
    <cfRule type="expression" dxfId="263" priority="203">
      <formula>"ERROR"</formula>
    </cfRule>
    <cfRule type="colorScale" priority="204">
      <colorScale>
        <cfvo type="min"/>
        <cfvo type="max"/>
        <color rgb="FFFF0000"/>
        <color rgb="FFFFEF9C"/>
      </colorScale>
    </cfRule>
  </conditionalFormatting>
  <conditionalFormatting sqref="Q28">
    <cfRule type="containsText" dxfId="262" priority="197" operator="containsText" text="OK">
      <formula>NOT(ISERROR(SEARCH("OK",Q28)))</formula>
    </cfRule>
    <cfRule type="containsText" dxfId="261" priority="198" operator="containsText" text="ERROR">
      <formula>NOT(ISERROR(SEARCH("ERROR",Q28)))</formula>
    </cfRule>
    <cfRule type="expression" dxfId="260" priority="199">
      <formula>"ERROR"</formula>
    </cfRule>
    <cfRule type="colorScale" priority="200">
      <colorScale>
        <cfvo type="min"/>
        <cfvo type="max"/>
        <color rgb="FFFF0000"/>
        <color rgb="FFFFEF9C"/>
      </colorScale>
    </cfRule>
  </conditionalFormatting>
  <conditionalFormatting sqref="Q29">
    <cfRule type="containsText" dxfId="259" priority="193" operator="containsText" text="OK">
      <formula>NOT(ISERROR(SEARCH("OK",Q29)))</formula>
    </cfRule>
    <cfRule type="containsText" dxfId="258" priority="194" operator="containsText" text="ERROR">
      <formula>NOT(ISERROR(SEARCH("ERROR",Q29)))</formula>
    </cfRule>
    <cfRule type="expression" dxfId="257" priority="195">
      <formula>"ERROR"</formula>
    </cfRule>
    <cfRule type="colorScale" priority="196">
      <colorScale>
        <cfvo type="min"/>
        <cfvo type="max"/>
        <color rgb="FFFF0000"/>
        <color rgb="FFFFEF9C"/>
      </colorScale>
    </cfRule>
  </conditionalFormatting>
  <conditionalFormatting sqref="Q32">
    <cfRule type="containsText" dxfId="256" priority="189" operator="containsText" text="OK">
      <formula>NOT(ISERROR(SEARCH("OK",Q32)))</formula>
    </cfRule>
    <cfRule type="containsText" dxfId="255" priority="190" operator="containsText" text="ERROR">
      <formula>NOT(ISERROR(SEARCH("ERROR",Q32)))</formula>
    </cfRule>
    <cfRule type="expression" dxfId="254" priority="191">
      <formula>"ERROR"</formula>
    </cfRule>
    <cfRule type="colorScale" priority="192">
      <colorScale>
        <cfvo type="min"/>
        <cfvo type="max"/>
        <color rgb="FFFF0000"/>
        <color rgb="FFFFEF9C"/>
      </colorScale>
    </cfRule>
  </conditionalFormatting>
  <conditionalFormatting sqref="Q33">
    <cfRule type="containsText" dxfId="253" priority="185" operator="containsText" text="OK">
      <formula>NOT(ISERROR(SEARCH("OK",Q33)))</formula>
    </cfRule>
    <cfRule type="containsText" dxfId="252" priority="186" operator="containsText" text="ERROR">
      <formula>NOT(ISERROR(SEARCH("ERROR",Q33)))</formula>
    </cfRule>
    <cfRule type="expression" dxfId="251" priority="187">
      <formula>"ERROR"</formula>
    </cfRule>
    <cfRule type="colorScale" priority="188">
      <colorScale>
        <cfvo type="min"/>
        <cfvo type="max"/>
        <color rgb="FFFF0000"/>
        <color rgb="FFFFEF9C"/>
      </colorScale>
    </cfRule>
  </conditionalFormatting>
  <conditionalFormatting sqref="Q34">
    <cfRule type="containsText" dxfId="250" priority="181" operator="containsText" text="OK">
      <formula>NOT(ISERROR(SEARCH("OK",Q34)))</formula>
    </cfRule>
    <cfRule type="containsText" dxfId="249" priority="182" operator="containsText" text="ERROR">
      <formula>NOT(ISERROR(SEARCH("ERROR",Q34)))</formula>
    </cfRule>
    <cfRule type="expression" dxfId="248" priority="183">
      <formula>"ERROR"</formula>
    </cfRule>
    <cfRule type="colorScale" priority="184">
      <colorScale>
        <cfvo type="min"/>
        <cfvo type="max"/>
        <color rgb="FFFF0000"/>
        <color rgb="FFFFEF9C"/>
      </colorScale>
    </cfRule>
  </conditionalFormatting>
  <conditionalFormatting sqref="Q35">
    <cfRule type="containsText" dxfId="247" priority="177" operator="containsText" text="OK">
      <formula>NOT(ISERROR(SEARCH("OK",Q35)))</formula>
    </cfRule>
    <cfRule type="containsText" dxfId="246" priority="178" operator="containsText" text="ERROR">
      <formula>NOT(ISERROR(SEARCH("ERROR",Q35)))</formula>
    </cfRule>
    <cfRule type="expression" dxfId="245" priority="179">
      <formula>"ERROR"</formula>
    </cfRule>
    <cfRule type="colorScale" priority="180">
      <colorScale>
        <cfvo type="min"/>
        <cfvo type="max"/>
        <color rgb="FFFF0000"/>
        <color rgb="FFFFEF9C"/>
      </colorScale>
    </cfRule>
  </conditionalFormatting>
  <conditionalFormatting sqref="R22">
    <cfRule type="containsText" dxfId="244" priority="37" operator="containsText" text="OK">
      <formula>NOT(ISERROR(SEARCH("OK",R22)))</formula>
    </cfRule>
    <cfRule type="containsText" dxfId="243" priority="38" operator="containsText" text="ERROR">
      <formula>NOT(ISERROR(SEARCH("ERROR",R22)))</formula>
    </cfRule>
    <cfRule type="expression" dxfId="242" priority="39">
      <formula>"ERROR"</formula>
    </cfRule>
    <cfRule type="colorScale" priority="40">
      <colorScale>
        <cfvo type="min"/>
        <cfvo type="max"/>
        <color rgb="FFFF0000"/>
        <color rgb="FFFFEF9C"/>
      </colorScale>
    </cfRule>
  </conditionalFormatting>
  <conditionalFormatting sqref="R25">
    <cfRule type="containsText" dxfId="241" priority="33" operator="containsText" text="OK">
      <formula>NOT(ISERROR(SEARCH("OK",R25)))</formula>
    </cfRule>
    <cfRule type="containsText" dxfId="240" priority="34" operator="containsText" text="ERROR">
      <formula>NOT(ISERROR(SEARCH("ERROR",R25)))</formula>
    </cfRule>
    <cfRule type="expression" dxfId="239" priority="35">
      <formula>"ERROR"</formula>
    </cfRule>
    <cfRule type="colorScale" priority="36">
      <colorScale>
        <cfvo type="min"/>
        <cfvo type="max"/>
        <color rgb="FFFF0000"/>
        <color rgb="FFFFEF9C"/>
      </colorScale>
    </cfRule>
  </conditionalFormatting>
  <conditionalFormatting sqref="R26">
    <cfRule type="containsText" dxfId="238" priority="29" operator="containsText" text="OK">
      <formula>NOT(ISERROR(SEARCH("OK",R26)))</formula>
    </cfRule>
    <cfRule type="containsText" dxfId="237" priority="30" operator="containsText" text="ERROR">
      <formula>NOT(ISERROR(SEARCH("ERROR",R26)))</formula>
    </cfRule>
    <cfRule type="expression" dxfId="236" priority="31">
      <formula>"ERROR"</formula>
    </cfRule>
    <cfRule type="colorScale" priority="32">
      <colorScale>
        <cfvo type="min"/>
        <cfvo type="max"/>
        <color rgb="FFFF0000"/>
        <color rgb="FFFFEF9C"/>
      </colorScale>
    </cfRule>
  </conditionalFormatting>
  <conditionalFormatting sqref="R27">
    <cfRule type="containsText" dxfId="235" priority="25" operator="containsText" text="OK">
      <formula>NOT(ISERROR(SEARCH("OK",R27)))</formula>
    </cfRule>
    <cfRule type="containsText" dxfId="234" priority="26" operator="containsText" text="ERROR">
      <formula>NOT(ISERROR(SEARCH("ERROR",R27)))</formula>
    </cfRule>
    <cfRule type="expression" dxfId="233" priority="27">
      <formula>"ERROR"</formula>
    </cfRule>
    <cfRule type="colorScale" priority="28">
      <colorScale>
        <cfvo type="min"/>
        <cfvo type="max"/>
        <color rgb="FFFF0000"/>
        <color rgb="FFFFEF9C"/>
      </colorScale>
    </cfRule>
  </conditionalFormatting>
  <conditionalFormatting sqref="R28">
    <cfRule type="containsText" dxfId="232" priority="21" operator="containsText" text="OK">
      <formula>NOT(ISERROR(SEARCH("OK",R28)))</formula>
    </cfRule>
    <cfRule type="containsText" dxfId="231" priority="22" operator="containsText" text="ERROR">
      <formula>NOT(ISERROR(SEARCH("ERROR",R28)))</formula>
    </cfRule>
    <cfRule type="expression" dxfId="230" priority="23">
      <formula>"ERROR"</formula>
    </cfRule>
    <cfRule type="colorScale" priority="24">
      <colorScale>
        <cfvo type="min"/>
        <cfvo type="max"/>
        <color rgb="FFFF0000"/>
        <color rgb="FFFFEF9C"/>
      </colorScale>
    </cfRule>
  </conditionalFormatting>
  <conditionalFormatting sqref="R29">
    <cfRule type="containsText" dxfId="229" priority="17" operator="containsText" text="OK">
      <formula>NOT(ISERROR(SEARCH("OK",R29)))</formula>
    </cfRule>
    <cfRule type="containsText" dxfId="228" priority="18" operator="containsText" text="ERROR">
      <formula>NOT(ISERROR(SEARCH("ERROR",R29)))</formula>
    </cfRule>
    <cfRule type="expression" dxfId="227" priority="19">
      <formula>"ERROR"</formula>
    </cfRule>
    <cfRule type="colorScale" priority="20">
      <colorScale>
        <cfvo type="min"/>
        <cfvo type="max"/>
        <color rgb="FFFF0000"/>
        <color rgb="FFFFEF9C"/>
      </colorScale>
    </cfRule>
  </conditionalFormatting>
  <conditionalFormatting sqref="R32">
    <cfRule type="containsText" dxfId="226" priority="13" operator="containsText" text="OK">
      <formula>NOT(ISERROR(SEARCH("OK",R32)))</formula>
    </cfRule>
    <cfRule type="containsText" dxfId="225" priority="14" operator="containsText" text="ERROR">
      <formula>NOT(ISERROR(SEARCH("ERROR",R32)))</formula>
    </cfRule>
    <cfRule type="expression" dxfId="224" priority="15">
      <formula>"ERROR"</formula>
    </cfRule>
    <cfRule type="colorScale" priority="16">
      <colorScale>
        <cfvo type="min"/>
        <cfvo type="max"/>
        <color rgb="FFFF0000"/>
        <color rgb="FFFFEF9C"/>
      </colorScale>
    </cfRule>
  </conditionalFormatting>
  <conditionalFormatting sqref="R33">
    <cfRule type="containsText" dxfId="223" priority="9" operator="containsText" text="OK">
      <formula>NOT(ISERROR(SEARCH("OK",R33)))</formula>
    </cfRule>
    <cfRule type="containsText" dxfId="222" priority="10" operator="containsText" text="ERROR">
      <formula>NOT(ISERROR(SEARCH("ERROR",R33)))</formula>
    </cfRule>
    <cfRule type="expression" dxfId="221" priority="11">
      <formula>"ERROR"</formula>
    </cfRule>
    <cfRule type="colorScale" priority="12">
      <colorScale>
        <cfvo type="min"/>
        <cfvo type="max"/>
        <color rgb="FFFF0000"/>
        <color rgb="FFFFEF9C"/>
      </colorScale>
    </cfRule>
  </conditionalFormatting>
  <conditionalFormatting sqref="R34">
    <cfRule type="containsText" dxfId="220" priority="5" operator="containsText" text="OK">
      <formula>NOT(ISERROR(SEARCH("OK",R34)))</formula>
    </cfRule>
    <cfRule type="containsText" dxfId="219" priority="6" operator="containsText" text="ERROR">
      <formula>NOT(ISERROR(SEARCH("ERROR",R34)))</formula>
    </cfRule>
    <cfRule type="expression" dxfId="218" priority="7">
      <formula>"ERROR"</formula>
    </cfRule>
    <cfRule type="colorScale" priority="8">
      <colorScale>
        <cfvo type="min"/>
        <cfvo type="max"/>
        <color rgb="FFFF0000"/>
        <color rgb="FFFFEF9C"/>
      </colorScale>
    </cfRule>
  </conditionalFormatting>
  <conditionalFormatting sqref="R35">
    <cfRule type="containsText" dxfId="217" priority="1" operator="containsText" text="OK">
      <formula>NOT(ISERROR(SEARCH("OK",R35)))</formula>
    </cfRule>
    <cfRule type="containsText" dxfId="216" priority="2" operator="containsText" text="ERROR">
      <formula>NOT(ISERROR(SEARCH("ERROR",R35)))</formula>
    </cfRule>
    <cfRule type="expression" dxfId="215" priority="3">
      <formula>"ERROR"</formula>
    </cfRule>
    <cfRule type="colorScale" priority="4">
      <colorScale>
        <cfvo type="min"/>
        <cfvo type="max"/>
        <color rgb="FFFF0000"/>
        <color rgb="FFFFEF9C"/>
      </colorScale>
    </cfRule>
  </conditionalFormatting>
  <pageMargins left="0.7" right="0.7" top="0.75" bottom="0.75" header="0.3" footer="0.3"/>
  <pageSetup scale="10" orientation="portrait" r:id="rId1"/>
  <customProperties>
    <customPr name="CofConfiguration" r:id="rId2"/>
    <customPr name="CofWorksheetType" r:id="rId3"/>
    <customPr name="EpmWorksheetKeyString_GUID" r:id="rId4"/>
    <customPr name="FPMExcelClientCellBasedFunctionStatus" r:id="rId5"/>
    <customPr name="FPMExcelClientRefreshTime" r:id="rId6"/>
  </customProperties>
  <drawing r:id="rId7"/>
  <legacyDrawing r:id="rId8"/>
  <controls>
    <mc:AlternateContent xmlns:mc="http://schemas.openxmlformats.org/markup-compatibility/2006">
      <mc:Choice Requires="x14">
        <control shapeId="279558" r:id="rId9" name="ReportSubmitControl_1tb1">
          <controlPr defaultSize="0" autoLine="0" r:id="rId10">
            <anchor moveWithCells="1" sizeWithCells="1">
              <from>
                <xdr:col>0</xdr:col>
                <xdr:colOff>0</xdr:colOff>
                <xdr:row>0</xdr:row>
                <xdr:rowOff>0</xdr:rowOff>
              </from>
              <to>
                <xdr:col>0</xdr:col>
                <xdr:colOff>0</xdr:colOff>
                <xdr:row>0</xdr:row>
                <xdr:rowOff>0</xdr:rowOff>
              </to>
            </anchor>
          </controlPr>
        </control>
      </mc:Choice>
      <mc:Fallback>
        <control shapeId="279558" r:id="rId9" name="ReportSubmitControl_1tb1"/>
      </mc:Fallback>
    </mc:AlternateContent>
    <mc:AlternateContent xmlns:mc="http://schemas.openxmlformats.org/markup-compatibility/2006">
      <mc:Choice Requires="x14">
        <control shapeId="279557" r:id="rId11" name="ReportSubmitManagerControltb1">
          <controlPr defaultSize="0" autoLine="0" r:id="rId12">
            <anchor moveWithCells="1" sizeWithCells="1">
              <from>
                <xdr:col>0</xdr:col>
                <xdr:colOff>0</xdr:colOff>
                <xdr:row>0</xdr:row>
                <xdr:rowOff>0</xdr:rowOff>
              </from>
              <to>
                <xdr:col>0</xdr:col>
                <xdr:colOff>0</xdr:colOff>
                <xdr:row>0</xdr:row>
                <xdr:rowOff>0</xdr:rowOff>
              </to>
            </anchor>
          </controlPr>
        </control>
      </mc:Choice>
      <mc:Fallback>
        <control shapeId="279557" r:id="rId11" name="ReportSubmitManagerControltb1"/>
      </mc:Fallback>
    </mc:AlternateContent>
    <mc:AlternateContent xmlns:mc="http://schemas.openxmlformats.org/markup-compatibility/2006">
      <mc:Choice Requires="x14">
        <control shapeId="279556" r:id="rId13" name="AnalyzerDynReport000tb1">
          <controlPr defaultSize="0" autoLine="0" r:id="rId14">
            <anchor moveWithCells="1" sizeWithCells="1">
              <from>
                <xdr:col>0</xdr:col>
                <xdr:colOff>0</xdr:colOff>
                <xdr:row>0</xdr:row>
                <xdr:rowOff>0</xdr:rowOff>
              </from>
              <to>
                <xdr:col>0</xdr:col>
                <xdr:colOff>0</xdr:colOff>
                <xdr:row>0</xdr:row>
                <xdr:rowOff>0</xdr:rowOff>
              </to>
            </anchor>
          </controlPr>
        </control>
      </mc:Choice>
      <mc:Fallback>
        <control shapeId="279556" r:id="rId13" name="AnalyzerDynReport000tb1"/>
      </mc:Fallback>
    </mc:AlternateContent>
    <mc:AlternateContent xmlns:mc="http://schemas.openxmlformats.org/markup-compatibility/2006">
      <mc:Choice Requires="x14">
        <control shapeId="279555" r:id="rId15" name="MultipleReportManagerInfotb1">
          <controlPr defaultSize="0" autoLine="0" r:id="rId16">
            <anchor moveWithCells="1" sizeWithCells="1">
              <from>
                <xdr:col>0</xdr:col>
                <xdr:colOff>0</xdr:colOff>
                <xdr:row>0</xdr:row>
                <xdr:rowOff>0</xdr:rowOff>
              </from>
              <to>
                <xdr:col>0</xdr:col>
                <xdr:colOff>0</xdr:colOff>
                <xdr:row>0</xdr:row>
                <xdr:rowOff>0</xdr:rowOff>
              </to>
            </anchor>
          </controlPr>
        </control>
      </mc:Choice>
      <mc:Fallback>
        <control shapeId="279555" r:id="rId15" name="MultipleReportManagerInfotb1"/>
      </mc:Fallback>
    </mc:AlternateContent>
    <mc:AlternateContent xmlns:mc="http://schemas.openxmlformats.org/markup-compatibility/2006">
      <mc:Choice Requires="x14">
        <control shapeId="279554" r:id="rId17" name="ConnectionDescriptorsInfotb1">
          <controlPr defaultSize="0" autoLine="0" r:id="rId18">
            <anchor moveWithCells="1" sizeWithCells="1">
              <from>
                <xdr:col>0</xdr:col>
                <xdr:colOff>0</xdr:colOff>
                <xdr:row>0</xdr:row>
                <xdr:rowOff>0</xdr:rowOff>
              </from>
              <to>
                <xdr:col>0</xdr:col>
                <xdr:colOff>0</xdr:colOff>
                <xdr:row>0</xdr:row>
                <xdr:rowOff>0</xdr:rowOff>
              </to>
            </anchor>
          </controlPr>
        </control>
      </mc:Choice>
      <mc:Fallback>
        <control shapeId="279554" r:id="rId17" name="ConnectionDescriptorsInfotb1"/>
      </mc:Fallback>
    </mc:AlternateContent>
    <mc:AlternateContent xmlns:mc="http://schemas.openxmlformats.org/markup-compatibility/2006">
      <mc:Choice Requires="x14">
        <control shapeId="279553" r:id="rId19" name="FPMExcelClientSheetOptionstb1">
          <controlPr defaultSize="0" autoLine="0" r:id="rId20">
            <anchor moveWithCells="1" sizeWithCells="1">
              <from>
                <xdr:col>0</xdr:col>
                <xdr:colOff>0</xdr:colOff>
                <xdr:row>0</xdr:row>
                <xdr:rowOff>0</xdr:rowOff>
              </from>
              <to>
                <xdr:col>0</xdr:col>
                <xdr:colOff>0</xdr:colOff>
                <xdr:row>0</xdr:row>
                <xdr:rowOff>0</xdr:rowOff>
              </to>
            </anchor>
          </controlPr>
        </control>
      </mc:Choice>
      <mc:Fallback>
        <control shapeId="279553" r:id="rId19" name="FPMExcelClientSheetOptionstb1"/>
      </mc:Fallback>
    </mc:AlternateContent>
    <mc:AlternateContent xmlns:mc="http://schemas.openxmlformats.org/markup-compatibility/2006">
      <mc:Choice Requires="x14">
        <control shapeId="279559" r:id="rId21" name="ReportSubmitControl_2tb1">
          <controlPr defaultSize="0" autoLine="0" autoPict="0" r:id="rId22">
            <anchor moveWithCells="1" sizeWithCells="1">
              <from>
                <xdr:col>0</xdr:col>
                <xdr:colOff>0</xdr:colOff>
                <xdr:row>0</xdr:row>
                <xdr:rowOff>0</xdr:rowOff>
              </from>
              <to>
                <xdr:col>2</xdr:col>
                <xdr:colOff>342900</xdr:colOff>
                <xdr:row>0</xdr:row>
                <xdr:rowOff>0</xdr:rowOff>
              </to>
            </anchor>
          </controlPr>
        </control>
      </mc:Choice>
      <mc:Fallback>
        <control shapeId="279559" r:id="rId21" name="ReportSubmitControl_2tb1"/>
      </mc:Fallback>
    </mc:AlternateContent>
    <mc:AlternateContent xmlns:mc="http://schemas.openxmlformats.org/markup-compatibility/2006">
      <mc:Choice Requires="x14">
        <control shapeId="279560" r:id="rId23" name="AnalyzerDynReport001tb1">
          <controlPr defaultSize="0" autoLine="0" autoPict="0" r:id="rId24">
            <anchor moveWithCells="1" sizeWithCells="1">
              <from>
                <xdr:col>0</xdr:col>
                <xdr:colOff>0</xdr:colOff>
                <xdr:row>0</xdr:row>
                <xdr:rowOff>0</xdr:rowOff>
              </from>
              <to>
                <xdr:col>2</xdr:col>
                <xdr:colOff>342900</xdr:colOff>
                <xdr:row>0</xdr:row>
                <xdr:rowOff>0</xdr:rowOff>
              </to>
            </anchor>
          </controlPr>
        </control>
      </mc:Choice>
      <mc:Fallback>
        <control shapeId="279560" r:id="rId23" name="AnalyzerDynReport001tb1"/>
      </mc:Fallback>
    </mc:AlternateContent>
    <mc:AlternateContent xmlns:mc="http://schemas.openxmlformats.org/markup-compatibility/2006">
      <mc:Choice Requires="x14">
        <control shapeId="279566" r:id="rId25" name="AnalyzerDynReport002tb1">
          <controlPr defaultSize="0" autoLine="0" autoPict="0" r:id="rId26">
            <anchor moveWithCells="1" sizeWithCells="1">
              <from>
                <xdr:col>0</xdr:col>
                <xdr:colOff>0</xdr:colOff>
                <xdr:row>0</xdr:row>
                <xdr:rowOff>0</xdr:rowOff>
              </from>
              <to>
                <xdr:col>2</xdr:col>
                <xdr:colOff>200025</xdr:colOff>
                <xdr:row>0</xdr:row>
                <xdr:rowOff>0</xdr:rowOff>
              </to>
            </anchor>
          </controlPr>
        </control>
      </mc:Choice>
      <mc:Fallback>
        <control shapeId="279566" r:id="rId25" name="AnalyzerDynReport002tb1"/>
      </mc:Fallback>
    </mc:AlternateContent>
    <mc:AlternateContent xmlns:mc="http://schemas.openxmlformats.org/markup-compatibility/2006">
      <mc:Choice Requires="x14">
        <control shapeId="279567" r:id="rId27" name="ReportSubmitControl_3tb1">
          <controlPr defaultSize="0" autoLine="0" autoPict="0" r:id="rId28">
            <anchor moveWithCells="1" sizeWithCells="1">
              <from>
                <xdr:col>0</xdr:col>
                <xdr:colOff>0</xdr:colOff>
                <xdr:row>0</xdr:row>
                <xdr:rowOff>0</xdr:rowOff>
              </from>
              <to>
                <xdr:col>2</xdr:col>
                <xdr:colOff>200025</xdr:colOff>
                <xdr:row>0</xdr:row>
                <xdr:rowOff>0</xdr:rowOff>
              </to>
            </anchor>
          </controlPr>
        </control>
      </mc:Choice>
      <mc:Fallback>
        <control shapeId="279567" r:id="rId27" name="ReportSubmitControl_3tb1"/>
      </mc:Fallback>
    </mc:AlternateContent>
    <mc:AlternateContent xmlns:mc="http://schemas.openxmlformats.org/markup-compatibility/2006">
      <mc:Choice Requires="x14">
        <control shapeId="279568" r:id="rId29" name="AnalyzerDynReport003tb1">
          <controlPr defaultSize="0" autoLine="0" autoPict="0" r:id="rId30">
            <anchor moveWithCells="1" sizeWithCells="1">
              <from>
                <xdr:col>0</xdr:col>
                <xdr:colOff>0</xdr:colOff>
                <xdr:row>0</xdr:row>
                <xdr:rowOff>0</xdr:rowOff>
              </from>
              <to>
                <xdr:col>2</xdr:col>
                <xdr:colOff>200025</xdr:colOff>
                <xdr:row>0</xdr:row>
                <xdr:rowOff>0</xdr:rowOff>
              </to>
            </anchor>
          </controlPr>
        </control>
      </mc:Choice>
      <mc:Fallback>
        <control shapeId="279568" r:id="rId29" name="AnalyzerDynReport003tb1"/>
      </mc:Fallback>
    </mc:AlternateContent>
    <mc:AlternateContent xmlns:mc="http://schemas.openxmlformats.org/markup-compatibility/2006">
      <mc:Choice Requires="x14">
        <control shapeId="279570" r:id="rId31" name="Button 18">
          <controlPr defaultSize="0" print="0" autoFill="0" autoPict="0" macro="[0]!CONSULTAR_INFORMACION">
            <anchor moveWithCells="1" sizeWithCells="1">
              <from>
                <xdr:col>3</xdr:col>
                <xdr:colOff>352425</xdr:colOff>
                <xdr:row>2</xdr:row>
                <xdr:rowOff>0</xdr:rowOff>
              </from>
              <to>
                <xdr:col>4</xdr:col>
                <xdr:colOff>1114425</xdr:colOff>
                <xdr:row>3</xdr:row>
                <xdr:rowOff>9525</xdr:rowOff>
              </to>
            </anchor>
          </controlPr>
        </control>
      </mc:Choice>
    </mc:AlternateContent>
    <mc:AlternateContent xmlns:mc="http://schemas.openxmlformats.org/markup-compatibility/2006">
      <mc:Choice Requires="x14">
        <control shapeId="279577" r:id="rId32" name="Button 25">
          <controlPr defaultSize="0" print="0" autoFill="0" autoPict="0" macro="[0]!GUARDAR_INFORMACION">
            <anchor moveWithCells="1" sizeWithCells="1">
              <from>
                <xdr:col>5</xdr:col>
                <xdr:colOff>581025</xdr:colOff>
                <xdr:row>0</xdr:row>
                <xdr:rowOff>123825</xdr:rowOff>
              </from>
              <to>
                <xdr:col>7</xdr:col>
                <xdr:colOff>447675</xdr:colOff>
                <xdr:row>0</xdr:row>
                <xdr:rowOff>323850</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error="Por favor, elegir una fecha correcta. ">
          <x14:formula1>
            <xm:f>Resultados!$BG$6:$BG$37</xm:f>
          </x14:formula1>
          <xm:sqref>C4:C5</xm:sqref>
        </x14:dataValidation>
        <x14:dataValidation type="list" allowBlank="1" showInputMessage="1" showErrorMessage="1" error="Por favor, Elegir una Entidad valida">
          <x14:formula1>
            <xm:f>Resultados!$BA$6:$BA$77</xm:f>
          </x14:formula1>
          <xm:sqref>C3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dimension ref="A1:AG102"/>
  <sheetViews>
    <sheetView showGridLines="0" topLeftCell="A2" zoomScale="90" zoomScaleNormal="90" workbookViewId="0">
      <selection activeCell="D18" activeCellId="1" sqref="D15:F15 D18:F20"/>
    </sheetView>
  </sheetViews>
  <sheetFormatPr baseColWidth="10" defaultColWidth="11.42578125" defaultRowHeight="15"/>
  <cols>
    <col min="1" max="1" width="8.7109375" style="24" customWidth="1"/>
    <col min="2" max="2" width="14.28515625" style="27" customWidth="1"/>
    <col min="3" max="3" width="45.7109375" style="27" customWidth="1"/>
    <col min="4" max="5" width="20.7109375" style="27" customWidth="1"/>
    <col min="6" max="6" width="29.7109375" style="27" customWidth="1"/>
    <col min="7" max="7" width="7.7109375" style="1" customWidth="1"/>
    <col min="8" max="8" width="16.140625" style="26" customWidth="1"/>
    <col min="9" max="9" width="5" style="27" customWidth="1"/>
    <col min="10" max="10" width="3.5703125" style="27" hidden="1" customWidth="1"/>
    <col min="11" max="11" width="5.7109375" style="27" hidden="1" customWidth="1"/>
    <col min="12" max="12" width="21.28515625" style="27" hidden="1" customWidth="1"/>
    <col min="13" max="13" width="12.7109375" style="27" customWidth="1"/>
    <col min="14" max="14" width="10.7109375" style="27" customWidth="1"/>
    <col min="15" max="15" width="45.7109375" style="27" customWidth="1"/>
    <col min="16" max="17" width="18.7109375" style="27" customWidth="1"/>
    <col min="18" max="18" width="25.7109375" style="27" customWidth="1"/>
    <col min="19" max="22" width="18.7109375" style="27" hidden="1" customWidth="1"/>
    <col min="23" max="27" width="18.7109375" style="27" customWidth="1"/>
    <col min="28" max="28" width="2.7109375" style="1" customWidth="1"/>
    <col min="29" max="29" width="7.42578125" style="1" bestFit="1" customWidth="1"/>
    <col min="30" max="30" width="18.7109375" style="1" customWidth="1"/>
    <col min="31" max="31" width="7" style="1" bestFit="1" customWidth="1"/>
    <col min="32" max="32" width="19.42578125" style="1" bestFit="1" customWidth="1"/>
    <col min="33" max="56" width="18.7109375" style="1" customWidth="1"/>
    <col min="57" max="16384" width="11.42578125" style="1"/>
  </cols>
  <sheetData>
    <row r="1" spans="1:33" s="204" customFormat="1" ht="101.25" customHeight="1">
      <c r="A1" s="203" t="s">
        <v>25</v>
      </c>
      <c r="B1" s="189" t="s">
        <v>654</v>
      </c>
      <c r="C1" s="190"/>
      <c r="D1" s="190"/>
      <c r="E1" s="190"/>
      <c r="F1" s="190"/>
      <c r="G1" s="214"/>
      <c r="H1" s="190"/>
      <c r="I1" s="190"/>
      <c r="J1" s="190"/>
      <c r="K1" s="190"/>
      <c r="L1" s="190"/>
      <c r="M1" s="190"/>
      <c r="N1" s="190"/>
      <c r="O1" s="190"/>
      <c r="P1" s="190"/>
      <c r="Q1" s="190"/>
      <c r="R1" s="190"/>
      <c r="S1" s="190"/>
      <c r="T1" s="190"/>
      <c r="U1" s="190"/>
      <c r="V1" s="190"/>
      <c r="W1" s="457"/>
      <c r="X1" s="457"/>
      <c r="Y1" s="190"/>
      <c r="Z1" s="190"/>
      <c r="AA1" s="190"/>
      <c r="AB1" s="190"/>
      <c r="AC1" s="190"/>
      <c r="AD1" s="190"/>
      <c r="AE1" s="190"/>
      <c r="AF1" s="190"/>
      <c r="AG1" s="207"/>
    </row>
    <row r="2" spans="1:33">
      <c r="A2" s="24" t="str">
        <f>IF(A12&gt;0,"Error","Ok")</f>
        <v>Error</v>
      </c>
      <c r="B2" s="5"/>
      <c r="C2" s="5"/>
      <c r="D2" s="29"/>
      <c r="E2" s="29"/>
      <c r="F2" s="29"/>
      <c r="G2" s="215"/>
      <c r="H2" s="88"/>
      <c r="I2" s="29"/>
      <c r="J2" s="29"/>
      <c r="K2" s="29"/>
      <c r="L2" s="29"/>
      <c r="M2" s="29"/>
      <c r="N2" s="29"/>
      <c r="O2" s="29"/>
      <c r="P2" s="29"/>
      <c r="Q2" s="29"/>
      <c r="R2" s="29"/>
      <c r="S2" s="29"/>
      <c r="T2" s="29"/>
      <c r="U2" s="29"/>
      <c r="V2" s="29"/>
      <c r="W2" s="458"/>
      <c r="X2" s="458"/>
      <c r="Y2" s="29"/>
      <c r="Z2" s="29"/>
      <c r="AA2" s="20"/>
      <c r="AB2" s="100"/>
      <c r="AC2" s="20"/>
      <c r="AD2" s="20"/>
      <c r="AE2" s="20"/>
      <c r="AF2" s="20"/>
      <c r="AG2" s="20"/>
    </row>
    <row r="3" spans="1:33">
      <c r="A3" s="21">
        <f>IF(A2="Error",0,1)</f>
        <v>0</v>
      </c>
      <c r="B3" s="226" t="str">
        <f>tblParam[[#This Row],[FILTROS]]</f>
        <v>ENTIDAD</v>
      </c>
      <c r="C3" s="229"/>
      <c r="D3" s="29"/>
      <c r="E3" s="29"/>
      <c r="F3" s="29"/>
      <c r="G3" s="215"/>
      <c r="H3" s="88"/>
      <c r="I3" s="29"/>
      <c r="J3" s="29"/>
      <c r="K3" s="29"/>
      <c r="L3" s="29"/>
      <c r="M3" s="29"/>
      <c r="N3" s="29"/>
      <c r="O3" s="29"/>
      <c r="P3" s="29"/>
      <c r="Q3" s="29"/>
      <c r="R3" s="29"/>
      <c r="S3" s="29"/>
      <c r="T3" s="29"/>
      <c r="U3" s="29"/>
      <c r="V3" s="29"/>
      <c r="W3" s="458"/>
      <c r="X3" s="458"/>
      <c r="Y3" s="29"/>
      <c r="Z3" s="29"/>
      <c r="AA3" s="20"/>
      <c r="AB3" s="100"/>
      <c r="AC3" s="20"/>
      <c r="AD3" s="20"/>
      <c r="AE3" s="20"/>
      <c r="AF3" s="20"/>
      <c r="AG3" s="20"/>
    </row>
    <row r="4" spans="1:33">
      <c r="A4" s="21" t="e">
        <f ca="1">_xll.EPMMemberOffset(,C4,-12)</f>
        <v>#NAME?</v>
      </c>
      <c r="B4" s="226" t="str">
        <f>tblParam[[#This Row],[FILTROS]]</f>
        <v>PERIODO1</v>
      </c>
      <c r="C4" s="229"/>
      <c r="W4" s="446"/>
      <c r="X4" s="446"/>
      <c r="Y4" s="20"/>
      <c r="Z4" s="20"/>
      <c r="AA4" s="20"/>
      <c r="AB4" s="100"/>
      <c r="AC4" s="20"/>
      <c r="AD4" s="20"/>
      <c r="AE4" s="20"/>
      <c r="AF4" s="20"/>
      <c r="AG4" s="20"/>
    </row>
    <row r="5" spans="1:33">
      <c r="A5" s="21" t="str">
        <f>MID(Resultados!K5,1,4)</f>
        <v/>
      </c>
      <c r="B5" s="226" t="str">
        <f>tblParam[[#This Row],[FILTROS]]</f>
        <v>PERIODO2</v>
      </c>
      <c r="C5" s="229"/>
      <c r="W5" s="446"/>
      <c r="X5" s="446"/>
      <c r="Y5" s="20"/>
      <c r="Z5" s="20"/>
      <c r="AA5" s="20"/>
      <c r="AB5" s="20"/>
      <c r="AC5" s="20"/>
      <c r="AD5" s="20"/>
      <c r="AE5" s="20"/>
      <c r="AF5" s="20"/>
      <c r="AG5" s="20"/>
    </row>
    <row r="6" spans="1:33" hidden="1">
      <c r="A6" s="24" t="str">
        <f>MID(Resultados!K4,1,4)</f>
        <v/>
      </c>
      <c r="B6" s="226" t="str">
        <f>tblParam[[#This Row],[FILTROS]]</f>
        <v>VERSION</v>
      </c>
      <c r="C6" s="227">
        <f>tblParam[[#This Row],[VALOR]]</f>
        <v>0</v>
      </c>
      <c r="D6" s="133"/>
      <c r="E6" s="186" t="e">
        <f ca="1">_xll.EPMMemberProperty("ANEXO_NOTAS_XBRL", C3, "CURRENCY")</f>
        <v>#NAME?</v>
      </c>
      <c r="I6" s="38"/>
      <c r="J6" s="37"/>
      <c r="K6" s="37"/>
      <c r="L6" s="34"/>
      <c r="M6" s="34"/>
      <c r="N6" s="34"/>
      <c r="O6" s="34"/>
      <c r="P6" s="34"/>
      <c r="Q6" s="34"/>
      <c r="R6" s="34"/>
      <c r="S6" s="34"/>
      <c r="T6" s="34"/>
      <c r="U6" s="34"/>
      <c r="V6" s="1"/>
      <c r="W6" s="446"/>
      <c r="X6" s="446"/>
      <c r="Y6" s="20"/>
      <c r="Z6" s="20"/>
      <c r="AA6" s="20"/>
      <c r="AB6" s="20"/>
      <c r="AC6" s="20"/>
      <c r="AD6" s="20"/>
      <c r="AE6" s="20"/>
      <c r="AF6" s="20"/>
      <c r="AG6" s="20"/>
    </row>
    <row r="7" spans="1:33" hidden="1">
      <c r="B7" s="226" t="str">
        <f>tblParam[[#This Row],[FILTROS]]</f>
        <v>GRUPO</v>
      </c>
      <c r="C7" s="229" t="str">
        <f>Resultados!$C$13</f>
        <v>GRUPO EMPRESARIAL INVERNAC</v>
      </c>
      <c r="G7" s="446"/>
      <c r="H7" s="456"/>
      <c r="I7" s="438"/>
      <c r="J7" s="438"/>
      <c r="K7" s="438"/>
      <c r="L7" s="438"/>
      <c r="M7" s="438"/>
      <c r="N7" s="34"/>
      <c r="O7" s="34"/>
      <c r="P7" s="34"/>
      <c r="Q7" s="34"/>
      <c r="R7" s="34"/>
      <c r="S7" s="34"/>
      <c r="T7" s="34"/>
      <c r="U7" s="34"/>
      <c r="V7" s="1"/>
      <c r="W7" s="446"/>
      <c r="X7" s="446"/>
      <c r="Y7" s="20"/>
      <c r="Z7" s="20"/>
      <c r="AA7" s="20"/>
      <c r="AB7" s="20"/>
      <c r="AC7" s="20"/>
      <c r="AD7" s="20"/>
      <c r="AE7" s="20"/>
      <c r="AF7" s="20"/>
      <c r="AG7" s="20"/>
    </row>
    <row r="8" spans="1:33">
      <c r="B8" s="226" t="e">
        <f>CONCATENATE("TRM A LA FECHA DE REPORTE: ",IF(INDEX(ENTIDADES[#All],MATCH($C$3,ENTIDADES[[#All],[Concatenacion]],0),3)&lt;&gt;"COP",INDEX(BPC_TASAS[#All],MATCH(INDEX(ENTIDADES[#All],MATCH($C$3,ENTIDADES[[#All],[Concatenacion]],0),3)&amp;"_"&amp;Resultados!$K$4,BPC_TASAS[[#All],[Concatenacion]],0),3),INDEX(BPC_TASAS[#All],MATCH("USD"&amp;"_"&amp;Resultados!$K$4,BPC_TASAS[[#All],[Concatenacion]],0),3)))</f>
        <v>#N/A</v>
      </c>
      <c r="C8" s="229"/>
      <c r="G8" s="446"/>
      <c r="H8" s="456"/>
      <c r="I8" s="438"/>
      <c r="J8" s="438"/>
      <c r="K8" s="438"/>
      <c r="L8" s="438"/>
      <c r="M8" s="438"/>
      <c r="N8" s="34"/>
      <c r="O8" s="34"/>
      <c r="P8" s="34"/>
      <c r="Q8" s="34"/>
      <c r="R8" s="34"/>
      <c r="S8" s="34"/>
      <c r="T8" s="34"/>
      <c r="U8" s="34"/>
      <c r="V8" s="1"/>
      <c r="W8" s="446"/>
      <c r="X8" s="446"/>
      <c r="Y8" s="20"/>
      <c r="Z8" s="20"/>
      <c r="AA8" s="20"/>
      <c r="AB8" s="20"/>
      <c r="AC8" s="20"/>
      <c r="AD8" s="20"/>
      <c r="AE8" s="20"/>
      <c r="AF8" s="20"/>
      <c r="AG8" s="20"/>
    </row>
    <row r="9" spans="1:33">
      <c r="B9" s="226" t="e">
        <f>CONCATENATE("MONEDA DE PRESENTACION: ",INDEX(ENTIDADES[#All],MATCH($C$3,ENTIDADES[[#All],[Concatenacion]],0),2),IF(INDEX(ENTIDADES[#All],MATCH($C$3,ENTIDADES[[#All],[Concatenacion]],0),3) = "COP"," (Sin decimales)"," (Con decimales)"))</f>
        <v>#N/A</v>
      </c>
      <c r="C9" s="229"/>
      <c r="G9" s="446"/>
      <c r="H9" s="456"/>
      <c r="I9" s="438"/>
      <c r="J9" s="438"/>
      <c r="K9" s="438"/>
      <c r="L9" s="438"/>
      <c r="M9" s="438"/>
      <c r="N9" s="34"/>
      <c r="O9" s="34"/>
      <c r="P9" s="34"/>
      <c r="Q9" s="34"/>
      <c r="R9" s="34"/>
      <c r="S9" s="34"/>
      <c r="T9" s="34"/>
      <c r="U9" s="34"/>
      <c r="V9" s="1"/>
      <c r="W9" s="446"/>
      <c r="X9" s="446"/>
      <c r="Y9" s="20"/>
      <c r="Z9" s="20"/>
      <c r="AA9" s="20"/>
      <c r="AB9" s="20"/>
      <c r="AC9" s="20"/>
      <c r="AD9" s="20"/>
      <c r="AE9" s="20"/>
      <c r="AF9" s="20"/>
      <c r="AG9" s="20"/>
    </row>
    <row r="10" spans="1:33">
      <c r="B10" s="771" t="str">
        <f>CONCATENATE("SALDOS A ",A6)</f>
        <v xml:space="preserve">SALDOS A </v>
      </c>
      <c r="C10" s="772"/>
      <c r="D10" s="772"/>
      <c r="E10" s="772"/>
      <c r="F10" s="772"/>
      <c r="G10" s="456"/>
      <c r="H10" s="456"/>
      <c r="I10" s="446"/>
      <c r="J10" s="446"/>
      <c r="K10" s="446"/>
      <c r="L10" s="446"/>
      <c r="M10" s="446"/>
      <c r="N10" s="771" t="str">
        <f>CONCATENATE("SALDOS AL ",A5)</f>
        <v xml:space="preserve">SALDOS AL </v>
      </c>
      <c r="O10" s="771"/>
      <c r="P10" s="771"/>
      <c r="Q10" s="771"/>
      <c r="R10" s="771"/>
      <c r="V10" s="1"/>
      <c r="W10" s="446"/>
      <c r="X10" s="446"/>
      <c r="Y10" s="20"/>
      <c r="Z10" s="20"/>
      <c r="AA10" s="20"/>
      <c r="AB10" s="20"/>
      <c r="AC10" s="20"/>
      <c r="AD10" s="20"/>
      <c r="AE10" s="20"/>
      <c r="AF10" s="20"/>
      <c r="AG10" s="20"/>
    </row>
    <row r="11" spans="1:33">
      <c r="C11" s="446"/>
      <c r="D11" s="446"/>
      <c r="E11" s="446"/>
      <c r="F11" s="446"/>
      <c r="G11" s="456"/>
      <c r="H11" s="456"/>
      <c r="I11" s="446"/>
      <c r="J11" s="446"/>
      <c r="K11" s="446"/>
      <c r="L11" s="446"/>
      <c r="M11" s="446"/>
      <c r="S11" s="1"/>
      <c r="T11" s="1"/>
      <c r="U11" s="1"/>
      <c r="V11" s="1"/>
      <c r="W11" s="446"/>
      <c r="X11" s="446"/>
      <c r="Y11" s="20"/>
      <c r="Z11" s="20"/>
      <c r="AA11" s="20"/>
      <c r="AB11" s="20"/>
      <c r="AC11" s="20"/>
      <c r="AD11" s="20"/>
      <c r="AE11" s="20"/>
      <c r="AF11" s="20"/>
      <c r="AG11" s="20"/>
    </row>
    <row r="12" spans="1:33">
      <c r="A12" s="24">
        <f>SUM(A14:A20)</f>
        <v>1</v>
      </c>
      <c r="B12" s="30">
        <v>1</v>
      </c>
      <c r="C12" s="37" t="s">
        <v>79</v>
      </c>
      <c r="D12" s="446"/>
      <c r="E12" s="446"/>
      <c r="F12" s="446"/>
      <c r="G12" s="456"/>
      <c r="H12" s="456"/>
      <c r="I12" s="446"/>
      <c r="J12" s="446"/>
      <c r="K12" s="446"/>
      <c r="L12" s="446"/>
      <c r="M12" s="446"/>
      <c r="N12" s="30">
        <v>1</v>
      </c>
      <c r="O12" s="37" t="s">
        <v>79</v>
      </c>
      <c r="P12" s="20"/>
      <c r="Q12" s="20"/>
      <c r="R12" s="20"/>
      <c r="S12" s="1"/>
      <c r="T12" s="1"/>
      <c r="U12" s="1"/>
      <c r="V12" s="1"/>
      <c r="W12" s="446"/>
      <c r="X12" s="446"/>
      <c r="Y12" s="20"/>
      <c r="Z12" s="20"/>
      <c r="AA12" s="20"/>
      <c r="AB12" s="20"/>
      <c r="AC12" s="20"/>
      <c r="AD12" s="20"/>
      <c r="AE12" s="20"/>
      <c r="AF12" s="20"/>
      <c r="AG12" s="20"/>
    </row>
    <row r="13" spans="1:33">
      <c r="D13" s="1"/>
      <c r="E13" s="1"/>
      <c r="F13" s="1"/>
      <c r="G13" s="456"/>
      <c r="H13" s="456"/>
      <c r="I13" s="446"/>
      <c r="J13" s="446"/>
      <c r="K13" s="446"/>
      <c r="L13" s="446"/>
      <c r="M13" s="438"/>
      <c r="N13" s="20"/>
      <c r="O13" s="20"/>
      <c r="P13" s="20"/>
      <c r="Q13" s="20"/>
      <c r="R13" s="20"/>
      <c r="S13" s="1"/>
      <c r="T13" s="1"/>
      <c r="U13" s="1"/>
      <c r="V13" s="1"/>
      <c r="W13" s="446"/>
      <c r="X13" s="446"/>
      <c r="Y13" s="20"/>
      <c r="Z13" s="20"/>
      <c r="AA13" s="20"/>
      <c r="AB13" s="20"/>
      <c r="AC13" s="20"/>
      <c r="AD13" s="20"/>
      <c r="AE13" s="20"/>
      <c r="AF13" s="20"/>
      <c r="AG13" s="20"/>
    </row>
    <row r="14" spans="1:33">
      <c r="B14" s="386"/>
      <c r="C14" s="268"/>
      <c r="D14" s="268" t="s">
        <v>236</v>
      </c>
      <c r="E14" s="268" t="s">
        <v>237</v>
      </c>
      <c r="F14" s="268" t="s">
        <v>688</v>
      </c>
      <c r="G14" s="456"/>
      <c r="H14" s="456"/>
      <c r="J14"/>
      <c r="L14"/>
      <c r="M14" s="438"/>
      <c r="N14" s="386" t="s">
        <v>633</v>
      </c>
      <c r="O14" s="268"/>
      <c r="P14" s="268" t="s">
        <v>236</v>
      </c>
      <c r="Q14" s="268" t="s">
        <v>237</v>
      </c>
      <c r="R14" s="268" t="s">
        <v>688</v>
      </c>
      <c r="S14"/>
      <c r="T14"/>
      <c r="U14"/>
      <c r="V14"/>
      <c r="W14" s="446"/>
      <c r="X14" s="446"/>
      <c r="Y14" s="20"/>
      <c r="Z14" s="20"/>
      <c r="AA14" s="20"/>
      <c r="AB14" s="20"/>
      <c r="AC14" s="20"/>
      <c r="AD14" s="20"/>
      <c r="AE14" s="20"/>
      <c r="AF14" s="20"/>
      <c r="AG14" s="20"/>
    </row>
    <row r="15" spans="1:33">
      <c r="A15" s="24">
        <f t="shared" ref="A15:A20" si="0">IF(H15="Ok",0,1)</f>
        <v>1</v>
      </c>
      <c r="B15" s="551" t="s">
        <v>231</v>
      </c>
      <c r="C15" s="403" t="str">
        <f>INDEX(BPC_FILA_NOTA[#All],MATCH($B15,BPC_FILA_NOTA[[#All],[ID]],0),2)</f>
        <v>La compañía tiene efectivo restringido? SI o NO</v>
      </c>
      <c r="D15" s="794"/>
      <c r="E15" s="795"/>
      <c r="F15" s="796"/>
      <c r="G15" s="446"/>
      <c r="H15" s="483" t="str">
        <f>IF(D15&lt;&gt;"","Ok","Error")</f>
        <v>Error</v>
      </c>
      <c r="J15" s="289" t="e">
        <f ca="1">_xll.EPMSaveComment(D15, "ANEXO_NOTAS_XBRL",B15,D14)</f>
        <v>#NAME?</v>
      </c>
      <c r="K15" s="289"/>
      <c r="L15" s="289"/>
      <c r="M15" s="438"/>
      <c r="N15" s="551" t="s">
        <v>231</v>
      </c>
      <c r="O15" s="89" t="str">
        <f>INDEX(BPC_FILA_NOTA[#All],MATCH($B15,BPC_FILA_NOTA[[#All],[ID]],0),2)</f>
        <v>La compañía tiene efectivo restringido? SI o NO</v>
      </c>
      <c r="P15" s="787" t="str">
        <f>IFERROR(INDEX(BPC_COMENTARIOS2[#All],MATCH($N15&amp;"_"&amp;P$14,BPC_COMENTARIOS2[[#All],[FILA_COLUMNA]],0),2),"")</f>
        <v/>
      </c>
      <c r="Q15" s="788"/>
      <c r="R15" s="789"/>
      <c r="S15"/>
      <c r="T15"/>
      <c r="U15"/>
      <c r="V15"/>
      <c r="W15" s="446"/>
      <c r="X15" s="446"/>
      <c r="Y15" s="20"/>
      <c r="Z15" s="20"/>
      <c r="AA15" s="20"/>
      <c r="AB15" s="20"/>
      <c r="AC15" s="20"/>
      <c r="AD15" s="20"/>
      <c r="AE15" s="20"/>
      <c r="AF15" s="20"/>
      <c r="AG15" s="20"/>
    </row>
    <row r="16" spans="1:33">
      <c r="A16" s="24">
        <f t="shared" si="0"/>
        <v>0</v>
      </c>
      <c r="B16" s="797" t="s">
        <v>232</v>
      </c>
      <c r="C16" s="779" t="str">
        <f>INDEX(BPC_FILA_NOTA[#All],MATCH($B16,BPC_FILA_NOTA[[#All],[ID]],0),2)</f>
        <v>Monto del efectivo restringido en pesos y moneda extranjera si aplica, indicando la moneda</v>
      </c>
      <c r="D16" s="90" t="str">
        <f>INDEX(BPC_COLUMNA_NOTA[[#All],[CD_COLUMNA]:[DESCRIPCION_LARGA]],MATCH(D$14,BPC_COLUMNA_NOTA[[#All],[CD_COLUMNA]],0),2)</f>
        <v>Pesos Col.</v>
      </c>
      <c r="E16" s="90" t="str">
        <f>INDEX(BPC_COLUMNA_NOTA[[#All],[CD_COLUMNA]:[DESCRIPCION_LARGA]],MATCH(E$14,BPC_COLUMNA_NOTA[[#All],[CD_COLUMNA]],0),2)</f>
        <v>Moneda ext.</v>
      </c>
      <c r="F16" s="310" t="s">
        <v>229</v>
      </c>
      <c r="G16" s="446"/>
      <c r="H16" s="483" t="str">
        <f>IF(AND(E17&lt;&gt;0,F17=""),"Error","Ok")</f>
        <v>Ok</v>
      </c>
      <c r="J16" s="289"/>
      <c r="K16" s="289"/>
      <c r="L16" s="289"/>
      <c r="M16" s="438"/>
      <c r="N16" s="551" t="s">
        <v>232</v>
      </c>
      <c r="O16" s="784" t="str">
        <f>INDEX(BPC_FILA_NOTA[#All],MATCH($B16,BPC_FILA_NOTA[[#All],[ID]],0),2)</f>
        <v>Monto del efectivo restringido en pesos y moneda extranjera si aplica, indicando la moneda</v>
      </c>
      <c r="P16" s="92" t="str">
        <f>INDEX(BPC_COLUMNA_NOTA[[#All],[CD_COLUMNA]:[DESCRIPCION_LARGA]],MATCH(P$14,BPC_COLUMNA_NOTA[[#All],[CD_COLUMNA]],0),2)</f>
        <v>Pesos Col.</v>
      </c>
      <c r="Q16" s="92" t="str">
        <f>INDEX(BPC_COLUMNA_NOTA[[#All],[CD_COLUMNA]:[DESCRIPCION_LARGA]],MATCH(Q$14,BPC_COLUMNA_NOTA[[#All],[CD_COLUMNA]],0),2)</f>
        <v>Moneda ext.</v>
      </c>
      <c r="R16" s="311" t="s">
        <v>229</v>
      </c>
      <c r="S16"/>
      <c r="T16"/>
      <c r="U16"/>
      <c r="V16"/>
      <c r="W16" s="446"/>
      <c r="X16" s="446"/>
      <c r="Y16" s="20"/>
      <c r="Z16" s="20"/>
      <c r="AA16" s="20"/>
      <c r="AB16" s="20"/>
      <c r="AC16" s="20"/>
      <c r="AD16" s="20"/>
      <c r="AE16" s="20"/>
      <c r="AF16" s="20"/>
      <c r="AG16" s="20"/>
    </row>
    <row r="17" spans="1:33">
      <c r="A17" s="24">
        <f t="shared" si="0"/>
        <v>0</v>
      </c>
      <c r="B17" s="797"/>
      <c r="C17" s="780" t="e">
        <f>INDEX(BPC_FILA_NOTA[#All],MATCH($B17,BPC_FILA_NOTA[[#All],[ID]],0),2)</f>
        <v>#N/A</v>
      </c>
      <c r="D17" s="411">
        <f>IFERROR(INDEX(BPC_NOTAS[#All],MATCH("S1227_0",BPC_NOTAS[[#All],[FILA_COLUMNA]],0),2),0)+IFERROR(INDEX(BPC_NOTAS[#All],MATCH("S1227_1",BPC_NOTAS[[#All],[FILA_COLUMNA]],0),2),0)</f>
        <v>262091406</v>
      </c>
      <c r="E17" s="276"/>
      <c r="F17" s="205"/>
      <c r="G17" s="446"/>
      <c r="H17" s="483" t="str">
        <f>IFERROR(IF(AND(D15="NO",OR(D17&lt;&gt;0,E17&lt;&gt;0)),"Error",IF(AND(D15="SI",D17=0,E17=0),"Error","Ok")),"Error")</f>
        <v>Ok</v>
      </c>
      <c r="J17" s="289" t="e">
        <f ca="1">_xll.EPMSaveData(D17,,B16,D14)</f>
        <v>#NAME?</v>
      </c>
      <c r="K17" s="289" t="e">
        <f ca="1">_xll.EPMSaveData(E17,,B16,E14)</f>
        <v>#NAME?</v>
      </c>
      <c r="L17" s="289" t="e">
        <f ca="1">_xll.EPMSaveComment(F17, ,$B16,$E$14,)</f>
        <v>#NAME?</v>
      </c>
      <c r="M17" s="438"/>
      <c r="N17" s="551"/>
      <c r="O17" s="785" t="e">
        <f>INDEX(BPC_FILA_NOTA[#All],MATCH($B17,BPC_FILA_NOTA[[#All],[ID]],0),2)</f>
        <v>#N/A</v>
      </c>
      <c r="P17" s="277">
        <f>IFERROR(INDEX(BPC_NOTAS2[#All],MATCH($N16&amp;"_"&amp;P$14,BPC_NOTAS2[[#All],[FILA_COLUMNA]],0),2),"")</f>
        <v>158825072</v>
      </c>
      <c r="Q17" s="277" t="str">
        <f>IFERROR(INDEX(BPC_NOTAS2[#All],MATCH($N16&amp;"_"&amp;Q$14,BPC_NOTAS2[[#All],[FILA_COLUMNA]],0),2),"")</f>
        <v/>
      </c>
      <c r="R17" s="94" t="str">
        <f>IFERROR(INDEX(BPC_COMENTARIOS2[#All],MATCH($B16&amp;"_"&amp;E$14,BPC_COMENTARIOS2[[#All],[FILA_COLUMNA]],0),2),"")</f>
        <v/>
      </c>
      <c r="S17"/>
      <c r="V17"/>
      <c r="W17" s="446"/>
      <c r="X17" s="446"/>
      <c r="Y17" s="20"/>
      <c r="Z17" s="20"/>
      <c r="AA17" s="20"/>
      <c r="AB17" s="20"/>
      <c r="AC17" s="20"/>
      <c r="AD17" s="20"/>
      <c r="AE17" s="20"/>
      <c r="AF17" s="20"/>
      <c r="AG17" s="20"/>
    </row>
    <row r="18" spans="1:33" ht="25.5">
      <c r="A18" s="24">
        <f t="shared" si="0"/>
        <v>0</v>
      </c>
      <c r="B18" s="551" t="s">
        <v>235</v>
      </c>
      <c r="C18" s="404" t="str">
        <f>INDEX(BPC_FILA_NOTA[#All],MATCH($B18,BPC_FILA_NOTA[[#All],[ID]],0),2)</f>
        <v>Clase o tipo (CDT, Cta corriente, Cta ahorro, derecho fiduciario, etc.)</v>
      </c>
      <c r="D18" s="800"/>
      <c r="E18" s="800"/>
      <c r="F18" s="800"/>
      <c r="G18" s="446"/>
      <c r="H18" s="483" t="str">
        <f>IF(AND(D15="SI",LEN(D18)&lt;3),"Error",IF(AND(D15="No",LEN(D18)&gt;0),"Error","Ok"))</f>
        <v>Ok</v>
      </c>
      <c r="J18" s="289" t="e">
        <f ca="1">_xll.EPMSaveComment(D18, "ANEXO_NOTAS_XBRL",B18,D14)</f>
        <v>#NAME?</v>
      </c>
      <c r="K18" s="289"/>
      <c r="L18" s="289" t="e">
        <f ca="1">_xll.EPMSaveData(1,,B16,F14)</f>
        <v>#NAME?</v>
      </c>
      <c r="M18" s="438"/>
      <c r="N18" s="551" t="s">
        <v>235</v>
      </c>
      <c r="O18" s="91" t="str">
        <f>INDEX(BPC_FILA_NOTA[#All],MATCH($B18,BPC_FILA_NOTA[[#All],[ID]],0),2)</f>
        <v>Clase o tipo (CDT, Cta corriente, Cta ahorro, derecho fiduciario, etc.)</v>
      </c>
      <c r="P18" s="786" t="str">
        <f>IFERROR(INDEX(BPC_COMENTARIOS2[#All],MATCH($N18&amp;"_"&amp;P$14,BPC_COMENTARIOS2[[#All],[FILA_COLUMNA]],0),2),"")</f>
        <v/>
      </c>
      <c r="Q18" s="786"/>
      <c r="R18" s="786"/>
      <c r="S18"/>
      <c r="T18" s="22" t="e">
        <f ca="1">_xll.EPMCommentFullContext(,N18,$P$14,$A$4)</f>
        <v>#NAME?</v>
      </c>
      <c r="U18"/>
      <c r="V18"/>
      <c r="W18" s="446"/>
      <c r="X18" s="446"/>
      <c r="Y18" s="20"/>
      <c r="Z18" s="20"/>
      <c r="AA18" s="20"/>
      <c r="AB18" s="20"/>
      <c r="AC18" s="20"/>
      <c r="AD18" s="20"/>
      <c r="AE18" s="20"/>
      <c r="AF18" s="20"/>
      <c r="AG18" s="20"/>
    </row>
    <row r="19" spans="1:33" ht="25.5">
      <c r="A19" s="24">
        <f t="shared" si="0"/>
        <v>0</v>
      </c>
      <c r="B19" s="551" t="s">
        <v>233</v>
      </c>
      <c r="C19" s="405" t="s">
        <v>667</v>
      </c>
      <c r="D19" s="801"/>
      <c r="E19" s="801"/>
      <c r="F19" s="801"/>
      <c r="G19" s="446"/>
      <c r="H19" s="483" t="str">
        <f>IF(AND(D15="SI",LEN(D19)&lt;3),"Error",IF(AND(D15="No",LEN(D19)&gt;0),"Error","Ok"))</f>
        <v>Ok</v>
      </c>
      <c r="J19" s="289" t="e">
        <f ca="1">_xll.EPMSaveComment(D19, "ANEXO_NOTAS_XBRL",B19,D14)</f>
        <v>#NAME?</v>
      </c>
      <c r="K19" s="289"/>
      <c r="L19" s="289"/>
      <c r="M19" s="438"/>
      <c r="N19" s="551" t="s">
        <v>233</v>
      </c>
      <c r="O19" s="35" t="s">
        <v>667</v>
      </c>
      <c r="P19" s="790" t="str">
        <f>IFERROR(INDEX(BPC_COMENTARIOS2[#All],MATCH($N19&amp;"_"&amp;P$14,BPC_COMENTARIOS2[[#All],[FILA_COLUMNA]],0),2),"")</f>
        <v/>
      </c>
      <c r="Q19" s="791"/>
      <c r="R19" s="792"/>
      <c r="S19"/>
      <c r="U19"/>
      <c r="V19"/>
      <c r="W19" s="446"/>
      <c r="X19" s="446"/>
      <c r="Y19" s="20"/>
      <c r="Z19" s="20"/>
      <c r="AA19" s="20"/>
      <c r="AB19" s="20"/>
      <c r="AC19" s="20"/>
      <c r="AD19" s="20"/>
      <c r="AE19" s="20"/>
      <c r="AF19" s="20"/>
      <c r="AG19" s="20"/>
    </row>
    <row r="20" spans="1:33">
      <c r="A20" s="24">
        <f t="shared" si="0"/>
        <v>0</v>
      </c>
      <c r="B20" s="551" t="s">
        <v>234</v>
      </c>
      <c r="C20" s="406" t="s">
        <v>666</v>
      </c>
      <c r="D20" s="799"/>
      <c r="E20" s="799"/>
      <c r="F20" s="799"/>
      <c r="G20" s="446"/>
      <c r="H20" s="483" t="str">
        <f>IF(AND(D15="SI",D20=""),"Error",IF(AND(D15="No",D20&lt;&gt;""),"Error","Ok"))</f>
        <v>Ok</v>
      </c>
      <c r="J20" s="289" t="e">
        <f ca="1">_xll.EPMSaveComment(D20, "ANEXO_NOTAS_XBRL",B20,D14)</f>
        <v>#NAME?</v>
      </c>
      <c r="K20" s="289"/>
      <c r="L20" s="289"/>
      <c r="M20" s="438"/>
      <c r="N20" s="551" t="s">
        <v>234</v>
      </c>
      <c r="O20" s="35" t="s">
        <v>666</v>
      </c>
      <c r="P20" s="790" t="str">
        <f>IFERROR(INDEX(BPC_COMENTARIOS2[#All],MATCH($N20&amp;"_"&amp;P$14,BPC_COMENTARIOS2[[#All],[FILA_COLUMNA]],0),2),"")</f>
        <v/>
      </c>
      <c r="Q20" s="791"/>
      <c r="R20" s="792"/>
      <c r="W20" s="446"/>
      <c r="X20" s="446"/>
      <c r="Y20" s="20"/>
      <c r="Z20" s="20"/>
      <c r="AA20" s="20"/>
      <c r="AB20" s="20"/>
      <c r="AC20" s="20"/>
      <c r="AD20" s="20"/>
      <c r="AE20" s="20"/>
      <c r="AF20" s="20"/>
      <c r="AG20" s="20"/>
    </row>
    <row r="21" spans="1:33" s="27" customFormat="1">
      <c r="A21" s="24"/>
      <c r="B21" s="22"/>
      <c r="C21" s="778" t="s">
        <v>80</v>
      </c>
      <c r="D21" s="793" t="s">
        <v>649</v>
      </c>
      <c r="E21" s="793"/>
      <c r="F21" s="793"/>
      <c r="G21" s="456"/>
      <c r="H21" s="456"/>
      <c r="M21" s="438"/>
      <c r="N21" s="551"/>
      <c r="O21" s="781" t="s">
        <v>80</v>
      </c>
      <c r="P21" s="793" t="s">
        <v>649</v>
      </c>
      <c r="Q21" s="793"/>
      <c r="R21" s="793"/>
      <c r="W21" s="446"/>
      <c r="X21" s="446"/>
      <c r="Y21" s="20"/>
      <c r="Z21" s="20"/>
      <c r="AA21" s="20"/>
      <c r="AB21" s="20"/>
      <c r="AC21" s="20"/>
      <c r="AD21" s="20"/>
      <c r="AE21" s="20"/>
      <c r="AF21" s="20"/>
      <c r="AG21" s="20"/>
    </row>
    <row r="22" spans="1:33">
      <c r="B22" s="152"/>
      <c r="C22" s="778"/>
      <c r="D22" s="793"/>
      <c r="E22" s="793"/>
      <c r="F22" s="793"/>
      <c r="G22" s="456"/>
      <c r="H22" s="456"/>
      <c r="M22" s="438"/>
      <c r="N22" s="551"/>
      <c r="O22" s="782"/>
      <c r="P22" s="793"/>
      <c r="Q22" s="793"/>
      <c r="R22" s="793"/>
      <c r="W22" s="446"/>
      <c r="X22" s="446"/>
      <c r="Y22" s="20"/>
      <c r="Z22" s="20"/>
      <c r="AA22" s="20"/>
      <c r="AB22" s="20"/>
      <c r="AC22" s="20"/>
      <c r="AD22" s="20"/>
      <c r="AE22" s="20"/>
      <c r="AF22" s="20"/>
      <c r="AG22" s="20"/>
    </row>
    <row r="23" spans="1:33">
      <c r="B23" s="152"/>
      <c r="C23" s="778"/>
      <c r="D23" s="793"/>
      <c r="E23" s="793"/>
      <c r="F23" s="793"/>
      <c r="G23" s="456"/>
      <c r="H23" s="456"/>
      <c r="M23" s="438"/>
      <c r="N23" s="551"/>
      <c r="O23" s="783"/>
      <c r="P23" s="793"/>
      <c r="Q23" s="793"/>
      <c r="R23" s="793"/>
      <c r="W23" s="446"/>
      <c r="X23" s="446"/>
      <c r="Y23" s="20"/>
      <c r="Z23" s="20"/>
      <c r="AA23" s="20"/>
      <c r="AB23" s="20"/>
      <c r="AC23" s="20"/>
      <c r="AD23" s="20"/>
      <c r="AE23" s="20"/>
      <c r="AF23" s="20"/>
      <c r="AG23" s="20"/>
    </row>
    <row r="24" spans="1:33" s="446" customFormat="1">
      <c r="A24" s="463"/>
      <c r="H24" s="456"/>
    </row>
    <row r="25" spans="1:33" s="446" customFormat="1">
      <c r="A25" s="463"/>
      <c r="C25" s="449"/>
      <c r="D25" s="798"/>
      <c r="E25" s="798"/>
      <c r="F25" s="798"/>
      <c r="H25" s="456"/>
    </row>
    <row r="26" spans="1:33" s="446" customFormat="1">
      <c r="A26" s="463"/>
      <c r="H26" s="456"/>
    </row>
    <row r="27" spans="1:33" s="446" customFormat="1">
      <c r="A27" s="463"/>
      <c r="H27" s="456"/>
    </row>
    <row r="28" spans="1:33" s="446" customFormat="1">
      <c r="A28" s="463"/>
      <c r="H28" s="456"/>
    </row>
    <row r="29" spans="1:33" s="446" customFormat="1">
      <c r="A29" s="463"/>
      <c r="H29" s="456"/>
    </row>
    <row r="30" spans="1:33" s="446" customFormat="1">
      <c r="A30" s="463"/>
      <c r="H30" s="456"/>
      <c r="T30" t="e">
        <f ca="1" xml:space="preserve"> _xll.FPMXLClient.TechnicalCategory.EPMLocalMember("","001","000")</f>
        <v>#NAME?</v>
      </c>
      <c r="U30" t="e">
        <f ca="1" xml:space="preserve"> _xll.EPMOlapMemberO("[COLUMNA_NOTA].[PARENTH1].[C11201002]","","C11201002","","000")</f>
        <v>#NAME?</v>
      </c>
      <c r="V30" t="e">
        <f ca="1" xml:space="preserve"> _xll.FPMXLClient.TechnicalCategory.EPMLocalMember("Observación","003","000")</f>
        <v>#NAME?</v>
      </c>
    </row>
    <row r="31" spans="1:33" s="446" customFormat="1">
      <c r="A31" s="463"/>
      <c r="H31" s="456"/>
      <c r="S31" s="28" t="e">
        <f ca="1" xml:space="preserve"> _xll.EPMOlapMemberO("[FILA_NOTA].[PARENTH1].[11201002]","","11201002","","000")</f>
        <v>#NAME?</v>
      </c>
      <c r="T31" t="e">
        <f ca="1">_xll.EPMMemberProperty("ANEXO_NOTAS_XBRL", S31, "LONGDESCR")</f>
        <v>#NAME?</v>
      </c>
      <c r="U31" s="500">
        <v>0</v>
      </c>
      <c r="V31"/>
    </row>
    <row r="32" spans="1:33" s="446" customFormat="1">
      <c r="A32" s="463"/>
      <c r="H32" s="456"/>
    </row>
    <row r="33" spans="1:8" s="446" customFormat="1">
      <c r="A33" s="463"/>
      <c r="H33" s="456"/>
    </row>
    <row r="34" spans="1:8" s="446" customFormat="1">
      <c r="A34" s="463"/>
      <c r="H34" s="456"/>
    </row>
    <row r="35" spans="1:8" s="446" customFormat="1">
      <c r="A35" s="463"/>
      <c r="H35" s="456"/>
    </row>
    <row r="36" spans="1:8" s="446" customFormat="1">
      <c r="A36" s="463"/>
      <c r="H36" s="456"/>
    </row>
    <row r="37" spans="1:8" s="446" customFormat="1">
      <c r="A37" s="463"/>
      <c r="H37" s="456"/>
    </row>
    <row r="38" spans="1:8" s="446" customFormat="1">
      <c r="A38" s="463"/>
      <c r="H38" s="456"/>
    </row>
    <row r="39" spans="1:8" s="446" customFormat="1">
      <c r="A39" s="463"/>
      <c r="H39" s="456"/>
    </row>
    <row r="40" spans="1:8" s="446" customFormat="1">
      <c r="A40" s="463"/>
      <c r="H40" s="456"/>
    </row>
    <row r="41" spans="1:8" s="446" customFormat="1">
      <c r="A41" s="463"/>
      <c r="H41" s="456"/>
    </row>
    <row r="42" spans="1:8" s="446" customFormat="1">
      <c r="A42" s="463"/>
      <c r="H42" s="456"/>
    </row>
    <row r="43" spans="1:8" s="446" customFormat="1">
      <c r="A43" s="463"/>
      <c r="H43" s="456"/>
    </row>
    <row r="44" spans="1:8" s="446" customFormat="1">
      <c r="A44" s="463"/>
      <c r="H44" s="456"/>
    </row>
    <row r="45" spans="1:8" s="446" customFormat="1">
      <c r="A45" s="463"/>
      <c r="H45" s="456"/>
    </row>
    <row r="46" spans="1:8" s="446" customFormat="1">
      <c r="A46" s="463"/>
      <c r="H46" s="456"/>
    </row>
    <row r="47" spans="1:8" s="446" customFormat="1">
      <c r="A47" s="463"/>
      <c r="H47" s="456"/>
    </row>
    <row r="48" spans="1:8" s="446" customFormat="1">
      <c r="A48" s="463"/>
      <c r="H48" s="456"/>
    </row>
    <row r="49" spans="1:8" s="446" customFormat="1">
      <c r="A49" s="463"/>
      <c r="H49" s="456"/>
    </row>
    <row r="50" spans="1:8" s="446" customFormat="1">
      <c r="A50" s="463"/>
      <c r="H50" s="456"/>
    </row>
    <row r="51" spans="1:8" s="446" customFormat="1">
      <c r="A51" s="463"/>
      <c r="H51" s="456"/>
    </row>
    <row r="52" spans="1:8" s="446" customFormat="1">
      <c r="A52" s="463"/>
      <c r="H52" s="456"/>
    </row>
    <row r="53" spans="1:8" s="446" customFormat="1">
      <c r="A53" s="463"/>
      <c r="H53" s="456"/>
    </row>
    <row r="54" spans="1:8" s="446" customFormat="1">
      <c r="A54" s="463"/>
      <c r="H54" s="456"/>
    </row>
    <row r="55" spans="1:8" s="446" customFormat="1">
      <c r="A55" s="463"/>
      <c r="H55" s="456"/>
    </row>
    <row r="56" spans="1:8" s="446" customFormat="1">
      <c r="A56" s="463"/>
      <c r="H56" s="456"/>
    </row>
    <row r="57" spans="1:8" s="446" customFormat="1">
      <c r="A57" s="463"/>
      <c r="H57" s="456"/>
    </row>
    <row r="58" spans="1:8" s="446" customFormat="1">
      <c r="A58" s="463"/>
      <c r="H58" s="456"/>
    </row>
    <row r="59" spans="1:8" s="446" customFormat="1">
      <c r="A59" s="463"/>
      <c r="H59" s="456"/>
    </row>
    <row r="60" spans="1:8" s="446" customFormat="1">
      <c r="A60" s="463"/>
      <c r="H60" s="456"/>
    </row>
    <row r="61" spans="1:8" s="446" customFormat="1">
      <c r="A61" s="463"/>
      <c r="H61" s="456"/>
    </row>
    <row r="62" spans="1:8" s="446" customFormat="1">
      <c r="A62" s="463"/>
      <c r="H62" s="456"/>
    </row>
    <row r="63" spans="1:8" s="446" customFormat="1">
      <c r="A63" s="463"/>
      <c r="H63" s="456"/>
    </row>
    <row r="64" spans="1:8" s="446" customFormat="1">
      <c r="A64" s="463"/>
      <c r="H64" s="456"/>
    </row>
    <row r="65" spans="1:8" s="446" customFormat="1">
      <c r="A65" s="463"/>
      <c r="H65" s="456"/>
    </row>
    <row r="66" spans="1:8" s="446" customFormat="1">
      <c r="A66" s="463"/>
      <c r="H66" s="456"/>
    </row>
    <row r="67" spans="1:8" s="446" customFormat="1">
      <c r="A67" s="463"/>
      <c r="H67" s="456"/>
    </row>
    <row r="68" spans="1:8" s="446" customFormat="1">
      <c r="A68" s="463"/>
      <c r="H68" s="456"/>
    </row>
    <row r="69" spans="1:8" s="446" customFormat="1">
      <c r="A69" s="463"/>
      <c r="H69" s="456"/>
    </row>
    <row r="70" spans="1:8" s="446" customFormat="1">
      <c r="A70" s="463"/>
      <c r="H70" s="456"/>
    </row>
    <row r="71" spans="1:8" s="446" customFormat="1">
      <c r="A71" s="463"/>
      <c r="H71" s="456"/>
    </row>
    <row r="72" spans="1:8" s="446" customFormat="1">
      <c r="A72" s="463"/>
      <c r="H72" s="456"/>
    </row>
    <row r="73" spans="1:8" s="446" customFormat="1">
      <c r="A73" s="463"/>
      <c r="H73" s="456"/>
    </row>
    <row r="74" spans="1:8" s="446" customFormat="1">
      <c r="A74" s="463"/>
      <c r="H74" s="456"/>
    </row>
    <row r="75" spans="1:8" s="446" customFormat="1">
      <c r="A75" s="463"/>
      <c r="H75" s="456"/>
    </row>
    <row r="76" spans="1:8" s="446" customFormat="1">
      <c r="A76" s="463"/>
      <c r="H76" s="456"/>
    </row>
    <row r="77" spans="1:8" s="446" customFormat="1">
      <c r="A77" s="463"/>
      <c r="H77" s="456"/>
    </row>
    <row r="78" spans="1:8" s="446" customFormat="1">
      <c r="A78" s="463"/>
      <c r="H78" s="456"/>
    </row>
    <row r="79" spans="1:8" s="446" customFormat="1">
      <c r="A79" s="463"/>
      <c r="H79" s="456"/>
    </row>
    <row r="80" spans="1:8" s="446" customFormat="1">
      <c r="A80" s="463"/>
      <c r="H80" s="456"/>
    </row>
    <row r="81" spans="1:8" s="446" customFormat="1">
      <c r="A81" s="463"/>
      <c r="H81" s="456"/>
    </row>
    <row r="82" spans="1:8" s="446" customFormat="1">
      <c r="A82" s="463"/>
      <c r="H82" s="456"/>
    </row>
    <row r="83" spans="1:8" s="446" customFormat="1">
      <c r="A83" s="463"/>
      <c r="H83" s="456"/>
    </row>
    <row r="84" spans="1:8" s="446" customFormat="1">
      <c r="A84" s="463"/>
      <c r="H84" s="456"/>
    </row>
    <row r="85" spans="1:8" s="446" customFormat="1">
      <c r="A85" s="463"/>
      <c r="H85" s="456"/>
    </row>
    <row r="86" spans="1:8" s="446" customFormat="1">
      <c r="A86" s="463"/>
      <c r="H86" s="456"/>
    </row>
    <row r="87" spans="1:8" s="446" customFormat="1">
      <c r="A87" s="463"/>
      <c r="H87" s="456"/>
    </row>
    <row r="88" spans="1:8" s="446" customFormat="1">
      <c r="A88" s="463"/>
      <c r="H88" s="456"/>
    </row>
    <row r="89" spans="1:8" s="446" customFormat="1">
      <c r="A89" s="463"/>
      <c r="H89" s="456"/>
    </row>
    <row r="90" spans="1:8" s="446" customFormat="1">
      <c r="A90" s="463"/>
      <c r="H90" s="456"/>
    </row>
    <row r="91" spans="1:8" s="446" customFormat="1">
      <c r="A91" s="463"/>
      <c r="H91" s="456"/>
    </row>
    <row r="92" spans="1:8" s="446" customFormat="1">
      <c r="A92" s="463"/>
      <c r="H92" s="456"/>
    </row>
    <row r="93" spans="1:8" s="446" customFormat="1">
      <c r="A93" s="463"/>
      <c r="H93" s="456"/>
    </row>
    <row r="94" spans="1:8" s="446" customFormat="1">
      <c r="A94" s="463"/>
      <c r="H94" s="456"/>
    </row>
    <row r="95" spans="1:8" s="446" customFormat="1">
      <c r="A95" s="463"/>
      <c r="H95" s="456"/>
    </row>
    <row r="96" spans="1:8" s="446" customFormat="1">
      <c r="A96" s="463"/>
      <c r="H96" s="456"/>
    </row>
    <row r="97" spans="1:8" s="446" customFormat="1">
      <c r="A97" s="463"/>
      <c r="H97" s="456"/>
    </row>
    <row r="98" spans="1:8" s="446" customFormat="1">
      <c r="A98" s="463"/>
      <c r="H98" s="456"/>
    </row>
    <row r="99" spans="1:8" s="446" customFormat="1">
      <c r="A99" s="463"/>
      <c r="H99" s="456"/>
    </row>
    <row r="100" spans="1:8" s="446" customFormat="1">
      <c r="A100" s="463"/>
      <c r="H100" s="456"/>
    </row>
    <row r="101" spans="1:8" s="446" customFormat="1">
      <c r="A101" s="463"/>
      <c r="H101" s="456"/>
    </row>
    <row r="102" spans="1:8" s="446" customFormat="1">
      <c r="A102" s="463"/>
      <c r="H102" s="456"/>
    </row>
  </sheetData>
  <sheetProtection password="C07B" sheet="1" objects="1" scenarios="1"/>
  <mergeCells count="18">
    <mergeCell ref="D25:F25"/>
    <mergeCell ref="D20:F20"/>
    <mergeCell ref="D21:F23"/>
    <mergeCell ref="D18:F18"/>
    <mergeCell ref="D19:F19"/>
    <mergeCell ref="B10:F10"/>
    <mergeCell ref="C21:C23"/>
    <mergeCell ref="C16:C17"/>
    <mergeCell ref="O21:O23"/>
    <mergeCell ref="O16:O17"/>
    <mergeCell ref="N10:R10"/>
    <mergeCell ref="P18:R18"/>
    <mergeCell ref="P15:R15"/>
    <mergeCell ref="P19:R19"/>
    <mergeCell ref="P20:R20"/>
    <mergeCell ref="P21:R23"/>
    <mergeCell ref="D15:F15"/>
    <mergeCell ref="B16:B17"/>
  </mergeCells>
  <conditionalFormatting sqref="H15">
    <cfRule type="containsText" dxfId="214" priority="17" operator="containsText" text="OK">
      <formula>NOT(ISERROR(SEARCH("OK",H15)))</formula>
    </cfRule>
    <cfRule type="containsText" dxfId="213" priority="18" operator="containsText" text="ERROR">
      <formula>NOT(ISERROR(SEARCH("ERROR",H15)))</formula>
    </cfRule>
    <cfRule type="expression" dxfId="212" priority="19">
      <formula>"ERROR"</formula>
    </cfRule>
    <cfRule type="colorScale" priority="20">
      <colorScale>
        <cfvo type="min"/>
        <cfvo type="max"/>
        <color rgb="FFFF0000"/>
        <color rgb="FFFFEF9C"/>
      </colorScale>
    </cfRule>
  </conditionalFormatting>
  <conditionalFormatting sqref="H17">
    <cfRule type="containsText" dxfId="211" priority="13" operator="containsText" text="OK">
      <formula>NOT(ISERROR(SEARCH("OK",H17)))</formula>
    </cfRule>
    <cfRule type="containsText" dxfId="210" priority="14" operator="containsText" text="ERROR">
      <formula>NOT(ISERROR(SEARCH("ERROR",H17)))</formula>
    </cfRule>
    <cfRule type="expression" dxfId="209" priority="15">
      <formula>"ERROR"</formula>
    </cfRule>
    <cfRule type="colorScale" priority="16">
      <colorScale>
        <cfvo type="min"/>
        <cfvo type="max"/>
        <color rgb="FFFF0000"/>
        <color rgb="FFFFEF9C"/>
      </colorScale>
    </cfRule>
  </conditionalFormatting>
  <conditionalFormatting sqref="H16">
    <cfRule type="containsText" dxfId="208" priority="9" operator="containsText" text="OK">
      <formula>NOT(ISERROR(SEARCH("OK",H16)))</formula>
    </cfRule>
    <cfRule type="containsText" dxfId="207" priority="10" operator="containsText" text="ERROR">
      <formula>NOT(ISERROR(SEARCH("ERROR",H16)))</formula>
    </cfRule>
    <cfRule type="expression" dxfId="206" priority="11">
      <formula>"ERROR"</formula>
    </cfRule>
    <cfRule type="colorScale" priority="12">
      <colorScale>
        <cfvo type="min"/>
        <cfvo type="max"/>
        <color rgb="FFFF0000"/>
        <color rgb="FFFFEF9C"/>
      </colorScale>
    </cfRule>
  </conditionalFormatting>
  <conditionalFormatting sqref="H18:H20">
    <cfRule type="containsText" dxfId="205" priority="1" operator="containsText" text="OK">
      <formula>NOT(ISERROR(SEARCH("OK",H18)))</formula>
    </cfRule>
    <cfRule type="containsText" dxfId="204" priority="2" operator="containsText" text="ERROR">
      <formula>NOT(ISERROR(SEARCH("ERROR",H18)))</formula>
    </cfRule>
    <cfRule type="expression" dxfId="203" priority="3">
      <formula>"ERROR"</formula>
    </cfRule>
    <cfRule type="colorScale" priority="4">
      <colorScale>
        <cfvo type="min"/>
        <cfvo type="max"/>
        <color rgb="FFFF0000"/>
        <color rgb="FFFFEF9C"/>
      </colorScale>
    </cfRule>
  </conditionalFormatting>
  <dataValidations count="1">
    <dataValidation type="date" allowBlank="1" showInputMessage="1" showErrorMessage="1" error="Por favor ingrese una fecha valida" sqref="D20:F20">
      <formula1>1</formula1>
      <formula2>2958465</formula2>
    </dataValidation>
  </dataValidations>
  <pageMargins left="0.7" right="0.7" top="0.75" bottom="0.75" header="0.3" footer="0.3"/>
  <pageSetup scale="10" orientation="portrait" r:id="rId1"/>
  <customProperties>
    <customPr name="CofConfiguration" r:id="rId2"/>
    <customPr name="CofConfiguration.001" r:id="rId3"/>
    <customPr name="CofWorksheetType" r:id="rId4"/>
    <customPr name="EpmWorksheetKeyString_GUID" r:id="rId5"/>
    <customPr name="FPMExcelClientCellBasedFunctionStatus" r:id="rId6"/>
    <customPr name="FPMExcelClientRefreshTime" r:id="rId7"/>
  </customProperties>
  <drawing r:id="rId8"/>
  <legacyDrawing r:id="rId9"/>
  <controls>
    <mc:AlternateContent xmlns:mc="http://schemas.openxmlformats.org/markup-compatibility/2006">
      <mc:Choice Requires="x14">
        <control shapeId="290817" r:id="rId10" name="FPMExcelClientSheetOptionstb1">
          <controlPr defaultSize="0" autoLine="0" r:id="rId11">
            <anchor moveWithCells="1" sizeWithCells="1">
              <from>
                <xdr:col>0</xdr:col>
                <xdr:colOff>0</xdr:colOff>
                <xdr:row>0</xdr:row>
                <xdr:rowOff>0</xdr:rowOff>
              </from>
              <to>
                <xdr:col>0</xdr:col>
                <xdr:colOff>0</xdr:colOff>
                <xdr:row>0</xdr:row>
                <xdr:rowOff>0</xdr:rowOff>
              </to>
            </anchor>
          </controlPr>
        </control>
      </mc:Choice>
      <mc:Fallback>
        <control shapeId="290817" r:id="rId10" name="FPMExcelClientSheetOptionstb1"/>
      </mc:Fallback>
    </mc:AlternateContent>
    <mc:AlternateContent xmlns:mc="http://schemas.openxmlformats.org/markup-compatibility/2006">
      <mc:Choice Requires="x14">
        <control shapeId="290818" r:id="rId12" name="ConnectionDescriptorsInfotb1">
          <controlPr defaultSize="0" autoLine="0" r:id="rId13">
            <anchor moveWithCells="1" sizeWithCells="1">
              <from>
                <xdr:col>0</xdr:col>
                <xdr:colOff>0</xdr:colOff>
                <xdr:row>0</xdr:row>
                <xdr:rowOff>0</xdr:rowOff>
              </from>
              <to>
                <xdr:col>0</xdr:col>
                <xdr:colOff>0</xdr:colOff>
                <xdr:row>0</xdr:row>
                <xdr:rowOff>0</xdr:rowOff>
              </to>
            </anchor>
          </controlPr>
        </control>
      </mc:Choice>
      <mc:Fallback>
        <control shapeId="290818" r:id="rId12" name="ConnectionDescriptorsInfotb1"/>
      </mc:Fallback>
    </mc:AlternateContent>
    <mc:AlternateContent xmlns:mc="http://schemas.openxmlformats.org/markup-compatibility/2006">
      <mc:Choice Requires="x14">
        <control shapeId="290819" r:id="rId14" name="MultipleReportManagerInfotb1">
          <controlPr defaultSize="0" autoLine="0" r:id="rId15">
            <anchor moveWithCells="1" sizeWithCells="1">
              <from>
                <xdr:col>0</xdr:col>
                <xdr:colOff>0</xdr:colOff>
                <xdr:row>0</xdr:row>
                <xdr:rowOff>0</xdr:rowOff>
              </from>
              <to>
                <xdr:col>0</xdr:col>
                <xdr:colOff>0</xdr:colOff>
                <xdr:row>0</xdr:row>
                <xdr:rowOff>0</xdr:rowOff>
              </to>
            </anchor>
          </controlPr>
        </control>
      </mc:Choice>
      <mc:Fallback>
        <control shapeId="290819" r:id="rId14" name="MultipleReportManagerInfotb1"/>
      </mc:Fallback>
    </mc:AlternateContent>
    <mc:AlternateContent xmlns:mc="http://schemas.openxmlformats.org/markup-compatibility/2006">
      <mc:Choice Requires="x14">
        <control shapeId="290820" r:id="rId16" name="AnalyzerDynReport000tb1">
          <controlPr defaultSize="0" autoLine="0" r:id="rId17">
            <anchor moveWithCells="1" sizeWithCells="1">
              <from>
                <xdr:col>0</xdr:col>
                <xdr:colOff>0</xdr:colOff>
                <xdr:row>0</xdr:row>
                <xdr:rowOff>0</xdr:rowOff>
              </from>
              <to>
                <xdr:col>0</xdr:col>
                <xdr:colOff>0</xdr:colOff>
                <xdr:row>0</xdr:row>
                <xdr:rowOff>0</xdr:rowOff>
              </to>
            </anchor>
          </controlPr>
        </control>
      </mc:Choice>
      <mc:Fallback>
        <control shapeId="290820" r:id="rId16" name="AnalyzerDynReport000tb1"/>
      </mc:Fallback>
    </mc:AlternateContent>
    <mc:AlternateContent xmlns:mc="http://schemas.openxmlformats.org/markup-compatibility/2006">
      <mc:Choice Requires="x14">
        <control shapeId="290821" r:id="rId18" name="ReportSubmitManagerControltb1">
          <controlPr defaultSize="0" autoLine="0" r:id="rId19">
            <anchor moveWithCells="1" sizeWithCells="1">
              <from>
                <xdr:col>0</xdr:col>
                <xdr:colOff>0</xdr:colOff>
                <xdr:row>0</xdr:row>
                <xdr:rowOff>0</xdr:rowOff>
              </from>
              <to>
                <xdr:col>0</xdr:col>
                <xdr:colOff>0</xdr:colOff>
                <xdr:row>0</xdr:row>
                <xdr:rowOff>0</xdr:rowOff>
              </to>
            </anchor>
          </controlPr>
        </control>
      </mc:Choice>
      <mc:Fallback>
        <control shapeId="290821" r:id="rId18" name="ReportSubmitManagerControltb1"/>
      </mc:Fallback>
    </mc:AlternateContent>
    <mc:AlternateContent xmlns:mc="http://schemas.openxmlformats.org/markup-compatibility/2006">
      <mc:Choice Requires="x14">
        <control shapeId="290822" r:id="rId20" name="ReportSubmitControl_1tb1">
          <controlPr defaultSize="0" autoLine="0" r:id="rId21">
            <anchor moveWithCells="1" sizeWithCells="1">
              <from>
                <xdr:col>0</xdr:col>
                <xdr:colOff>0</xdr:colOff>
                <xdr:row>0</xdr:row>
                <xdr:rowOff>0</xdr:rowOff>
              </from>
              <to>
                <xdr:col>0</xdr:col>
                <xdr:colOff>0</xdr:colOff>
                <xdr:row>0</xdr:row>
                <xdr:rowOff>0</xdr:rowOff>
              </to>
            </anchor>
          </controlPr>
        </control>
      </mc:Choice>
      <mc:Fallback>
        <control shapeId="290822" r:id="rId20" name="ReportSubmitControl_1tb1"/>
      </mc:Fallback>
    </mc:AlternateContent>
    <mc:AlternateContent xmlns:mc="http://schemas.openxmlformats.org/markup-compatibility/2006">
      <mc:Choice Requires="x14">
        <control shapeId="290823" r:id="rId22" name="ReportSubmitControl_2tb1">
          <controlPr defaultSize="0" autoLine="0" autoPict="0" r:id="rId23">
            <anchor moveWithCells="1" sizeWithCells="1">
              <from>
                <xdr:col>0</xdr:col>
                <xdr:colOff>0</xdr:colOff>
                <xdr:row>0</xdr:row>
                <xdr:rowOff>0</xdr:rowOff>
              </from>
              <to>
                <xdr:col>2</xdr:col>
                <xdr:colOff>19050</xdr:colOff>
                <xdr:row>0</xdr:row>
                <xdr:rowOff>0</xdr:rowOff>
              </to>
            </anchor>
          </controlPr>
        </control>
      </mc:Choice>
      <mc:Fallback>
        <control shapeId="290823" r:id="rId22" name="ReportSubmitControl_2tb1"/>
      </mc:Fallback>
    </mc:AlternateContent>
    <mc:AlternateContent xmlns:mc="http://schemas.openxmlformats.org/markup-compatibility/2006">
      <mc:Choice Requires="x14">
        <control shapeId="290828" r:id="rId24" name="ReportSubmitControl_3tb1">
          <controlPr defaultSize="0" autoLine="0" autoPict="0" r:id="rId25">
            <anchor moveWithCells="1" sizeWithCells="1">
              <from>
                <xdr:col>0</xdr:col>
                <xdr:colOff>0</xdr:colOff>
                <xdr:row>0</xdr:row>
                <xdr:rowOff>0</xdr:rowOff>
              </from>
              <to>
                <xdr:col>1</xdr:col>
                <xdr:colOff>676275</xdr:colOff>
                <xdr:row>0</xdr:row>
                <xdr:rowOff>0</xdr:rowOff>
              </to>
            </anchor>
          </controlPr>
        </control>
      </mc:Choice>
      <mc:Fallback>
        <control shapeId="290828" r:id="rId24" name="ReportSubmitControl_3tb1"/>
      </mc:Fallback>
    </mc:AlternateContent>
    <mc:AlternateContent xmlns:mc="http://schemas.openxmlformats.org/markup-compatibility/2006">
      <mc:Choice Requires="x14">
        <control shapeId="290830" r:id="rId26" name="ReportSubmitControl_4tb1">
          <controlPr defaultSize="0" autoLine="0" r:id="rId27">
            <anchor moveWithCells="1" sizeWithCells="1">
              <from>
                <xdr:col>0</xdr:col>
                <xdr:colOff>0</xdr:colOff>
                <xdr:row>0</xdr:row>
                <xdr:rowOff>0</xdr:rowOff>
              </from>
              <to>
                <xdr:col>0</xdr:col>
                <xdr:colOff>0</xdr:colOff>
                <xdr:row>0</xdr:row>
                <xdr:rowOff>9525</xdr:rowOff>
              </to>
            </anchor>
          </controlPr>
        </control>
      </mc:Choice>
      <mc:Fallback>
        <control shapeId="290830" r:id="rId26" name="ReportSubmitControl_4tb1"/>
      </mc:Fallback>
    </mc:AlternateContent>
    <mc:AlternateContent xmlns:mc="http://schemas.openxmlformats.org/markup-compatibility/2006">
      <mc:Choice Requires="x14">
        <control shapeId="290832" r:id="rId28" name="ReportSubmitControl_5tb1">
          <controlPr defaultSize="0" autoLine="0" r:id="rId29">
            <anchor moveWithCells="1" sizeWithCells="1">
              <from>
                <xdr:col>0</xdr:col>
                <xdr:colOff>0</xdr:colOff>
                <xdr:row>0</xdr:row>
                <xdr:rowOff>0</xdr:rowOff>
              </from>
              <to>
                <xdr:col>0</xdr:col>
                <xdr:colOff>0</xdr:colOff>
                <xdr:row>0</xdr:row>
                <xdr:rowOff>9525</xdr:rowOff>
              </to>
            </anchor>
          </controlPr>
        </control>
      </mc:Choice>
      <mc:Fallback>
        <control shapeId="290832" r:id="rId28" name="ReportSubmitControl_5tb1"/>
      </mc:Fallback>
    </mc:AlternateContent>
    <mc:AlternateContent xmlns:mc="http://schemas.openxmlformats.org/markup-compatibility/2006">
      <mc:Choice Requires="x14">
        <control shapeId="290834" r:id="rId30" name="ReportSubmitControl_6tb1">
          <controlPr defaultSize="0" autoLine="0" r:id="rId31">
            <anchor moveWithCells="1" sizeWithCells="1">
              <from>
                <xdr:col>0</xdr:col>
                <xdr:colOff>0</xdr:colOff>
                <xdr:row>0</xdr:row>
                <xdr:rowOff>0</xdr:rowOff>
              </from>
              <to>
                <xdr:col>0</xdr:col>
                <xdr:colOff>0</xdr:colOff>
                <xdr:row>0</xdr:row>
                <xdr:rowOff>9525</xdr:rowOff>
              </to>
            </anchor>
          </controlPr>
        </control>
      </mc:Choice>
      <mc:Fallback>
        <control shapeId="290834" r:id="rId30" name="ReportSubmitControl_6tb1"/>
      </mc:Fallback>
    </mc:AlternateContent>
    <mc:AlternateContent xmlns:mc="http://schemas.openxmlformats.org/markup-compatibility/2006">
      <mc:Choice Requires="x14">
        <control shapeId="290836" r:id="rId32" name="Button 20">
          <controlPr defaultSize="0" print="0" autoFill="0" autoPict="0" macro="[0]!CONSULTAR_INFORMACION">
            <anchor moveWithCells="1" sizeWithCells="1">
              <from>
                <xdr:col>3</xdr:col>
                <xdr:colOff>352425</xdr:colOff>
                <xdr:row>1</xdr:row>
                <xdr:rowOff>180975</xdr:rowOff>
              </from>
              <to>
                <xdr:col>4</xdr:col>
                <xdr:colOff>1333500</xdr:colOff>
                <xdr:row>3</xdr:row>
                <xdr:rowOff>0</xdr:rowOff>
              </to>
            </anchor>
          </controlPr>
        </control>
      </mc:Choice>
    </mc:AlternateContent>
    <mc:AlternateContent xmlns:mc="http://schemas.openxmlformats.org/markup-compatibility/2006">
      <mc:Choice Requires="x14">
        <control shapeId="290843" r:id="rId33" name="Button 27">
          <controlPr defaultSize="0" print="0" autoFill="0" autoPict="0" macro="[0]!GUARDAR_INFORMACION">
            <anchor moveWithCells="1" sizeWithCells="1">
              <from>
                <xdr:col>7</xdr:col>
                <xdr:colOff>466725</xdr:colOff>
                <xdr:row>0</xdr:row>
                <xdr:rowOff>114300</xdr:rowOff>
              </from>
              <to>
                <xdr:col>13</xdr:col>
                <xdr:colOff>571500</xdr:colOff>
                <xdr:row>0</xdr:row>
                <xdr:rowOff>314325</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error="Por favor, elegir una fecha correcta. ">
          <x14:formula1>
            <xm:f>Resultados!$BG$6:$BG$37</xm:f>
          </x14:formula1>
          <xm:sqref>C4:C5</xm:sqref>
        </x14:dataValidation>
        <x14:dataValidation type="list" allowBlank="1" showErrorMessage="1" error="Por favor seleccione si o no">
          <x14:formula1>
            <xm:f>Resultados!$A$67:$A$68</xm:f>
          </x14:formula1>
          <xm:sqref>D15:F15</xm:sqref>
        </x14:dataValidation>
        <x14:dataValidation type="list" allowBlank="1" showInputMessage="1" showErrorMessage="1" error="Por favor, Elegir una Entidad valida">
          <x14:formula1>
            <xm:f>Resultados!$BA$6:$BA$77</xm:f>
          </x14:formula1>
          <xm:sqref>C3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6"/>
  <dimension ref="A1:AL205"/>
  <sheetViews>
    <sheetView showGridLines="0" topLeftCell="A11" zoomScale="70" zoomScaleNormal="70" workbookViewId="0">
      <selection activeCell="C25" sqref="C25:E27"/>
    </sheetView>
  </sheetViews>
  <sheetFormatPr baseColWidth="10" defaultColWidth="11.42578125" defaultRowHeight="12.75"/>
  <cols>
    <col min="1" max="1" width="13.7109375" style="679" customWidth="1"/>
    <col min="2" max="2" width="17.42578125" style="338" customWidth="1"/>
    <col min="3" max="3" width="80.7109375" style="338" customWidth="1"/>
    <col min="4" max="6" width="20.7109375" style="338" customWidth="1"/>
    <col min="7" max="7" width="22.28515625" style="338" customWidth="1"/>
    <col min="8" max="8" width="51.140625" style="338" customWidth="1"/>
    <col min="9" max="9" width="16" style="338" customWidth="1"/>
    <col min="10" max="11" width="10.28515625" style="338" customWidth="1"/>
    <col min="12" max="12" width="6.140625" style="338" customWidth="1"/>
    <col min="13" max="13" width="15.85546875" style="338" bestFit="1" customWidth="1"/>
    <col min="14" max="14" width="77.85546875" style="338" customWidth="1"/>
    <col min="15" max="15" width="24.28515625" style="338" bestFit="1" customWidth="1"/>
    <col min="16" max="16" width="40.7109375" style="338" customWidth="1"/>
    <col min="17" max="17" width="20" style="338" bestFit="1" customWidth="1"/>
    <col min="18" max="18" width="18.7109375" style="338" customWidth="1"/>
    <col min="19" max="23" width="18.7109375" style="669" hidden="1" customWidth="1"/>
    <col min="24" max="38" width="18.7109375" style="338" customWidth="1"/>
    <col min="39" max="16384" width="11.42578125" style="338"/>
  </cols>
  <sheetData>
    <row r="1" spans="1:38" s="336" customFormat="1" ht="101.25" customHeight="1">
      <c r="A1" s="664" t="s">
        <v>25</v>
      </c>
      <c r="B1" s="206" t="s">
        <v>655</v>
      </c>
      <c r="C1" s="335"/>
      <c r="D1" s="335"/>
      <c r="E1" s="335"/>
      <c r="F1" s="335"/>
      <c r="G1" s="335"/>
      <c r="H1" s="335"/>
      <c r="I1" s="335"/>
      <c r="J1" s="335"/>
      <c r="K1" s="335"/>
      <c r="L1" s="335"/>
      <c r="M1" s="335"/>
      <c r="N1" s="335"/>
      <c r="O1" s="335"/>
      <c r="P1" s="335"/>
      <c r="S1" s="495"/>
      <c r="T1" s="495"/>
      <c r="U1" s="495"/>
      <c r="V1" s="495"/>
      <c r="W1" s="495"/>
    </row>
    <row r="2" spans="1:38">
      <c r="A2" s="665" t="str">
        <f>IF(A14&gt;0,"Error","ok")</f>
        <v>Error</v>
      </c>
      <c r="B2" s="666"/>
      <c r="C2" s="666"/>
      <c r="D2" s="667"/>
      <c r="E2" s="667"/>
      <c r="F2" s="667"/>
      <c r="G2" s="667"/>
      <c r="H2" s="667"/>
      <c r="I2" s="667"/>
      <c r="J2" s="667"/>
      <c r="K2" s="667"/>
      <c r="L2" s="667"/>
      <c r="M2" s="668"/>
      <c r="N2" s="668"/>
      <c r="O2" s="668"/>
      <c r="P2" s="668"/>
    </row>
    <row r="3" spans="1:38">
      <c r="A3" s="670">
        <f>IF(A2="Error",0,1)</f>
        <v>0</v>
      </c>
      <c r="B3" s="337" t="str">
        <f>tblParam[[#This Row],[FILTROS]]</f>
        <v>ENTIDAD</v>
      </c>
      <c r="C3" s="671"/>
      <c r="D3" s="667"/>
      <c r="E3" s="667"/>
      <c r="F3" s="667"/>
      <c r="G3" s="667"/>
      <c r="H3" s="667"/>
      <c r="I3" s="667"/>
      <c r="J3" s="667"/>
      <c r="K3" s="667"/>
      <c r="L3" s="667"/>
      <c r="M3" s="668"/>
      <c r="N3" s="672"/>
      <c r="O3" s="668"/>
      <c r="P3" s="668"/>
    </row>
    <row r="4" spans="1:38">
      <c r="A4" s="670" t="e">
        <f ca="1">_xll.EPMMemberOffset(,C4,-12)</f>
        <v>#NAME?</v>
      </c>
      <c r="B4" s="337" t="str">
        <f>tblParam[[#This Row],[FILTROS]]</f>
        <v>PERIODO1</v>
      </c>
      <c r="C4" s="671"/>
      <c r="M4" s="672"/>
      <c r="N4" s="672"/>
      <c r="O4" s="672"/>
      <c r="P4" s="672"/>
    </row>
    <row r="5" spans="1:38">
      <c r="A5" s="670" t="e">
        <f ca="1">_xll.EPMMemberDesc(A4)</f>
        <v>#NAME?</v>
      </c>
      <c r="B5" s="337" t="str">
        <f>tblParam[[#This Row],[FILTROS]]</f>
        <v>PERIODO2</v>
      </c>
      <c r="C5" s="671"/>
      <c r="M5" s="672"/>
      <c r="N5" s="672"/>
      <c r="O5" s="672"/>
      <c r="P5" s="672"/>
    </row>
    <row r="6" spans="1:38" hidden="1">
      <c r="A6" s="670" t="str">
        <f>MID(Resultados!K4,1,4)</f>
        <v/>
      </c>
      <c r="B6" s="337" t="str">
        <f>tblParam[[#This Row],[FILTROS]]</f>
        <v>VERSION</v>
      </c>
      <c r="C6" s="673">
        <f>tblParam[[#This Row],[VALOR]]</f>
        <v>0</v>
      </c>
      <c r="D6" s="674"/>
      <c r="E6" s="675" t="e">
        <f ca="1">_xll.EPMMemberProperty("ANEXO_NOTAS_XBRL", C3, "CURRENCY")</f>
        <v>#NAME?</v>
      </c>
      <c r="L6" s="676" t="str">
        <f>MID(Resultados!K5,1,4)</f>
        <v/>
      </c>
      <c r="M6" s="672"/>
      <c r="N6" s="672"/>
      <c r="O6" s="672"/>
      <c r="P6" s="672"/>
    </row>
    <row r="7" spans="1:38" hidden="1">
      <c r="A7" s="670"/>
      <c r="B7" s="337" t="str">
        <f>tblParam[[#This Row],[FILTROS]]</f>
        <v>GRUPO</v>
      </c>
      <c r="C7" s="671" t="str">
        <f>Resultados!$C$13</f>
        <v>GRUPO EMPRESARIAL INVERNAC</v>
      </c>
      <c r="M7" s="672"/>
      <c r="N7" s="672"/>
      <c r="O7" s="672"/>
      <c r="P7" s="672"/>
    </row>
    <row r="8" spans="1:38">
      <c r="A8" s="670"/>
      <c r="B8" s="226" t="e">
        <f>CONCATENATE("TRM A LA FECHA DE REPORTE: ",IF(INDEX(ENTIDADES[#All],MATCH($C$3,ENTIDADES[[#All],[Concatenacion]],0),3)&lt;&gt;"COP",INDEX(BPC_TASAS[#All],MATCH(INDEX(ENTIDADES[#All],MATCH($C$3,ENTIDADES[[#All],[Concatenacion]],0),3)&amp;"_"&amp;Resultados!$K$4,BPC_TASAS[[#All],[Concatenacion]],0),3),INDEX(BPC_TASAS[#All],MATCH("USD"&amp;"_"&amp;Resultados!$K$4,BPC_TASAS[[#All],[Concatenacion]],0),3)))</f>
        <v>#N/A</v>
      </c>
      <c r="C8" s="671"/>
      <c r="M8" s="672"/>
      <c r="N8" s="672"/>
      <c r="O8" s="672"/>
      <c r="P8" s="672"/>
    </row>
    <row r="9" spans="1:38">
      <c r="A9" s="670"/>
      <c r="B9" s="226" t="e">
        <f>CONCATENATE("MONEDA DE PRESENTACION: ",INDEX(ENTIDADES[#All],MATCH($C$3,ENTIDADES[[#All],[Concatenacion]],0),2),IF(INDEX(ENTIDADES[#All],MATCH($C$3,ENTIDADES[[#All],[Concatenacion]],0),3) = "COP"," (Sin decimales)"," (Con decimales)"))</f>
        <v>#N/A</v>
      </c>
      <c r="C9" s="671"/>
      <c r="M9" s="672"/>
      <c r="N9" s="672"/>
      <c r="O9" s="672"/>
      <c r="P9" s="672"/>
    </row>
    <row r="10" spans="1:38">
      <c r="A10" s="670" t="e">
        <f ca="1">MID(A5,1,4)</f>
        <v>#NAME?</v>
      </c>
      <c r="B10" s="127">
        <v>1</v>
      </c>
      <c r="C10" s="677" t="s">
        <v>29</v>
      </c>
      <c r="M10" s="672"/>
      <c r="N10" s="672"/>
      <c r="O10" s="672"/>
      <c r="P10" s="672"/>
    </row>
    <row r="11" spans="1:38">
      <c r="A11" s="665" t="e">
        <f ca="1">_xll.EPMMemberDesc(C4)</f>
        <v>#NAME?</v>
      </c>
      <c r="C11" s="677"/>
      <c r="M11" s="672"/>
      <c r="N11" s="672"/>
      <c r="O11" s="672"/>
      <c r="P11" s="672"/>
    </row>
    <row r="12" spans="1:38">
      <c r="A12" s="670"/>
      <c r="B12" s="817" t="str">
        <f>CONCATENATE("SALDOS A ",A6)</f>
        <v xml:space="preserve">SALDOS A </v>
      </c>
      <c r="C12" s="817"/>
      <c r="D12" s="817"/>
      <c r="E12" s="817"/>
      <c r="M12" s="817" t="str">
        <f>CONCATENATE("SALDOS A ",L6)</f>
        <v xml:space="preserve">SALDOS A </v>
      </c>
      <c r="N12" s="817"/>
      <c r="O12" s="817"/>
      <c r="P12" s="817"/>
    </row>
    <row r="13" spans="1:38" ht="13.5" thickBot="1">
      <c r="A13" s="628"/>
      <c r="B13" s="626"/>
      <c r="C13" s="631"/>
      <c r="D13" s="629" t="s">
        <v>408</v>
      </c>
      <c r="E13" s="629" t="s">
        <v>689</v>
      </c>
      <c r="F13" s="629" t="s">
        <v>14245</v>
      </c>
      <c r="G13" s="629" t="s">
        <v>408</v>
      </c>
      <c r="H13" s="626"/>
      <c r="I13" s="626"/>
      <c r="J13" s="626"/>
      <c r="K13" s="626"/>
      <c r="L13" s="626"/>
      <c r="M13" s="626"/>
      <c r="N13" s="626"/>
      <c r="O13" s="629" t="s">
        <v>408</v>
      </c>
      <c r="P13" s="629" t="s">
        <v>408</v>
      </c>
      <c r="Q13" s="626"/>
      <c r="R13" s="626"/>
      <c r="S13" s="627"/>
      <c r="T13" s="627"/>
      <c r="U13" s="627"/>
      <c r="V13" s="627"/>
      <c r="W13" s="627"/>
      <c r="X13" s="626"/>
      <c r="Y13" s="626"/>
      <c r="Z13" s="626"/>
      <c r="AA13" s="626"/>
      <c r="AB13" s="626"/>
      <c r="AC13" s="626"/>
      <c r="AD13" s="626"/>
      <c r="AE13" s="626"/>
      <c r="AF13" s="626"/>
      <c r="AG13" s="626"/>
      <c r="AH13" s="626"/>
      <c r="AI13" s="626"/>
      <c r="AJ13" s="626"/>
      <c r="AK13" s="626"/>
      <c r="AL13" s="626"/>
    </row>
    <row r="14" spans="1:38">
      <c r="A14" s="628">
        <f>SUM(A15:A55)</f>
        <v>3</v>
      </c>
      <c r="B14" s="807" t="s">
        <v>633</v>
      </c>
      <c r="C14" s="818" t="s">
        <v>184</v>
      </c>
      <c r="D14" s="808" t="str">
        <f>INDEX(BPC_COLUMNA_NOTA[[#All],[CD_COLUMNA]:[DESCRIPCION_LARGA]],MATCH(D$13,BPC_COLUMNA_NOTA[[#All],[CD_COLUMNA]],0),2)</f>
        <v>Deudores Comerciales</v>
      </c>
      <c r="E14" s="808" t="str">
        <f>INDEX(BPC_COLUMNA_NOTA[[#All],[CD_COLUMNA]:[DESCRIPCION_LARGA]],MATCH(E$13,BPC_COLUMNA_NOTA[[#All],[CD_COLUMNA]],0),2)</f>
        <v>Partes relacionadas</v>
      </c>
      <c r="F14" s="815" t="str">
        <f>INDEX(BPC_COLUMNA_NOTA[[#All],[CD_COLUMNA]:[DESCRIPCION_LARGA]],MATCH(F$13,BPC_COLUMNA_NOTA[[#All],[CD_COLUMNA]],0),2)</f>
        <v>Total</v>
      </c>
      <c r="G14" s="815" t="s">
        <v>456</v>
      </c>
      <c r="H14" s="626"/>
      <c r="I14" s="626"/>
      <c r="J14" s="626"/>
      <c r="K14" s="626"/>
      <c r="L14" s="626"/>
      <c r="M14" s="626"/>
      <c r="N14" s="808" t="s">
        <v>184</v>
      </c>
      <c r="O14" s="808" t="s">
        <v>407</v>
      </c>
      <c r="P14" s="808" t="s">
        <v>31</v>
      </c>
      <c r="Q14" s="626"/>
      <c r="R14" s="626"/>
      <c r="S14" s="627"/>
      <c r="T14" s="627"/>
      <c r="U14" s="627"/>
      <c r="V14" s="627"/>
      <c r="W14" s="627"/>
      <c r="X14" s="626"/>
      <c r="Y14" s="626"/>
      <c r="Z14" s="626"/>
      <c r="AA14" s="626"/>
      <c r="AB14" s="626"/>
      <c r="AC14" s="626"/>
      <c r="AD14" s="626"/>
      <c r="AE14" s="626"/>
      <c r="AF14" s="626"/>
      <c r="AG14" s="626"/>
      <c r="AH14" s="626"/>
      <c r="AI14" s="626"/>
      <c r="AJ14" s="626"/>
      <c r="AK14" s="626"/>
      <c r="AL14" s="626"/>
    </row>
    <row r="15" spans="1:38">
      <c r="A15" s="628"/>
      <c r="B15" s="807"/>
      <c r="C15" s="819"/>
      <c r="D15" s="809"/>
      <c r="E15" s="809"/>
      <c r="F15" s="816"/>
      <c r="G15" s="816"/>
      <c r="H15" s="626"/>
      <c r="I15" s="626"/>
      <c r="J15" s="626"/>
      <c r="K15" s="626"/>
      <c r="L15" s="626"/>
      <c r="M15" s="590"/>
      <c r="N15" s="809"/>
      <c r="O15" s="809"/>
      <c r="P15" s="809"/>
      <c r="Q15" s="626"/>
      <c r="R15" s="626"/>
      <c r="S15" s="627"/>
      <c r="T15" s="627"/>
      <c r="U15" s="627"/>
      <c r="V15" s="627"/>
      <c r="W15" s="627"/>
      <c r="X15" s="626"/>
      <c r="Y15" s="626"/>
      <c r="Z15" s="626"/>
      <c r="AA15" s="626"/>
      <c r="AB15" s="626"/>
      <c r="AC15" s="626"/>
      <c r="AD15" s="626"/>
      <c r="AE15" s="626"/>
      <c r="AF15" s="626"/>
      <c r="AG15" s="626"/>
      <c r="AH15" s="626"/>
      <c r="AI15" s="626"/>
      <c r="AJ15" s="626"/>
      <c r="AK15" s="626"/>
      <c r="AL15" s="626"/>
    </row>
    <row r="16" spans="1:38" ht="25.5">
      <c r="A16" s="625"/>
      <c r="B16" s="590">
        <v>11301002</v>
      </c>
      <c r="C16" s="624" t="s">
        <v>678</v>
      </c>
      <c r="D16" s="632"/>
      <c r="E16" s="632"/>
      <c r="F16" s="633">
        <f>SUM(D16:E16)</f>
        <v>0</v>
      </c>
      <c r="G16" s="128"/>
      <c r="H16" s="494" t="s">
        <v>30</v>
      </c>
      <c r="I16" s="494"/>
      <c r="J16" s="629"/>
      <c r="K16" s="626"/>
      <c r="L16" s="626"/>
      <c r="M16" s="590">
        <v>11301002</v>
      </c>
      <c r="N16" s="624" t="s">
        <v>678</v>
      </c>
      <c r="O16" s="634" t="str">
        <f>IFERROR(INDEX(BPC_NOTAS2[#All],MATCH($M16&amp;"_"&amp;O$13,BPC_NOTAS2[[#All],[FILA_COLUMNA]],0),2),"")</f>
        <v/>
      </c>
      <c r="P16" s="634"/>
      <c r="Q16" s="626"/>
      <c r="R16" s="626"/>
      <c r="S16" s="627" t="e">
        <f ca="1">_xll.EPMSaveData(D16,,$B16,$D$13)</f>
        <v>#NAME?</v>
      </c>
      <c r="T16" s="627" t="e">
        <f ca="1">_xll.EPMSaveData(E16,,$B16,$E$13)</f>
        <v>#NAME?</v>
      </c>
      <c r="U16" s="627"/>
      <c r="V16" s="627"/>
      <c r="W16" s="627"/>
      <c r="X16" s="626"/>
      <c r="Y16" s="626"/>
      <c r="Z16" s="626"/>
      <c r="AA16" s="626"/>
      <c r="AB16" s="626"/>
      <c r="AC16" s="626"/>
      <c r="AD16" s="626"/>
      <c r="AE16" s="626"/>
      <c r="AF16" s="626"/>
      <c r="AG16" s="626"/>
      <c r="AH16" s="626"/>
      <c r="AI16" s="626"/>
      <c r="AJ16" s="626"/>
      <c r="AK16" s="626"/>
      <c r="AL16" s="626"/>
    </row>
    <row r="17" spans="1:38" ht="25.5">
      <c r="A17" s="625">
        <f>IF(I17="Error",1,0)</f>
        <v>0</v>
      </c>
      <c r="B17" s="590" t="s">
        <v>402</v>
      </c>
      <c r="C17" s="387" t="str">
        <f>CONCATENATE("Ajuste al 1 de enero de " &amp;A6 &amp; " por la adopción de NIIF 9, contra resultados acumulados", "( S370505_0 ó S371005_0 )")</f>
        <v>Ajuste al 1 de enero de  por la adopción de NIIF 9, contra resultados acumulados( S370505_0 ó S371005_0 )</v>
      </c>
      <c r="D17" s="632"/>
      <c r="E17" s="632"/>
      <c r="F17" s="633">
        <f>SUM(D17:E17)</f>
        <v>0</v>
      </c>
      <c r="G17" s="372"/>
      <c r="H17" s="493" t="s">
        <v>660</v>
      </c>
      <c r="I17" s="635" t="str">
        <f>IF(AND(F17&lt;&gt;0,LEN(G17)&lt;3),"Error","Ok")</f>
        <v>Ok</v>
      </c>
      <c r="J17" s="629"/>
      <c r="K17" s="629"/>
      <c r="L17" s="626"/>
      <c r="M17" s="590" t="s">
        <v>402</v>
      </c>
      <c r="N17" s="387" t="str">
        <f>CONCATENATE("Ajuste al 1 de enero de " &amp;L6 &amp; " por la adopción de NIIF 9, contra resultados acumulados", "( S370505_0 ó S371005_0 )")</f>
        <v>Ajuste al 1 de enero de  por la adopción de NIIF 9, contra resultados acumulados( S370505_0 ó S371005_0 )</v>
      </c>
      <c r="O17" s="634" t="str">
        <f>IFERROR(INDEX(BPC_NOTAS2[#All],MATCH($M17&amp;"_"&amp;O$13,BPC_NOTAS2[[#All],[FILA_COLUMNA]],0),2),"")</f>
        <v/>
      </c>
      <c r="P17" s="634" t="str">
        <f>IFERROR(INDEX(BPC_COMENTARIOS2[#All],MATCH($M17&amp;"_"&amp;P$13,BPC_COMENTARIOS2[[#All],[FILA_COLUMNA]],0),2),"")</f>
        <v/>
      </c>
      <c r="Q17" s="626"/>
      <c r="R17" s="626"/>
      <c r="S17" s="627" t="e">
        <f ca="1">_xll.EPMSaveData(D17,,$B17,$D$13)</f>
        <v>#NAME?</v>
      </c>
      <c r="T17" s="627" t="e">
        <f ca="1">_xll.EPMSaveData(E17,,$B17,$E$13)</f>
        <v>#NAME?</v>
      </c>
      <c r="U17" s="627" t="e">
        <f ca="1">_xll.EPMSaveComment(G17, "",B17,$D$13)</f>
        <v>#NAME?</v>
      </c>
      <c r="V17" s="627"/>
      <c r="W17" s="627"/>
      <c r="X17" s="626"/>
      <c r="Y17" s="626"/>
      <c r="Z17" s="626"/>
      <c r="AA17" s="626"/>
      <c r="AB17" s="626"/>
      <c r="AC17" s="626"/>
      <c r="AD17" s="626"/>
      <c r="AE17" s="626"/>
      <c r="AF17" s="626"/>
      <c r="AG17" s="626"/>
      <c r="AH17" s="626"/>
      <c r="AI17" s="626"/>
      <c r="AJ17" s="626"/>
      <c r="AK17" s="626"/>
      <c r="AL17" s="626"/>
    </row>
    <row r="18" spans="1:38" ht="38.25">
      <c r="A18" s="625">
        <f>IF(I18="Error",1,0)</f>
        <v>0</v>
      </c>
      <c r="B18" s="590">
        <v>11301004</v>
      </c>
      <c r="C18" s="387" t="s">
        <v>679</v>
      </c>
      <c r="D18" s="632"/>
      <c r="E18" s="632"/>
      <c r="F18" s="633">
        <f>SUM(D18:E18)</f>
        <v>0</v>
      </c>
      <c r="G18" s="372"/>
      <c r="H18" s="493" t="s">
        <v>661</v>
      </c>
      <c r="I18" s="635" t="str">
        <f>IF(AND(F18&lt;&gt;0,LEN(G18)&lt;3),"Error","Ok")</f>
        <v>Ok</v>
      </c>
      <c r="J18" s="629"/>
      <c r="K18" s="629"/>
      <c r="L18" s="626"/>
      <c r="M18" s="590" t="s">
        <v>403</v>
      </c>
      <c r="N18" s="387" t="s">
        <v>679</v>
      </c>
      <c r="O18" s="634" t="str">
        <f>IFERROR(INDEX(BPC_NOTAS2[#All],MATCH($M18&amp;"_"&amp;O$13,BPC_NOTAS2[[#All],[FILA_COLUMNA]],0),2),"")</f>
        <v/>
      </c>
      <c r="P18" s="634" t="str">
        <f>IFERROR(INDEX(BPC_COMENTARIOS2[#All],MATCH($M18&amp;"_"&amp;P$13,BPC_COMENTARIOS2[[#All],[FILA_COLUMNA]],0),2),"")</f>
        <v/>
      </c>
      <c r="Q18" s="626"/>
      <c r="R18" s="626"/>
      <c r="S18" s="627" t="e">
        <f ca="1">_xll.EPMSaveData(D18,,$B18,$D$13)</f>
        <v>#NAME?</v>
      </c>
      <c r="T18" s="627" t="e">
        <f ca="1">_xll.EPMSaveData(E18,,$B18,$E$13)</f>
        <v>#NAME?</v>
      </c>
      <c r="U18" s="627" t="e">
        <f ca="1">_xll.EPMSaveComment(G18, "",B18,$D$13)</f>
        <v>#NAME?</v>
      </c>
      <c r="V18" s="627"/>
      <c r="W18" s="627"/>
      <c r="X18" s="626"/>
      <c r="Y18" s="626"/>
      <c r="Z18" s="626"/>
      <c r="AA18" s="626"/>
      <c r="AB18" s="626"/>
      <c r="AC18" s="626"/>
      <c r="AD18" s="626"/>
      <c r="AE18" s="626"/>
      <c r="AF18" s="626"/>
      <c r="AG18" s="626"/>
      <c r="AH18" s="626"/>
      <c r="AI18" s="626"/>
      <c r="AJ18" s="626"/>
      <c r="AK18" s="626"/>
      <c r="AL18" s="626"/>
    </row>
    <row r="19" spans="1:38" ht="38.25">
      <c r="A19" s="625">
        <f>IF(I19="Error",1,0)</f>
        <v>0</v>
      </c>
      <c r="B19" s="590" t="s">
        <v>404</v>
      </c>
      <c r="C19" s="387" t="s">
        <v>680</v>
      </c>
      <c r="D19" s="632"/>
      <c r="E19" s="632"/>
      <c r="F19" s="633">
        <f>SUM(D19:E19)</f>
        <v>0</v>
      </c>
      <c r="G19" s="372"/>
      <c r="H19" s="493" t="s">
        <v>662</v>
      </c>
      <c r="I19" s="635" t="str">
        <f>IF(AND(F19&lt;&gt;0,LEN(G19)&lt;3),"Error","Ok")</f>
        <v>Ok</v>
      </c>
      <c r="J19" s="629"/>
      <c r="K19" s="629"/>
      <c r="L19" s="626"/>
      <c r="M19" s="590" t="s">
        <v>404</v>
      </c>
      <c r="N19" s="387" t="s">
        <v>680</v>
      </c>
      <c r="O19" s="634" t="str">
        <f>IFERROR(INDEX(BPC_NOTAS2[#All],MATCH($M19&amp;"_"&amp;O$13,BPC_NOTAS2[[#All],[FILA_COLUMNA]],0),2),"")</f>
        <v/>
      </c>
      <c r="P19" s="634" t="str">
        <f>IFERROR(INDEX(BPC_COMENTARIOS2[#All],MATCH($M19&amp;"_"&amp;P$13,BPC_COMENTARIOS2[[#All],[FILA_COLUMNA]],0),2),"")</f>
        <v/>
      </c>
      <c r="Q19" s="626"/>
      <c r="R19" s="626"/>
      <c r="S19" s="627" t="e">
        <f ca="1">_xll.EPMSaveData(D19,,$B19,$D$13)</f>
        <v>#NAME?</v>
      </c>
      <c r="T19" s="627" t="e">
        <f ca="1">_xll.EPMSaveData(E19,,$B19,$E$13)</f>
        <v>#NAME?</v>
      </c>
      <c r="U19" s="627" t="e">
        <f ca="1">_xll.EPMSaveComment(G19, "",B19,$D$13)</f>
        <v>#NAME?</v>
      </c>
      <c r="V19" s="627"/>
      <c r="W19" s="627"/>
      <c r="X19" s="626"/>
      <c r="Y19" s="626"/>
      <c r="Z19" s="626"/>
      <c r="AA19" s="626"/>
      <c r="AB19" s="626"/>
      <c r="AC19" s="626"/>
      <c r="AD19" s="626"/>
      <c r="AE19" s="626"/>
      <c r="AF19" s="626"/>
      <c r="AG19" s="626"/>
      <c r="AH19" s="626"/>
      <c r="AI19" s="626"/>
      <c r="AJ19" s="626"/>
      <c r="AK19" s="626"/>
      <c r="AL19" s="626"/>
    </row>
    <row r="20" spans="1:38" ht="25.5">
      <c r="A20" s="625"/>
      <c r="B20" s="590" t="s">
        <v>405</v>
      </c>
      <c r="C20" s="387" t="s">
        <v>681</v>
      </c>
      <c r="D20" s="632"/>
      <c r="E20" s="632"/>
      <c r="F20" s="633">
        <f>SUM(D20:E20)</f>
        <v>0</v>
      </c>
      <c r="G20" s="128"/>
      <c r="H20" s="626"/>
      <c r="I20" s="636"/>
      <c r="J20" s="629"/>
      <c r="K20" s="629"/>
      <c r="L20" s="626"/>
      <c r="M20" s="590" t="s">
        <v>405</v>
      </c>
      <c r="N20" s="387" t="s">
        <v>681</v>
      </c>
      <c r="O20" s="634" t="str">
        <f>IFERROR(INDEX(BPC_NOTAS2[#All],MATCH($M20&amp;"_"&amp;O$13,BPC_NOTAS2[[#All],[FILA_COLUMNA]],0),2),"")</f>
        <v/>
      </c>
      <c r="P20" s="634"/>
      <c r="Q20" s="626"/>
      <c r="R20" s="626"/>
      <c r="S20" s="627" t="e">
        <f ca="1">_xll.EPMSaveData(D20,,$B20,$D$13)</f>
        <v>#NAME?</v>
      </c>
      <c r="T20" s="627" t="e">
        <f ca="1">_xll.EPMSaveData(E20,,$B20,$E$13)</f>
        <v>#NAME?</v>
      </c>
      <c r="U20" s="627"/>
      <c r="V20" s="627"/>
      <c r="W20" s="627"/>
      <c r="X20" s="626"/>
      <c r="Y20" s="626"/>
      <c r="Z20" s="626"/>
      <c r="AA20" s="626"/>
      <c r="AB20" s="626"/>
      <c r="AC20" s="626"/>
      <c r="AD20" s="626"/>
      <c r="AE20" s="626"/>
      <c r="AF20" s="626"/>
      <c r="AG20" s="626"/>
      <c r="AH20" s="626"/>
      <c r="AI20" s="626"/>
      <c r="AJ20" s="626"/>
      <c r="AK20" s="626"/>
      <c r="AL20" s="626"/>
    </row>
    <row r="21" spans="1:38" ht="12.75" customHeight="1">
      <c r="A21" s="625"/>
      <c r="B21" s="590" t="s">
        <v>406</v>
      </c>
      <c r="C21" s="624" t="s">
        <v>682</v>
      </c>
      <c r="D21" s="633">
        <f>SUM(D16:D20)</f>
        <v>0</v>
      </c>
      <c r="E21" s="633">
        <f>SUM(E16:E20)</f>
        <v>0</v>
      </c>
      <c r="F21" s="633">
        <f>SUM(F16:F20)</f>
        <v>0</v>
      </c>
      <c r="G21" s="829" t="s">
        <v>663</v>
      </c>
      <c r="H21" s="830"/>
      <c r="I21" s="494"/>
      <c r="J21" s="629"/>
      <c r="K21" s="629"/>
      <c r="L21" s="626"/>
      <c r="M21" s="590" t="s">
        <v>406</v>
      </c>
      <c r="N21" s="624" t="s">
        <v>682</v>
      </c>
      <c r="O21" s="633">
        <f>SUM(O16:O20)</f>
        <v>0</v>
      </c>
      <c r="P21" s="626"/>
      <c r="Q21" s="626"/>
      <c r="R21" s="626"/>
      <c r="S21" s="627"/>
      <c r="T21" s="627"/>
      <c r="U21" s="627"/>
      <c r="V21" s="627"/>
      <c r="W21" s="627"/>
      <c r="X21" s="626"/>
      <c r="Y21" s="626"/>
      <c r="Z21" s="626"/>
      <c r="AA21" s="626"/>
      <c r="AB21" s="626"/>
      <c r="AC21" s="626"/>
      <c r="AD21" s="626"/>
      <c r="AE21" s="626"/>
      <c r="AF21" s="626"/>
      <c r="AG21" s="626"/>
      <c r="AH21" s="626"/>
      <c r="AI21" s="626"/>
      <c r="AJ21" s="626"/>
      <c r="AK21" s="626"/>
      <c r="AL21" s="626"/>
    </row>
    <row r="22" spans="1:38">
      <c r="A22" s="625"/>
      <c r="B22" s="637"/>
      <c r="C22" s="636"/>
      <c r="D22" s="636"/>
      <c r="E22" s="636"/>
      <c r="F22" s="636"/>
      <c r="G22" s="636"/>
      <c r="H22" s="636"/>
      <c r="I22" s="636"/>
      <c r="J22" s="638"/>
      <c r="K22" s="638"/>
      <c r="L22" s="638"/>
      <c r="M22" s="639"/>
      <c r="N22" s="638"/>
      <c r="O22" s="638"/>
      <c r="P22" s="638"/>
      <c r="Q22" s="626"/>
      <c r="R22" s="626"/>
      <c r="S22" s="627"/>
      <c r="T22" s="627"/>
      <c r="U22" s="627"/>
      <c r="V22" s="627"/>
      <c r="W22" s="627"/>
      <c r="X22" s="626"/>
      <c r="Y22" s="626"/>
      <c r="Z22" s="626"/>
      <c r="AA22" s="626"/>
      <c r="AB22" s="626"/>
      <c r="AC22" s="626"/>
      <c r="AD22" s="626"/>
      <c r="AE22" s="626"/>
      <c r="AF22" s="626"/>
      <c r="AG22" s="626"/>
      <c r="AH22" s="626"/>
      <c r="AI22" s="626"/>
      <c r="AJ22" s="626"/>
      <c r="AK22" s="626"/>
      <c r="AL22" s="626"/>
    </row>
    <row r="23" spans="1:38">
      <c r="A23" s="625"/>
      <c r="B23" s="637"/>
      <c r="C23" s="636"/>
      <c r="D23" s="636"/>
      <c r="E23" s="636"/>
      <c r="F23" s="636"/>
      <c r="G23" s="636"/>
      <c r="H23" s="636"/>
      <c r="I23" s="636"/>
      <c r="J23" s="638"/>
      <c r="K23" s="638"/>
      <c r="L23" s="638"/>
      <c r="M23" s="638"/>
      <c r="N23" s="638"/>
      <c r="O23" s="638"/>
      <c r="P23" s="638"/>
      <c r="Q23" s="626"/>
      <c r="R23" s="626"/>
      <c r="S23" s="627"/>
      <c r="T23" s="627"/>
      <c r="U23" s="627"/>
      <c r="V23" s="627"/>
      <c r="W23" s="627"/>
      <c r="X23" s="626"/>
      <c r="Y23" s="626"/>
      <c r="Z23" s="626"/>
      <c r="AA23" s="626"/>
      <c r="AB23" s="626"/>
      <c r="AC23" s="626"/>
      <c r="AD23" s="626"/>
      <c r="AE23" s="626"/>
      <c r="AF23" s="626"/>
      <c r="AG23" s="626"/>
      <c r="AH23" s="626"/>
      <c r="AI23" s="626"/>
      <c r="AJ23" s="626"/>
      <c r="AK23" s="626"/>
      <c r="AL23" s="626"/>
    </row>
    <row r="24" spans="1:38">
      <c r="A24" s="625"/>
      <c r="B24" s="640"/>
      <c r="C24" s="626" t="s">
        <v>31</v>
      </c>
      <c r="D24" s="638"/>
      <c r="E24" s="638"/>
      <c r="F24" s="641"/>
      <c r="G24" s="638"/>
      <c r="H24" s="638"/>
      <c r="I24" s="636"/>
      <c r="J24" s="638"/>
      <c r="K24" s="638"/>
      <c r="L24" s="638"/>
      <c r="M24" s="638"/>
      <c r="N24" s="626" t="s">
        <v>31</v>
      </c>
      <c r="O24" s="626"/>
      <c r="P24" s="626"/>
      <c r="Q24" s="626"/>
      <c r="R24" s="626"/>
      <c r="S24" s="627"/>
      <c r="T24" s="627"/>
      <c r="U24" s="627"/>
      <c r="V24" s="627"/>
      <c r="W24" s="627"/>
      <c r="X24" s="626"/>
      <c r="Y24" s="626"/>
      <c r="Z24" s="626"/>
      <c r="AA24" s="626"/>
      <c r="AB24" s="626"/>
      <c r="AC24" s="626"/>
      <c r="AD24" s="626"/>
      <c r="AE24" s="626"/>
      <c r="AF24" s="626"/>
      <c r="AG24" s="626"/>
      <c r="AH24" s="626"/>
      <c r="AI24" s="626"/>
      <c r="AJ24" s="626"/>
      <c r="AK24" s="626"/>
      <c r="AL24" s="626"/>
    </row>
    <row r="25" spans="1:38">
      <c r="A25" s="625">
        <f>IF(I25="Error",1,0)</f>
        <v>1</v>
      </c>
      <c r="B25" s="590">
        <v>11303009</v>
      </c>
      <c r="C25" s="820"/>
      <c r="D25" s="821"/>
      <c r="E25" s="822"/>
      <c r="F25" s="626" t="str">
        <f>IF(LEN(C25)&lt;3,"Ingrese una observación","")</f>
        <v>Ingrese una observación</v>
      </c>
      <c r="G25" s="626"/>
      <c r="H25" s="626"/>
      <c r="I25" s="635" t="str">
        <f>IF(LEN(C25)&lt;3,"Error","Ok")</f>
        <v>Error</v>
      </c>
      <c r="J25" s="626"/>
      <c r="K25" s="629"/>
      <c r="L25" s="626"/>
      <c r="M25" s="590">
        <v>11303009</v>
      </c>
      <c r="N25" s="831" t="str">
        <f>IFERROR(INDEX(BPC_COMENTARIOS2[#All],MATCH($M25&amp;"_"&amp;P$13,BPC_COMENTARIOS2[[#All],[FILA_COLUMNA]],0),2),"")</f>
        <v/>
      </c>
      <c r="O25" s="832"/>
      <c r="P25" s="833"/>
      <c r="Q25" s="626"/>
      <c r="R25" s="626"/>
      <c r="S25" s="627" t="e">
        <f ca="1">_xll.EPMSaveComment(C25, "",B25,$D$13)</f>
        <v>#NAME?</v>
      </c>
      <c r="T25" s="627"/>
      <c r="U25" s="627"/>
      <c r="V25" s="627"/>
      <c r="W25" s="627"/>
      <c r="X25" s="626"/>
      <c r="Y25" s="626"/>
      <c r="Z25" s="626"/>
      <c r="AA25" s="626"/>
      <c r="AB25" s="626"/>
      <c r="AC25" s="626"/>
      <c r="AD25" s="626"/>
      <c r="AE25" s="626"/>
      <c r="AF25" s="626"/>
      <c r="AG25" s="626"/>
      <c r="AH25" s="626"/>
      <c r="AI25" s="626"/>
      <c r="AJ25" s="626"/>
      <c r="AK25" s="626"/>
      <c r="AL25" s="626"/>
    </row>
    <row r="26" spans="1:38">
      <c r="A26" s="625"/>
      <c r="B26" s="642"/>
      <c r="C26" s="823"/>
      <c r="D26" s="824"/>
      <c r="E26" s="825"/>
      <c r="F26" s="643"/>
      <c r="G26" s="626"/>
      <c r="H26" s="626"/>
      <c r="I26" s="636"/>
      <c r="J26" s="626"/>
      <c r="K26" s="626"/>
      <c r="L26" s="626"/>
      <c r="M26" s="626"/>
      <c r="N26" s="834"/>
      <c r="O26" s="835"/>
      <c r="P26" s="836"/>
      <c r="Q26" s="626"/>
      <c r="R26" s="626"/>
      <c r="S26" s="627"/>
      <c r="T26" s="627"/>
      <c r="U26" s="627"/>
      <c r="V26" s="627"/>
      <c r="W26" s="627"/>
      <c r="X26" s="626"/>
      <c r="Y26" s="626"/>
      <c r="Z26" s="626"/>
      <c r="AA26" s="626"/>
      <c r="AB26" s="626"/>
      <c r="AC26" s="626"/>
      <c r="AD26" s="626"/>
      <c r="AE26" s="626"/>
      <c r="AF26" s="626"/>
      <c r="AG26" s="626"/>
      <c r="AH26" s="626"/>
      <c r="AI26" s="626"/>
      <c r="AJ26" s="626"/>
      <c r="AK26" s="626"/>
      <c r="AL26" s="626"/>
    </row>
    <row r="27" spans="1:38">
      <c r="A27" s="625"/>
      <c r="B27" s="642"/>
      <c r="C27" s="826"/>
      <c r="D27" s="827"/>
      <c r="E27" s="828"/>
      <c r="F27" s="626"/>
      <c r="G27" s="638"/>
      <c r="H27" s="638"/>
      <c r="I27" s="636"/>
      <c r="J27" s="626"/>
      <c r="K27" s="626"/>
      <c r="L27" s="626"/>
      <c r="M27" s="626"/>
      <c r="N27" s="837"/>
      <c r="O27" s="838"/>
      <c r="P27" s="839"/>
      <c r="Q27" s="626"/>
      <c r="R27" s="626"/>
      <c r="S27" s="627"/>
      <c r="T27" s="627"/>
      <c r="U27" s="627"/>
      <c r="V27" s="627"/>
      <c r="W27" s="627"/>
      <c r="X27" s="626"/>
      <c r="Y27" s="626"/>
      <c r="Z27" s="626"/>
      <c r="AA27" s="626"/>
      <c r="AB27" s="626"/>
      <c r="AC27" s="626"/>
      <c r="AD27" s="626"/>
      <c r="AE27" s="626"/>
      <c r="AF27" s="626"/>
      <c r="AG27" s="626"/>
      <c r="AH27" s="626"/>
      <c r="AI27" s="626"/>
      <c r="AJ27" s="626"/>
      <c r="AK27" s="626"/>
      <c r="AL27" s="626"/>
    </row>
    <row r="28" spans="1:38">
      <c r="A28" s="625"/>
      <c r="B28" s="638"/>
      <c r="C28" s="636"/>
      <c r="D28" s="636"/>
      <c r="E28" s="636"/>
      <c r="F28" s="636"/>
      <c r="G28" s="636"/>
      <c r="H28" s="636"/>
      <c r="I28" s="636"/>
      <c r="J28" s="638"/>
      <c r="K28" s="638"/>
      <c r="L28" s="638"/>
      <c r="M28" s="638"/>
      <c r="N28" s="638"/>
      <c r="O28" s="638"/>
      <c r="P28" s="638"/>
      <c r="Q28" s="626"/>
      <c r="R28" s="626"/>
      <c r="S28" s="627"/>
      <c r="T28" s="627"/>
      <c r="U28" s="627"/>
      <c r="V28" s="627"/>
      <c r="W28" s="627"/>
      <c r="X28" s="626"/>
      <c r="Y28" s="626"/>
      <c r="Z28" s="626"/>
      <c r="AA28" s="626"/>
      <c r="AB28" s="626"/>
      <c r="AC28" s="626"/>
      <c r="AD28" s="626"/>
      <c r="AE28" s="626"/>
      <c r="AF28" s="626"/>
      <c r="AG28" s="626"/>
      <c r="AH28" s="626"/>
      <c r="AI28" s="626"/>
      <c r="AJ28" s="626"/>
      <c r="AK28" s="626"/>
      <c r="AL28" s="626"/>
    </row>
    <row r="29" spans="1:38">
      <c r="A29" s="625"/>
      <c r="B29" s="638"/>
      <c r="C29" s="636"/>
      <c r="D29" s="636"/>
      <c r="E29" s="636"/>
      <c r="F29" s="636"/>
      <c r="G29" s="636"/>
      <c r="H29" s="636"/>
      <c r="I29" s="636"/>
      <c r="J29" s="638"/>
      <c r="K29" s="638"/>
      <c r="L29" s="638"/>
      <c r="M29" s="638"/>
      <c r="N29" s="638"/>
      <c r="O29" s="638"/>
      <c r="P29" s="638"/>
      <c r="Q29" s="626"/>
      <c r="R29" s="626"/>
      <c r="S29" s="627"/>
      <c r="T29" s="627"/>
      <c r="U29" s="627"/>
      <c r="V29" s="627"/>
      <c r="W29" s="627"/>
      <c r="X29" s="626"/>
      <c r="Y29" s="626"/>
      <c r="Z29" s="626"/>
      <c r="AA29" s="626"/>
      <c r="AB29" s="626"/>
      <c r="AC29" s="626"/>
      <c r="AD29" s="626"/>
      <c r="AE29" s="626"/>
      <c r="AF29" s="626"/>
      <c r="AG29" s="626"/>
      <c r="AH29" s="626"/>
      <c r="AI29" s="626"/>
      <c r="AJ29" s="626"/>
      <c r="AK29" s="626"/>
      <c r="AL29" s="626"/>
    </row>
    <row r="30" spans="1:38" ht="25.5">
      <c r="A30" s="625"/>
      <c r="B30" s="630">
        <v>2</v>
      </c>
      <c r="C30" s="644" t="s">
        <v>32</v>
      </c>
      <c r="D30" s="636"/>
      <c r="E30" s="636"/>
      <c r="F30" s="636"/>
      <c r="G30" s="636"/>
      <c r="H30" s="636"/>
      <c r="I30" s="636"/>
      <c r="J30" s="626"/>
      <c r="K30" s="626"/>
      <c r="L30" s="626"/>
      <c r="M30" s="630">
        <v>2</v>
      </c>
      <c r="N30" s="644" t="s">
        <v>32</v>
      </c>
      <c r="O30" s="626"/>
      <c r="P30" s="626"/>
      <c r="Q30" s="626"/>
      <c r="R30" s="626"/>
      <c r="S30" s="627"/>
      <c r="T30" s="627"/>
      <c r="U30" s="627"/>
      <c r="V30" s="627"/>
      <c r="W30" s="627"/>
      <c r="X30" s="626"/>
      <c r="Y30" s="626"/>
      <c r="Z30" s="626"/>
      <c r="AA30" s="626"/>
      <c r="AB30" s="626"/>
      <c r="AC30" s="626"/>
      <c r="AD30" s="626"/>
      <c r="AE30" s="626"/>
      <c r="AF30" s="626"/>
      <c r="AG30" s="626"/>
      <c r="AH30" s="626"/>
      <c r="AI30" s="626"/>
      <c r="AJ30" s="626"/>
      <c r="AK30" s="626"/>
      <c r="AL30" s="626"/>
    </row>
    <row r="31" spans="1:38">
      <c r="A31" s="625"/>
      <c r="B31" s="626"/>
      <c r="C31" s="626"/>
      <c r="D31" s="636"/>
      <c r="E31" s="636"/>
      <c r="F31" s="636"/>
      <c r="G31" s="636"/>
      <c r="H31" s="636"/>
      <c r="I31" s="636"/>
      <c r="J31" s="626"/>
      <c r="K31" s="626"/>
      <c r="L31" s="626"/>
      <c r="M31" s="626"/>
      <c r="N31" s="626"/>
      <c r="O31" s="626"/>
      <c r="P31" s="626"/>
      <c r="Q31" s="626"/>
      <c r="R31" s="626"/>
      <c r="S31" s="627"/>
      <c r="T31" s="627"/>
      <c r="U31" s="627"/>
      <c r="V31" s="627"/>
      <c r="W31" s="627"/>
      <c r="X31" s="626"/>
      <c r="Y31" s="626"/>
      <c r="Z31" s="626"/>
      <c r="AA31" s="626"/>
      <c r="AB31" s="626"/>
      <c r="AC31" s="626"/>
      <c r="AD31" s="626"/>
      <c r="AE31" s="626"/>
      <c r="AF31" s="626"/>
      <c r="AG31" s="626"/>
      <c r="AH31" s="626"/>
      <c r="AI31" s="626"/>
      <c r="AJ31" s="626"/>
      <c r="AK31" s="626"/>
      <c r="AL31" s="626"/>
    </row>
    <row r="32" spans="1:38" ht="13.5" thickBot="1">
      <c r="A32" s="625"/>
      <c r="B32" s="626"/>
      <c r="C32" s="629"/>
      <c r="D32" s="629" t="s">
        <v>418</v>
      </c>
      <c r="E32" s="629" t="s">
        <v>419</v>
      </c>
      <c r="F32" s="629" t="s">
        <v>14246</v>
      </c>
      <c r="G32" s="638"/>
      <c r="H32" s="638"/>
      <c r="I32" s="636"/>
      <c r="J32" s="626"/>
      <c r="K32" s="626"/>
      <c r="L32" s="626"/>
      <c r="M32" s="626"/>
      <c r="N32" s="626"/>
      <c r="O32" s="629" t="s">
        <v>418</v>
      </c>
      <c r="P32" s="629" t="s">
        <v>419</v>
      </c>
      <c r="Q32" s="629" t="s">
        <v>14246</v>
      </c>
      <c r="R32" s="626"/>
      <c r="S32" s="627"/>
      <c r="T32" s="627"/>
      <c r="U32" s="627"/>
      <c r="V32" s="627"/>
      <c r="W32" s="627"/>
      <c r="X32" s="626"/>
      <c r="Y32" s="626"/>
      <c r="Z32" s="626"/>
      <c r="AA32" s="626"/>
      <c r="AB32" s="626"/>
      <c r="AC32" s="626"/>
      <c r="AD32" s="626"/>
      <c r="AE32" s="626"/>
      <c r="AF32" s="626"/>
      <c r="AG32" s="626"/>
      <c r="AH32" s="626"/>
      <c r="AI32" s="626"/>
      <c r="AJ32" s="626"/>
      <c r="AK32" s="626"/>
      <c r="AL32" s="626"/>
    </row>
    <row r="33" spans="1:38">
      <c r="A33" s="625"/>
      <c r="B33" s="806" t="s">
        <v>633</v>
      </c>
      <c r="C33" s="818" t="s">
        <v>184</v>
      </c>
      <c r="D33" s="808" t="str">
        <f>INDEX(BPC_COLUMNA_NOTA[[#All],[CD_COLUMNA]:[DESCRIPCION_LARGA]],MATCH(D$32,BPC_COLUMNA_NOTA[[#All],[CD_COLUMNA]],0),2)</f>
        <v>Deudores Comerciales</v>
      </c>
      <c r="E33" s="808" t="str">
        <f>INDEX(BPC_COLUMNA_NOTA[[#All],[CD_COLUMNA]:[DESCRIPCION_LARGA]],MATCH(E$32,BPC_COLUMNA_NOTA[[#All],[CD_COLUMNA]],0),2)</f>
        <v>Partes relacionadas</v>
      </c>
      <c r="F33" s="815" t="str">
        <f>INDEX(BPC_COLUMNA_NOTA[[#All],[CD_COLUMNA]:[DESCRIPCION_LARGA]],MATCH(F$32,BPC_COLUMNA_NOTA[[#All],[CD_COLUMNA]],0),2)</f>
        <v>Total</v>
      </c>
      <c r="G33" s="645"/>
      <c r="H33" s="638"/>
      <c r="I33" s="636"/>
      <c r="J33" s="626"/>
      <c r="K33" s="626"/>
      <c r="L33" s="626"/>
      <c r="M33" s="626"/>
      <c r="N33" s="808" t="s">
        <v>184</v>
      </c>
      <c r="O33" s="808" t="str">
        <f>INDEX(BPC_COLUMNA_NOTA[[#All],[CD_COLUMNA]:[DESCRIPCION_LARGA]],MATCH(O$32,BPC_COLUMNA_NOTA[[#All],[CD_COLUMNA]],0),2)</f>
        <v>Deudores Comerciales</v>
      </c>
      <c r="P33" s="808" t="str">
        <f>INDEX(BPC_COLUMNA_NOTA[[#All],[CD_COLUMNA]:[DESCRIPCION_LARGA]],MATCH(P$32,BPC_COLUMNA_NOTA[[#All],[CD_COLUMNA]],0),2)</f>
        <v>Partes relacionadas</v>
      </c>
      <c r="Q33" s="808" t="str">
        <f>INDEX(BPC_COLUMNA_NOTA[[#All],[CD_COLUMNA]:[DESCRIPCION_LARGA]],MATCH(Q$32,BPC_COLUMNA_NOTA[[#All],[CD_COLUMNA]],0),2)</f>
        <v>Total</v>
      </c>
      <c r="R33" s="626"/>
      <c r="S33" s="627"/>
      <c r="T33" s="627"/>
      <c r="U33" s="627"/>
      <c r="V33" s="627"/>
      <c r="W33" s="627"/>
      <c r="X33" s="626"/>
      <c r="Y33" s="626"/>
      <c r="Z33" s="626"/>
      <c r="AA33" s="626"/>
      <c r="AB33" s="626"/>
      <c r="AC33" s="626"/>
      <c r="AD33" s="626"/>
      <c r="AE33" s="626"/>
      <c r="AF33" s="626"/>
      <c r="AG33" s="626"/>
      <c r="AH33" s="626"/>
      <c r="AI33" s="626"/>
      <c r="AJ33" s="626"/>
      <c r="AK33" s="626"/>
      <c r="AL33" s="626"/>
    </row>
    <row r="34" spans="1:38">
      <c r="A34" s="625"/>
      <c r="B34" s="806"/>
      <c r="C34" s="819"/>
      <c r="D34" s="809"/>
      <c r="E34" s="809"/>
      <c r="F34" s="816"/>
      <c r="G34" s="645"/>
      <c r="H34" s="638"/>
      <c r="I34" s="636"/>
      <c r="J34" s="626"/>
      <c r="K34" s="626"/>
      <c r="L34" s="626"/>
      <c r="M34" s="590"/>
      <c r="N34" s="809"/>
      <c r="O34" s="809"/>
      <c r="P34" s="809"/>
      <c r="Q34" s="809"/>
      <c r="R34" s="626"/>
      <c r="S34" s="627"/>
      <c r="T34" s="627"/>
      <c r="U34" s="627"/>
      <c r="V34" s="627"/>
      <c r="W34" s="627"/>
      <c r="X34" s="626"/>
      <c r="Y34" s="626"/>
      <c r="Z34" s="626"/>
      <c r="AA34" s="626"/>
      <c r="AB34" s="626"/>
      <c r="AC34" s="626"/>
      <c r="AD34" s="626"/>
      <c r="AE34" s="626"/>
      <c r="AF34" s="626"/>
      <c r="AG34" s="626"/>
      <c r="AH34" s="626"/>
      <c r="AI34" s="626"/>
      <c r="AJ34" s="626"/>
      <c r="AK34" s="626"/>
      <c r="AL34" s="626"/>
    </row>
    <row r="35" spans="1:38">
      <c r="A35" s="625"/>
      <c r="B35" s="591" t="s">
        <v>961</v>
      </c>
      <c r="C35" s="387" t="str">
        <f>INDEX(BPC_FILA_NOTA[#All],MATCH($B35,BPC_FILA_NOTA[[#All],[ID]],0),2)</f>
        <v>No vencidas - No deterioradas</v>
      </c>
      <c r="D35" s="632"/>
      <c r="E35" s="632"/>
      <c r="F35" s="633">
        <f>SUM(D35:E35)</f>
        <v>0</v>
      </c>
      <c r="G35" s="638"/>
      <c r="H35" s="638"/>
      <c r="I35" s="636"/>
      <c r="J35" s="626"/>
      <c r="K35" s="626"/>
      <c r="L35" s="626"/>
      <c r="M35" s="590">
        <v>11302002</v>
      </c>
      <c r="N35" s="646" t="str">
        <f>INDEX(BPC_FILA_NOTA[#All],MATCH($B35,BPC_FILA_NOTA[[#All],[ID]],0),2)</f>
        <v>No vencidas - No deterioradas</v>
      </c>
      <c r="O35" s="634">
        <f>IFERROR(INDEX(BPC_NOTAS2[#All],MATCH($M35&amp;"_"&amp;O$32,BPC_NOTAS2[[#All],[FILA_COLUMNA]],0),2),"")</f>
        <v>393148603</v>
      </c>
      <c r="P35" s="634">
        <f>IFERROR(INDEX(BPC_NOTAS2[#All],MATCH($M35&amp;"_"&amp;P$32,BPC_NOTAS2[[#All],[FILA_COLUMNA]],0),2),"")</f>
        <v>1243074</v>
      </c>
      <c r="Q35" s="633">
        <f>SUM(O35:P35)</f>
        <v>394391677</v>
      </c>
      <c r="R35" s="626"/>
      <c r="S35" s="627" t="e">
        <f ca="1">_xll.EPMSaveData(D35,,$B35,$D$32)</f>
        <v>#NAME?</v>
      </c>
      <c r="T35" s="627" t="e">
        <f ca="1">_xll.EPMSaveData(E35,,$B35,$E$32)</f>
        <v>#NAME?</v>
      </c>
      <c r="U35" s="627"/>
      <c r="V35" s="627"/>
      <c r="W35" s="627"/>
      <c r="X35" s="626"/>
      <c r="Y35" s="626"/>
      <c r="Z35" s="626"/>
      <c r="AA35" s="626"/>
      <c r="AB35" s="626"/>
      <c r="AC35" s="626"/>
      <c r="AD35" s="626"/>
      <c r="AE35" s="626"/>
      <c r="AF35" s="626"/>
      <c r="AG35" s="626"/>
      <c r="AH35" s="626"/>
      <c r="AI35" s="626"/>
      <c r="AJ35" s="626"/>
      <c r="AK35" s="626"/>
      <c r="AL35" s="626"/>
    </row>
    <row r="36" spans="1:38">
      <c r="A36" s="625"/>
      <c r="B36" s="647" t="s">
        <v>9512</v>
      </c>
      <c r="C36" s="387" t="str">
        <f>INDEX(BPC_FILA_NOTA[#All],MATCH($B36,BPC_FILA_NOTA[[#All],[ID]],0),2)</f>
        <v>Vencidas 1 a 30 días</v>
      </c>
      <c r="D36" s="632"/>
      <c r="E36" s="632"/>
      <c r="F36" s="633">
        <f>SUM(D36:E36)</f>
        <v>0</v>
      </c>
      <c r="G36" s="638"/>
      <c r="H36" s="638"/>
      <c r="I36" s="636"/>
      <c r="J36" s="626"/>
      <c r="K36" s="626"/>
      <c r="L36" s="626"/>
      <c r="M36" s="590">
        <v>11302003</v>
      </c>
      <c r="N36" s="646" t="str">
        <f>INDEX(BPC_FILA_NOTA[#All],MATCH($B36,BPC_FILA_NOTA[[#All],[ID]],0),2)</f>
        <v>Vencidas 1 a 30 días</v>
      </c>
      <c r="O36" s="634">
        <f>IFERROR(INDEX(BPC_NOTAS2[#All],MATCH($M36&amp;"_"&amp;O$32,BPC_NOTAS2[[#All],[FILA_COLUMNA]],0),2),"")</f>
        <v>11981439</v>
      </c>
      <c r="P36" s="634" t="str">
        <f>IFERROR(INDEX(BPC_NOTAS2[#All],MATCH($M36&amp;"_"&amp;P$32,BPC_NOTAS2[[#All],[FILA_COLUMNA]],0),2),"")</f>
        <v/>
      </c>
      <c r="Q36" s="633">
        <f>SUM(O36:P36)</f>
        <v>11981439</v>
      </c>
      <c r="R36" s="626"/>
      <c r="S36" s="627" t="e">
        <f ca="1">_xll.EPMSaveData(D36,,$B36,$D$32)</f>
        <v>#NAME?</v>
      </c>
      <c r="T36" s="627" t="e">
        <f ca="1">_xll.EPMSaveData(E36,,$B36,$E$32)</f>
        <v>#NAME?</v>
      </c>
      <c r="U36" s="627"/>
      <c r="V36" s="627"/>
      <c r="W36" s="627"/>
      <c r="X36" s="626"/>
      <c r="Y36" s="626"/>
      <c r="Z36" s="626"/>
      <c r="AA36" s="626"/>
      <c r="AB36" s="626"/>
      <c r="AC36" s="626"/>
      <c r="AD36" s="626"/>
      <c r="AE36" s="626"/>
      <c r="AF36" s="626"/>
      <c r="AG36" s="626"/>
      <c r="AH36" s="626"/>
      <c r="AI36" s="626"/>
      <c r="AJ36" s="626"/>
      <c r="AK36" s="626"/>
      <c r="AL36" s="626"/>
    </row>
    <row r="37" spans="1:38">
      <c r="A37" s="625"/>
      <c r="B37" s="647" t="s">
        <v>9513</v>
      </c>
      <c r="C37" s="387" t="str">
        <f>INDEX(BPC_FILA_NOTA[#All],MATCH($B37,BPC_FILA_NOTA[[#All],[ID]],0),2)</f>
        <v>Vencidas 31 a 90 días</v>
      </c>
      <c r="D37" s="632"/>
      <c r="E37" s="632"/>
      <c r="F37" s="633">
        <f>SUM(D37:E37)</f>
        <v>0</v>
      </c>
      <c r="G37" s="638"/>
      <c r="H37" s="638"/>
      <c r="I37" s="636"/>
      <c r="J37" s="626"/>
      <c r="K37" s="626"/>
      <c r="L37" s="626"/>
      <c r="M37" s="590">
        <v>11302004</v>
      </c>
      <c r="N37" s="646" t="str">
        <f>INDEX(BPC_FILA_NOTA[#All],MATCH($B37,BPC_FILA_NOTA[[#All],[ID]],0),2)</f>
        <v>Vencidas 31 a 90 días</v>
      </c>
      <c r="O37" s="634">
        <f>IFERROR(INDEX(BPC_NOTAS2[#All],MATCH($M37&amp;"_"&amp;O$32,BPC_NOTAS2[[#All],[FILA_COLUMNA]],0),2),"")</f>
        <v>783450</v>
      </c>
      <c r="P37" s="634" t="str">
        <f>IFERROR(INDEX(BPC_NOTAS2[#All],MATCH($M37&amp;"_"&amp;P$32,BPC_NOTAS2[[#All],[FILA_COLUMNA]],0),2),"")</f>
        <v/>
      </c>
      <c r="Q37" s="633">
        <f>SUM(O37:P37)</f>
        <v>783450</v>
      </c>
      <c r="R37" s="626"/>
      <c r="S37" s="627" t="e">
        <f ca="1">_xll.EPMSaveData(D37,,$B37,$D$32)</f>
        <v>#NAME?</v>
      </c>
      <c r="T37" s="627" t="e">
        <f ca="1">_xll.EPMSaveData(E37,,$B37,$E$32)</f>
        <v>#NAME?</v>
      </c>
      <c r="U37" s="627"/>
      <c r="V37" s="627"/>
      <c r="W37" s="627"/>
      <c r="X37" s="626"/>
      <c r="Y37" s="626"/>
      <c r="Z37" s="626"/>
      <c r="AA37" s="626"/>
      <c r="AB37" s="626"/>
      <c r="AC37" s="626"/>
      <c r="AD37" s="626"/>
      <c r="AE37" s="626"/>
      <c r="AF37" s="626"/>
      <c r="AG37" s="626"/>
      <c r="AH37" s="626"/>
      <c r="AI37" s="626"/>
      <c r="AJ37" s="626"/>
      <c r="AK37" s="626"/>
      <c r="AL37" s="626"/>
    </row>
    <row r="38" spans="1:38">
      <c r="A38" s="625"/>
      <c r="B38" s="647" t="s">
        <v>9514</v>
      </c>
      <c r="C38" s="387" t="str">
        <f>INDEX(BPC_FILA_NOTA[#All],MATCH($B38,BPC_FILA_NOTA[[#All],[ID]],0),2)</f>
        <v>Vencidas más de 91 días</v>
      </c>
      <c r="D38" s="632"/>
      <c r="E38" s="632"/>
      <c r="F38" s="633">
        <f>SUM(D38:E38)</f>
        <v>0</v>
      </c>
      <c r="G38" s="638"/>
      <c r="H38" s="638"/>
      <c r="I38" s="636"/>
      <c r="J38" s="626"/>
      <c r="K38" s="626"/>
      <c r="L38" s="626"/>
      <c r="M38" s="590">
        <v>11302005</v>
      </c>
      <c r="N38" s="646" t="str">
        <f>INDEX(BPC_FILA_NOTA[#All],MATCH($B38,BPC_FILA_NOTA[[#All],[ID]],0),2)</f>
        <v>Vencidas más de 91 días</v>
      </c>
      <c r="O38" s="634">
        <f>IFERROR(INDEX(BPC_NOTAS2[#All],MATCH($M38&amp;"_"&amp;O$32,BPC_NOTAS2[[#All],[FILA_COLUMNA]],0),2),"")</f>
        <v>4021710</v>
      </c>
      <c r="P38" s="634" t="str">
        <f>IFERROR(INDEX(BPC_NOTAS2[#All],MATCH($M38&amp;"_"&amp;P$32,BPC_NOTAS2[[#All],[FILA_COLUMNA]],0),2),"")</f>
        <v/>
      </c>
      <c r="Q38" s="633">
        <f>SUM(O38:P38)</f>
        <v>4021710</v>
      </c>
      <c r="R38" s="626"/>
      <c r="S38" s="627" t="e">
        <f ca="1">_xll.EPMSaveData(D38,,$B38,$D$32)</f>
        <v>#NAME?</v>
      </c>
      <c r="T38" s="627" t="e">
        <f ca="1">_xll.EPMSaveData(E38,,$B38,$E$32)</f>
        <v>#NAME?</v>
      </c>
      <c r="U38" s="627"/>
      <c r="V38" s="627"/>
      <c r="W38" s="627"/>
      <c r="X38" s="626"/>
      <c r="Y38" s="626"/>
      <c r="Z38" s="626"/>
      <c r="AA38" s="626"/>
      <c r="AB38" s="626"/>
      <c r="AC38" s="626"/>
      <c r="AD38" s="626"/>
      <c r="AE38" s="626"/>
      <c r="AF38" s="626"/>
      <c r="AG38" s="626"/>
      <c r="AH38" s="626"/>
      <c r="AI38" s="626"/>
      <c r="AJ38" s="626"/>
      <c r="AK38" s="626"/>
      <c r="AL38" s="626"/>
    </row>
    <row r="39" spans="1:38">
      <c r="A39" s="625"/>
      <c r="B39" s="591" t="s">
        <v>9515</v>
      </c>
      <c r="C39" s="624" t="str">
        <f>INDEX(BPC_FILA_NOTA[#All],MATCH($B39,BPC_FILA_NOTA[[#All],[ID]],0),2)</f>
        <v>Subtotal</v>
      </c>
      <c r="D39" s="633">
        <f>SUM(D35:D38)</f>
        <v>0</v>
      </c>
      <c r="E39" s="633">
        <f>SUM(E35:E38)</f>
        <v>0</v>
      </c>
      <c r="F39" s="633">
        <f>SUM(F35:F38)</f>
        <v>0</v>
      </c>
      <c r="G39" s="813" t="s">
        <v>455</v>
      </c>
      <c r="H39" s="805"/>
      <c r="I39" s="636"/>
      <c r="J39" s="626"/>
      <c r="K39" s="626"/>
      <c r="L39" s="626"/>
      <c r="M39" s="590">
        <v>11302006</v>
      </c>
      <c r="N39" s="648" t="str">
        <f>INDEX(BPC_FILA_NOTA[#All],MATCH($B39,BPC_FILA_NOTA[[#All],[ID]],0),2)</f>
        <v>Subtotal</v>
      </c>
      <c r="O39" s="633">
        <f>SUM(O35:O38)</f>
        <v>409935202</v>
      </c>
      <c r="P39" s="633">
        <f>SUM(P35:P38)</f>
        <v>1243074</v>
      </c>
      <c r="Q39" s="633">
        <f>SUM(Q35:Q38)</f>
        <v>411178276</v>
      </c>
      <c r="R39" s="626"/>
      <c r="S39" s="627"/>
      <c r="T39" s="627"/>
      <c r="U39" s="627"/>
      <c r="V39" s="627"/>
      <c r="W39" s="627"/>
      <c r="X39" s="626"/>
      <c r="Y39" s="626"/>
      <c r="Z39" s="626"/>
      <c r="AA39" s="626"/>
      <c r="AB39" s="626"/>
      <c r="AC39" s="626"/>
      <c r="AD39" s="626"/>
      <c r="AE39" s="626"/>
      <c r="AF39" s="626"/>
      <c r="AG39" s="626"/>
      <c r="AH39" s="626"/>
      <c r="AI39" s="626"/>
      <c r="AJ39" s="626"/>
      <c r="AK39" s="626"/>
      <c r="AL39" s="626"/>
    </row>
    <row r="40" spans="1:38">
      <c r="A40" s="625">
        <f>IF(I40="Error",1,0)</f>
        <v>0</v>
      </c>
      <c r="B40" s="647" t="s">
        <v>1195</v>
      </c>
      <c r="C40" s="387" t="str">
        <f>INDEX(BPC_FILA_NOTA[#All],MATCH($B40,BPC_FILA_NOTA[[#All],[ID]],0),2)</f>
        <v>Provisión por incobrables</v>
      </c>
      <c r="D40" s="632"/>
      <c r="E40" s="632"/>
      <c r="F40" s="633">
        <f>SUM(D40:E40)</f>
        <v>0</v>
      </c>
      <c r="G40" s="814">
        <f>+F40-F21</f>
        <v>0</v>
      </c>
      <c r="H40" s="803"/>
      <c r="I40" s="635" t="str">
        <f>IF(G40=0,"ok","Error")</f>
        <v>ok</v>
      </c>
      <c r="J40" s="626"/>
      <c r="K40" s="626"/>
      <c r="L40" s="626"/>
      <c r="M40" s="590">
        <v>11302007</v>
      </c>
      <c r="N40" s="646" t="str">
        <f>INDEX(BPC_FILA_NOTA[#All],MATCH($B40,BPC_FILA_NOTA[[#All],[ID]],0),2)</f>
        <v>Provisión por incobrables</v>
      </c>
      <c r="O40" s="634" t="str">
        <f>IFERROR(INDEX(BPC_NOTAS2[#All],MATCH($M40&amp;"_"&amp;O$32,BPC_NOTAS2[[#All],[FILA_COLUMNA]],0),2),"")</f>
        <v/>
      </c>
      <c r="P40" s="634" t="str">
        <f>IFERROR(INDEX(BPC_NOTAS2[#All],MATCH($M40&amp;"_"&amp;P$32,BPC_NOTAS2[[#All],[FILA_COLUMNA]],0),2),"")</f>
        <v/>
      </c>
      <c r="Q40" s="633">
        <f>SUM(O40:P40)</f>
        <v>0</v>
      </c>
      <c r="R40" s="626"/>
      <c r="S40" s="627" t="e">
        <f ca="1">_xll.EPMSaveData(D40,,$B40,$D$32)</f>
        <v>#NAME?</v>
      </c>
      <c r="T40" s="627" t="e">
        <f ca="1">_xll.EPMSaveData(E40,,$B40,$E$32)</f>
        <v>#NAME?</v>
      </c>
      <c r="U40" s="627"/>
      <c r="V40" s="627"/>
      <c r="W40" s="627"/>
      <c r="X40" s="626"/>
      <c r="Y40" s="626"/>
      <c r="Z40" s="626"/>
      <c r="AA40" s="626"/>
      <c r="AB40" s="626"/>
      <c r="AC40" s="626"/>
      <c r="AD40" s="626"/>
      <c r="AE40" s="626"/>
      <c r="AF40" s="626"/>
      <c r="AG40" s="626"/>
      <c r="AH40" s="626"/>
      <c r="AI40" s="626"/>
      <c r="AJ40" s="626"/>
      <c r="AK40" s="626"/>
      <c r="AL40" s="626"/>
    </row>
    <row r="41" spans="1:38">
      <c r="A41" s="625"/>
      <c r="B41" s="591" t="s">
        <v>9516</v>
      </c>
      <c r="C41" s="624" t="str">
        <f>INDEX(BPC_FILA_NOTA[#All],MATCH($B41,BPC_FILA_NOTA[[#All],[ID]],0),2)</f>
        <v>Cuentas por cobrar netas</v>
      </c>
      <c r="D41" s="633">
        <f>SUM(D39:D40)</f>
        <v>0</v>
      </c>
      <c r="E41" s="633">
        <f>SUM(E39:E40)</f>
        <v>0</v>
      </c>
      <c r="F41" s="633">
        <f>+F39+F40</f>
        <v>0</v>
      </c>
      <c r="G41" s="638"/>
      <c r="H41" s="638"/>
      <c r="I41" s="638"/>
      <c r="J41" s="626"/>
      <c r="K41" s="626"/>
      <c r="L41" s="626"/>
      <c r="M41" s="590">
        <v>11302008</v>
      </c>
      <c r="N41" s="648" t="str">
        <f>INDEX(BPC_FILA_NOTA[#All],MATCH($B41,BPC_FILA_NOTA[[#All],[ID]],0),2)</f>
        <v>Cuentas por cobrar netas</v>
      </c>
      <c r="O41" s="633">
        <f>SUM(O39:O40)</f>
        <v>409935202</v>
      </c>
      <c r="P41" s="633">
        <f>SUM(P39:P40)</f>
        <v>1243074</v>
      </c>
      <c r="Q41" s="633">
        <f>SUM(Q39:Q40)</f>
        <v>411178276</v>
      </c>
      <c r="R41" s="626"/>
      <c r="S41" s="627"/>
      <c r="T41" s="627"/>
      <c r="U41" s="627"/>
      <c r="V41" s="627"/>
      <c r="W41" s="627"/>
      <c r="X41" s="626"/>
      <c r="Y41" s="626"/>
      <c r="Z41" s="626"/>
      <c r="AA41" s="626"/>
      <c r="AB41" s="626"/>
      <c r="AC41" s="626"/>
      <c r="AD41" s="626"/>
      <c r="AE41" s="626"/>
      <c r="AF41" s="626"/>
      <c r="AG41" s="626"/>
      <c r="AH41" s="626"/>
      <c r="AI41" s="626"/>
      <c r="AJ41" s="626"/>
      <c r="AK41" s="626"/>
      <c r="AL41" s="626"/>
    </row>
    <row r="42" spans="1:38">
      <c r="A42" s="625"/>
      <c r="B42" s="636"/>
      <c r="C42" s="636"/>
      <c r="D42" s="636"/>
      <c r="E42" s="649" t="s">
        <v>692</v>
      </c>
      <c r="F42" s="636"/>
      <c r="G42" s="636"/>
      <c r="H42" s="636"/>
      <c r="I42" s="636"/>
      <c r="J42" s="638"/>
      <c r="K42" s="638"/>
      <c r="L42" s="638"/>
      <c r="M42" s="636"/>
      <c r="N42" s="636"/>
      <c r="O42" s="636"/>
      <c r="P42" s="636"/>
      <c r="Q42" s="636"/>
      <c r="R42" s="626"/>
      <c r="S42" s="627"/>
      <c r="T42" s="627"/>
      <c r="U42" s="627"/>
      <c r="V42" s="627"/>
      <c r="W42" s="627"/>
      <c r="X42" s="626"/>
      <c r="Y42" s="626"/>
      <c r="Z42" s="626"/>
      <c r="AA42" s="626"/>
      <c r="AB42" s="626"/>
      <c r="AC42" s="626"/>
      <c r="AD42" s="626"/>
      <c r="AE42" s="626"/>
      <c r="AF42" s="626"/>
      <c r="AG42" s="626"/>
      <c r="AH42" s="626"/>
      <c r="AI42" s="626"/>
      <c r="AJ42" s="626"/>
      <c r="AK42" s="626"/>
      <c r="AL42" s="626"/>
    </row>
    <row r="43" spans="1:38">
      <c r="A43" s="625"/>
      <c r="B43" s="636"/>
      <c r="C43" s="636"/>
      <c r="D43" s="636"/>
      <c r="E43" s="649" t="s">
        <v>693</v>
      </c>
      <c r="F43" s="636"/>
      <c r="G43" s="636"/>
      <c r="H43" s="636"/>
      <c r="I43" s="636"/>
      <c r="J43" s="638"/>
      <c r="K43" s="638"/>
      <c r="L43" s="638"/>
      <c r="M43" s="636"/>
      <c r="N43" s="636"/>
      <c r="O43" s="636"/>
      <c r="P43" s="636"/>
      <c r="Q43" s="636"/>
      <c r="R43" s="626"/>
      <c r="S43" s="627"/>
      <c r="T43" s="627"/>
      <c r="U43" s="627"/>
      <c r="V43" s="627"/>
      <c r="W43" s="627"/>
      <c r="X43" s="626"/>
      <c r="Y43" s="626"/>
      <c r="Z43" s="626"/>
      <c r="AA43" s="626"/>
      <c r="AB43" s="626"/>
      <c r="AC43" s="626"/>
      <c r="AD43" s="626"/>
      <c r="AE43" s="626"/>
      <c r="AF43" s="626"/>
      <c r="AG43" s="626"/>
      <c r="AH43" s="626"/>
      <c r="AI43" s="626"/>
      <c r="AJ43" s="626"/>
      <c r="AK43" s="626"/>
      <c r="AL43" s="626"/>
    </row>
    <row r="44" spans="1:38">
      <c r="A44" s="625"/>
      <c r="B44" s="636"/>
      <c r="C44" s="636"/>
      <c r="D44" s="636"/>
      <c r="E44" s="650">
        <f>IFERROR(INDEX(BPC_NOTAS[#All],MATCH(E42,BPC_NOTAS[[#All],[FILA_COLUMNA]],0),2),0)+IFERROR(INDEX(BPC_NOTAS[#All],MATCH(E43,BPC_NOTAS[[#All],[FILA_COLUMNA]],0),2),0)</f>
        <v>2937147</v>
      </c>
      <c r="F44" s="636"/>
      <c r="G44" s="636"/>
      <c r="H44" s="636"/>
      <c r="I44" s="636"/>
      <c r="J44" s="638"/>
      <c r="K44" s="638"/>
      <c r="L44" s="638"/>
      <c r="M44" s="636"/>
      <c r="N44" s="636"/>
      <c r="O44" s="636"/>
      <c r="P44" s="636"/>
      <c r="Q44" s="636"/>
      <c r="R44" s="626"/>
      <c r="S44" s="627"/>
      <c r="T44" s="627"/>
      <c r="U44" s="627"/>
      <c r="V44" s="627"/>
      <c r="W44" s="627"/>
      <c r="X44" s="626"/>
      <c r="Y44" s="626"/>
      <c r="Z44" s="626"/>
      <c r="AA44" s="626"/>
      <c r="AB44" s="626"/>
      <c r="AC44" s="626"/>
      <c r="AD44" s="626"/>
      <c r="AE44" s="626"/>
      <c r="AF44" s="626"/>
      <c r="AG44" s="626"/>
      <c r="AH44" s="626"/>
      <c r="AI44" s="626"/>
      <c r="AJ44" s="626"/>
      <c r="AK44" s="626"/>
      <c r="AL44" s="626"/>
    </row>
    <row r="45" spans="1:38">
      <c r="A45" s="625">
        <f>IF(E45="Error",1,0)</f>
        <v>1</v>
      </c>
      <c r="B45" s="636"/>
      <c r="C45" s="636"/>
      <c r="D45" s="636"/>
      <c r="E45" s="635" t="str">
        <f>IF(E44-E39=0,"ok","Error")</f>
        <v>Error</v>
      </c>
      <c r="F45" s="636"/>
      <c r="G45" s="636"/>
      <c r="H45" s="636"/>
      <c r="I45" s="636"/>
      <c r="J45" s="638"/>
      <c r="K45" s="638"/>
      <c r="L45" s="638"/>
      <c r="M45" s="636"/>
      <c r="N45" s="636"/>
      <c r="O45" s="636"/>
      <c r="P45" s="636"/>
      <c r="Q45" s="636"/>
      <c r="R45" s="626"/>
      <c r="S45" s="627"/>
      <c r="T45" s="627"/>
      <c r="U45" s="627"/>
      <c r="V45" s="627"/>
      <c r="W45" s="627"/>
      <c r="X45" s="626"/>
      <c r="Y45" s="626"/>
      <c r="Z45" s="626"/>
      <c r="AA45" s="626"/>
      <c r="AB45" s="626"/>
      <c r="AC45" s="626"/>
      <c r="AD45" s="626"/>
      <c r="AE45" s="626"/>
      <c r="AF45" s="626"/>
      <c r="AG45" s="626"/>
      <c r="AH45" s="626"/>
      <c r="AI45" s="626"/>
      <c r="AJ45" s="626"/>
      <c r="AK45" s="626"/>
      <c r="AL45" s="626"/>
    </row>
    <row r="46" spans="1:38">
      <c r="A46" s="625"/>
      <c r="B46" s="636"/>
      <c r="C46" s="636"/>
      <c r="D46" s="636"/>
      <c r="E46" s="649" t="s">
        <v>690</v>
      </c>
      <c r="F46" s="636"/>
      <c r="G46" s="636"/>
      <c r="H46" s="636"/>
      <c r="I46" s="636"/>
      <c r="J46" s="638"/>
      <c r="K46" s="638"/>
      <c r="L46" s="638"/>
      <c r="M46" s="636"/>
      <c r="N46" s="636"/>
      <c r="O46" s="636"/>
      <c r="P46" s="636"/>
      <c r="Q46" s="636"/>
      <c r="R46" s="626"/>
      <c r="S46" s="627"/>
      <c r="T46" s="627"/>
      <c r="U46" s="627"/>
      <c r="V46" s="627"/>
      <c r="W46" s="627"/>
      <c r="X46" s="626"/>
      <c r="Y46" s="626"/>
      <c r="Z46" s="626"/>
      <c r="AA46" s="626"/>
      <c r="AB46" s="626"/>
      <c r="AC46" s="626"/>
      <c r="AD46" s="626"/>
      <c r="AE46" s="626"/>
      <c r="AF46" s="626"/>
      <c r="AG46" s="626"/>
      <c r="AH46" s="626"/>
      <c r="AI46" s="626"/>
      <c r="AJ46" s="626"/>
      <c r="AK46" s="626"/>
      <c r="AL46" s="626"/>
    </row>
    <row r="47" spans="1:38">
      <c r="A47" s="625"/>
      <c r="B47" s="636"/>
      <c r="C47" s="636"/>
      <c r="D47" s="636"/>
      <c r="E47" s="649">
        <f>IFERROR(INDEX(BPC_NOTAS[#All],MATCH(E46,BPC_NOTAS[[#All],[FILA_COLUMNA]],0),2),0)</f>
        <v>0</v>
      </c>
      <c r="F47" s="636"/>
      <c r="G47" s="636"/>
      <c r="H47" s="636"/>
      <c r="I47" s="636"/>
      <c r="J47" s="638"/>
      <c r="K47" s="638"/>
      <c r="L47" s="638"/>
      <c r="M47" s="636"/>
      <c r="N47" s="636"/>
      <c r="O47" s="636"/>
      <c r="P47" s="636"/>
      <c r="Q47" s="636"/>
      <c r="R47" s="626"/>
      <c r="S47" s="627"/>
      <c r="T47" s="627"/>
      <c r="U47" s="627"/>
      <c r="V47" s="627"/>
      <c r="W47" s="627"/>
      <c r="X47" s="626"/>
      <c r="Y47" s="626"/>
      <c r="Z47" s="626"/>
      <c r="AA47" s="626"/>
      <c r="AB47" s="626"/>
      <c r="AC47" s="626"/>
      <c r="AD47" s="626"/>
      <c r="AE47" s="626"/>
      <c r="AF47" s="626"/>
      <c r="AG47" s="626"/>
      <c r="AH47" s="626"/>
      <c r="AI47" s="626"/>
      <c r="AJ47" s="626"/>
      <c r="AK47" s="626"/>
      <c r="AL47" s="626"/>
    </row>
    <row r="48" spans="1:38">
      <c r="A48" s="625">
        <f>IF(E48="Error",1,0)</f>
        <v>0</v>
      </c>
      <c r="B48" s="636"/>
      <c r="C48" s="636"/>
      <c r="D48" s="636"/>
      <c r="E48" s="635" t="str">
        <f>IF(E47-E40=0,"ok","Error")</f>
        <v>ok</v>
      </c>
      <c r="F48" s="636"/>
      <c r="G48" s="636"/>
      <c r="H48" s="636"/>
      <c r="I48" s="636"/>
      <c r="J48" s="638"/>
      <c r="K48" s="638"/>
      <c r="L48" s="638"/>
      <c r="M48" s="636"/>
      <c r="N48" s="636"/>
      <c r="O48" s="636"/>
      <c r="P48" s="636"/>
      <c r="Q48" s="636"/>
      <c r="R48" s="626"/>
      <c r="S48" s="627"/>
      <c r="T48" s="627"/>
      <c r="U48" s="627"/>
      <c r="V48" s="627"/>
      <c r="W48" s="627"/>
      <c r="X48" s="626"/>
      <c r="Y48" s="626"/>
      <c r="Z48" s="626"/>
      <c r="AA48" s="626"/>
      <c r="AB48" s="626"/>
      <c r="AC48" s="626"/>
      <c r="AD48" s="626"/>
      <c r="AE48" s="626"/>
      <c r="AF48" s="626"/>
      <c r="AG48" s="626"/>
      <c r="AH48" s="626"/>
      <c r="AI48" s="626"/>
      <c r="AJ48" s="626"/>
      <c r="AK48" s="626"/>
      <c r="AL48" s="626"/>
    </row>
    <row r="49" spans="1:38" ht="15">
      <c r="A49" s="625"/>
      <c r="B49" s="626"/>
      <c r="C49" s="626"/>
      <c r="D49" s="629" t="s">
        <v>41</v>
      </c>
      <c r="E49" s="629" t="s">
        <v>43</v>
      </c>
      <c r="F49" s="626"/>
      <c r="G49" s="636"/>
      <c r="H49" s="636"/>
      <c r="I49" s="636"/>
      <c r="J49" s="626"/>
      <c r="K49" s="626"/>
      <c r="L49" s="626"/>
      <c r="M49" s="636"/>
      <c r="N49" s="636"/>
      <c r="O49" s="651" t="s">
        <v>41</v>
      </c>
      <c r="P49" s="651" t="s">
        <v>43</v>
      </c>
      <c r="Q49" s="636"/>
      <c r="R49" s="626"/>
      <c r="S49" s="627"/>
      <c r="T49" s="627"/>
      <c r="U49" s="627"/>
      <c r="V49" s="627"/>
      <c r="W49" s="481" t="e">
        <f ca="1" xml:space="preserve"> _xll.EPMOlapMemberO("[COLUMNA_NOTA].[PARENTH1].[C11301001]","","Deudores Comerciales","","000")</f>
        <v>#NAME?</v>
      </c>
      <c r="X49" s="626"/>
      <c r="Y49" s="626"/>
      <c r="Z49" s="626"/>
      <c r="AA49" s="652"/>
      <c r="AB49" s="626"/>
      <c r="AC49" s="626"/>
      <c r="AD49" s="626"/>
      <c r="AE49" s="626"/>
      <c r="AF49" s="626"/>
      <c r="AG49" s="626"/>
      <c r="AH49" s="626"/>
      <c r="AI49" s="626"/>
      <c r="AJ49" s="626"/>
      <c r="AK49" s="626"/>
      <c r="AL49" s="626"/>
    </row>
    <row r="50" spans="1:38" ht="15.75" thickBot="1">
      <c r="A50" s="625"/>
      <c r="B50" s="638"/>
      <c r="C50" s="626"/>
      <c r="D50" s="629" t="s">
        <v>42</v>
      </c>
      <c r="E50" s="629" t="s">
        <v>44</v>
      </c>
      <c r="F50" s="626"/>
      <c r="G50" s="636"/>
      <c r="H50" s="636"/>
      <c r="I50" s="636"/>
      <c r="J50" s="626"/>
      <c r="K50" s="626"/>
      <c r="L50" s="626"/>
      <c r="M50" s="626"/>
      <c r="N50" s="626"/>
      <c r="O50" s="629" t="s">
        <v>42</v>
      </c>
      <c r="P50" s="629" t="s">
        <v>44</v>
      </c>
      <c r="Q50" s="626"/>
      <c r="R50" s="626"/>
      <c r="S50" s="627"/>
      <c r="T50" s="627"/>
      <c r="U50" s="627"/>
      <c r="V50" s="402" t="e">
        <f ca="1" xml:space="preserve"> _xll.EPMOlapMemberO("[FILA_NOTA].[PARENTH1].[11301002]","","11301002","","000")</f>
        <v>#NAME?</v>
      </c>
      <c r="W50" s="653">
        <v>-1209342346</v>
      </c>
      <c r="X50" s="626"/>
      <c r="Y50" s="626"/>
      <c r="Z50" s="652"/>
      <c r="AA50" s="652"/>
      <c r="AB50" s="626"/>
      <c r="AC50" s="626"/>
      <c r="AD50" s="626"/>
      <c r="AE50" s="626"/>
      <c r="AF50" s="626"/>
      <c r="AG50" s="626"/>
      <c r="AH50" s="626"/>
      <c r="AI50" s="626"/>
      <c r="AJ50" s="626"/>
      <c r="AK50" s="626"/>
      <c r="AL50" s="626"/>
    </row>
    <row r="51" spans="1:38" ht="15">
      <c r="A51" s="625"/>
      <c r="B51" s="808" t="s">
        <v>33</v>
      </c>
      <c r="C51" s="808" t="s">
        <v>34</v>
      </c>
      <c r="D51" s="810" t="str">
        <f>INDEX(BPC_COLUMNA_NOTA[[#All],[CD_COLUMNA]:[DESCRIPCION_LARGA]],MATCH(D$32,BPC_COLUMNA_NOTA[[#All],[CD_COLUMNA]],0),2)</f>
        <v>Deudores Comerciales</v>
      </c>
      <c r="E51" s="810" t="str">
        <f>INDEX(BPC_COLUMNA_NOTA[[#All],[CD_COLUMNA]:[DESCRIPCION_LARGA]],MATCH(E$32,BPC_COLUMNA_NOTA[[#All],[CD_COLUMNA]],0),2)</f>
        <v>Partes relacionadas</v>
      </c>
      <c r="F51" s="811" t="str">
        <f>INDEX(BPC_COLUMNA_NOTA[[#All],[CD_COLUMNA]:[DESCRIPCION_LARGA]],MATCH(F$32,BPC_COLUMNA_NOTA[[#All],[CD_COLUMNA]],0),2)</f>
        <v>Total</v>
      </c>
      <c r="G51" s="636"/>
      <c r="H51" s="636"/>
      <c r="I51" s="636"/>
      <c r="J51" s="626"/>
      <c r="K51" s="626"/>
      <c r="L51" s="626"/>
      <c r="M51" s="808" t="s">
        <v>33</v>
      </c>
      <c r="N51" s="808" t="s">
        <v>34</v>
      </c>
      <c r="O51" s="808" t="str">
        <f>INDEX(BPC_COLUMNA_NOTA[[#All],[CD_COLUMNA]:[DESCRIPCION_LARGA]],MATCH(O$32,BPC_COLUMNA_NOTA[[#All],[CD_COLUMNA]],0),2)</f>
        <v>Deudores Comerciales</v>
      </c>
      <c r="P51" s="808" t="str">
        <f>INDEX(BPC_COLUMNA_NOTA[[#All],[CD_COLUMNA]:[DESCRIPCION_LARGA]],MATCH(P$32,BPC_COLUMNA_NOTA[[#All],[CD_COLUMNA]],0),2)</f>
        <v>Partes relacionadas</v>
      </c>
      <c r="Q51" s="808" t="str">
        <f>INDEX(BPC_COLUMNA_NOTA[[#All],[CD_COLUMNA]:[DESCRIPCION_LARGA]],MATCH(Q$32,BPC_COLUMNA_NOTA[[#All],[CD_COLUMNA]],0),2)</f>
        <v>Total</v>
      </c>
      <c r="R51" s="626"/>
      <c r="S51" s="627"/>
      <c r="T51" s="627"/>
      <c r="U51" s="627"/>
      <c r="V51" s="402" t="e">
        <f ca="1" xml:space="preserve"> _xll.EPMOlapMemberO("[FILA_NOTA].[PARENTH1].[11301003]","","11301003","","000")</f>
        <v>#NAME?</v>
      </c>
      <c r="W51" s="272">
        <v>0</v>
      </c>
      <c r="X51" s="626"/>
      <c r="Y51" s="626"/>
      <c r="Z51" s="652"/>
      <c r="AA51" s="652"/>
      <c r="AB51" s="626"/>
      <c r="AC51" s="626"/>
      <c r="AD51" s="626"/>
      <c r="AE51" s="626"/>
      <c r="AF51" s="626"/>
      <c r="AG51" s="626"/>
      <c r="AH51" s="626"/>
      <c r="AI51" s="626"/>
      <c r="AJ51" s="626"/>
      <c r="AK51" s="626"/>
      <c r="AL51" s="626"/>
    </row>
    <row r="52" spans="1:38" ht="15">
      <c r="A52" s="625"/>
      <c r="B52" s="809"/>
      <c r="C52" s="809"/>
      <c r="D52" s="809"/>
      <c r="E52" s="809"/>
      <c r="F52" s="812"/>
      <c r="G52" s="636"/>
      <c r="H52" s="636"/>
      <c r="I52" s="636"/>
      <c r="J52" s="626"/>
      <c r="K52" s="626"/>
      <c r="L52" s="626"/>
      <c r="M52" s="809"/>
      <c r="N52" s="809"/>
      <c r="O52" s="809"/>
      <c r="P52" s="809"/>
      <c r="Q52" s="809"/>
      <c r="R52" s="626"/>
      <c r="S52" s="627"/>
      <c r="T52" s="627"/>
      <c r="U52" s="627"/>
      <c r="V52" s="402" t="e">
        <f ca="1" xml:space="preserve"> _xll.EPMOlapMemberO("[FILA_NOTA].[PARENTH1].[11301004]","","11301004","","000")</f>
        <v>#NAME?</v>
      </c>
      <c r="W52" s="272">
        <v>0</v>
      </c>
      <c r="X52" s="626"/>
      <c r="Y52" s="626"/>
      <c r="Z52" s="652"/>
      <c r="AA52" s="652"/>
      <c r="AB52" s="626"/>
      <c r="AC52" s="626"/>
      <c r="AD52" s="626"/>
      <c r="AE52" s="626"/>
      <c r="AF52" s="626"/>
      <c r="AG52" s="626"/>
      <c r="AH52" s="626"/>
      <c r="AI52" s="626"/>
      <c r="AJ52" s="626"/>
      <c r="AK52" s="626"/>
      <c r="AL52" s="626"/>
    </row>
    <row r="53" spans="1:38" ht="25.5">
      <c r="A53" s="625"/>
      <c r="B53" s="654" t="s">
        <v>36</v>
      </c>
      <c r="C53" s="654" t="s">
        <v>37</v>
      </c>
      <c r="D53" s="655">
        <f>IFERROR(INDEX(BPC_NOTAS[#All],MATCH(D50,BPC_NOTAS[[#All],[FILA_COLUMNA]],0),2),0)+IFERROR(INDEX(BPC_NOTAS[#All],MATCH(D49,BPC_NOTAS[[#All],[FILA_COLUMNA]],0),2),0)</f>
        <v>477253532</v>
      </c>
      <c r="E53" s="655"/>
      <c r="F53" s="655">
        <f>SUM(D53:E53)</f>
        <v>477253532</v>
      </c>
      <c r="G53" s="636"/>
      <c r="H53" s="636"/>
      <c r="I53" s="636"/>
      <c r="J53" s="626"/>
      <c r="K53" s="626"/>
      <c r="L53" s="626"/>
      <c r="M53" s="654" t="s">
        <v>36</v>
      </c>
      <c r="N53" s="654" t="s">
        <v>37</v>
      </c>
      <c r="O53" s="655">
        <f>IFERROR(INDEX(BPC_NOTAS2[#All],MATCH(O50,BPC_NOTAS2[[#All],[FILA_COLUMNA]],0),2),0)+IFERROR(INDEX(BPC_NOTAS2[#All],MATCH(O49,BPC_NOTAS2[[#All],[FILA_COLUMNA]],0),2),0)</f>
        <v>409935202</v>
      </c>
      <c r="P53" s="655"/>
      <c r="Q53" s="655">
        <f>SUM(O53:P53)</f>
        <v>409935202</v>
      </c>
      <c r="R53" s="626"/>
      <c r="S53" s="627"/>
      <c r="T53" s="627"/>
      <c r="U53" s="627"/>
      <c r="V53" s="402" t="e">
        <f ca="1" xml:space="preserve"> _xll.EPMOlapMemberO("[FILA_NOTA].[PARENTH1].[11301005]","","11301005","","000")</f>
        <v>#NAME?</v>
      </c>
      <c r="W53" s="272">
        <v>274422480</v>
      </c>
      <c r="X53" s="626"/>
      <c r="Y53" s="626"/>
      <c r="Z53" s="652"/>
      <c r="AA53" s="652"/>
      <c r="AB53" s="626"/>
      <c r="AC53" s="626"/>
      <c r="AD53" s="626"/>
      <c r="AE53" s="626"/>
      <c r="AF53" s="626"/>
      <c r="AG53" s="626"/>
      <c r="AH53" s="626"/>
      <c r="AI53" s="626"/>
      <c r="AJ53" s="626"/>
      <c r="AK53" s="626"/>
      <c r="AL53" s="626"/>
    </row>
    <row r="54" spans="1:38" ht="25.5">
      <c r="A54" s="625"/>
      <c r="B54" s="654" t="s">
        <v>38</v>
      </c>
      <c r="C54" s="654" t="s">
        <v>39</v>
      </c>
      <c r="D54" s="655"/>
      <c r="E54" s="655">
        <f>IFERROR(INDEX(BPC_NOTAS[#All],MATCH(E50,BPC_NOTAS[[#All],[FILA_COLUMNA]],0),2),0)+IFERROR(INDEX(BPC_NOTAS[#All],MATCH(E49,BPC_NOTAS[[#All],[FILA_COLUMNA]],0),2),0)</f>
        <v>2937147</v>
      </c>
      <c r="F54" s="655">
        <f>SUM(D54:E54)</f>
        <v>2937147</v>
      </c>
      <c r="G54" s="804" t="s">
        <v>455</v>
      </c>
      <c r="H54" s="805"/>
      <c r="I54" s="636"/>
      <c r="J54" s="626"/>
      <c r="K54" s="626"/>
      <c r="L54" s="626"/>
      <c r="M54" s="654" t="s">
        <v>38</v>
      </c>
      <c r="N54" s="654" t="s">
        <v>39</v>
      </c>
      <c r="O54" s="655"/>
      <c r="P54" s="655">
        <f>IFERROR(INDEX(BPC_NOTAS2[#All],MATCH(P50,BPC_NOTAS2[[#All],[FILA_COLUMNA]],0),2),0)+IFERROR(INDEX(BPC_NOTAS2[#All],MATCH(P49,BPC_NOTAS2[[#All],[FILA_COLUMNA]],0),2),0)</f>
        <v>1243074</v>
      </c>
      <c r="Q54" s="655">
        <f>SUM(O54:P54)</f>
        <v>1243074</v>
      </c>
      <c r="R54" s="626"/>
      <c r="S54" s="627"/>
      <c r="T54" s="627"/>
      <c r="U54" s="627"/>
      <c r="V54" s="402" t="e">
        <f ca="1" xml:space="preserve"> _xll.EPMOlapMemberO("[FILA_NOTA].[PARENTH1].[11301006]","","11301006","","000")</f>
        <v>#NAME?</v>
      </c>
      <c r="W54" s="272">
        <v>0</v>
      </c>
      <c r="X54" s="626"/>
      <c r="Y54" s="626"/>
      <c r="Z54" s="652"/>
      <c r="AA54" s="652"/>
      <c r="AB54" s="626"/>
      <c r="AC54" s="626"/>
      <c r="AD54" s="626"/>
      <c r="AE54" s="626"/>
      <c r="AF54" s="626"/>
      <c r="AG54" s="626"/>
      <c r="AH54" s="626"/>
      <c r="AI54" s="626"/>
      <c r="AJ54" s="626"/>
      <c r="AK54" s="626"/>
      <c r="AL54" s="626"/>
    </row>
    <row r="55" spans="1:38" ht="15">
      <c r="A55" s="625">
        <f>IF(I55="Error",1,0)</f>
        <v>1</v>
      </c>
      <c r="B55" s="656" t="s">
        <v>40</v>
      </c>
      <c r="C55" s="656"/>
      <c r="D55" s="657">
        <f>+D41-D53</f>
        <v>-477253532</v>
      </c>
      <c r="E55" s="657">
        <f>+E41-E54</f>
        <v>-2937147</v>
      </c>
      <c r="F55" s="657">
        <f>+F41-F53-F54</f>
        <v>-480190679</v>
      </c>
      <c r="G55" s="802"/>
      <c r="H55" s="803"/>
      <c r="I55" s="635" t="str">
        <f>IF(F55=0,"ok","Error")</f>
        <v>Error</v>
      </c>
      <c r="J55" s="626"/>
      <c r="K55" s="626"/>
      <c r="L55" s="626"/>
      <c r="M55" s="656" t="s">
        <v>40</v>
      </c>
      <c r="N55" s="656"/>
      <c r="O55" s="657">
        <f>+O48-O53</f>
        <v>-409935202</v>
      </c>
      <c r="P55" s="657">
        <f>+P48-P54</f>
        <v>-1243074</v>
      </c>
      <c r="Q55" s="657">
        <f>+Q41-Q53-Q54</f>
        <v>0</v>
      </c>
      <c r="R55" s="626"/>
      <c r="S55" s="627"/>
      <c r="T55" s="627"/>
      <c r="U55" s="627"/>
      <c r="V55" s="402" t="e">
        <f ca="1" xml:space="preserve"> _xll.EPMOlapMemberO("[FILA_NOTA].[PARENTH1].[11301007]","","11301007","","000")</f>
        <v>#NAME?</v>
      </c>
      <c r="W55" s="658">
        <f>SUM(W51:W54)-SUM(W50)</f>
        <v>1483764826</v>
      </c>
      <c r="X55" s="626"/>
      <c r="Y55" s="626"/>
      <c r="Z55" s="652"/>
      <c r="AA55" s="652"/>
      <c r="AB55" s="626"/>
      <c r="AC55" s="626"/>
      <c r="AD55" s="626"/>
      <c r="AE55" s="626"/>
      <c r="AF55" s="626"/>
      <c r="AG55" s="626"/>
      <c r="AH55" s="626"/>
      <c r="AI55" s="626"/>
      <c r="AJ55" s="626"/>
      <c r="AK55" s="626"/>
      <c r="AL55" s="626"/>
    </row>
    <row r="56" spans="1:38" s="678" customFormat="1">
      <c r="A56" s="659"/>
      <c r="B56" s="636"/>
      <c r="C56" s="636"/>
      <c r="D56" s="636"/>
      <c r="E56" s="636"/>
      <c r="F56" s="636"/>
      <c r="G56" s="636"/>
      <c r="H56" s="636"/>
      <c r="I56" s="636"/>
      <c r="J56" s="636"/>
      <c r="K56" s="636"/>
      <c r="L56" s="636"/>
      <c r="M56" s="636"/>
      <c r="N56" s="636"/>
      <c r="O56" s="636"/>
      <c r="P56" s="636"/>
      <c r="Q56" s="636"/>
      <c r="R56" s="636"/>
      <c r="S56" s="660"/>
      <c r="T56" s="660"/>
      <c r="U56" s="660"/>
      <c r="V56" s="660"/>
      <c r="W56" s="661"/>
      <c r="X56" s="636"/>
      <c r="Y56" s="636"/>
      <c r="Z56" s="636"/>
      <c r="AA56" s="636"/>
      <c r="AB56" s="636"/>
      <c r="AC56" s="636"/>
      <c r="AD56" s="636"/>
      <c r="AE56" s="636"/>
      <c r="AF56" s="636"/>
      <c r="AG56" s="636"/>
      <c r="AH56" s="636"/>
      <c r="AI56" s="636"/>
      <c r="AJ56" s="636"/>
      <c r="AK56" s="636"/>
      <c r="AL56" s="636"/>
    </row>
    <row r="57" spans="1:38" s="678" customFormat="1">
      <c r="A57" s="662"/>
      <c r="B57" s="636"/>
      <c r="C57" s="636"/>
      <c r="D57" s="636"/>
      <c r="E57" s="636"/>
      <c r="F57" s="636"/>
      <c r="G57" s="636"/>
      <c r="H57" s="636"/>
      <c r="I57" s="636"/>
      <c r="J57" s="636"/>
      <c r="K57" s="636"/>
      <c r="L57" s="636"/>
      <c r="M57" s="636"/>
      <c r="N57" s="636"/>
      <c r="O57" s="636"/>
      <c r="P57" s="636"/>
      <c r="Q57" s="636"/>
      <c r="R57" s="636"/>
      <c r="S57" s="660"/>
      <c r="T57" s="660"/>
      <c r="U57" s="660"/>
      <c r="V57" s="660"/>
      <c r="W57" s="661"/>
      <c r="X57" s="636"/>
      <c r="Y57" s="636"/>
      <c r="Z57" s="636"/>
      <c r="AA57" s="636"/>
      <c r="AB57" s="636"/>
      <c r="AC57" s="636"/>
      <c r="AD57" s="636"/>
      <c r="AE57" s="636"/>
      <c r="AF57" s="636"/>
      <c r="AG57" s="636"/>
      <c r="AH57" s="636"/>
      <c r="AI57" s="636"/>
      <c r="AJ57" s="636"/>
      <c r="AK57" s="636"/>
      <c r="AL57" s="636"/>
    </row>
    <row r="58" spans="1:38" s="678" customFormat="1">
      <c r="A58" s="662"/>
      <c r="B58" s="636"/>
      <c r="C58" s="636"/>
      <c r="D58" s="636"/>
      <c r="E58" s="636"/>
      <c r="F58" s="636"/>
      <c r="G58" s="636"/>
      <c r="H58" s="636"/>
      <c r="I58" s="636"/>
      <c r="J58" s="636"/>
      <c r="K58" s="636"/>
      <c r="L58" s="636"/>
      <c r="M58" s="636"/>
      <c r="N58" s="636"/>
      <c r="O58" s="636"/>
      <c r="P58" s="636"/>
      <c r="Q58" s="636"/>
      <c r="R58" s="636"/>
      <c r="S58" s="660"/>
      <c r="T58" s="660"/>
      <c r="U58" s="660"/>
      <c r="V58" s="660"/>
      <c r="W58" s="661"/>
      <c r="X58" s="636"/>
      <c r="Y58" s="636"/>
      <c r="Z58" s="636"/>
      <c r="AA58" s="636"/>
      <c r="AB58" s="636"/>
      <c r="AC58" s="636"/>
      <c r="AD58" s="636"/>
      <c r="AE58" s="636"/>
      <c r="AF58" s="636"/>
      <c r="AG58" s="636"/>
      <c r="AH58" s="636"/>
      <c r="AI58" s="636"/>
      <c r="AJ58" s="636"/>
      <c r="AK58" s="636"/>
      <c r="AL58" s="636"/>
    </row>
    <row r="59" spans="1:38" s="678" customFormat="1">
      <c r="A59" s="662"/>
      <c r="B59" s="636"/>
      <c r="C59" s="636"/>
      <c r="D59" s="636"/>
      <c r="E59" s="636"/>
      <c r="F59" s="636"/>
      <c r="G59" s="636"/>
      <c r="H59" s="636"/>
      <c r="I59" s="636"/>
      <c r="J59" s="636"/>
      <c r="K59" s="636"/>
      <c r="L59" s="636"/>
      <c r="M59" s="636"/>
      <c r="N59" s="636"/>
      <c r="O59" s="636"/>
      <c r="P59" s="636"/>
      <c r="Q59" s="636"/>
      <c r="R59" s="636"/>
      <c r="S59" s="660"/>
      <c r="T59" s="660"/>
      <c r="U59" s="660"/>
      <c r="V59" s="660"/>
      <c r="W59" s="661"/>
      <c r="X59" s="636"/>
      <c r="Y59" s="636"/>
      <c r="Z59" s="636"/>
      <c r="AA59" s="636"/>
      <c r="AB59" s="636"/>
      <c r="AC59" s="636"/>
      <c r="AD59" s="636"/>
      <c r="AE59" s="636"/>
      <c r="AF59" s="636"/>
      <c r="AG59" s="636"/>
      <c r="AH59" s="636"/>
      <c r="AI59" s="636"/>
      <c r="AJ59" s="636"/>
      <c r="AK59" s="636"/>
      <c r="AL59" s="636"/>
    </row>
    <row r="60" spans="1:38" s="678" customFormat="1">
      <c r="A60" s="662"/>
      <c r="B60" s="636"/>
      <c r="C60" s="636"/>
      <c r="D60" s="636"/>
      <c r="E60" s="636"/>
      <c r="F60" s="636"/>
      <c r="G60" s="636"/>
      <c r="H60" s="636"/>
      <c r="I60" s="636"/>
      <c r="J60" s="636"/>
      <c r="K60" s="636"/>
      <c r="L60" s="636"/>
      <c r="M60" s="636"/>
      <c r="N60" s="636"/>
      <c r="O60" s="636"/>
      <c r="P60" s="636"/>
      <c r="Q60" s="636"/>
      <c r="R60" s="636"/>
      <c r="S60" s="660"/>
      <c r="T60" s="660"/>
      <c r="U60" s="660"/>
      <c r="V60" s="660"/>
      <c r="W60" s="661"/>
      <c r="X60" s="636"/>
      <c r="Y60" s="636"/>
      <c r="Z60" s="636"/>
      <c r="AA60" s="636"/>
      <c r="AB60" s="636"/>
      <c r="AC60" s="636"/>
      <c r="AD60" s="636"/>
      <c r="AE60" s="636"/>
      <c r="AF60" s="636"/>
      <c r="AG60" s="636"/>
      <c r="AH60" s="636"/>
      <c r="AI60" s="636"/>
      <c r="AJ60" s="636"/>
      <c r="AK60" s="636"/>
      <c r="AL60" s="636"/>
    </row>
    <row r="61" spans="1:38" s="678" customFormat="1">
      <c r="A61" s="662"/>
      <c r="B61" s="636"/>
      <c r="C61" s="636"/>
      <c r="D61" s="636"/>
      <c r="E61" s="636"/>
      <c r="F61" s="636"/>
      <c r="G61" s="636"/>
      <c r="H61" s="636"/>
      <c r="I61" s="636"/>
      <c r="J61" s="636"/>
      <c r="K61" s="636"/>
      <c r="L61" s="636"/>
      <c r="M61" s="636"/>
      <c r="N61" s="636"/>
      <c r="O61" s="636"/>
      <c r="P61" s="636"/>
      <c r="Q61" s="636"/>
      <c r="R61" s="636"/>
      <c r="S61" s="660"/>
      <c r="T61" s="660"/>
      <c r="U61" s="660"/>
      <c r="V61" s="660"/>
      <c r="W61" s="661"/>
      <c r="X61" s="636"/>
      <c r="Y61" s="636"/>
      <c r="Z61" s="636"/>
      <c r="AA61" s="636"/>
      <c r="AB61" s="636"/>
      <c r="AC61" s="636"/>
      <c r="AD61" s="636"/>
      <c r="AE61" s="636"/>
      <c r="AF61" s="636"/>
      <c r="AG61" s="636"/>
      <c r="AH61" s="636"/>
      <c r="AI61" s="636"/>
      <c r="AJ61" s="636"/>
      <c r="AK61" s="636"/>
      <c r="AL61" s="636"/>
    </row>
    <row r="62" spans="1:38" s="678" customFormat="1">
      <c r="A62" s="662"/>
      <c r="B62" s="636"/>
      <c r="C62" s="636"/>
      <c r="D62" s="636"/>
      <c r="E62" s="636"/>
      <c r="F62" s="636"/>
      <c r="G62" s="636"/>
      <c r="H62" s="636"/>
      <c r="I62" s="636"/>
      <c r="J62" s="636"/>
      <c r="K62" s="636"/>
      <c r="L62" s="636"/>
      <c r="M62" s="636"/>
      <c r="N62" s="636"/>
      <c r="O62" s="636"/>
      <c r="P62" s="636"/>
      <c r="Q62" s="636"/>
      <c r="R62" s="636"/>
      <c r="S62" s="660"/>
      <c r="T62" s="660"/>
      <c r="U62" s="660"/>
      <c r="V62" s="660"/>
      <c r="W62" s="661"/>
      <c r="X62" s="636"/>
      <c r="Y62" s="636"/>
      <c r="Z62" s="636"/>
      <c r="AA62" s="636"/>
      <c r="AB62" s="636"/>
      <c r="AC62" s="636"/>
      <c r="AD62" s="636"/>
      <c r="AE62" s="636"/>
      <c r="AF62" s="636"/>
      <c r="AG62" s="636"/>
      <c r="AH62" s="636"/>
      <c r="AI62" s="636"/>
      <c r="AJ62" s="636"/>
      <c r="AK62" s="636"/>
      <c r="AL62" s="636"/>
    </row>
    <row r="63" spans="1:38" s="678" customFormat="1">
      <c r="A63" s="662"/>
      <c r="B63" s="636"/>
      <c r="C63" s="636"/>
      <c r="D63" s="636"/>
      <c r="E63" s="636"/>
      <c r="F63" s="636"/>
      <c r="G63" s="636"/>
      <c r="H63" s="636"/>
      <c r="I63" s="636"/>
      <c r="J63" s="636"/>
      <c r="K63" s="636"/>
      <c r="L63" s="636"/>
      <c r="M63" s="636"/>
      <c r="N63" s="636"/>
      <c r="O63" s="636"/>
      <c r="P63" s="636"/>
      <c r="Q63" s="636"/>
      <c r="R63" s="636"/>
      <c r="S63" s="660"/>
      <c r="T63" s="660"/>
      <c r="U63" s="660"/>
      <c r="V63" s="660"/>
      <c r="W63" s="661"/>
      <c r="X63" s="636"/>
      <c r="Y63" s="636"/>
      <c r="Z63" s="636"/>
      <c r="AA63" s="636"/>
      <c r="AB63" s="636"/>
      <c r="AC63" s="636"/>
      <c r="AD63" s="636"/>
      <c r="AE63" s="636"/>
      <c r="AF63" s="636"/>
      <c r="AG63" s="636"/>
      <c r="AH63" s="636"/>
      <c r="AI63" s="636"/>
      <c r="AJ63" s="636"/>
      <c r="AK63" s="636"/>
      <c r="AL63" s="636"/>
    </row>
    <row r="64" spans="1:38" s="678" customFormat="1">
      <c r="A64" s="662"/>
      <c r="B64" s="636"/>
      <c r="C64" s="636"/>
      <c r="D64" s="636"/>
      <c r="E64" s="636"/>
      <c r="F64" s="636"/>
      <c r="G64" s="636"/>
      <c r="H64" s="636"/>
      <c r="I64" s="636"/>
      <c r="J64" s="636"/>
      <c r="K64" s="636"/>
      <c r="L64" s="636"/>
      <c r="M64" s="636"/>
      <c r="N64" s="636"/>
      <c r="O64" s="636"/>
      <c r="P64" s="636"/>
      <c r="Q64" s="636"/>
      <c r="R64" s="636"/>
      <c r="S64" s="660"/>
      <c r="T64" s="660"/>
      <c r="U64" s="660"/>
      <c r="V64" s="660"/>
      <c r="W64" s="661"/>
      <c r="X64" s="636"/>
      <c r="Y64" s="636"/>
      <c r="Z64" s="636"/>
      <c r="AA64" s="636"/>
      <c r="AB64" s="636"/>
      <c r="AC64" s="636"/>
      <c r="AD64" s="636"/>
      <c r="AE64" s="636"/>
      <c r="AF64" s="636"/>
      <c r="AG64" s="636"/>
      <c r="AH64" s="636"/>
      <c r="AI64" s="636"/>
      <c r="AJ64" s="636"/>
      <c r="AK64" s="636"/>
      <c r="AL64" s="636"/>
    </row>
    <row r="65" spans="1:38" s="678" customFormat="1">
      <c r="A65" s="662"/>
      <c r="B65" s="636"/>
      <c r="C65" s="636"/>
      <c r="D65" s="636"/>
      <c r="E65" s="636"/>
      <c r="F65" s="636"/>
      <c r="G65" s="636"/>
      <c r="H65" s="636"/>
      <c r="I65" s="636"/>
      <c r="J65" s="636"/>
      <c r="K65" s="636"/>
      <c r="L65" s="636"/>
      <c r="M65" s="636"/>
      <c r="N65" s="636"/>
      <c r="O65" s="636"/>
      <c r="P65" s="636"/>
      <c r="Q65" s="636"/>
      <c r="R65" s="636"/>
      <c r="S65" s="660"/>
      <c r="T65" s="660"/>
      <c r="U65" s="660"/>
      <c r="V65" s="660"/>
      <c r="W65" s="661"/>
      <c r="X65" s="636"/>
      <c r="Y65" s="636"/>
      <c r="Z65" s="636"/>
      <c r="AA65" s="636"/>
      <c r="AB65" s="636"/>
      <c r="AC65" s="636"/>
      <c r="AD65" s="636"/>
      <c r="AE65" s="636"/>
      <c r="AF65" s="636"/>
      <c r="AG65" s="636"/>
      <c r="AH65" s="636"/>
      <c r="AI65" s="636"/>
      <c r="AJ65" s="636"/>
      <c r="AK65" s="636"/>
      <c r="AL65" s="636"/>
    </row>
    <row r="66" spans="1:38" s="678" customFormat="1">
      <c r="A66" s="662"/>
      <c r="B66" s="636"/>
      <c r="C66" s="636"/>
      <c r="D66" s="636"/>
      <c r="E66" s="636"/>
      <c r="F66" s="636"/>
      <c r="G66" s="636"/>
      <c r="H66" s="636"/>
      <c r="I66" s="636"/>
      <c r="J66" s="636"/>
      <c r="K66" s="636"/>
      <c r="L66" s="636"/>
      <c r="M66" s="636"/>
      <c r="N66" s="636"/>
      <c r="O66" s="636"/>
      <c r="P66" s="636"/>
      <c r="Q66" s="636"/>
      <c r="R66" s="636"/>
      <c r="S66" s="660"/>
      <c r="T66" s="660"/>
      <c r="U66" s="660"/>
      <c r="V66" s="660"/>
      <c r="W66" s="661"/>
      <c r="X66" s="636"/>
      <c r="Y66" s="636"/>
      <c r="Z66" s="636"/>
      <c r="AA66" s="636"/>
      <c r="AB66" s="636"/>
      <c r="AC66" s="636"/>
      <c r="AD66" s="636"/>
      <c r="AE66" s="636"/>
      <c r="AF66" s="636"/>
      <c r="AG66" s="636"/>
      <c r="AH66" s="636"/>
      <c r="AI66" s="636"/>
      <c r="AJ66" s="636"/>
      <c r="AK66" s="636"/>
      <c r="AL66" s="636"/>
    </row>
    <row r="67" spans="1:38" s="678" customFormat="1">
      <c r="A67" s="662"/>
      <c r="B67" s="636"/>
      <c r="C67" s="636"/>
      <c r="D67" s="636"/>
      <c r="E67" s="636"/>
      <c r="F67" s="636"/>
      <c r="G67" s="636"/>
      <c r="H67" s="636"/>
      <c r="I67" s="636"/>
      <c r="J67" s="636"/>
      <c r="K67" s="636"/>
      <c r="L67" s="636"/>
      <c r="M67" s="636"/>
      <c r="N67" s="636"/>
      <c r="O67" s="636"/>
      <c r="P67" s="636"/>
      <c r="Q67" s="636"/>
      <c r="R67" s="636"/>
      <c r="S67" s="660"/>
      <c r="T67" s="660"/>
      <c r="U67" s="660"/>
      <c r="V67" s="660"/>
      <c r="W67" s="661"/>
      <c r="X67" s="636"/>
      <c r="Y67" s="636"/>
      <c r="Z67" s="636"/>
      <c r="AA67" s="636"/>
      <c r="AB67" s="636"/>
      <c r="AC67" s="636"/>
      <c r="AD67" s="636"/>
      <c r="AE67" s="636"/>
      <c r="AF67" s="636"/>
      <c r="AG67" s="636"/>
      <c r="AH67" s="636"/>
      <c r="AI67" s="636"/>
      <c r="AJ67" s="636"/>
      <c r="AK67" s="636"/>
      <c r="AL67" s="636"/>
    </row>
    <row r="68" spans="1:38" s="678" customFormat="1">
      <c r="A68" s="662"/>
      <c r="B68" s="636"/>
      <c r="C68" s="636"/>
      <c r="D68" s="636"/>
      <c r="E68" s="636"/>
      <c r="F68" s="636"/>
      <c r="G68" s="636"/>
      <c r="H68" s="636"/>
      <c r="I68" s="636"/>
      <c r="J68" s="636"/>
      <c r="K68" s="636"/>
      <c r="L68" s="636"/>
      <c r="M68" s="636"/>
      <c r="N68" s="636"/>
      <c r="O68" s="636"/>
      <c r="P68" s="636"/>
      <c r="Q68" s="636"/>
      <c r="R68" s="636"/>
      <c r="S68" s="660"/>
      <c r="T68" s="660"/>
      <c r="U68" s="660"/>
      <c r="V68" s="660"/>
      <c r="W68" s="661"/>
      <c r="X68" s="636"/>
      <c r="Y68" s="636"/>
      <c r="Z68" s="636"/>
      <c r="AA68" s="636"/>
      <c r="AB68" s="636"/>
      <c r="AC68" s="636"/>
      <c r="AD68" s="636"/>
      <c r="AE68" s="636"/>
      <c r="AF68" s="636"/>
      <c r="AG68" s="636"/>
      <c r="AH68" s="636"/>
      <c r="AI68" s="636"/>
      <c r="AJ68" s="636"/>
      <c r="AK68" s="636"/>
      <c r="AL68" s="636"/>
    </row>
    <row r="69" spans="1:38" s="678" customFormat="1">
      <c r="A69" s="662"/>
      <c r="B69" s="636"/>
      <c r="C69" s="636"/>
      <c r="D69" s="636"/>
      <c r="E69" s="636"/>
      <c r="F69" s="636"/>
      <c r="G69" s="636"/>
      <c r="H69" s="636"/>
      <c r="I69" s="636"/>
      <c r="J69" s="636"/>
      <c r="K69" s="636"/>
      <c r="L69" s="636"/>
      <c r="M69" s="636"/>
      <c r="N69" s="636"/>
      <c r="O69" s="636"/>
      <c r="P69" s="636"/>
      <c r="Q69" s="636"/>
      <c r="R69" s="636"/>
      <c r="S69" s="660"/>
      <c r="T69" s="660"/>
      <c r="U69" s="660"/>
      <c r="V69" s="660"/>
      <c r="W69" s="661"/>
      <c r="X69" s="636"/>
      <c r="Y69" s="636"/>
      <c r="Z69" s="636"/>
      <c r="AA69" s="636"/>
      <c r="AB69" s="636"/>
      <c r="AC69" s="636"/>
      <c r="AD69" s="636"/>
      <c r="AE69" s="636"/>
      <c r="AF69" s="636"/>
      <c r="AG69" s="636"/>
      <c r="AH69" s="636"/>
      <c r="AI69" s="636"/>
      <c r="AJ69" s="636"/>
      <c r="AK69" s="636"/>
      <c r="AL69" s="636"/>
    </row>
    <row r="70" spans="1:38" s="678" customFormat="1">
      <c r="A70" s="662"/>
      <c r="B70" s="636"/>
      <c r="C70" s="636"/>
      <c r="D70" s="636"/>
      <c r="E70" s="636"/>
      <c r="F70" s="636"/>
      <c r="G70" s="636"/>
      <c r="H70" s="636"/>
      <c r="I70" s="636"/>
      <c r="J70" s="636"/>
      <c r="K70" s="636"/>
      <c r="L70" s="636"/>
      <c r="M70" s="636"/>
      <c r="N70" s="636"/>
      <c r="O70" s="636"/>
      <c r="P70" s="636"/>
      <c r="Q70" s="636"/>
      <c r="R70" s="636"/>
      <c r="S70" s="660"/>
      <c r="T70" s="660"/>
      <c r="U70" s="660"/>
      <c r="V70" s="660"/>
      <c r="W70" s="661"/>
      <c r="X70" s="636"/>
      <c r="Y70" s="636"/>
      <c r="Z70" s="636"/>
      <c r="AA70" s="636"/>
      <c r="AB70" s="636"/>
      <c r="AC70" s="636"/>
      <c r="AD70" s="636"/>
      <c r="AE70" s="636"/>
      <c r="AF70" s="636"/>
      <c r="AG70" s="636"/>
      <c r="AH70" s="636"/>
      <c r="AI70" s="636"/>
      <c r="AJ70" s="636"/>
      <c r="AK70" s="636"/>
      <c r="AL70" s="636"/>
    </row>
    <row r="71" spans="1:38" s="678" customFormat="1">
      <c r="A71" s="662"/>
      <c r="B71" s="636"/>
      <c r="C71" s="636"/>
      <c r="D71" s="636"/>
      <c r="E71" s="636"/>
      <c r="F71" s="636"/>
      <c r="G71" s="636"/>
      <c r="H71" s="636"/>
      <c r="I71" s="636"/>
      <c r="J71" s="636"/>
      <c r="K71" s="636"/>
      <c r="L71" s="636"/>
      <c r="M71" s="636"/>
      <c r="N71" s="636"/>
      <c r="O71" s="636"/>
      <c r="P71" s="636"/>
      <c r="Q71" s="636"/>
      <c r="R71" s="636"/>
      <c r="S71" s="660"/>
      <c r="T71" s="660"/>
      <c r="U71" s="660"/>
      <c r="V71" s="660"/>
      <c r="W71" s="661"/>
      <c r="X71" s="636"/>
      <c r="Y71" s="636"/>
      <c r="Z71" s="636"/>
      <c r="AA71" s="636"/>
      <c r="AB71" s="636"/>
      <c r="AC71" s="636"/>
      <c r="AD71" s="636"/>
      <c r="AE71" s="636"/>
      <c r="AF71" s="636"/>
      <c r="AG71" s="636"/>
      <c r="AH71" s="636"/>
      <c r="AI71" s="636"/>
      <c r="AJ71" s="636"/>
      <c r="AK71" s="636"/>
      <c r="AL71" s="636"/>
    </row>
    <row r="72" spans="1:38" s="678" customFormat="1">
      <c r="A72" s="662"/>
      <c r="B72" s="636"/>
      <c r="C72" s="636"/>
      <c r="D72" s="636"/>
      <c r="E72" s="636"/>
      <c r="F72" s="636"/>
      <c r="G72" s="636"/>
      <c r="H72" s="636"/>
      <c r="I72" s="636"/>
      <c r="J72" s="636"/>
      <c r="K72" s="636"/>
      <c r="L72" s="636"/>
      <c r="M72" s="636"/>
      <c r="N72" s="636"/>
      <c r="O72" s="636"/>
      <c r="P72" s="636"/>
      <c r="Q72" s="636"/>
      <c r="R72" s="636"/>
      <c r="S72" s="660"/>
      <c r="T72" s="660"/>
      <c r="U72" s="660"/>
      <c r="V72" s="660"/>
      <c r="W72" s="661"/>
      <c r="X72" s="636"/>
      <c r="Y72" s="636"/>
      <c r="Z72" s="636"/>
      <c r="AA72" s="636"/>
      <c r="AB72" s="636"/>
      <c r="AC72" s="636"/>
      <c r="AD72" s="636"/>
      <c r="AE72" s="636"/>
      <c r="AF72" s="636"/>
      <c r="AG72" s="636"/>
      <c r="AH72" s="636"/>
      <c r="AI72" s="636"/>
      <c r="AJ72" s="636"/>
      <c r="AK72" s="636"/>
      <c r="AL72" s="636"/>
    </row>
    <row r="73" spans="1:38" s="678" customFormat="1">
      <c r="A73" s="662"/>
      <c r="B73" s="636"/>
      <c r="C73" s="636"/>
      <c r="D73" s="636"/>
      <c r="E73" s="636"/>
      <c r="F73" s="636"/>
      <c r="G73" s="636"/>
      <c r="H73" s="636"/>
      <c r="I73" s="636"/>
      <c r="J73" s="636"/>
      <c r="K73" s="636"/>
      <c r="L73" s="636"/>
      <c r="M73" s="636"/>
      <c r="N73" s="636"/>
      <c r="O73" s="636"/>
      <c r="P73" s="636"/>
      <c r="Q73" s="636"/>
      <c r="R73" s="636"/>
      <c r="S73" s="660"/>
      <c r="T73" s="660"/>
      <c r="U73" s="660"/>
      <c r="V73" s="660"/>
      <c r="W73" s="661"/>
      <c r="X73" s="636"/>
      <c r="Y73" s="636"/>
      <c r="Z73" s="636"/>
      <c r="AA73" s="636"/>
      <c r="AB73" s="636"/>
      <c r="AC73" s="636"/>
      <c r="AD73" s="636"/>
      <c r="AE73" s="636"/>
      <c r="AF73" s="636"/>
      <c r="AG73" s="636"/>
      <c r="AH73" s="636"/>
      <c r="AI73" s="636"/>
      <c r="AJ73" s="636"/>
      <c r="AK73" s="636"/>
      <c r="AL73" s="636"/>
    </row>
    <row r="74" spans="1:38" s="678" customFormat="1">
      <c r="A74" s="662"/>
      <c r="B74" s="636"/>
      <c r="C74" s="636"/>
      <c r="D74" s="636"/>
      <c r="E74" s="636"/>
      <c r="F74" s="636"/>
      <c r="G74" s="636"/>
      <c r="H74" s="636"/>
      <c r="I74" s="636"/>
      <c r="J74" s="636"/>
      <c r="K74" s="636"/>
      <c r="L74" s="636"/>
      <c r="M74" s="636"/>
      <c r="N74" s="636"/>
      <c r="O74" s="636"/>
      <c r="P74" s="636"/>
      <c r="Q74" s="636"/>
      <c r="R74" s="636"/>
      <c r="S74" s="660"/>
      <c r="T74" s="660"/>
      <c r="U74" s="660"/>
      <c r="V74" s="660"/>
      <c r="W74" s="661"/>
      <c r="X74" s="636"/>
      <c r="Y74" s="636"/>
      <c r="Z74" s="636"/>
      <c r="AA74" s="636"/>
      <c r="AB74" s="636"/>
      <c r="AC74" s="636"/>
      <c r="AD74" s="636"/>
      <c r="AE74" s="636"/>
      <c r="AF74" s="636"/>
      <c r="AG74" s="636"/>
      <c r="AH74" s="636"/>
      <c r="AI74" s="636"/>
      <c r="AJ74" s="636"/>
      <c r="AK74" s="636"/>
      <c r="AL74" s="636"/>
    </row>
    <row r="75" spans="1:38" s="678" customFormat="1">
      <c r="A75" s="662"/>
      <c r="B75" s="636"/>
      <c r="C75" s="636"/>
      <c r="D75" s="636"/>
      <c r="E75" s="636"/>
      <c r="F75" s="636"/>
      <c r="G75" s="636"/>
      <c r="H75" s="636"/>
      <c r="I75" s="636"/>
      <c r="J75" s="636"/>
      <c r="K75" s="636"/>
      <c r="L75" s="636"/>
      <c r="M75" s="636"/>
      <c r="N75" s="636"/>
      <c r="O75" s="636"/>
      <c r="P75" s="636"/>
      <c r="Q75" s="636"/>
      <c r="R75" s="636"/>
      <c r="S75" s="660"/>
      <c r="T75" s="660"/>
      <c r="U75" s="660"/>
      <c r="V75" s="660"/>
      <c r="W75" s="661"/>
      <c r="X75" s="636"/>
      <c r="Y75" s="636"/>
      <c r="Z75" s="636"/>
      <c r="AA75" s="636"/>
      <c r="AB75" s="636"/>
      <c r="AC75" s="636"/>
      <c r="AD75" s="636"/>
      <c r="AE75" s="636"/>
      <c r="AF75" s="636"/>
      <c r="AG75" s="636"/>
      <c r="AH75" s="636"/>
      <c r="AI75" s="636"/>
      <c r="AJ75" s="636"/>
      <c r="AK75" s="636"/>
      <c r="AL75" s="636"/>
    </row>
    <row r="76" spans="1:38" s="678" customFormat="1">
      <c r="A76" s="662"/>
      <c r="B76" s="636"/>
      <c r="C76" s="636"/>
      <c r="D76" s="636"/>
      <c r="E76" s="636"/>
      <c r="F76" s="636"/>
      <c r="G76" s="636"/>
      <c r="H76" s="636"/>
      <c r="I76" s="636"/>
      <c r="J76" s="636"/>
      <c r="K76" s="636"/>
      <c r="L76" s="636"/>
      <c r="M76" s="636"/>
      <c r="N76" s="636"/>
      <c r="O76" s="636"/>
      <c r="P76" s="636"/>
      <c r="Q76" s="636"/>
      <c r="R76" s="636"/>
      <c r="S76" s="660"/>
      <c r="T76" s="660"/>
      <c r="U76" s="660"/>
      <c r="V76" s="660"/>
      <c r="W76" s="661"/>
      <c r="X76" s="636"/>
      <c r="Y76" s="636"/>
      <c r="Z76" s="636"/>
      <c r="AA76" s="636"/>
      <c r="AB76" s="636"/>
      <c r="AC76" s="636"/>
      <c r="AD76" s="636"/>
      <c r="AE76" s="636"/>
      <c r="AF76" s="636"/>
      <c r="AG76" s="636"/>
      <c r="AH76" s="636"/>
      <c r="AI76" s="636"/>
      <c r="AJ76" s="636"/>
      <c r="AK76" s="636"/>
      <c r="AL76" s="636"/>
    </row>
    <row r="77" spans="1:38" s="678" customFormat="1">
      <c r="A77" s="662"/>
      <c r="B77" s="636"/>
      <c r="C77" s="636"/>
      <c r="D77" s="636"/>
      <c r="E77" s="636"/>
      <c r="F77" s="636"/>
      <c r="G77" s="636"/>
      <c r="H77" s="636"/>
      <c r="I77" s="636"/>
      <c r="J77" s="636"/>
      <c r="K77" s="636"/>
      <c r="L77" s="636"/>
      <c r="M77" s="636"/>
      <c r="N77" s="636"/>
      <c r="O77" s="636"/>
      <c r="P77" s="636"/>
      <c r="Q77" s="636"/>
      <c r="R77" s="636"/>
      <c r="S77" s="660"/>
      <c r="T77" s="660"/>
      <c r="U77" s="660"/>
      <c r="V77" s="660"/>
      <c r="W77" s="661"/>
      <c r="X77" s="636"/>
      <c r="Y77" s="636"/>
      <c r="Z77" s="636"/>
      <c r="AA77" s="636"/>
      <c r="AB77" s="636"/>
      <c r="AC77" s="636"/>
      <c r="AD77" s="636"/>
      <c r="AE77" s="636"/>
      <c r="AF77" s="636"/>
      <c r="AG77" s="636"/>
      <c r="AH77" s="636"/>
      <c r="AI77" s="636"/>
      <c r="AJ77" s="636"/>
      <c r="AK77" s="636"/>
      <c r="AL77" s="636"/>
    </row>
    <row r="78" spans="1:38" s="678" customFormat="1">
      <c r="A78" s="662"/>
      <c r="B78" s="636"/>
      <c r="C78" s="636"/>
      <c r="D78" s="636"/>
      <c r="E78" s="636"/>
      <c r="F78" s="636"/>
      <c r="G78" s="636"/>
      <c r="H78" s="636"/>
      <c r="I78" s="636"/>
      <c r="J78" s="636"/>
      <c r="K78" s="636"/>
      <c r="L78" s="636"/>
      <c r="M78" s="636"/>
      <c r="N78" s="636"/>
      <c r="O78" s="636"/>
      <c r="P78" s="636"/>
      <c r="Q78" s="636"/>
      <c r="R78" s="636"/>
      <c r="S78" s="660"/>
      <c r="T78" s="660"/>
      <c r="U78" s="660"/>
      <c r="V78" s="660"/>
      <c r="W78" s="661"/>
      <c r="X78" s="636"/>
      <c r="Y78" s="636"/>
      <c r="Z78" s="636"/>
      <c r="AA78" s="636"/>
      <c r="AB78" s="636"/>
      <c r="AC78" s="636"/>
      <c r="AD78" s="636"/>
      <c r="AE78" s="636"/>
      <c r="AF78" s="636"/>
      <c r="AG78" s="636"/>
      <c r="AH78" s="636"/>
      <c r="AI78" s="636"/>
      <c r="AJ78" s="636"/>
      <c r="AK78" s="636"/>
      <c r="AL78" s="636"/>
    </row>
    <row r="79" spans="1:38" s="678" customFormat="1">
      <c r="A79" s="662"/>
      <c r="B79" s="636"/>
      <c r="C79" s="636"/>
      <c r="D79" s="636"/>
      <c r="E79" s="636"/>
      <c r="F79" s="636"/>
      <c r="G79" s="636"/>
      <c r="H79" s="636"/>
      <c r="I79" s="636"/>
      <c r="J79" s="636"/>
      <c r="K79" s="636"/>
      <c r="L79" s="636"/>
      <c r="M79" s="636"/>
      <c r="N79" s="636"/>
      <c r="O79" s="636"/>
      <c r="P79" s="636"/>
      <c r="Q79" s="636"/>
      <c r="R79" s="636"/>
      <c r="S79" s="660"/>
      <c r="T79" s="660"/>
      <c r="U79" s="660"/>
      <c r="V79" s="660"/>
      <c r="W79" s="661"/>
      <c r="X79" s="636"/>
      <c r="Y79" s="636"/>
      <c r="Z79" s="636"/>
      <c r="AA79" s="636"/>
      <c r="AB79" s="636"/>
      <c r="AC79" s="636"/>
      <c r="AD79" s="636"/>
      <c r="AE79" s="636"/>
      <c r="AF79" s="636"/>
      <c r="AG79" s="636"/>
      <c r="AH79" s="636"/>
      <c r="AI79" s="636"/>
      <c r="AJ79" s="636"/>
      <c r="AK79" s="636"/>
      <c r="AL79" s="636"/>
    </row>
    <row r="80" spans="1:38" s="678" customFormat="1">
      <c r="A80" s="662"/>
      <c r="B80" s="636"/>
      <c r="C80" s="636"/>
      <c r="D80" s="636"/>
      <c r="E80" s="636"/>
      <c r="F80" s="636"/>
      <c r="G80" s="636"/>
      <c r="H80" s="636"/>
      <c r="I80" s="636"/>
      <c r="J80" s="636"/>
      <c r="K80" s="636"/>
      <c r="L80" s="636"/>
      <c r="M80" s="636"/>
      <c r="N80" s="636"/>
      <c r="O80" s="636"/>
      <c r="P80" s="636"/>
      <c r="Q80" s="636"/>
      <c r="R80" s="636"/>
      <c r="S80" s="660"/>
      <c r="T80" s="660"/>
      <c r="U80" s="660"/>
      <c r="V80" s="660"/>
      <c r="W80" s="661"/>
      <c r="X80" s="636"/>
      <c r="Y80" s="636"/>
      <c r="Z80" s="636"/>
      <c r="AA80" s="636"/>
      <c r="AB80" s="636"/>
      <c r="AC80" s="636"/>
      <c r="AD80" s="636"/>
      <c r="AE80" s="636"/>
      <c r="AF80" s="636"/>
      <c r="AG80" s="636"/>
      <c r="AH80" s="636"/>
      <c r="AI80" s="636"/>
      <c r="AJ80" s="636"/>
      <c r="AK80" s="636"/>
      <c r="AL80" s="636"/>
    </row>
    <row r="81" spans="1:38" s="678" customFormat="1">
      <c r="A81" s="662"/>
      <c r="B81" s="636"/>
      <c r="C81" s="636"/>
      <c r="D81" s="636"/>
      <c r="E81" s="636"/>
      <c r="F81" s="636"/>
      <c r="G81" s="636"/>
      <c r="H81" s="636"/>
      <c r="I81" s="636"/>
      <c r="J81" s="636"/>
      <c r="K81" s="636"/>
      <c r="L81" s="636"/>
      <c r="M81" s="636"/>
      <c r="N81" s="636"/>
      <c r="O81" s="636"/>
      <c r="P81" s="636"/>
      <c r="Q81" s="636"/>
      <c r="R81" s="636"/>
      <c r="S81" s="660"/>
      <c r="T81" s="660"/>
      <c r="U81" s="660"/>
      <c r="V81" s="660"/>
      <c r="W81" s="661"/>
      <c r="X81" s="636"/>
      <c r="Y81" s="636"/>
      <c r="Z81" s="636"/>
      <c r="AA81" s="636"/>
      <c r="AB81" s="636"/>
      <c r="AC81" s="636"/>
      <c r="AD81" s="636"/>
      <c r="AE81" s="636"/>
      <c r="AF81" s="636"/>
      <c r="AG81" s="636"/>
      <c r="AH81" s="636"/>
      <c r="AI81" s="636"/>
      <c r="AJ81" s="636"/>
      <c r="AK81" s="636"/>
      <c r="AL81" s="636"/>
    </row>
    <row r="82" spans="1:38" s="678" customFormat="1">
      <c r="A82" s="662"/>
      <c r="B82" s="636"/>
      <c r="C82" s="636"/>
      <c r="D82" s="636"/>
      <c r="E82" s="636"/>
      <c r="F82" s="636"/>
      <c r="G82" s="636"/>
      <c r="H82" s="636"/>
      <c r="I82" s="636"/>
      <c r="J82" s="636"/>
      <c r="K82" s="636"/>
      <c r="L82" s="636"/>
      <c r="M82" s="636"/>
      <c r="N82" s="636"/>
      <c r="O82" s="636"/>
      <c r="P82" s="636"/>
      <c r="Q82" s="636"/>
      <c r="R82" s="636"/>
      <c r="S82" s="660"/>
      <c r="T82" s="660"/>
      <c r="U82" s="660"/>
      <c r="V82" s="660"/>
      <c r="W82" s="661"/>
      <c r="X82" s="636"/>
      <c r="Y82" s="636"/>
      <c r="Z82" s="636"/>
      <c r="AA82" s="636"/>
      <c r="AB82" s="636"/>
      <c r="AC82" s="636"/>
      <c r="AD82" s="636"/>
      <c r="AE82" s="636"/>
      <c r="AF82" s="636"/>
      <c r="AG82" s="636"/>
      <c r="AH82" s="636"/>
      <c r="AI82" s="636"/>
      <c r="AJ82" s="636"/>
      <c r="AK82" s="636"/>
      <c r="AL82" s="636"/>
    </row>
    <row r="83" spans="1:38" s="678" customFormat="1">
      <c r="A83" s="662"/>
      <c r="B83" s="636"/>
      <c r="C83" s="636"/>
      <c r="D83" s="636"/>
      <c r="E83" s="636"/>
      <c r="F83" s="636"/>
      <c r="G83" s="636"/>
      <c r="H83" s="636"/>
      <c r="I83" s="636"/>
      <c r="J83" s="636"/>
      <c r="K83" s="636"/>
      <c r="L83" s="636"/>
      <c r="M83" s="636"/>
      <c r="N83" s="636"/>
      <c r="O83" s="636"/>
      <c r="P83" s="636"/>
      <c r="Q83" s="636"/>
      <c r="R83" s="636"/>
      <c r="S83" s="660"/>
      <c r="T83" s="660"/>
      <c r="U83" s="660"/>
      <c r="V83" s="660"/>
      <c r="W83" s="661"/>
      <c r="X83" s="636"/>
      <c r="Y83" s="636"/>
      <c r="Z83" s="636"/>
      <c r="AA83" s="636"/>
      <c r="AB83" s="636"/>
      <c r="AC83" s="636"/>
      <c r="AD83" s="636"/>
      <c r="AE83" s="636"/>
      <c r="AF83" s="636"/>
      <c r="AG83" s="636"/>
      <c r="AH83" s="636"/>
      <c r="AI83" s="636"/>
      <c r="AJ83" s="636"/>
      <c r="AK83" s="636"/>
      <c r="AL83" s="636"/>
    </row>
    <row r="84" spans="1:38" s="678" customFormat="1">
      <c r="A84" s="662"/>
      <c r="B84" s="636"/>
      <c r="C84" s="636"/>
      <c r="D84" s="636"/>
      <c r="E84" s="636"/>
      <c r="F84" s="636"/>
      <c r="G84" s="636"/>
      <c r="H84" s="636"/>
      <c r="I84" s="636"/>
      <c r="J84" s="636"/>
      <c r="K84" s="636"/>
      <c r="L84" s="636"/>
      <c r="M84" s="636"/>
      <c r="N84" s="636"/>
      <c r="O84" s="636"/>
      <c r="P84" s="636"/>
      <c r="Q84" s="636"/>
      <c r="R84" s="636"/>
      <c r="S84" s="660"/>
      <c r="T84" s="660"/>
      <c r="U84" s="660"/>
      <c r="V84" s="660"/>
      <c r="W84" s="661"/>
      <c r="X84" s="636"/>
      <c r="Y84" s="636"/>
      <c r="Z84" s="636"/>
      <c r="AA84" s="636"/>
      <c r="AB84" s="636"/>
      <c r="AC84" s="636"/>
      <c r="AD84" s="636"/>
      <c r="AE84" s="636"/>
      <c r="AF84" s="636"/>
      <c r="AG84" s="636"/>
      <c r="AH84" s="636"/>
      <c r="AI84" s="636"/>
      <c r="AJ84" s="636"/>
      <c r="AK84" s="636"/>
      <c r="AL84" s="636"/>
    </row>
    <row r="85" spans="1:38" s="678" customFormat="1">
      <c r="A85" s="662"/>
      <c r="B85" s="636"/>
      <c r="C85" s="636"/>
      <c r="D85" s="636"/>
      <c r="E85" s="636"/>
      <c r="F85" s="636"/>
      <c r="G85" s="636"/>
      <c r="H85" s="636"/>
      <c r="I85" s="636"/>
      <c r="J85" s="636"/>
      <c r="K85" s="636"/>
      <c r="L85" s="636"/>
      <c r="M85" s="636"/>
      <c r="N85" s="636"/>
      <c r="O85" s="636"/>
      <c r="P85" s="636"/>
      <c r="Q85" s="636"/>
      <c r="R85" s="636"/>
      <c r="S85" s="660"/>
      <c r="T85" s="660"/>
      <c r="U85" s="660"/>
      <c r="V85" s="660"/>
      <c r="W85" s="661"/>
      <c r="X85" s="636"/>
      <c r="Y85" s="636"/>
      <c r="Z85" s="636"/>
      <c r="AA85" s="636"/>
      <c r="AB85" s="636"/>
      <c r="AC85" s="636"/>
      <c r="AD85" s="636"/>
      <c r="AE85" s="636"/>
      <c r="AF85" s="636"/>
      <c r="AG85" s="636"/>
      <c r="AH85" s="636"/>
      <c r="AI85" s="636"/>
      <c r="AJ85" s="636"/>
      <c r="AK85" s="636"/>
      <c r="AL85" s="636"/>
    </row>
    <row r="86" spans="1:38" s="678" customFormat="1">
      <c r="A86" s="662"/>
      <c r="B86" s="636"/>
      <c r="C86" s="636"/>
      <c r="D86" s="636"/>
      <c r="E86" s="636"/>
      <c r="F86" s="636"/>
      <c r="G86" s="636"/>
      <c r="H86" s="636"/>
      <c r="I86" s="636"/>
      <c r="J86" s="636"/>
      <c r="K86" s="636"/>
      <c r="L86" s="636"/>
      <c r="M86" s="636"/>
      <c r="N86" s="636"/>
      <c r="O86" s="636"/>
      <c r="P86" s="636"/>
      <c r="Q86" s="636"/>
      <c r="R86" s="636"/>
      <c r="S86" s="660"/>
      <c r="T86" s="660"/>
      <c r="U86" s="660"/>
      <c r="V86" s="660"/>
      <c r="W86" s="661"/>
      <c r="X86" s="636"/>
      <c r="Y86" s="636"/>
      <c r="Z86" s="636"/>
      <c r="AA86" s="636"/>
      <c r="AB86" s="636"/>
      <c r="AC86" s="636"/>
      <c r="AD86" s="636"/>
      <c r="AE86" s="636"/>
      <c r="AF86" s="636"/>
      <c r="AG86" s="636"/>
      <c r="AH86" s="636"/>
      <c r="AI86" s="636"/>
      <c r="AJ86" s="636"/>
      <c r="AK86" s="636"/>
      <c r="AL86" s="636"/>
    </row>
    <row r="87" spans="1:38" s="678" customFormat="1">
      <c r="A87" s="662"/>
      <c r="B87" s="636"/>
      <c r="C87" s="636"/>
      <c r="D87" s="636"/>
      <c r="E87" s="636"/>
      <c r="F87" s="636"/>
      <c r="G87" s="636"/>
      <c r="H87" s="636"/>
      <c r="I87" s="636"/>
      <c r="J87" s="636"/>
      <c r="K87" s="636"/>
      <c r="L87" s="636"/>
      <c r="M87" s="636"/>
      <c r="N87" s="636"/>
      <c r="O87" s="636"/>
      <c r="P87" s="636"/>
      <c r="Q87" s="636"/>
      <c r="R87" s="636"/>
      <c r="S87" s="660"/>
      <c r="T87" s="660"/>
      <c r="U87" s="660"/>
      <c r="V87" s="660"/>
      <c r="W87" s="661"/>
      <c r="X87" s="636"/>
      <c r="Y87" s="636"/>
      <c r="Z87" s="636"/>
      <c r="AA87" s="636"/>
      <c r="AB87" s="636"/>
      <c r="AC87" s="636"/>
      <c r="AD87" s="636"/>
      <c r="AE87" s="636"/>
      <c r="AF87" s="636"/>
      <c r="AG87" s="636"/>
      <c r="AH87" s="636"/>
      <c r="AI87" s="636"/>
      <c r="AJ87" s="636"/>
      <c r="AK87" s="636"/>
      <c r="AL87" s="636"/>
    </row>
    <row r="88" spans="1:38" s="678" customFormat="1">
      <c r="A88" s="662"/>
      <c r="B88" s="636"/>
      <c r="C88" s="636"/>
      <c r="D88" s="636"/>
      <c r="E88" s="636"/>
      <c r="F88" s="636"/>
      <c r="G88" s="636"/>
      <c r="H88" s="636"/>
      <c r="I88" s="636"/>
      <c r="J88" s="636"/>
      <c r="K88" s="636"/>
      <c r="L88" s="636"/>
      <c r="M88" s="636"/>
      <c r="N88" s="636"/>
      <c r="O88" s="636"/>
      <c r="P88" s="636"/>
      <c r="Q88" s="636"/>
      <c r="R88" s="636"/>
      <c r="S88" s="660"/>
      <c r="T88" s="660"/>
      <c r="U88" s="660"/>
      <c r="V88" s="660"/>
      <c r="W88" s="661"/>
      <c r="X88" s="636"/>
      <c r="Y88" s="636"/>
      <c r="Z88" s="636"/>
      <c r="AA88" s="636"/>
      <c r="AB88" s="636"/>
      <c r="AC88" s="636"/>
      <c r="AD88" s="636"/>
      <c r="AE88" s="636"/>
      <c r="AF88" s="636"/>
      <c r="AG88" s="636"/>
      <c r="AH88" s="636"/>
      <c r="AI88" s="636"/>
      <c r="AJ88" s="636"/>
      <c r="AK88" s="636"/>
      <c r="AL88" s="636"/>
    </row>
    <row r="89" spans="1:38" s="678" customFormat="1">
      <c r="A89" s="662"/>
      <c r="B89" s="636"/>
      <c r="C89" s="636"/>
      <c r="D89" s="636"/>
      <c r="E89" s="636"/>
      <c r="F89" s="636"/>
      <c r="G89" s="636"/>
      <c r="H89" s="636"/>
      <c r="I89" s="636"/>
      <c r="J89" s="636"/>
      <c r="K89" s="636"/>
      <c r="L89" s="636"/>
      <c r="M89" s="636"/>
      <c r="N89" s="636"/>
      <c r="O89" s="636"/>
      <c r="P89" s="636"/>
      <c r="Q89" s="636"/>
      <c r="R89" s="636"/>
      <c r="S89" s="660"/>
      <c r="T89" s="660"/>
      <c r="U89" s="660"/>
      <c r="V89" s="660"/>
      <c r="W89" s="661"/>
      <c r="X89" s="636"/>
      <c r="Y89" s="636"/>
      <c r="Z89" s="636"/>
      <c r="AA89" s="636"/>
      <c r="AB89" s="636"/>
      <c r="AC89" s="636"/>
      <c r="AD89" s="636"/>
      <c r="AE89" s="636"/>
      <c r="AF89" s="636"/>
      <c r="AG89" s="636"/>
      <c r="AH89" s="636"/>
      <c r="AI89" s="636"/>
      <c r="AJ89" s="636"/>
      <c r="AK89" s="636"/>
      <c r="AL89" s="636"/>
    </row>
    <row r="90" spans="1:38" s="678" customFormat="1">
      <c r="A90" s="662"/>
      <c r="B90" s="636"/>
      <c r="C90" s="636"/>
      <c r="D90" s="636"/>
      <c r="E90" s="636"/>
      <c r="F90" s="636"/>
      <c r="G90" s="636"/>
      <c r="H90" s="636"/>
      <c r="I90" s="636"/>
      <c r="J90" s="636"/>
      <c r="K90" s="636"/>
      <c r="L90" s="636"/>
      <c r="M90" s="636"/>
      <c r="N90" s="636"/>
      <c r="O90" s="636"/>
      <c r="P90" s="636"/>
      <c r="Q90" s="636"/>
      <c r="R90" s="636"/>
      <c r="S90" s="660"/>
      <c r="T90" s="660"/>
      <c r="U90" s="660"/>
      <c r="V90" s="660"/>
      <c r="W90" s="661"/>
      <c r="X90" s="636"/>
      <c r="Y90" s="636"/>
      <c r="Z90" s="636"/>
      <c r="AA90" s="636"/>
      <c r="AB90" s="636"/>
      <c r="AC90" s="636"/>
      <c r="AD90" s="636"/>
      <c r="AE90" s="636"/>
      <c r="AF90" s="636"/>
      <c r="AG90" s="636"/>
      <c r="AH90" s="636"/>
      <c r="AI90" s="636"/>
      <c r="AJ90" s="636"/>
      <c r="AK90" s="636"/>
      <c r="AL90" s="636"/>
    </row>
    <row r="91" spans="1:38" s="678" customFormat="1">
      <c r="A91" s="662"/>
      <c r="B91" s="636"/>
      <c r="C91" s="636"/>
      <c r="D91" s="636"/>
      <c r="E91" s="636"/>
      <c r="F91" s="636"/>
      <c r="G91" s="636"/>
      <c r="H91" s="636"/>
      <c r="I91" s="636"/>
      <c r="J91" s="636"/>
      <c r="K91" s="636"/>
      <c r="L91" s="636"/>
      <c r="M91" s="636"/>
      <c r="N91" s="636"/>
      <c r="O91" s="636"/>
      <c r="P91" s="636"/>
      <c r="Q91" s="636"/>
      <c r="R91" s="636"/>
      <c r="S91" s="660"/>
      <c r="T91" s="660"/>
      <c r="U91" s="660"/>
      <c r="V91" s="660"/>
      <c r="W91" s="661"/>
      <c r="X91" s="636"/>
      <c r="Y91" s="636"/>
      <c r="Z91" s="636"/>
      <c r="AA91" s="636"/>
      <c r="AB91" s="636"/>
      <c r="AC91" s="636"/>
      <c r="AD91" s="636"/>
      <c r="AE91" s="636"/>
      <c r="AF91" s="636"/>
      <c r="AG91" s="636"/>
      <c r="AH91" s="636"/>
      <c r="AI91" s="636"/>
      <c r="AJ91" s="636"/>
      <c r="AK91" s="636"/>
      <c r="AL91" s="636"/>
    </row>
    <row r="92" spans="1:38" s="678" customFormat="1">
      <c r="A92" s="662"/>
      <c r="B92" s="636"/>
      <c r="C92" s="636"/>
      <c r="D92" s="636"/>
      <c r="E92" s="636"/>
      <c r="F92" s="636"/>
      <c r="G92" s="636"/>
      <c r="H92" s="636"/>
      <c r="I92" s="636"/>
      <c r="J92" s="636"/>
      <c r="K92" s="636"/>
      <c r="L92" s="636"/>
      <c r="M92" s="636"/>
      <c r="N92" s="636"/>
      <c r="O92" s="636"/>
      <c r="P92" s="636"/>
      <c r="Q92" s="636"/>
      <c r="R92" s="636"/>
      <c r="S92" s="660"/>
      <c r="T92" s="660"/>
      <c r="U92" s="660"/>
      <c r="V92" s="660"/>
      <c r="W92" s="661"/>
      <c r="X92" s="636"/>
      <c r="Y92" s="636"/>
      <c r="Z92" s="636"/>
      <c r="AA92" s="636"/>
      <c r="AB92" s="636"/>
      <c r="AC92" s="636"/>
      <c r="AD92" s="636"/>
      <c r="AE92" s="636"/>
      <c r="AF92" s="636"/>
      <c r="AG92" s="636"/>
      <c r="AH92" s="636"/>
      <c r="AI92" s="636"/>
      <c r="AJ92" s="636"/>
      <c r="AK92" s="636"/>
      <c r="AL92" s="636"/>
    </row>
    <row r="93" spans="1:38" s="678" customFormat="1">
      <c r="A93" s="662"/>
      <c r="B93" s="636"/>
      <c r="C93" s="636"/>
      <c r="D93" s="636"/>
      <c r="E93" s="636"/>
      <c r="F93" s="636"/>
      <c r="G93" s="636"/>
      <c r="H93" s="636"/>
      <c r="I93" s="636"/>
      <c r="J93" s="636"/>
      <c r="K93" s="636"/>
      <c r="L93" s="636"/>
      <c r="M93" s="636"/>
      <c r="N93" s="636"/>
      <c r="O93" s="636"/>
      <c r="P93" s="636"/>
      <c r="Q93" s="636"/>
      <c r="R93" s="636"/>
      <c r="S93" s="660"/>
      <c r="T93" s="660"/>
      <c r="U93" s="660"/>
      <c r="V93" s="660"/>
      <c r="W93" s="661"/>
      <c r="X93" s="636"/>
      <c r="Y93" s="636"/>
      <c r="Z93" s="636"/>
      <c r="AA93" s="636"/>
      <c r="AB93" s="636"/>
      <c r="AC93" s="636"/>
      <c r="AD93" s="636"/>
      <c r="AE93" s="636"/>
      <c r="AF93" s="636"/>
      <c r="AG93" s="636"/>
      <c r="AH93" s="636"/>
      <c r="AI93" s="636"/>
      <c r="AJ93" s="636"/>
      <c r="AK93" s="636"/>
      <c r="AL93" s="636"/>
    </row>
    <row r="94" spans="1:38" s="678" customFormat="1">
      <c r="A94" s="662"/>
      <c r="B94" s="636"/>
      <c r="C94" s="636"/>
      <c r="D94" s="636"/>
      <c r="E94" s="636"/>
      <c r="F94" s="636"/>
      <c r="G94" s="636"/>
      <c r="H94" s="636"/>
      <c r="I94" s="636"/>
      <c r="J94" s="636"/>
      <c r="K94" s="636"/>
      <c r="L94" s="636"/>
      <c r="M94" s="636"/>
      <c r="N94" s="636"/>
      <c r="O94" s="636"/>
      <c r="P94" s="636"/>
      <c r="Q94" s="636"/>
      <c r="R94" s="636"/>
      <c r="S94" s="660"/>
      <c r="T94" s="660"/>
      <c r="U94" s="660"/>
      <c r="V94" s="660"/>
      <c r="W94" s="661"/>
      <c r="X94" s="636"/>
      <c r="Y94" s="636"/>
      <c r="Z94" s="636"/>
      <c r="AA94" s="636"/>
      <c r="AB94" s="636"/>
      <c r="AC94" s="636"/>
      <c r="AD94" s="636"/>
      <c r="AE94" s="636"/>
      <c r="AF94" s="636"/>
      <c r="AG94" s="636"/>
      <c r="AH94" s="636"/>
      <c r="AI94" s="636"/>
      <c r="AJ94" s="636"/>
      <c r="AK94" s="636"/>
      <c r="AL94" s="636"/>
    </row>
    <row r="95" spans="1:38" s="678" customFormat="1">
      <c r="A95" s="662"/>
      <c r="B95" s="636"/>
      <c r="C95" s="636"/>
      <c r="D95" s="636"/>
      <c r="E95" s="636"/>
      <c r="F95" s="636"/>
      <c r="G95" s="636"/>
      <c r="H95" s="636"/>
      <c r="I95" s="636"/>
      <c r="J95" s="636"/>
      <c r="K95" s="636"/>
      <c r="L95" s="636"/>
      <c r="M95" s="636"/>
      <c r="N95" s="636"/>
      <c r="O95" s="636"/>
      <c r="P95" s="636"/>
      <c r="Q95" s="636"/>
      <c r="R95" s="636"/>
      <c r="S95" s="660"/>
      <c r="T95" s="660"/>
      <c r="U95" s="660"/>
      <c r="V95" s="660"/>
      <c r="W95" s="661"/>
      <c r="X95" s="636"/>
      <c r="Y95" s="636"/>
      <c r="Z95" s="636"/>
      <c r="AA95" s="636"/>
      <c r="AB95" s="636"/>
      <c r="AC95" s="636"/>
      <c r="AD95" s="636"/>
      <c r="AE95" s="636"/>
      <c r="AF95" s="636"/>
      <c r="AG95" s="636"/>
      <c r="AH95" s="636"/>
      <c r="AI95" s="636"/>
      <c r="AJ95" s="636"/>
      <c r="AK95" s="636"/>
      <c r="AL95" s="636"/>
    </row>
    <row r="96" spans="1:38" s="678" customFormat="1">
      <c r="A96" s="662"/>
      <c r="B96" s="636"/>
      <c r="C96" s="636"/>
      <c r="D96" s="636"/>
      <c r="E96" s="636"/>
      <c r="F96" s="636"/>
      <c r="G96" s="636"/>
      <c r="H96" s="636"/>
      <c r="I96" s="636"/>
      <c r="J96" s="636"/>
      <c r="K96" s="636"/>
      <c r="L96" s="636"/>
      <c r="M96" s="636"/>
      <c r="N96" s="636"/>
      <c r="O96" s="636"/>
      <c r="P96" s="636"/>
      <c r="Q96" s="636"/>
      <c r="R96" s="636"/>
      <c r="S96" s="660"/>
      <c r="T96" s="660"/>
      <c r="U96" s="660"/>
      <c r="V96" s="660"/>
      <c r="W96" s="661"/>
      <c r="X96" s="636"/>
      <c r="Y96" s="636"/>
      <c r="Z96" s="636"/>
      <c r="AA96" s="636"/>
      <c r="AB96" s="636"/>
      <c r="AC96" s="636"/>
      <c r="AD96" s="636"/>
      <c r="AE96" s="636"/>
      <c r="AF96" s="636"/>
      <c r="AG96" s="636"/>
      <c r="AH96" s="636"/>
      <c r="AI96" s="636"/>
      <c r="AJ96" s="636"/>
      <c r="AK96" s="636"/>
      <c r="AL96" s="636"/>
    </row>
    <row r="97" spans="1:38" s="678" customFormat="1">
      <c r="A97" s="662"/>
      <c r="B97" s="636"/>
      <c r="C97" s="636"/>
      <c r="D97" s="636"/>
      <c r="E97" s="636"/>
      <c r="F97" s="636"/>
      <c r="G97" s="636"/>
      <c r="H97" s="636"/>
      <c r="I97" s="636"/>
      <c r="J97" s="636"/>
      <c r="K97" s="636"/>
      <c r="L97" s="636"/>
      <c r="M97" s="636"/>
      <c r="N97" s="636"/>
      <c r="O97" s="636"/>
      <c r="P97" s="636"/>
      <c r="Q97" s="636"/>
      <c r="R97" s="636"/>
      <c r="S97" s="660"/>
      <c r="T97" s="660"/>
      <c r="U97" s="660"/>
      <c r="V97" s="660"/>
      <c r="W97" s="661"/>
      <c r="X97" s="636"/>
      <c r="Y97" s="636"/>
      <c r="Z97" s="636"/>
      <c r="AA97" s="636"/>
      <c r="AB97" s="636"/>
      <c r="AC97" s="636"/>
      <c r="AD97" s="636"/>
      <c r="AE97" s="636"/>
      <c r="AF97" s="636"/>
      <c r="AG97" s="636"/>
      <c r="AH97" s="636"/>
      <c r="AI97" s="636"/>
      <c r="AJ97" s="636"/>
      <c r="AK97" s="636"/>
      <c r="AL97" s="636"/>
    </row>
    <row r="98" spans="1:38" s="678" customFormat="1">
      <c r="A98" s="662"/>
      <c r="B98" s="636"/>
      <c r="C98" s="636"/>
      <c r="D98" s="636"/>
      <c r="E98" s="636"/>
      <c r="F98" s="636"/>
      <c r="G98" s="636"/>
      <c r="H98" s="636"/>
      <c r="I98" s="636"/>
      <c r="J98" s="636"/>
      <c r="K98" s="636"/>
      <c r="L98" s="636"/>
      <c r="M98" s="636"/>
      <c r="N98" s="636"/>
      <c r="O98" s="636"/>
      <c r="P98" s="636"/>
      <c r="Q98" s="636"/>
      <c r="R98" s="636"/>
      <c r="S98" s="660"/>
      <c r="T98" s="660"/>
      <c r="U98" s="660"/>
      <c r="V98" s="660"/>
      <c r="W98" s="661"/>
      <c r="X98" s="636"/>
      <c r="Y98" s="636"/>
      <c r="Z98" s="636"/>
      <c r="AA98" s="636"/>
      <c r="AB98" s="636"/>
      <c r="AC98" s="636"/>
      <c r="AD98" s="636"/>
      <c r="AE98" s="636"/>
      <c r="AF98" s="636"/>
      <c r="AG98" s="636"/>
      <c r="AH98" s="636"/>
      <c r="AI98" s="636"/>
      <c r="AJ98" s="636"/>
      <c r="AK98" s="636"/>
      <c r="AL98" s="636"/>
    </row>
    <row r="99" spans="1:38" s="678" customFormat="1">
      <c r="A99" s="662"/>
      <c r="B99" s="636"/>
      <c r="C99" s="636"/>
      <c r="D99" s="636"/>
      <c r="E99" s="636"/>
      <c r="F99" s="636"/>
      <c r="G99" s="636"/>
      <c r="H99" s="636"/>
      <c r="I99" s="636"/>
      <c r="J99" s="636"/>
      <c r="K99" s="636"/>
      <c r="L99" s="636"/>
      <c r="M99" s="636"/>
      <c r="N99" s="636"/>
      <c r="O99" s="636"/>
      <c r="P99" s="636"/>
      <c r="Q99" s="636"/>
      <c r="R99" s="636"/>
      <c r="S99" s="660"/>
      <c r="T99" s="660"/>
      <c r="U99" s="660"/>
      <c r="V99" s="660"/>
      <c r="W99" s="661"/>
      <c r="X99" s="636"/>
      <c r="Y99" s="636"/>
      <c r="Z99" s="636"/>
      <c r="AA99" s="636"/>
      <c r="AB99" s="636"/>
      <c r="AC99" s="636"/>
      <c r="AD99" s="636"/>
      <c r="AE99" s="636"/>
      <c r="AF99" s="636"/>
      <c r="AG99" s="636"/>
      <c r="AH99" s="636"/>
      <c r="AI99" s="636"/>
      <c r="AJ99" s="636"/>
      <c r="AK99" s="636"/>
      <c r="AL99" s="636"/>
    </row>
    <row r="100" spans="1:38" s="678" customFormat="1">
      <c r="A100" s="662"/>
      <c r="B100" s="636"/>
      <c r="C100" s="636"/>
      <c r="D100" s="636"/>
      <c r="E100" s="636"/>
      <c r="F100" s="636"/>
      <c r="G100" s="636"/>
      <c r="H100" s="636"/>
      <c r="I100" s="636"/>
      <c r="J100" s="636"/>
      <c r="K100" s="636"/>
      <c r="L100" s="636"/>
      <c r="M100" s="636"/>
      <c r="N100" s="636"/>
      <c r="O100" s="636"/>
      <c r="P100" s="636"/>
      <c r="Q100" s="636"/>
      <c r="R100" s="636"/>
      <c r="S100" s="660"/>
      <c r="T100" s="660"/>
      <c r="U100" s="660"/>
      <c r="V100" s="660"/>
      <c r="W100" s="661"/>
      <c r="X100" s="636"/>
      <c r="Y100" s="636"/>
      <c r="Z100" s="636"/>
      <c r="AA100" s="636"/>
      <c r="AB100" s="636"/>
      <c r="AC100" s="636"/>
      <c r="AD100" s="636"/>
      <c r="AE100" s="636"/>
      <c r="AF100" s="636"/>
      <c r="AG100" s="636"/>
      <c r="AH100" s="636"/>
      <c r="AI100" s="636"/>
      <c r="AJ100" s="636"/>
      <c r="AK100" s="636"/>
      <c r="AL100" s="636"/>
    </row>
    <row r="101" spans="1:38" s="678" customFormat="1">
      <c r="A101" s="662"/>
      <c r="B101" s="636"/>
      <c r="C101" s="636"/>
      <c r="D101" s="636"/>
      <c r="E101" s="636"/>
      <c r="F101" s="636"/>
      <c r="G101" s="636"/>
      <c r="H101" s="636"/>
      <c r="I101" s="636"/>
      <c r="J101" s="636"/>
      <c r="K101" s="636"/>
      <c r="L101" s="636"/>
      <c r="M101" s="636"/>
      <c r="N101" s="636"/>
      <c r="O101" s="636"/>
      <c r="P101" s="636"/>
      <c r="Q101" s="636"/>
      <c r="R101" s="636"/>
      <c r="S101" s="660"/>
      <c r="T101" s="660"/>
      <c r="U101" s="660"/>
      <c r="V101" s="660"/>
      <c r="W101" s="661"/>
      <c r="X101" s="636"/>
      <c r="Y101" s="636"/>
      <c r="Z101" s="636"/>
      <c r="AA101" s="636"/>
      <c r="AB101" s="636"/>
      <c r="AC101" s="636"/>
      <c r="AD101" s="636"/>
      <c r="AE101" s="636"/>
      <c r="AF101" s="636"/>
      <c r="AG101" s="636"/>
      <c r="AH101" s="636"/>
      <c r="AI101" s="636"/>
      <c r="AJ101" s="636"/>
      <c r="AK101" s="636"/>
      <c r="AL101" s="636"/>
    </row>
    <row r="102" spans="1:38" s="678" customFormat="1">
      <c r="A102" s="663"/>
      <c r="B102" s="636"/>
      <c r="C102" s="636"/>
      <c r="D102" s="636"/>
      <c r="E102" s="636"/>
      <c r="F102" s="636"/>
      <c r="G102" s="636"/>
      <c r="H102" s="636"/>
      <c r="I102" s="636"/>
      <c r="J102" s="636"/>
      <c r="K102" s="636"/>
      <c r="L102" s="636"/>
      <c r="M102" s="636"/>
      <c r="N102" s="636"/>
      <c r="O102" s="636"/>
      <c r="P102" s="636"/>
      <c r="Q102" s="636"/>
      <c r="R102" s="636"/>
      <c r="S102" s="660"/>
      <c r="T102" s="660"/>
      <c r="U102" s="660"/>
      <c r="V102" s="660"/>
      <c r="W102" s="661"/>
      <c r="X102" s="636"/>
      <c r="Y102" s="636"/>
      <c r="Z102" s="636"/>
      <c r="AA102" s="636"/>
      <c r="AB102" s="636"/>
      <c r="AC102" s="636"/>
      <c r="AD102" s="636"/>
      <c r="AE102" s="636"/>
      <c r="AF102" s="636"/>
      <c r="AG102" s="636"/>
      <c r="AH102" s="636"/>
      <c r="AI102" s="636"/>
      <c r="AJ102" s="636"/>
      <c r="AK102" s="636"/>
      <c r="AL102" s="636"/>
    </row>
    <row r="103" spans="1:38" s="678" customFormat="1">
      <c r="A103" s="662"/>
      <c r="B103" s="636"/>
      <c r="C103" s="636"/>
      <c r="D103" s="636"/>
      <c r="E103" s="636"/>
      <c r="F103" s="636"/>
      <c r="G103" s="636"/>
      <c r="H103" s="636"/>
      <c r="I103" s="636"/>
      <c r="J103" s="636"/>
      <c r="K103" s="636"/>
      <c r="L103" s="636"/>
      <c r="M103" s="636"/>
      <c r="N103" s="636"/>
      <c r="O103" s="636"/>
      <c r="P103" s="636"/>
      <c r="Q103" s="636"/>
      <c r="R103" s="636"/>
      <c r="S103" s="660"/>
      <c r="T103" s="660"/>
      <c r="U103" s="660"/>
      <c r="V103" s="660"/>
      <c r="W103" s="661"/>
      <c r="X103" s="636"/>
      <c r="Y103" s="636"/>
      <c r="Z103" s="636"/>
      <c r="AA103" s="636"/>
      <c r="AB103" s="636"/>
      <c r="AC103" s="636"/>
      <c r="AD103" s="636"/>
      <c r="AE103" s="636"/>
      <c r="AF103" s="636"/>
      <c r="AG103" s="636"/>
      <c r="AH103" s="636"/>
      <c r="AI103" s="636"/>
      <c r="AJ103" s="636"/>
      <c r="AK103" s="636"/>
      <c r="AL103" s="636"/>
    </row>
    <row r="104" spans="1:38" s="678" customFormat="1">
      <c r="A104" s="662"/>
      <c r="B104" s="636"/>
      <c r="C104" s="636"/>
      <c r="D104" s="636"/>
      <c r="E104" s="636"/>
      <c r="F104" s="636"/>
      <c r="G104" s="636"/>
      <c r="H104" s="636"/>
      <c r="I104" s="636"/>
      <c r="J104" s="636"/>
      <c r="K104" s="636"/>
      <c r="L104" s="636"/>
      <c r="M104" s="636"/>
      <c r="N104" s="636"/>
      <c r="O104" s="636"/>
      <c r="P104" s="636"/>
      <c r="Q104" s="636"/>
      <c r="R104" s="636"/>
      <c r="S104" s="660"/>
      <c r="T104" s="660"/>
      <c r="U104" s="660"/>
      <c r="V104" s="660"/>
      <c r="W104" s="661"/>
      <c r="X104" s="636"/>
      <c r="Y104" s="636"/>
      <c r="Z104" s="636"/>
      <c r="AA104" s="636"/>
      <c r="AB104" s="636"/>
      <c r="AC104" s="636"/>
      <c r="AD104" s="636"/>
      <c r="AE104" s="636"/>
      <c r="AF104" s="636"/>
      <c r="AG104" s="636"/>
      <c r="AH104" s="636"/>
      <c r="AI104" s="636"/>
      <c r="AJ104" s="636"/>
      <c r="AK104" s="636"/>
      <c r="AL104" s="636"/>
    </row>
    <row r="105" spans="1:38" s="678" customFormat="1">
      <c r="A105" s="662"/>
      <c r="B105" s="636"/>
      <c r="C105" s="636"/>
      <c r="D105" s="636"/>
      <c r="E105" s="636"/>
      <c r="F105" s="636"/>
      <c r="G105" s="636"/>
      <c r="H105" s="636"/>
      <c r="I105" s="636"/>
      <c r="J105" s="636"/>
      <c r="K105" s="636"/>
      <c r="L105" s="636"/>
      <c r="M105" s="636"/>
      <c r="N105" s="636"/>
      <c r="O105" s="636"/>
      <c r="P105" s="636"/>
      <c r="Q105" s="636"/>
      <c r="R105" s="636"/>
      <c r="S105" s="660"/>
      <c r="T105" s="660"/>
      <c r="U105" s="660"/>
      <c r="V105" s="660"/>
      <c r="W105" s="661"/>
      <c r="X105" s="636"/>
      <c r="Y105" s="636"/>
      <c r="Z105" s="636"/>
      <c r="AA105" s="636"/>
      <c r="AB105" s="636"/>
      <c r="AC105" s="636"/>
      <c r="AD105" s="636"/>
      <c r="AE105" s="636"/>
      <c r="AF105" s="636"/>
      <c r="AG105" s="636"/>
      <c r="AH105" s="636"/>
      <c r="AI105" s="636"/>
      <c r="AJ105" s="636"/>
      <c r="AK105" s="636"/>
      <c r="AL105" s="636"/>
    </row>
    <row r="106" spans="1:38" s="678" customFormat="1">
      <c r="A106" s="662"/>
      <c r="B106" s="636"/>
      <c r="C106" s="636"/>
      <c r="D106" s="636"/>
      <c r="E106" s="636"/>
      <c r="F106" s="636"/>
      <c r="G106" s="636"/>
      <c r="H106" s="636"/>
      <c r="I106" s="636"/>
      <c r="J106" s="636"/>
      <c r="K106" s="636"/>
      <c r="L106" s="636"/>
      <c r="M106" s="636"/>
      <c r="N106" s="636"/>
      <c r="O106" s="636"/>
      <c r="P106" s="636"/>
      <c r="Q106" s="636"/>
      <c r="R106" s="636"/>
      <c r="S106" s="660"/>
      <c r="T106" s="660"/>
      <c r="U106" s="660"/>
      <c r="V106" s="660"/>
      <c r="W106" s="661"/>
      <c r="X106" s="636"/>
      <c r="Y106" s="636"/>
      <c r="Z106" s="636"/>
      <c r="AA106" s="636"/>
      <c r="AB106" s="636"/>
      <c r="AC106" s="636"/>
      <c r="AD106" s="636"/>
      <c r="AE106" s="636"/>
      <c r="AF106" s="636"/>
      <c r="AG106" s="636"/>
      <c r="AH106" s="636"/>
      <c r="AI106" s="636"/>
      <c r="AJ106" s="636"/>
      <c r="AK106" s="636"/>
      <c r="AL106" s="636"/>
    </row>
    <row r="107" spans="1:38" s="678" customFormat="1">
      <c r="A107" s="662"/>
      <c r="B107" s="636"/>
      <c r="C107" s="636"/>
      <c r="D107" s="636"/>
      <c r="E107" s="636"/>
      <c r="F107" s="636"/>
      <c r="G107" s="636"/>
      <c r="H107" s="636"/>
      <c r="I107" s="636"/>
      <c r="J107" s="636"/>
      <c r="K107" s="636"/>
      <c r="L107" s="636"/>
      <c r="M107" s="636"/>
      <c r="N107" s="636"/>
      <c r="O107" s="636"/>
      <c r="P107" s="636"/>
      <c r="Q107" s="636"/>
      <c r="R107" s="636"/>
      <c r="S107" s="660"/>
      <c r="T107" s="660"/>
      <c r="U107" s="660"/>
      <c r="V107" s="660"/>
      <c r="W107" s="661"/>
      <c r="X107" s="636"/>
      <c r="Y107" s="636"/>
      <c r="Z107" s="636"/>
      <c r="AA107" s="636"/>
      <c r="AB107" s="636"/>
      <c r="AC107" s="636"/>
      <c r="AD107" s="636"/>
      <c r="AE107" s="636"/>
      <c r="AF107" s="636"/>
      <c r="AG107" s="636"/>
      <c r="AH107" s="636"/>
      <c r="AI107" s="636"/>
      <c r="AJ107" s="636"/>
      <c r="AK107" s="636"/>
      <c r="AL107" s="636"/>
    </row>
    <row r="108" spans="1:38" s="678" customFormat="1">
      <c r="A108" s="662"/>
      <c r="B108" s="636"/>
      <c r="C108" s="636"/>
      <c r="D108" s="636"/>
      <c r="E108" s="636"/>
      <c r="F108" s="636"/>
      <c r="G108" s="636"/>
      <c r="H108" s="636"/>
      <c r="I108" s="636"/>
      <c r="J108" s="636"/>
      <c r="K108" s="636"/>
      <c r="L108" s="636"/>
      <c r="M108" s="636"/>
      <c r="N108" s="636"/>
      <c r="O108" s="636"/>
      <c r="P108" s="636"/>
      <c r="Q108" s="636"/>
      <c r="R108" s="636"/>
      <c r="S108" s="660"/>
      <c r="T108" s="660"/>
      <c r="U108" s="660"/>
      <c r="V108" s="660"/>
      <c r="W108" s="661"/>
      <c r="X108" s="636"/>
      <c r="Y108" s="636"/>
      <c r="Z108" s="636"/>
      <c r="AA108" s="636"/>
      <c r="AB108" s="636"/>
      <c r="AC108" s="636"/>
      <c r="AD108" s="636"/>
      <c r="AE108" s="636"/>
      <c r="AF108" s="636"/>
      <c r="AG108" s="636"/>
      <c r="AH108" s="636"/>
      <c r="AI108" s="636"/>
      <c r="AJ108" s="636"/>
      <c r="AK108" s="636"/>
      <c r="AL108" s="636"/>
    </row>
    <row r="109" spans="1:38" s="678" customFormat="1" ht="25.5">
      <c r="A109" s="663" t="s">
        <v>17</v>
      </c>
      <c r="B109" s="636"/>
      <c r="C109" s="636"/>
      <c r="D109" s="636"/>
      <c r="E109" s="636"/>
      <c r="F109" s="636"/>
      <c r="G109" s="636"/>
      <c r="H109" s="636"/>
      <c r="I109" s="636"/>
      <c r="J109" s="636"/>
      <c r="K109" s="636"/>
      <c r="L109" s="636"/>
      <c r="M109" s="636"/>
      <c r="N109" s="636"/>
      <c r="O109" s="636"/>
      <c r="P109" s="636"/>
      <c r="Q109" s="636"/>
      <c r="R109" s="636"/>
      <c r="S109" s="660"/>
      <c r="T109" s="660"/>
      <c r="U109" s="660"/>
      <c r="V109" s="660"/>
      <c r="W109" s="661"/>
      <c r="X109" s="636"/>
      <c r="Y109" s="636"/>
      <c r="Z109" s="636"/>
      <c r="AA109" s="636"/>
      <c r="AB109" s="636"/>
      <c r="AC109" s="636"/>
      <c r="AD109" s="636"/>
      <c r="AE109" s="636"/>
      <c r="AF109" s="636"/>
      <c r="AG109" s="636"/>
      <c r="AH109" s="636"/>
      <c r="AI109" s="636"/>
      <c r="AJ109" s="636"/>
      <c r="AK109" s="636"/>
      <c r="AL109" s="636"/>
    </row>
    <row r="110" spans="1:38" s="678" customFormat="1" ht="38.25">
      <c r="A110" s="662" t="s">
        <v>18</v>
      </c>
      <c r="B110" s="636"/>
      <c r="C110" s="636"/>
      <c r="D110" s="636"/>
      <c r="E110" s="636"/>
      <c r="F110" s="636"/>
      <c r="G110" s="636"/>
      <c r="H110" s="636"/>
      <c r="I110" s="636"/>
      <c r="J110" s="636"/>
      <c r="K110" s="636"/>
      <c r="L110" s="636"/>
      <c r="M110" s="636"/>
      <c r="N110" s="636"/>
      <c r="O110" s="636"/>
      <c r="P110" s="636"/>
      <c r="Q110" s="636"/>
      <c r="R110" s="636"/>
      <c r="S110" s="660"/>
      <c r="T110" s="660"/>
      <c r="U110" s="660"/>
      <c r="V110" s="660"/>
      <c r="W110" s="661"/>
      <c r="X110" s="636"/>
      <c r="Y110" s="636"/>
      <c r="Z110" s="636"/>
      <c r="AA110" s="636"/>
      <c r="AB110" s="636"/>
      <c r="AC110" s="636"/>
      <c r="AD110" s="636"/>
      <c r="AE110" s="636"/>
      <c r="AF110" s="636"/>
      <c r="AG110" s="636"/>
      <c r="AH110" s="636"/>
      <c r="AI110" s="636"/>
      <c r="AJ110" s="636"/>
      <c r="AK110" s="636"/>
      <c r="AL110" s="636"/>
    </row>
    <row r="111" spans="1:38" s="678" customFormat="1">
      <c r="A111" s="662" t="s">
        <v>19</v>
      </c>
      <c r="B111" s="636"/>
      <c r="C111" s="636"/>
      <c r="D111" s="636"/>
      <c r="E111" s="636"/>
      <c r="F111" s="636"/>
      <c r="G111" s="636"/>
      <c r="H111" s="636"/>
      <c r="I111" s="636"/>
      <c r="J111" s="636"/>
      <c r="K111" s="636"/>
      <c r="L111" s="636"/>
      <c r="M111" s="636"/>
      <c r="N111" s="636"/>
      <c r="O111" s="636"/>
      <c r="P111" s="636"/>
      <c r="Q111" s="636"/>
      <c r="R111" s="636"/>
      <c r="S111" s="660"/>
      <c r="T111" s="660"/>
      <c r="U111" s="660"/>
      <c r="V111" s="660"/>
      <c r="W111" s="661"/>
      <c r="X111" s="636"/>
      <c r="Y111" s="636"/>
      <c r="Z111" s="636"/>
      <c r="AA111" s="636"/>
      <c r="AB111" s="636"/>
      <c r="AC111" s="636"/>
      <c r="AD111" s="636"/>
      <c r="AE111" s="636"/>
      <c r="AF111" s="636"/>
      <c r="AG111" s="636"/>
      <c r="AH111" s="636"/>
      <c r="AI111" s="636"/>
      <c r="AJ111" s="636"/>
      <c r="AK111" s="636"/>
      <c r="AL111" s="636"/>
    </row>
    <row r="112" spans="1:38" s="678" customFormat="1" ht="38.25">
      <c r="A112" s="662" t="str">
        <f>"FUENTE:"&amp;IF(A119="E","AJUST_HOMOGENIZADOS","TOTAL_FTES")</f>
        <v>FUENTE:TOTAL_FTES</v>
      </c>
      <c r="B112" s="636"/>
      <c r="C112" s="636"/>
      <c r="D112" s="636"/>
      <c r="E112" s="636"/>
      <c r="F112" s="636"/>
      <c r="G112" s="636"/>
      <c r="H112" s="636"/>
      <c r="I112" s="636"/>
      <c r="J112" s="636"/>
      <c r="K112" s="636"/>
      <c r="L112" s="636"/>
      <c r="M112" s="636"/>
      <c r="N112" s="636"/>
      <c r="O112" s="636"/>
      <c r="P112" s="636"/>
      <c r="Q112" s="636"/>
      <c r="R112" s="636"/>
      <c r="S112" s="660"/>
      <c r="T112" s="660"/>
      <c r="U112" s="660"/>
      <c r="V112" s="660"/>
      <c r="W112" s="661"/>
      <c r="X112" s="636"/>
      <c r="Y112" s="636"/>
      <c r="Z112" s="636"/>
      <c r="AA112" s="636"/>
      <c r="AB112" s="636"/>
      <c r="AC112" s="636"/>
      <c r="AD112" s="636"/>
      <c r="AE112" s="636"/>
      <c r="AF112" s="636"/>
      <c r="AG112" s="636"/>
      <c r="AH112" s="636"/>
      <c r="AI112" s="636"/>
      <c r="AJ112" s="636"/>
      <c r="AK112" s="636"/>
      <c r="AL112" s="636"/>
    </row>
    <row r="113" spans="1:38" s="678" customFormat="1">
      <c r="A113" s="662" t="str">
        <f>"MONEDA:"&amp;IF(A119="E","LC","COP")</f>
        <v>MONEDA:COP</v>
      </c>
      <c r="B113" s="636"/>
      <c r="C113" s="636"/>
      <c r="D113" s="636"/>
      <c r="E113" s="636"/>
      <c r="F113" s="636"/>
      <c r="G113" s="636"/>
      <c r="H113" s="636"/>
      <c r="I113" s="636"/>
      <c r="J113" s="636"/>
      <c r="K113" s="636"/>
      <c r="L113" s="636"/>
      <c r="M113" s="636"/>
      <c r="N113" s="636"/>
      <c r="O113" s="636"/>
      <c r="P113" s="636"/>
      <c r="Q113" s="636"/>
      <c r="R113" s="636"/>
      <c r="S113" s="660"/>
      <c r="T113" s="660"/>
      <c r="U113" s="660"/>
      <c r="V113" s="660"/>
      <c r="W113" s="661"/>
      <c r="X113" s="636"/>
      <c r="Y113" s="636"/>
      <c r="Z113" s="636"/>
      <c r="AA113" s="636"/>
      <c r="AB113" s="636"/>
      <c r="AC113" s="636"/>
      <c r="AD113" s="636"/>
      <c r="AE113" s="636"/>
      <c r="AF113" s="636"/>
      <c r="AG113" s="636"/>
      <c r="AH113" s="636"/>
      <c r="AI113" s="636"/>
      <c r="AJ113" s="636"/>
      <c r="AK113" s="636"/>
      <c r="AL113" s="636"/>
    </row>
    <row r="114" spans="1:38" s="678" customFormat="1" ht="25.5">
      <c r="A114" s="662" t="s">
        <v>20</v>
      </c>
      <c r="B114" s="636"/>
      <c r="C114" s="636"/>
      <c r="D114" s="636"/>
      <c r="E114" s="636"/>
      <c r="F114" s="636"/>
      <c r="G114" s="636"/>
      <c r="H114" s="636"/>
      <c r="I114" s="636"/>
      <c r="J114" s="636"/>
      <c r="K114" s="636"/>
      <c r="L114" s="636"/>
      <c r="M114" s="636"/>
      <c r="N114" s="636"/>
      <c r="O114" s="636"/>
      <c r="P114" s="636"/>
      <c r="Q114" s="636"/>
      <c r="R114" s="636"/>
      <c r="S114" s="660"/>
      <c r="T114" s="660"/>
      <c r="U114" s="660"/>
      <c r="V114" s="660"/>
      <c r="W114" s="661"/>
      <c r="X114" s="636"/>
      <c r="Y114" s="636"/>
      <c r="Z114" s="636"/>
      <c r="AA114" s="636"/>
      <c r="AB114" s="636"/>
      <c r="AC114" s="636"/>
      <c r="AD114" s="636"/>
      <c r="AE114" s="636"/>
      <c r="AF114" s="636"/>
      <c r="AG114" s="636"/>
      <c r="AH114" s="636"/>
      <c r="AI114" s="636"/>
      <c r="AJ114" s="636"/>
      <c r="AK114" s="636"/>
      <c r="AL114" s="636"/>
    </row>
    <row r="115" spans="1:38" s="678" customFormat="1" ht="25.5">
      <c r="A115" s="662" t="s">
        <v>21</v>
      </c>
      <c r="B115" s="636"/>
      <c r="C115" s="636"/>
      <c r="D115" s="636"/>
      <c r="E115" s="636"/>
      <c r="F115" s="636"/>
      <c r="G115" s="636"/>
      <c r="H115" s="636"/>
      <c r="I115" s="636"/>
      <c r="J115" s="636"/>
      <c r="K115" s="636"/>
      <c r="L115" s="636"/>
      <c r="M115" s="636"/>
      <c r="N115" s="636"/>
      <c r="O115" s="636"/>
      <c r="P115" s="636"/>
      <c r="Q115" s="636"/>
      <c r="R115" s="636"/>
      <c r="S115" s="660"/>
      <c r="T115" s="660"/>
      <c r="U115" s="660"/>
      <c r="V115" s="660"/>
      <c r="W115" s="661"/>
      <c r="X115" s="636"/>
      <c r="Y115" s="636"/>
      <c r="Z115" s="636"/>
      <c r="AA115" s="636"/>
      <c r="AB115" s="636"/>
      <c r="AC115" s="636"/>
      <c r="AD115" s="636"/>
      <c r="AE115" s="636"/>
      <c r="AF115" s="636"/>
      <c r="AG115" s="636"/>
      <c r="AH115" s="636"/>
      <c r="AI115" s="636"/>
      <c r="AJ115" s="636"/>
      <c r="AK115" s="636"/>
      <c r="AL115" s="636"/>
    </row>
    <row r="116" spans="1:38" s="678" customFormat="1" ht="25.5">
      <c r="A116" s="662" t="e">
        <f ca="1">"GRUPO:"&amp;IF(A119="E","G_NONE",_xll.EPMMemberProperty("ANEXO_NOTAS_XBRL","ENTIDAD:"&amp;C3,"ID"))</f>
        <v>#NAME?</v>
      </c>
      <c r="B116" s="636"/>
      <c r="C116" s="636"/>
      <c r="D116" s="636"/>
      <c r="E116" s="636"/>
      <c r="F116" s="636"/>
      <c r="G116" s="636"/>
      <c r="H116" s="636"/>
      <c r="I116" s="636"/>
      <c r="J116" s="636"/>
      <c r="K116" s="636"/>
      <c r="L116" s="636"/>
      <c r="M116" s="636"/>
      <c r="N116" s="636"/>
      <c r="O116" s="636"/>
      <c r="P116" s="636"/>
      <c r="Q116" s="636"/>
      <c r="R116" s="636"/>
      <c r="S116" s="660"/>
      <c r="T116" s="660"/>
      <c r="U116" s="660"/>
      <c r="V116" s="660"/>
      <c r="W116" s="661"/>
      <c r="X116" s="636"/>
      <c r="Y116" s="636"/>
      <c r="Z116" s="636"/>
      <c r="AA116" s="636"/>
      <c r="AB116" s="636"/>
      <c r="AC116" s="636"/>
      <c r="AD116" s="636"/>
      <c r="AE116" s="636"/>
      <c r="AF116" s="636"/>
      <c r="AG116" s="636"/>
      <c r="AH116" s="636"/>
      <c r="AI116" s="636"/>
      <c r="AJ116" s="636"/>
      <c r="AK116" s="636"/>
      <c r="AL116" s="636"/>
    </row>
    <row r="117" spans="1:38" s="678" customFormat="1">
      <c r="A117" s="662" t="e">
        <f ca="1">"TIEMPO:"&amp;_xll.EPMMemberOffset(,C4,-12)</f>
        <v>#NAME?</v>
      </c>
      <c r="B117" s="636"/>
      <c r="C117" s="636"/>
      <c r="D117" s="636"/>
      <c r="E117" s="636"/>
      <c r="F117" s="636"/>
      <c r="G117" s="636"/>
      <c r="H117" s="636"/>
      <c r="I117" s="636"/>
      <c r="J117" s="636"/>
      <c r="K117" s="636"/>
      <c r="L117" s="636"/>
      <c r="M117" s="636"/>
      <c r="N117" s="636"/>
      <c r="O117" s="636"/>
      <c r="P117" s="636"/>
      <c r="Q117" s="636"/>
      <c r="R117" s="636"/>
      <c r="S117" s="660"/>
      <c r="T117" s="660"/>
      <c r="U117" s="660"/>
      <c r="V117" s="660"/>
      <c r="W117" s="661"/>
      <c r="X117" s="636"/>
      <c r="Y117" s="636"/>
      <c r="Z117" s="636"/>
      <c r="AA117" s="636"/>
      <c r="AB117" s="636"/>
      <c r="AC117" s="636"/>
      <c r="AD117" s="636"/>
      <c r="AE117" s="636"/>
      <c r="AF117" s="636"/>
      <c r="AG117" s="636"/>
      <c r="AH117" s="636"/>
      <c r="AI117" s="636"/>
      <c r="AJ117" s="636"/>
      <c r="AK117" s="636"/>
      <c r="AL117" s="636"/>
    </row>
    <row r="118" spans="1:38" s="678" customFormat="1">
      <c r="A118" s="662"/>
      <c r="B118" s="636"/>
      <c r="C118" s="636"/>
      <c r="D118" s="636"/>
      <c r="E118" s="636"/>
      <c r="F118" s="636"/>
      <c r="G118" s="636"/>
      <c r="H118" s="636"/>
      <c r="I118" s="636"/>
      <c r="J118" s="636"/>
      <c r="K118" s="636"/>
      <c r="L118" s="636"/>
      <c r="M118" s="636"/>
      <c r="N118" s="636"/>
      <c r="O118" s="636"/>
      <c r="P118" s="636"/>
      <c r="Q118" s="636"/>
      <c r="R118" s="636"/>
      <c r="S118" s="660"/>
      <c r="T118" s="660"/>
      <c r="U118" s="660"/>
      <c r="V118" s="660"/>
      <c r="W118" s="661"/>
      <c r="X118" s="636"/>
      <c r="Y118" s="636"/>
      <c r="Z118" s="636"/>
      <c r="AA118" s="636"/>
      <c r="AB118" s="636"/>
      <c r="AC118" s="636"/>
      <c r="AD118" s="636"/>
      <c r="AE118" s="636"/>
      <c r="AF118" s="636"/>
      <c r="AG118" s="636"/>
      <c r="AH118" s="636"/>
      <c r="AI118" s="636"/>
      <c r="AJ118" s="636"/>
      <c r="AK118" s="636"/>
      <c r="AL118" s="636"/>
    </row>
    <row r="119" spans="1:38" s="678" customFormat="1">
      <c r="A119" s="662" t="str">
        <f>LEFT(C3,1)</f>
        <v/>
      </c>
      <c r="B119" s="636"/>
      <c r="C119" s="636"/>
      <c r="D119" s="636"/>
      <c r="E119" s="636"/>
      <c r="F119" s="636"/>
      <c r="G119" s="636"/>
      <c r="H119" s="636"/>
      <c r="I119" s="636"/>
      <c r="J119" s="636"/>
      <c r="K119" s="636"/>
      <c r="L119" s="636"/>
      <c r="M119" s="636"/>
      <c r="N119" s="636"/>
      <c r="O119" s="636"/>
      <c r="P119" s="636"/>
      <c r="Q119" s="636"/>
      <c r="R119" s="636"/>
      <c r="S119" s="660"/>
      <c r="T119" s="660"/>
      <c r="U119" s="660"/>
      <c r="V119" s="660"/>
      <c r="W119" s="661"/>
      <c r="X119" s="636"/>
      <c r="Y119" s="636"/>
      <c r="Z119" s="636"/>
      <c r="AA119" s="636"/>
      <c r="AB119" s="636"/>
      <c r="AC119" s="636"/>
      <c r="AD119" s="636"/>
      <c r="AE119" s="636"/>
      <c r="AF119" s="636"/>
      <c r="AG119" s="636"/>
      <c r="AH119" s="636"/>
      <c r="AI119" s="636"/>
      <c r="AJ119" s="636"/>
      <c r="AK119" s="636"/>
      <c r="AL119" s="636"/>
    </row>
    <row r="120" spans="1:38" s="678" customFormat="1">
      <c r="A120" s="662"/>
      <c r="B120" s="636"/>
      <c r="C120" s="636"/>
      <c r="D120" s="636"/>
      <c r="E120" s="636"/>
      <c r="F120" s="636"/>
      <c r="G120" s="636"/>
      <c r="H120" s="636"/>
      <c r="I120" s="636"/>
      <c r="J120" s="636"/>
      <c r="K120" s="636"/>
      <c r="L120" s="636"/>
      <c r="M120" s="636"/>
      <c r="N120" s="636"/>
      <c r="O120" s="636"/>
      <c r="P120" s="636"/>
      <c r="Q120" s="636"/>
      <c r="R120" s="636"/>
      <c r="S120" s="660"/>
      <c r="T120" s="660"/>
      <c r="U120" s="660"/>
      <c r="V120" s="660"/>
      <c r="W120" s="661"/>
      <c r="X120" s="636"/>
      <c r="Y120" s="636"/>
      <c r="Z120" s="636"/>
      <c r="AA120" s="636"/>
      <c r="AB120" s="636"/>
      <c r="AC120" s="636"/>
      <c r="AD120" s="636"/>
      <c r="AE120" s="636"/>
      <c r="AF120" s="636"/>
      <c r="AG120" s="636"/>
      <c r="AH120" s="636"/>
      <c r="AI120" s="636"/>
      <c r="AJ120" s="636"/>
      <c r="AK120" s="636"/>
      <c r="AL120" s="636"/>
    </row>
    <row r="121" spans="1:38" s="678" customFormat="1">
      <c r="A121" s="662"/>
      <c r="B121" s="636"/>
      <c r="C121" s="636"/>
      <c r="D121" s="636"/>
      <c r="E121" s="636"/>
      <c r="F121" s="636"/>
      <c r="G121" s="636"/>
      <c r="H121" s="636"/>
      <c r="I121" s="636"/>
      <c r="J121" s="636"/>
      <c r="K121" s="636"/>
      <c r="L121" s="636"/>
      <c r="M121" s="636"/>
      <c r="N121" s="636"/>
      <c r="O121" s="636"/>
      <c r="P121" s="636"/>
      <c r="Q121" s="636"/>
      <c r="R121" s="636"/>
      <c r="S121" s="660"/>
      <c r="T121" s="660"/>
      <c r="U121" s="660"/>
      <c r="V121" s="660"/>
      <c r="W121" s="661"/>
      <c r="X121" s="636"/>
      <c r="Y121" s="636"/>
      <c r="Z121" s="636"/>
      <c r="AA121" s="636"/>
      <c r="AB121" s="636"/>
      <c r="AC121" s="636"/>
      <c r="AD121" s="636"/>
      <c r="AE121" s="636"/>
      <c r="AF121" s="636"/>
      <c r="AG121" s="636"/>
      <c r="AH121" s="636"/>
      <c r="AI121" s="636"/>
      <c r="AJ121" s="636"/>
      <c r="AK121" s="636"/>
      <c r="AL121" s="636"/>
    </row>
    <row r="122" spans="1:38" s="678" customFormat="1">
      <c r="A122" s="662"/>
      <c r="B122" s="636"/>
      <c r="C122" s="636"/>
      <c r="D122" s="636"/>
      <c r="E122" s="636"/>
      <c r="F122" s="636"/>
      <c r="G122" s="636"/>
      <c r="H122" s="636"/>
      <c r="I122" s="636"/>
      <c r="J122" s="636"/>
      <c r="K122" s="636"/>
      <c r="L122" s="636"/>
      <c r="M122" s="636"/>
      <c r="N122" s="636"/>
      <c r="O122" s="636"/>
      <c r="P122" s="636"/>
      <c r="Q122" s="636"/>
      <c r="R122" s="636"/>
      <c r="S122" s="660"/>
      <c r="T122" s="660"/>
      <c r="U122" s="660"/>
      <c r="V122" s="660"/>
      <c r="W122" s="661"/>
      <c r="X122" s="636"/>
      <c r="Y122" s="636"/>
      <c r="Z122" s="636"/>
      <c r="AA122" s="636"/>
      <c r="AB122" s="636"/>
      <c r="AC122" s="636"/>
      <c r="AD122" s="636"/>
      <c r="AE122" s="636"/>
      <c r="AF122" s="636"/>
      <c r="AG122" s="636"/>
      <c r="AH122" s="636"/>
      <c r="AI122" s="636"/>
      <c r="AJ122" s="636"/>
      <c r="AK122" s="636"/>
      <c r="AL122" s="636"/>
    </row>
    <row r="123" spans="1:38" s="678" customFormat="1">
      <c r="A123" s="662"/>
      <c r="B123" s="636"/>
      <c r="C123" s="636"/>
      <c r="D123" s="636"/>
      <c r="E123" s="636"/>
      <c r="F123" s="636"/>
      <c r="G123" s="636"/>
      <c r="H123" s="636"/>
      <c r="I123" s="636"/>
      <c r="J123" s="636"/>
      <c r="K123" s="636"/>
      <c r="L123" s="636"/>
      <c r="M123" s="636"/>
      <c r="N123" s="636"/>
      <c r="O123" s="636"/>
      <c r="P123" s="636"/>
      <c r="Q123" s="636"/>
      <c r="R123" s="636"/>
      <c r="S123" s="660"/>
      <c r="T123" s="660"/>
      <c r="U123" s="660"/>
      <c r="V123" s="660"/>
      <c r="W123" s="661"/>
      <c r="X123" s="636"/>
      <c r="Y123" s="636"/>
      <c r="Z123" s="636"/>
      <c r="AA123" s="636"/>
      <c r="AB123" s="636"/>
      <c r="AC123" s="636"/>
      <c r="AD123" s="636"/>
      <c r="AE123" s="636"/>
      <c r="AF123" s="636"/>
      <c r="AG123" s="636"/>
      <c r="AH123" s="636"/>
      <c r="AI123" s="636"/>
      <c r="AJ123" s="636"/>
      <c r="AK123" s="636"/>
      <c r="AL123" s="636"/>
    </row>
    <row r="124" spans="1:38" s="678" customFormat="1">
      <c r="A124" s="662"/>
      <c r="B124" s="636"/>
      <c r="C124" s="636"/>
      <c r="D124" s="636"/>
      <c r="E124" s="636"/>
      <c r="F124" s="636"/>
      <c r="G124" s="636"/>
      <c r="H124" s="636"/>
      <c r="I124" s="636"/>
      <c r="J124" s="636"/>
      <c r="K124" s="636"/>
      <c r="L124" s="636"/>
      <c r="M124" s="636"/>
      <c r="N124" s="636"/>
      <c r="O124" s="636"/>
      <c r="P124" s="636"/>
      <c r="Q124" s="636"/>
      <c r="R124" s="636"/>
      <c r="S124" s="660"/>
      <c r="T124" s="660"/>
      <c r="U124" s="660"/>
      <c r="V124" s="660"/>
      <c r="W124" s="661"/>
      <c r="X124" s="636"/>
      <c r="Y124" s="636"/>
      <c r="Z124" s="636"/>
      <c r="AA124" s="636"/>
      <c r="AB124" s="636"/>
      <c r="AC124" s="636"/>
      <c r="AD124" s="636"/>
      <c r="AE124" s="636"/>
      <c r="AF124" s="636"/>
      <c r="AG124" s="636"/>
      <c r="AH124" s="636"/>
      <c r="AI124" s="636"/>
      <c r="AJ124" s="636"/>
      <c r="AK124" s="636"/>
      <c r="AL124" s="636"/>
    </row>
    <row r="125" spans="1:38" s="678" customFormat="1">
      <c r="A125" s="662"/>
      <c r="B125" s="636"/>
      <c r="C125" s="636"/>
      <c r="D125" s="636"/>
      <c r="E125" s="636"/>
      <c r="F125" s="636"/>
      <c r="G125" s="636"/>
      <c r="H125" s="636"/>
      <c r="I125" s="636"/>
      <c r="J125" s="636"/>
      <c r="K125" s="636"/>
      <c r="L125" s="636"/>
      <c r="M125" s="636"/>
      <c r="N125" s="636"/>
      <c r="O125" s="636"/>
      <c r="P125" s="636"/>
      <c r="Q125" s="636"/>
      <c r="R125" s="636"/>
      <c r="S125" s="660"/>
      <c r="T125" s="660"/>
      <c r="U125" s="660"/>
      <c r="V125" s="660"/>
      <c r="W125" s="661"/>
      <c r="X125" s="636"/>
      <c r="Y125" s="636"/>
      <c r="Z125" s="636"/>
      <c r="AA125" s="636"/>
      <c r="AB125" s="636"/>
      <c r="AC125" s="636"/>
      <c r="AD125" s="636"/>
      <c r="AE125" s="636"/>
      <c r="AF125" s="636"/>
      <c r="AG125" s="636"/>
      <c r="AH125" s="636"/>
      <c r="AI125" s="636"/>
      <c r="AJ125" s="636"/>
      <c r="AK125" s="636"/>
      <c r="AL125" s="636"/>
    </row>
    <row r="126" spans="1:38" s="678" customFormat="1">
      <c r="A126" s="662"/>
      <c r="B126" s="636"/>
      <c r="C126" s="636"/>
      <c r="D126" s="636"/>
      <c r="E126" s="636"/>
      <c r="F126" s="636"/>
      <c r="G126" s="636"/>
      <c r="H126" s="636"/>
      <c r="I126" s="636"/>
      <c r="J126" s="636"/>
      <c r="K126" s="636"/>
      <c r="L126" s="636"/>
      <c r="M126" s="636"/>
      <c r="N126" s="636"/>
      <c r="O126" s="636"/>
      <c r="P126" s="636"/>
      <c r="Q126" s="636"/>
      <c r="R126" s="636"/>
      <c r="S126" s="660"/>
      <c r="T126" s="660"/>
      <c r="U126" s="660"/>
      <c r="V126" s="660"/>
      <c r="W126" s="661"/>
      <c r="X126" s="636"/>
      <c r="Y126" s="636"/>
      <c r="Z126" s="636"/>
      <c r="AA126" s="636"/>
      <c r="AB126" s="636"/>
      <c r="AC126" s="636"/>
      <c r="AD126" s="636"/>
      <c r="AE126" s="636"/>
      <c r="AF126" s="636"/>
      <c r="AG126" s="636"/>
      <c r="AH126" s="636"/>
      <c r="AI126" s="636"/>
      <c r="AJ126" s="636"/>
      <c r="AK126" s="636"/>
      <c r="AL126" s="636"/>
    </row>
    <row r="127" spans="1:38" s="678" customFormat="1">
      <c r="A127" s="662"/>
      <c r="B127" s="636"/>
      <c r="C127" s="636"/>
      <c r="D127" s="636"/>
      <c r="E127" s="636"/>
      <c r="F127" s="636"/>
      <c r="G127" s="636"/>
      <c r="H127" s="636"/>
      <c r="I127" s="636"/>
      <c r="J127" s="636"/>
      <c r="K127" s="636"/>
      <c r="L127" s="636"/>
      <c r="M127" s="636"/>
      <c r="N127" s="636"/>
      <c r="O127" s="636"/>
      <c r="P127" s="636"/>
      <c r="Q127" s="636"/>
      <c r="R127" s="636"/>
      <c r="S127" s="660"/>
      <c r="T127" s="660"/>
      <c r="U127" s="660"/>
      <c r="V127" s="660"/>
      <c r="W127" s="661"/>
      <c r="X127" s="636"/>
      <c r="Y127" s="636"/>
      <c r="Z127" s="636"/>
      <c r="AA127" s="636"/>
      <c r="AB127" s="636"/>
      <c r="AC127" s="636"/>
      <c r="AD127" s="636"/>
      <c r="AE127" s="636"/>
      <c r="AF127" s="636"/>
      <c r="AG127" s="636"/>
      <c r="AH127" s="636"/>
      <c r="AI127" s="636"/>
      <c r="AJ127" s="636"/>
      <c r="AK127" s="636"/>
      <c r="AL127" s="636"/>
    </row>
    <row r="128" spans="1:38" s="678" customFormat="1">
      <c r="A128" s="662"/>
      <c r="B128" s="636"/>
      <c r="C128" s="636"/>
      <c r="D128" s="636"/>
      <c r="E128" s="636"/>
      <c r="F128" s="636"/>
      <c r="G128" s="636"/>
      <c r="H128" s="636"/>
      <c r="I128" s="636"/>
      <c r="J128" s="636"/>
      <c r="K128" s="636"/>
      <c r="L128" s="636"/>
      <c r="M128" s="636"/>
      <c r="N128" s="636"/>
      <c r="O128" s="636"/>
      <c r="P128" s="636"/>
      <c r="Q128" s="636"/>
      <c r="R128" s="636"/>
      <c r="S128" s="660"/>
      <c r="T128" s="660"/>
      <c r="U128" s="660"/>
      <c r="V128" s="660"/>
      <c r="W128" s="661"/>
      <c r="X128" s="636"/>
      <c r="Y128" s="636"/>
      <c r="Z128" s="636"/>
      <c r="AA128" s="636"/>
      <c r="AB128" s="636"/>
      <c r="AC128" s="636"/>
      <c r="AD128" s="636"/>
      <c r="AE128" s="636"/>
      <c r="AF128" s="636"/>
      <c r="AG128" s="636"/>
      <c r="AH128" s="636"/>
      <c r="AI128" s="636"/>
      <c r="AJ128" s="636"/>
      <c r="AK128" s="636"/>
      <c r="AL128" s="636"/>
    </row>
    <row r="129" spans="1:38" s="678" customFormat="1">
      <c r="A129" s="662"/>
      <c r="B129" s="636"/>
      <c r="C129" s="636"/>
      <c r="D129" s="636"/>
      <c r="E129" s="636"/>
      <c r="F129" s="636"/>
      <c r="G129" s="636"/>
      <c r="H129" s="636"/>
      <c r="I129" s="636"/>
      <c r="J129" s="636"/>
      <c r="K129" s="636"/>
      <c r="L129" s="636"/>
      <c r="M129" s="636"/>
      <c r="N129" s="636"/>
      <c r="O129" s="636"/>
      <c r="P129" s="636"/>
      <c r="Q129" s="636"/>
      <c r="R129" s="636"/>
      <c r="S129" s="660"/>
      <c r="T129" s="660"/>
      <c r="U129" s="660"/>
      <c r="V129" s="660"/>
      <c r="W129" s="661"/>
      <c r="X129" s="636"/>
      <c r="Y129" s="636"/>
      <c r="Z129" s="636"/>
      <c r="AA129" s="636"/>
      <c r="AB129" s="636"/>
      <c r="AC129" s="636"/>
      <c r="AD129" s="636"/>
      <c r="AE129" s="636"/>
      <c r="AF129" s="636"/>
      <c r="AG129" s="636"/>
      <c r="AH129" s="636"/>
      <c r="AI129" s="636"/>
      <c r="AJ129" s="636"/>
      <c r="AK129" s="636"/>
      <c r="AL129" s="636"/>
    </row>
    <row r="130" spans="1:38" s="678" customFormat="1">
      <c r="A130" s="662"/>
      <c r="B130" s="636"/>
      <c r="C130" s="636"/>
      <c r="D130" s="636"/>
      <c r="E130" s="636"/>
      <c r="F130" s="636"/>
      <c r="G130" s="636"/>
      <c r="H130" s="636"/>
      <c r="I130" s="636"/>
      <c r="J130" s="636"/>
      <c r="K130" s="636"/>
      <c r="L130" s="636"/>
      <c r="M130" s="636"/>
      <c r="N130" s="636"/>
      <c r="O130" s="636"/>
      <c r="P130" s="636"/>
      <c r="Q130" s="636"/>
      <c r="R130" s="636"/>
      <c r="S130" s="660"/>
      <c r="T130" s="660"/>
      <c r="U130" s="660"/>
      <c r="V130" s="660"/>
      <c r="W130" s="661"/>
      <c r="X130" s="636"/>
      <c r="Y130" s="636"/>
      <c r="Z130" s="636"/>
      <c r="AA130" s="636"/>
      <c r="AB130" s="636"/>
      <c r="AC130" s="636"/>
      <c r="AD130" s="636"/>
      <c r="AE130" s="636"/>
      <c r="AF130" s="636"/>
      <c r="AG130" s="636"/>
      <c r="AH130" s="636"/>
      <c r="AI130" s="636"/>
      <c r="AJ130" s="636"/>
      <c r="AK130" s="636"/>
      <c r="AL130" s="636"/>
    </row>
    <row r="131" spans="1:38" s="678" customFormat="1">
      <c r="A131" s="662"/>
      <c r="B131" s="636"/>
      <c r="C131" s="636"/>
      <c r="D131" s="636"/>
      <c r="E131" s="636"/>
      <c r="F131" s="636"/>
      <c r="G131" s="636"/>
      <c r="H131" s="636"/>
      <c r="I131" s="636"/>
      <c r="J131" s="636"/>
      <c r="K131" s="636"/>
      <c r="L131" s="636"/>
      <c r="M131" s="636"/>
      <c r="N131" s="636"/>
      <c r="O131" s="636"/>
      <c r="P131" s="636"/>
      <c r="Q131" s="636"/>
      <c r="R131" s="636"/>
      <c r="S131" s="660"/>
      <c r="T131" s="660"/>
      <c r="U131" s="660"/>
      <c r="V131" s="660"/>
      <c r="W131" s="661"/>
      <c r="X131" s="636"/>
      <c r="Y131" s="636"/>
      <c r="Z131" s="636"/>
      <c r="AA131" s="636"/>
      <c r="AB131" s="636"/>
      <c r="AC131" s="636"/>
      <c r="AD131" s="636"/>
      <c r="AE131" s="636"/>
      <c r="AF131" s="636"/>
      <c r="AG131" s="636"/>
      <c r="AH131" s="636"/>
      <c r="AI131" s="636"/>
      <c r="AJ131" s="636"/>
      <c r="AK131" s="636"/>
      <c r="AL131" s="636"/>
    </row>
    <row r="132" spans="1:38" s="678" customFormat="1">
      <c r="A132" s="662"/>
      <c r="B132" s="636"/>
      <c r="C132" s="636"/>
      <c r="D132" s="636"/>
      <c r="E132" s="636"/>
      <c r="F132" s="636"/>
      <c r="G132" s="636"/>
      <c r="H132" s="636"/>
      <c r="I132" s="636"/>
      <c r="J132" s="636"/>
      <c r="K132" s="636"/>
      <c r="L132" s="636"/>
      <c r="M132" s="636"/>
      <c r="N132" s="636"/>
      <c r="O132" s="636"/>
      <c r="P132" s="636"/>
      <c r="Q132" s="636"/>
      <c r="R132" s="636"/>
      <c r="S132" s="660"/>
      <c r="T132" s="660"/>
      <c r="U132" s="660"/>
      <c r="V132" s="660"/>
      <c r="W132" s="661"/>
      <c r="X132" s="636"/>
      <c r="Y132" s="636"/>
      <c r="Z132" s="636"/>
      <c r="AA132" s="636"/>
      <c r="AB132" s="636"/>
      <c r="AC132" s="636"/>
      <c r="AD132" s="636"/>
      <c r="AE132" s="636"/>
      <c r="AF132" s="636"/>
      <c r="AG132" s="636"/>
      <c r="AH132" s="636"/>
      <c r="AI132" s="636"/>
      <c r="AJ132" s="636"/>
      <c r="AK132" s="636"/>
      <c r="AL132" s="636"/>
    </row>
    <row r="133" spans="1:38" s="678" customFormat="1">
      <c r="A133" s="662"/>
      <c r="B133" s="636"/>
      <c r="C133" s="636"/>
      <c r="D133" s="636"/>
      <c r="E133" s="636"/>
      <c r="F133" s="636"/>
      <c r="G133" s="636"/>
      <c r="H133" s="636"/>
      <c r="I133" s="636"/>
      <c r="J133" s="636"/>
      <c r="K133" s="636"/>
      <c r="L133" s="636"/>
      <c r="M133" s="636"/>
      <c r="N133" s="636"/>
      <c r="O133" s="636"/>
      <c r="P133" s="636"/>
      <c r="Q133" s="636"/>
      <c r="R133" s="636"/>
      <c r="S133" s="660"/>
      <c r="T133" s="660"/>
      <c r="U133" s="660"/>
      <c r="V133" s="660"/>
      <c r="W133" s="661"/>
      <c r="X133" s="636"/>
      <c r="Y133" s="636"/>
      <c r="Z133" s="636"/>
      <c r="AA133" s="636"/>
      <c r="AB133" s="636"/>
      <c r="AC133" s="636"/>
      <c r="AD133" s="636"/>
      <c r="AE133" s="636"/>
      <c r="AF133" s="636"/>
      <c r="AG133" s="636"/>
      <c r="AH133" s="636"/>
      <c r="AI133" s="636"/>
      <c r="AJ133" s="636"/>
      <c r="AK133" s="636"/>
      <c r="AL133" s="636"/>
    </row>
    <row r="134" spans="1:38" s="678" customFormat="1">
      <c r="A134" s="662"/>
      <c r="B134" s="636"/>
      <c r="C134" s="636"/>
      <c r="D134" s="636"/>
      <c r="E134" s="636"/>
      <c r="F134" s="636"/>
      <c r="G134" s="636"/>
      <c r="H134" s="636"/>
      <c r="I134" s="636"/>
      <c r="J134" s="636"/>
      <c r="K134" s="636"/>
      <c r="L134" s="636"/>
      <c r="M134" s="636"/>
      <c r="N134" s="636"/>
      <c r="O134" s="636"/>
      <c r="P134" s="636"/>
      <c r="Q134" s="636"/>
      <c r="R134" s="636"/>
      <c r="S134" s="660"/>
      <c r="T134" s="660"/>
      <c r="U134" s="660"/>
      <c r="V134" s="660"/>
      <c r="W134" s="661"/>
      <c r="X134" s="636"/>
      <c r="Y134" s="636"/>
      <c r="Z134" s="636"/>
      <c r="AA134" s="636"/>
      <c r="AB134" s="636"/>
      <c r="AC134" s="636"/>
      <c r="AD134" s="636"/>
      <c r="AE134" s="636"/>
      <c r="AF134" s="636"/>
      <c r="AG134" s="636"/>
      <c r="AH134" s="636"/>
      <c r="AI134" s="636"/>
      <c r="AJ134" s="636"/>
      <c r="AK134" s="636"/>
      <c r="AL134" s="636"/>
    </row>
    <row r="135" spans="1:38" s="678" customFormat="1">
      <c r="A135" s="662"/>
      <c r="B135" s="636"/>
      <c r="C135" s="636"/>
      <c r="D135" s="636"/>
      <c r="E135" s="636"/>
      <c r="F135" s="636"/>
      <c r="G135" s="636"/>
      <c r="H135" s="636"/>
      <c r="I135" s="636"/>
      <c r="J135" s="636"/>
      <c r="K135" s="636"/>
      <c r="L135" s="636"/>
      <c r="M135" s="636"/>
      <c r="N135" s="636"/>
      <c r="O135" s="636"/>
      <c r="P135" s="636"/>
      <c r="Q135" s="636"/>
      <c r="R135" s="636"/>
      <c r="S135" s="660"/>
      <c r="T135" s="660"/>
      <c r="U135" s="660"/>
      <c r="V135" s="660"/>
      <c r="W135" s="661"/>
      <c r="X135" s="636"/>
      <c r="Y135" s="636"/>
      <c r="Z135" s="636"/>
      <c r="AA135" s="636"/>
      <c r="AB135" s="636"/>
      <c r="AC135" s="636"/>
      <c r="AD135" s="636"/>
      <c r="AE135" s="636"/>
      <c r="AF135" s="636"/>
      <c r="AG135" s="636"/>
      <c r="AH135" s="636"/>
      <c r="AI135" s="636"/>
      <c r="AJ135" s="636"/>
      <c r="AK135" s="636"/>
      <c r="AL135" s="636"/>
    </row>
    <row r="136" spans="1:38" s="678" customFormat="1">
      <c r="A136" s="662"/>
      <c r="B136" s="636"/>
      <c r="C136" s="636"/>
      <c r="D136" s="636"/>
      <c r="E136" s="636"/>
      <c r="F136" s="636"/>
      <c r="G136" s="636"/>
      <c r="H136" s="636"/>
      <c r="I136" s="636"/>
      <c r="J136" s="636"/>
      <c r="K136" s="636"/>
      <c r="L136" s="636"/>
      <c r="M136" s="636"/>
      <c r="N136" s="636"/>
      <c r="O136" s="636"/>
      <c r="P136" s="636"/>
      <c r="Q136" s="636"/>
      <c r="R136" s="636"/>
      <c r="S136" s="660"/>
      <c r="T136" s="660"/>
      <c r="U136" s="660"/>
      <c r="V136" s="660"/>
      <c r="W136" s="661"/>
      <c r="X136" s="636"/>
      <c r="Y136" s="636"/>
      <c r="Z136" s="636"/>
      <c r="AA136" s="636"/>
      <c r="AB136" s="636"/>
      <c r="AC136" s="636"/>
      <c r="AD136" s="636"/>
      <c r="AE136" s="636"/>
      <c r="AF136" s="636"/>
      <c r="AG136" s="636"/>
      <c r="AH136" s="636"/>
      <c r="AI136" s="636"/>
      <c r="AJ136" s="636"/>
      <c r="AK136" s="636"/>
      <c r="AL136" s="636"/>
    </row>
    <row r="137" spans="1:38" s="678" customFormat="1">
      <c r="A137" s="662"/>
      <c r="B137" s="636"/>
      <c r="C137" s="636"/>
      <c r="D137" s="636"/>
      <c r="E137" s="636"/>
      <c r="F137" s="636"/>
      <c r="G137" s="636"/>
      <c r="H137" s="636"/>
      <c r="I137" s="636"/>
      <c r="J137" s="636"/>
      <c r="K137" s="636"/>
      <c r="L137" s="636"/>
      <c r="M137" s="636"/>
      <c r="N137" s="636"/>
      <c r="O137" s="636"/>
      <c r="P137" s="636"/>
      <c r="Q137" s="636"/>
      <c r="R137" s="636"/>
      <c r="S137" s="660"/>
      <c r="T137" s="660"/>
      <c r="U137" s="660"/>
      <c r="V137" s="660"/>
      <c r="W137" s="661"/>
      <c r="X137" s="636"/>
      <c r="Y137" s="636"/>
      <c r="Z137" s="636"/>
      <c r="AA137" s="636"/>
      <c r="AB137" s="636"/>
      <c r="AC137" s="636"/>
      <c r="AD137" s="636"/>
      <c r="AE137" s="636"/>
      <c r="AF137" s="636"/>
      <c r="AG137" s="636"/>
      <c r="AH137" s="636"/>
      <c r="AI137" s="636"/>
      <c r="AJ137" s="636"/>
      <c r="AK137" s="636"/>
      <c r="AL137" s="636"/>
    </row>
    <row r="138" spans="1:38" s="678" customFormat="1">
      <c r="A138" s="662"/>
      <c r="B138" s="636"/>
      <c r="C138" s="636"/>
      <c r="D138" s="636"/>
      <c r="E138" s="636"/>
      <c r="F138" s="636"/>
      <c r="G138" s="636"/>
      <c r="H138" s="636"/>
      <c r="I138" s="636"/>
      <c r="J138" s="636"/>
      <c r="K138" s="636"/>
      <c r="L138" s="636"/>
      <c r="M138" s="636"/>
      <c r="N138" s="636"/>
      <c r="O138" s="636"/>
      <c r="P138" s="636"/>
      <c r="Q138" s="636"/>
      <c r="R138" s="636"/>
      <c r="S138" s="660"/>
      <c r="T138" s="660"/>
      <c r="U138" s="660"/>
      <c r="V138" s="660"/>
      <c r="W138" s="661"/>
      <c r="X138" s="636"/>
      <c r="Y138" s="636"/>
      <c r="Z138" s="636"/>
      <c r="AA138" s="636"/>
      <c r="AB138" s="636"/>
      <c r="AC138" s="636"/>
      <c r="AD138" s="636"/>
      <c r="AE138" s="636"/>
      <c r="AF138" s="636"/>
      <c r="AG138" s="636"/>
      <c r="AH138" s="636"/>
      <c r="AI138" s="636"/>
      <c r="AJ138" s="636"/>
      <c r="AK138" s="636"/>
      <c r="AL138" s="636"/>
    </row>
    <row r="139" spans="1:38" s="678" customFormat="1">
      <c r="A139" s="662"/>
      <c r="B139" s="636"/>
      <c r="C139" s="636"/>
      <c r="D139" s="636"/>
      <c r="E139" s="636"/>
      <c r="F139" s="636"/>
      <c r="G139" s="636"/>
      <c r="H139" s="636"/>
      <c r="I139" s="636"/>
      <c r="J139" s="636"/>
      <c r="K139" s="636"/>
      <c r="L139" s="636"/>
      <c r="M139" s="636"/>
      <c r="N139" s="636"/>
      <c r="O139" s="636"/>
      <c r="P139" s="636"/>
      <c r="Q139" s="636"/>
      <c r="R139" s="636"/>
      <c r="S139" s="660"/>
      <c r="T139" s="660"/>
      <c r="U139" s="660"/>
      <c r="V139" s="660"/>
      <c r="W139" s="661"/>
      <c r="X139" s="636"/>
      <c r="Y139" s="636"/>
      <c r="Z139" s="636"/>
      <c r="AA139" s="636"/>
      <c r="AB139" s="636"/>
      <c r="AC139" s="636"/>
      <c r="AD139" s="636"/>
      <c r="AE139" s="636"/>
      <c r="AF139" s="636"/>
      <c r="AG139" s="636"/>
      <c r="AH139" s="636"/>
      <c r="AI139" s="636"/>
      <c r="AJ139" s="636"/>
      <c r="AK139" s="636"/>
      <c r="AL139" s="636"/>
    </row>
    <row r="140" spans="1:38" s="678" customFormat="1">
      <c r="A140" s="662"/>
      <c r="B140" s="636"/>
      <c r="C140" s="636"/>
      <c r="D140" s="636"/>
      <c r="E140" s="636"/>
      <c r="F140" s="636"/>
      <c r="G140" s="636"/>
      <c r="H140" s="636"/>
      <c r="I140" s="636"/>
      <c r="J140" s="636"/>
      <c r="K140" s="636"/>
      <c r="L140" s="636"/>
      <c r="M140" s="636"/>
      <c r="N140" s="636"/>
      <c r="O140" s="636"/>
      <c r="P140" s="636"/>
      <c r="Q140" s="636"/>
      <c r="R140" s="636"/>
      <c r="S140" s="660"/>
      <c r="T140" s="660"/>
      <c r="U140" s="660"/>
      <c r="V140" s="660"/>
      <c r="W140" s="661"/>
      <c r="X140" s="636"/>
      <c r="Y140" s="636"/>
      <c r="Z140" s="636"/>
      <c r="AA140" s="636"/>
      <c r="AB140" s="636"/>
      <c r="AC140" s="636"/>
      <c r="AD140" s="636"/>
      <c r="AE140" s="636"/>
      <c r="AF140" s="636"/>
      <c r="AG140" s="636"/>
      <c r="AH140" s="636"/>
      <c r="AI140" s="636"/>
      <c r="AJ140" s="636"/>
      <c r="AK140" s="636"/>
      <c r="AL140" s="636"/>
    </row>
    <row r="141" spans="1:38" s="678" customFormat="1">
      <c r="A141" s="662"/>
      <c r="B141" s="636"/>
      <c r="C141" s="636"/>
      <c r="D141" s="636"/>
      <c r="E141" s="636"/>
      <c r="F141" s="636"/>
      <c r="G141" s="636"/>
      <c r="H141" s="636"/>
      <c r="I141" s="636"/>
      <c r="J141" s="636"/>
      <c r="K141" s="636"/>
      <c r="L141" s="636"/>
      <c r="M141" s="636"/>
      <c r="N141" s="636"/>
      <c r="O141" s="636"/>
      <c r="P141" s="636"/>
      <c r="Q141" s="636"/>
      <c r="R141" s="636"/>
      <c r="S141" s="660"/>
      <c r="T141" s="660"/>
      <c r="U141" s="660"/>
      <c r="V141" s="660"/>
      <c r="W141" s="661"/>
      <c r="X141" s="636"/>
      <c r="Y141" s="636"/>
      <c r="Z141" s="636"/>
      <c r="AA141" s="636"/>
      <c r="AB141" s="636"/>
      <c r="AC141" s="636"/>
      <c r="AD141" s="636"/>
      <c r="AE141" s="636"/>
      <c r="AF141" s="636"/>
      <c r="AG141" s="636"/>
      <c r="AH141" s="636"/>
      <c r="AI141" s="636"/>
      <c r="AJ141" s="636"/>
      <c r="AK141" s="636"/>
      <c r="AL141" s="636"/>
    </row>
    <row r="142" spans="1:38" s="678" customFormat="1">
      <c r="A142" s="662"/>
      <c r="B142" s="636"/>
      <c r="C142" s="636"/>
      <c r="D142" s="636"/>
      <c r="E142" s="636"/>
      <c r="F142" s="636"/>
      <c r="G142" s="636"/>
      <c r="H142" s="636"/>
      <c r="I142" s="636"/>
      <c r="J142" s="636"/>
      <c r="K142" s="636"/>
      <c r="L142" s="636"/>
      <c r="M142" s="636"/>
      <c r="N142" s="636"/>
      <c r="O142" s="636"/>
      <c r="P142" s="636"/>
      <c r="Q142" s="636"/>
      <c r="R142" s="636"/>
      <c r="S142" s="660"/>
      <c r="T142" s="660"/>
      <c r="U142" s="660"/>
      <c r="V142" s="660"/>
      <c r="W142" s="661"/>
      <c r="X142" s="636"/>
      <c r="Y142" s="636"/>
      <c r="Z142" s="636"/>
      <c r="AA142" s="636"/>
      <c r="AB142" s="636"/>
      <c r="AC142" s="636"/>
      <c r="AD142" s="636"/>
      <c r="AE142" s="636"/>
      <c r="AF142" s="636"/>
      <c r="AG142" s="636"/>
      <c r="AH142" s="636"/>
      <c r="AI142" s="636"/>
      <c r="AJ142" s="636"/>
      <c r="AK142" s="636"/>
      <c r="AL142" s="636"/>
    </row>
    <row r="143" spans="1:38" s="678" customFormat="1">
      <c r="A143" s="662"/>
      <c r="B143" s="636"/>
      <c r="C143" s="636"/>
      <c r="D143" s="636"/>
      <c r="E143" s="636"/>
      <c r="F143" s="636"/>
      <c r="G143" s="636"/>
      <c r="H143" s="636"/>
      <c r="I143" s="636"/>
      <c r="J143" s="636"/>
      <c r="K143" s="636"/>
      <c r="L143" s="636"/>
      <c r="M143" s="636"/>
      <c r="N143" s="636"/>
      <c r="O143" s="636"/>
      <c r="P143" s="636"/>
      <c r="Q143" s="636"/>
      <c r="R143" s="636"/>
      <c r="S143" s="660"/>
      <c r="T143" s="660"/>
      <c r="U143" s="660"/>
      <c r="V143" s="660"/>
      <c r="W143" s="661"/>
      <c r="X143" s="636"/>
      <c r="Y143" s="636"/>
      <c r="Z143" s="636"/>
      <c r="AA143" s="636"/>
      <c r="AB143" s="636"/>
      <c r="AC143" s="636"/>
      <c r="AD143" s="636"/>
      <c r="AE143" s="636"/>
      <c r="AF143" s="636"/>
      <c r="AG143" s="636"/>
      <c r="AH143" s="636"/>
      <c r="AI143" s="636"/>
      <c r="AJ143" s="636"/>
      <c r="AK143" s="636"/>
      <c r="AL143" s="636"/>
    </row>
    <row r="144" spans="1:38" s="678" customFormat="1">
      <c r="A144" s="662"/>
      <c r="B144" s="636"/>
      <c r="C144" s="636"/>
      <c r="D144" s="636"/>
      <c r="E144" s="636"/>
      <c r="F144" s="636"/>
      <c r="G144" s="636"/>
      <c r="H144" s="636"/>
      <c r="I144" s="636"/>
      <c r="J144" s="636"/>
      <c r="K144" s="636"/>
      <c r="L144" s="636"/>
      <c r="M144" s="636"/>
      <c r="N144" s="636"/>
      <c r="O144" s="636"/>
      <c r="P144" s="636"/>
      <c r="Q144" s="636"/>
      <c r="R144" s="636"/>
      <c r="S144" s="660"/>
      <c r="T144" s="660"/>
      <c r="U144" s="660"/>
      <c r="V144" s="660"/>
      <c r="W144" s="661"/>
      <c r="X144" s="636"/>
      <c r="Y144" s="636"/>
      <c r="Z144" s="636"/>
      <c r="AA144" s="636"/>
      <c r="AB144" s="636"/>
      <c r="AC144" s="636"/>
      <c r="AD144" s="636"/>
      <c r="AE144" s="636"/>
      <c r="AF144" s="636"/>
      <c r="AG144" s="636"/>
      <c r="AH144" s="636"/>
      <c r="AI144" s="636"/>
      <c r="AJ144" s="636"/>
      <c r="AK144" s="636"/>
      <c r="AL144" s="636"/>
    </row>
    <row r="145" spans="1:38" s="678" customFormat="1">
      <c r="A145" s="662"/>
      <c r="B145" s="636"/>
      <c r="C145" s="636"/>
      <c r="D145" s="636"/>
      <c r="E145" s="636"/>
      <c r="F145" s="636"/>
      <c r="G145" s="636"/>
      <c r="H145" s="636"/>
      <c r="I145" s="636"/>
      <c r="J145" s="636"/>
      <c r="K145" s="636"/>
      <c r="L145" s="636"/>
      <c r="M145" s="636"/>
      <c r="N145" s="636"/>
      <c r="O145" s="636"/>
      <c r="P145" s="636"/>
      <c r="Q145" s="636"/>
      <c r="R145" s="636"/>
      <c r="S145" s="660"/>
      <c r="T145" s="660"/>
      <c r="U145" s="660"/>
      <c r="V145" s="660"/>
      <c r="W145" s="661"/>
      <c r="X145" s="636"/>
      <c r="Y145" s="636"/>
      <c r="Z145" s="636"/>
      <c r="AA145" s="636"/>
      <c r="AB145" s="636"/>
      <c r="AC145" s="636"/>
      <c r="AD145" s="636"/>
      <c r="AE145" s="636"/>
      <c r="AF145" s="636"/>
      <c r="AG145" s="636"/>
      <c r="AH145" s="636"/>
      <c r="AI145" s="636"/>
      <c r="AJ145" s="636"/>
      <c r="AK145" s="636"/>
      <c r="AL145" s="636"/>
    </row>
    <row r="146" spans="1:38" s="678" customFormat="1">
      <c r="A146" s="662"/>
      <c r="B146" s="636"/>
      <c r="C146" s="636"/>
      <c r="D146" s="636"/>
      <c r="E146" s="636"/>
      <c r="F146" s="636"/>
      <c r="G146" s="636"/>
      <c r="H146" s="636"/>
      <c r="I146" s="636"/>
      <c r="J146" s="636"/>
      <c r="K146" s="636"/>
      <c r="L146" s="636"/>
      <c r="M146" s="636"/>
      <c r="N146" s="636"/>
      <c r="O146" s="636"/>
      <c r="P146" s="636"/>
      <c r="Q146" s="636"/>
      <c r="R146" s="636"/>
      <c r="S146" s="660"/>
      <c r="T146" s="660"/>
      <c r="U146" s="660"/>
      <c r="V146" s="660"/>
      <c r="W146" s="661"/>
      <c r="X146" s="636"/>
      <c r="Y146" s="636"/>
      <c r="Z146" s="636"/>
      <c r="AA146" s="636"/>
      <c r="AB146" s="636"/>
      <c r="AC146" s="636"/>
      <c r="AD146" s="636"/>
      <c r="AE146" s="636"/>
      <c r="AF146" s="636"/>
      <c r="AG146" s="636"/>
      <c r="AH146" s="636"/>
      <c r="AI146" s="636"/>
      <c r="AJ146" s="636"/>
      <c r="AK146" s="636"/>
      <c r="AL146" s="636"/>
    </row>
    <row r="147" spans="1:38" s="678" customFormat="1">
      <c r="A147" s="662"/>
      <c r="B147" s="636"/>
      <c r="C147" s="636"/>
      <c r="D147" s="636"/>
      <c r="E147" s="636"/>
      <c r="F147" s="636"/>
      <c r="G147" s="636"/>
      <c r="H147" s="636"/>
      <c r="I147" s="636"/>
      <c r="J147" s="636"/>
      <c r="K147" s="636"/>
      <c r="L147" s="636"/>
      <c r="M147" s="636"/>
      <c r="N147" s="636"/>
      <c r="O147" s="636"/>
      <c r="P147" s="636"/>
      <c r="Q147" s="636"/>
      <c r="R147" s="636"/>
      <c r="S147" s="660"/>
      <c r="T147" s="660"/>
      <c r="U147" s="660"/>
      <c r="V147" s="660"/>
      <c r="W147" s="661"/>
      <c r="X147" s="636"/>
      <c r="Y147" s="636"/>
      <c r="Z147" s="636"/>
      <c r="AA147" s="636"/>
      <c r="AB147" s="636"/>
      <c r="AC147" s="636"/>
      <c r="AD147" s="636"/>
      <c r="AE147" s="636"/>
      <c r="AF147" s="636"/>
      <c r="AG147" s="636"/>
      <c r="AH147" s="636"/>
      <c r="AI147" s="636"/>
      <c r="AJ147" s="636"/>
      <c r="AK147" s="636"/>
      <c r="AL147" s="636"/>
    </row>
    <row r="148" spans="1:38" s="678" customFormat="1">
      <c r="A148" s="662"/>
      <c r="B148" s="636"/>
      <c r="C148" s="636"/>
      <c r="D148" s="636"/>
      <c r="E148" s="636"/>
      <c r="F148" s="636"/>
      <c r="G148" s="636"/>
      <c r="H148" s="636"/>
      <c r="I148" s="636"/>
      <c r="J148" s="636"/>
      <c r="K148" s="636"/>
      <c r="L148" s="636"/>
      <c r="M148" s="636"/>
      <c r="N148" s="636"/>
      <c r="O148" s="636"/>
      <c r="P148" s="636"/>
      <c r="Q148" s="636"/>
      <c r="R148" s="636"/>
      <c r="S148" s="660"/>
      <c r="T148" s="660"/>
      <c r="U148" s="660"/>
      <c r="V148" s="660"/>
      <c r="W148" s="661"/>
      <c r="X148" s="636"/>
      <c r="Y148" s="636"/>
      <c r="Z148" s="636"/>
      <c r="AA148" s="636"/>
      <c r="AB148" s="636"/>
      <c r="AC148" s="636"/>
      <c r="AD148" s="636"/>
      <c r="AE148" s="636"/>
      <c r="AF148" s="636"/>
      <c r="AG148" s="636"/>
      <c r="AH148" s="636"/>
      <c r="AI148" s="636"/>
      <c r="AJ148" s="636"/>
      <c r="AK148" s="636"/>
      <c r="AL148" s="636"/>
    </row>
    <row r="149" spans="1:38" s="678" customFormat="1">
      <c r="A149" s="662"/>
      <c r="B149" s="636"/>
      <c r="C149" s="636"/>
      <c r="D149" s="636"/>
      <c r="E149" s="636"/>
      <c r="F149" s="636"/>
      <c r="G149" s="636"/>
      <c r="H149" s="636"/>
      <c r="I149" s="636"/>
      <c r="J149" s="636"/>
      <c r="K149" s="636"/>
      <c r="L149" s="636"/>
      <c r="M149" s="636"/>
      <c r="N149" s="636"/>
      <c r="O149" s="636"/>
      <c r="P149" s="636"/>
      <c r="Q149" s="636"/>
      <c r="R149" s="636"/>
      <c r="S149" s="660"/>
      <c r="T149" s="660"/>
      <c r="U149" s="660"/>
      <c r="V149" s="660"/>
      <c r="W149" s="661"/>
      <c r="X149" s="636"/>
      <c r="Y149" s="636"/>
      <c r="Z149" s="636"/>
      <c r="AA149" s="636"/>
      <c r="AB149" s="636"/>
      <c r="AC149" s="636"/>
      <c r="AD149" s="636"/>
      <c r="AE149" s="636"/>
      <c r="AF149" s="636"/>
      <c r="AG149" s="636"/>
      <c r="AH149" s="636"/>
      <c r="AI149" s="636"/>
      <c r="AJ149" s="636"/>
      <c r="AK149" s="636"/>
      <c r="AL149" s="636"/>
    </row>
    <row r="150" spans="1:38" s="678" customFormat="1">
      <c r="A150" s="662"/>
      <c r="B150" s="636"/>
      <c r="C150" s="636"/>
      <c r="D150" s="636"/>
      <c r="E150" s="636"/>
      <c r="F150" s="636"/>
      <c r="G150" s="636"/>
      <c r="H150" s="636"/>
      <c r="I150" s="636"/>
      <c r="J150" s="636"/>
      <c r="K150" s="636"/>
      <c r="L150" s="636"/>
      <c r="M150" s="636"/>
      <c r="N150" s="636"/>
      <c r="O150" s="636"/>
      <c r="P150" s="636"/>
      <c r="Q150" s="636"/>
      <c r="R150" s="636"/>
      <c r="S150" s="660"/>
      <c r="T150" s="660"/>
      <c r="U150" s="660"/>
      <c r="V150" s="660"/>
      <c r="W150" s="661"/>
      <c r="X150" s="636"/>
      <c r="Y150" s="636"/>
      <c r="Z150" s="636"/>
      <c r="AA150" s="636"/>
      <c r="AB150" s="636"/>
      <c r="AC150" s="636"/>
      <c r="AD150" s="636"/>
      <c r="AE150" s="636"/>
      <c r="AF150" s="636"/>
      <c r="AG150" s="636"/>
      <c r="AH150" s="636"/>
      <c r="AI150" s="636"/>
      <c r="AJ150" s="636"/>
      <c r="AK150" s="636"/>
      <c r="AL150" s="636"/>
    </row>
    <row r="151" spans="1:38" s="678" customFormat="1">
      <c r="A151" s="662"/>
      <c r="B151" s="636"/>
      <c r="C151" s="636"/>
      <c r="D151" s="636"/>
      <c r="E151" s="636"/>
      <c r="F151" s="636"/>
      <c r="G151" s="636"/>
      <c r="H151" s="636"/>
      <c r="I151" s="636"/>
      <c r="J151" s="636"/>
      <c r="K151" s="636"/>
      <c r="L151" s="636"/>
      <c r="M151" s="636"/>
      <c r="N151" s="636"/>
      <c r="O151" s="636"/>
      <c r="P151" s="636"/>
      <c r="Q151" s="636"/>
      <c r="R151" s="636"/>
      <c r="S151" s="660"/>
      <c r="T151" s="660"/>
      <c r="U151" s="660"/>
      <c r="V151" s="660"/>
      <c r="W151" s="661"/>
      <c r="X151" s="636"/>
      <c r="Y151" s="636"/>
      <c r="Z151" s="636"/>
      <c r="AA151" s="636"/>
      <c r="AB151" s="636"/>
      <c r="AC151" s="636"/>
      <c r="AD151" s="636"/>
      <c r="AE151" s="636"/>
      <c r="AF151" s="636"/>
      <c r="AG151" s="636"/>
      <c r="AH151" s="636"/>
      <c r="AI151" s="636"/>
      <c r="AJ151" s="636"/>
      <c r="AK151" s="636"/>
      <c r="AL151" s="636"/>
    </row>
    <row r="152" spans="1:38" s="678" customFormat="1">
      <c r="A152" s="662"/>
      <c r="B152" s="636"/>
      <c r="C152" s="636"/>
      <c r="D152" s="636"/>
      <c r="E152" s="636"/>
      <c r="F152" s="636"/>
      <c r="G152" s="636"/>
      <c r="H152" s="636"/>
      <c r="I152" s="636"/>
      <c r="J152" s="636"/>
      <c r="K152" s="636"/>
      <c r="L152" s="636"/>
      <c r="M152" s="636"/>
      <c r="N152" s="636"/>
      <c r="O152" s="636"/>
      <c r="P152" s="636"/>
      <c r="Q152" s="636"/>
      <c r="R152" s="636"/>
      <c r="S152" s="660"/>
      <c r="T152" s="660"/>
      <c r="U152" s="660"/>
      <c r="V152" s="660"/>
      <c r="W152" s="661"/>
      <c r="X152" s="636"/>
      <c r="Y152" s="636"/>
      <c r="Z152" s="636"/>
      <c r="AA152" s="636"/>
      <c r="AB152" s="636"/>
      <c r="AC152" s="636"/>
      <c r="AD152" s="636"/>
      <c r="AE152" s="636"/>
      <c r="AF152" s="636"/>
      <c r="AG152" s="636"/>
      <c r="AH152" s="636"/>
      <c r="AI152" s="636"/>
      <c r="AJ152" s="636"/>
      <c r="AK152" s="636"/>
      <c r="AL152" s="636"/>
    </row>
    <row r="153" spans="1:38" s="678" customFormat="1">
      <c r="A153" s="662"/>
      <c r="B153" s="636"/>
      <c r="C153" s="636"/>
      <c r="D153" s="636"/>
      <c r="E153" s="636"/>
      <c r="F153" s="636"/>
      <c r="G153" s="636"/>
      <c r="H153" s="636"/>
      <c r="I153" s="636"/>
      <c r="J153" s="636"/>
      <c r="K153" s="636"/>
      <c r="L153" s="636"/>
      <c r="M153" s="636"/>
      <c r="N153" s="636"/>
      <c r="O153" s="636"/>
      <c r="P153" s="636"/>
      <c r="Q153" s="636"/>
      <c r="R153" s="636"/>
      <c r="S153" s="660"/>
      <c r="T153" s="660"/>
      <c r="U153" s="660"/>
      <c r="V153" s="660"/>
      <c r="W153" s="661"/>
      <c r="X153" s="636"/>
      <c r="Y153" s="636"/>
      <c r="Z153" s="636"/>
      <c r="AA153" s="636"/>
      <c r="AB153" s="636"/>
      <c r="AC153" s="636"/>
      <c r="AD153" s="636"/>
      <c r="AE153" s="636"/>
      <c r="AF153" s="636"/>
      <c r="AG153" s="636"/>
      <c r="AH153" s="636"/>
      <c r="AI153" s="636"/>
      <c r="AJ153" s="636"/>
      <c r="AK153" s="636"/>
      <c r="AL153" s="636"/>
    </row>
    <row r="154" spans="1:38" s="678" customFormat="1">
      <c r="A154" s="662"/>
      <c r="B154" s="636"/>
      <c r="C154" s="636"/>
      <c r="D154" s="636"/>
      <c r="E154" s="636"/>
      <c r="F154" s="636"/>
      <c r="G154" s="636"/>
      <c r="H154" s="636"/>
      <c r="I154" s="636"/>
      <c r="J154" s="636"/>
      <c r="K154" s="636"/>
      <c r="L154" s="636"/>
      <c r="M154" s="636"/>
      <c r="N154" s="636"/>
      <c r="O154" s="636"/>
      <c r="P154" s="636"/>
      <c r="Q154" s="636"/>
      <c r="R154" s="636"/>
      <c r="S154" s="660"/>
      <c r="T154" s="660"/>
      <c r="U154" s="660"/>
      <c r="V154" s="660"/>
      <c r="W154" s="661"/>
      <c r="X154" s="636"/>
      <c r="Y154" s="636"/>
      <c r="Z154" s="636"/>
      <c r="AA154" s="636"/>
      <c r="AB154" s="636"/>
      <c r="AC154" s="636"/>
      <c r="AD154" s="636"/>
      <c r="AE154" s="636"/>
      <c r="AF154" s="636"/>
      <c r="AG154" s="636"/>
      <c r="AH154" s="636"/>
      <c r="AI154" s="636"/>
      <c r="AJ154" s="636"/>
      <c r="AK154" s="636"/>
      <c r="AL154" s="636"/>
    </row>
    <row r="155" spans="1:38" s="678" customFormat="1">
      <c r="A155" s="662"/>
      <c r="B155" s="636"/>
      <c r="C155" s="636"/>
      <c r="D155" s="636"/>
      <c r="E155" s="636"/>
      <c r="F155" s="636"/>
      <c r="G155" s="636"/>
      <c r="H155" s="636"/>
      <c r="I155" s="636"/>
      <c r="J155" s="636"/>
      <c r="K155" s="636"/>
      <c r="L155" s="636"/>
      <c r="M155" s="636"/>
      <c r="N155" s="636"/>
      <c r="O155" s="636"/>
      <c r="P155" s="636"/>
      <c r="Q155" s="636"/>
      <c r="R155" s="636"/>
      <c r="S155" s="660"/>
      <c r="T155" s="660"/>
      <c r="U155" s="660"/>
      <c r="V155" s="660"/>
      <c r="W155" s="661"/>
      <c r="X155" s="636"/>
      <c r="Y155" s="636"/>
      <c r="Z155" s="636"/>
      <c r="AA155" s="636"/>
      <c r="AB155" s="636"/>
      <c r="AC155" s="636"/>
      <c r="AD155" s="636"/>
      <c r="AE155" s="636"/>
      <c r="AF155" s="636"/>
      <c r="AG155" s="636"/>
      <c r="AH155" s="636"/>
      <c r="AI155" s="636"/>
      <c r="AJ155" s="636"/>
      <c r="AK155" s="636"/>
      <c r="AL155" s="636"/>
    </row>
    <row r="156" spans="1:38" s="678" customFormat="1">
      <c r="A156" s="662"/>
      <c r="B156" s="636"/>
      <c r="C156" s="636"/>
      <c r="D156" s="636"/>
      <c r="E156" s="636"/>
      <c r="F156" s="636"/>
      <c r="G156" s="636"/>
      <c r="H156" s="636"/>
      <c r="I156" s="636"/>
      <c r="J156" s="636"/>
      <c r="K156" s="636"/>
      <c r="L156" s="636"/>
      <c r="M156" s="636"/>
      <c r="N156" s="636"/>
      <c r="O156" s="636"/>
      <c r="P156" s="636"/>
      <c r="Q156" s="636"/>
      <c r="R156" s="636"/>
      <c r="S156" s="660"/>
      <c r="T156" s="660"/>
      <c r="U156" s="660"/>
      <c r="V156" s="660"/>
      <c r="W156" s="661"/>
      <c r="X156" s="636"/>
      <c r="Y156" s="636"/>
      <c r="Z156" s="636"/>
      <c r="AA156" s="636"/>
      <c r="AB156" s="636"/>
      <c r="AC156" s="636"/>
      <c r="AD156" s="636"/>
      <c r="AE156" s="636"/>
      <c r="AF156" s="636"/>
      <c r="AG156" s="636"/>
      <c r="AH156" s="636"/>
      <c r="AI156" s="636"/>
      <c r="AJ156" s="636"/>
      <c r="AK156" s="636"/>
      <c r="AL156" s="636"/>
    </row>
    <row r="157" spans="1:38" s="678" customFormat="1">
      <c r="A157" s="662"/>
      <c r="B157" s="636"/>
      <c r="C157" s="636"/>
      <c r="D157" s="636"/>
      <c r="E157" s="636"/>
      <c r="F157" s="636"/>
      <c r="G157" s="636"/>
      <c r="H157" s="636"/>
      <c r="I157" s="636"/>
      <c r="J157" s="636"/>
      <c r="K157" s="636"/>
      <c r="L157" s="636"/>
      <c r="M157" s="636"/>
      <c r="N157" s="636"/>
      <c r="O157" s="636"/>
      <c r="P157" s="636"/>
      <c r="Q157" s="636"/>
      <c r="R157" s="636"/>
      <c r="S157" s="660"/>
      <c r="T157" s="660"/>
      <c r="U157" s="660"/>
      <c r="V157" s="660"/>
      <c r="W157" s="661"/>
      <c r="X157" s="636"/>
      <c r="Y157" s="636"/>
      <c r="Z157" s="636"/>
      <c r="AA157" s="636"/>
      <c r="AB157" s="636"/>
      <c r="AC157" s="636"/>
      <c r="AD157" s="636"/>
      <c r="AE157" s="636"/>
      <c r="AF157" s="636"/>
      <c r="AG157" s="636"/>
      <c r="AH157" s="636"/>
      <c r="AI157" s="636"/>
      <c r="AJ157" s="636"/>
      <c r="AK157" s="636"/>
      <c r="AL157" s="636"/>
    </row>
    <row r="158" spans="1:38" s="678" customFormat="1">
      <c r="A158" s="662"/>
      <c r="B158" s="636"/>
      <c r="C158" s="636"/>
      <c r="D158" s="636"/>
      <c r="E158" s="636"/>
      <c r="F158" s="636"/>
      <c r="G158" s="636"/>
      <c r="H158" s="636"/>
      <c r="I158" s="636"/>
      <c r="J158" s="636"/>
      <c r="K158" s="636"/>
      <c r="L158" s="636"/>
      <c r="M158" s="636"/>
      <c r="N158" s="636"/>
      <c r="O158" s="636"/>
      <c r="P158" s="636"/>
      <c r="Q158" s="636"/>
      <c r="R158" s="636"/>
      <c r="S158" s="660"/>
      <c r="T158" s="660"/>
      <c r="U158" s="660"/>
      <c r="V158" s="660"/>
      <c r="W158" s="661"/>
      <c r="X158" s="636"/>
      <c r="Y158" s="636"/>
      <c r="Z158" s="636"/>
      <c r="AA158" s="636"/>
      <c r="AB158" s="636"/>
      <c r="AC158" s="636"/>
      <c r="AD158" s="636"/>
      <c r="AE158" s="636"/>
      <c r="AF158" s="636"/>
      <c r="AG158" s="636"/>
      <c r="AH158" s="636"/>
      <c r="AI158" s="636"/>
      <c r="AJ158" s="636"/>
      <c r="AK158" s="636"/>
      <c r="AL158" s="636"/>
    </row>
    <row r="159" spans="1:38" s="678" customFormat="1">
      <c r="A159" s="662"/>
      <c r="B159" s="636"/>
      <c r="C159" s="636"/>
      <c r="D159" s="636"/>
      <c r="E159" s="636"/>
      <c r="F159" s="636"/>
      <c r="G159" s="636"/>
      <c r="H159" s="636"/>
      <c r="I159" s="636"/>
      <c r="J159" s="636"/>
      <c r="K159" s="636"/>
      <c r="L159" s="636"/>
      <c r="M159" s="636"/>
      <c r="N159" s="636"/>
      <c r="O159" s="636"/>
      <c r="P159" s="636"/>
      <c r="Q159" s="636"/>
      <c r="R159" s="636"/>
      <c r="S159" s="660"/>
      <c r="T159" s="660"/>
      <c r="U159" s="660"/>
      <c r="V159" s="660"/>
      <c r="W159" s="661"/>
      <c r="X159" s="636"/>
      <c r="Y159" s="636"/>
      <c r="Z159" s="636"/>
      <c r="AA159" s="636"/>
      <c r="AB159" s="636"/>
      <c r="AC159" s="636"/>
      <c r="AD159" s="636"/>
      <c r="AE159" s="636"/>
      <c r="AF159" s="636"/>
      <c r="AG159" s="636"/>
      <c r="AH159" s="636"/>
      <c r="AI159" s="636"/>
      <c r="AJ159" s="636"/>
      <c r="AK159" s="636"/>
      <c r="AL159" s="636"/>
    </row>
    <row r="160" spans="1:38" s="678" customFormat="1">
      <c r="A160" s="662"/>
      <c r="B160" s="636"/>
      <c r="C160" s="636"/>
      <c r="D160" s="636"/>
      <c r="E160" s="636"/>
      <c r="F160" s="636"/>
      <c r="G160" s="636"/>
      <c r="H160" s="636"/>
      <c r="I160" s="636"/>
      <c r="J160" s="636"/>
      <c r="K160" s="636"/>
      <c r="L160" s="636"/>
      <c r="M160" s="636"/>
      <c r="N160" s="636"/>
      <c r="O160" s="636"/>
      <c r="P160" s="636"/>
      <c r="Q160" s="636"/>
      <c r="R160" s="636"/>
      <c r="S160" s="660"/>
      <c r="T160" s="660"/>
      <c r="U160" s="660"/>
      <c r="V160" s="660"/>
      <c r="W160" s="661"/>
      <c r="X160" s="636"/>
      <c r="Y160" s="636"/>
      <c r="Z160" s="636"/>
      <c r="AA160" s="636"/>
      <c r="AB160" s="636"/>
      <c r="AC160" s="636"/>
      <c r="AD160" s="636"/>
      <c r="AE160" s="636"/>
      <c r="AF160" s="636"/>
      <c r="AG160" s="636"/>
      <c r="AH160" s="636"/>
      <c r="AI160" s="636"/>
      <c r="AJ160" s="636"/>
      <c r="AK160" s="636"/>
      <c r="AL160" s="636"/>
    </row>
    <row r="161" spans="1:38" s="678" customFormat="1">
      <c r="A161" s="662"/>
      <c r="B161" s="636"/>
      <c r="C161" s="636"/>
      <c r="D161" s="636"/>
      <c r="E161" s="636"/>
      <c r="F161" s="636"/>
      <c r="G161" s="636"/>
      <c r="H161" s="636"/>
      <c r="I161" s="636"/>
      <c r="J161" s="636"/>
      <c r="K161" s="636"/>
      <c r="L161" s="636"/>
      <c r="M161" s="636"/>
      <c r="N161" s="636"/>
      <c r="O161" s="636"/>
      <c r="P161" s="636"/>
      <c r="Q161" s="636"/>
      <c r="R161" s="636"/>
      <c r="S161" s="660"/>
      <c r="T161" s="660"/>
      <c r="U161" s="660"/>
      <c r="V161" s="660"/>
      <c r="W161" s="661"/>
      <c r="X161" s="636"/>
      <c r="Y161" s="636"/>
      <c r="Z161" s="636"/>
      <c r="AA161" s="636"/>
      <c r="AB161" s="636"/>
      <c r="AC161" s="636"/>
      <c r="AD161" s="636"/>
      <c r="AE161" s="636"/>
      <c r="AF161" s="636"/>
      <c r="AG161" s="636"/>
      <c r="AH161" s="636"/>
      <c r="AI161" s="636"/>
      <c r="AJ161" s="636"/>
      <c r="AK161" s="636"/>
      <c r="AL161" s="636"/>
    </row>
    <row r="162" spans="1:38" s="678" customFormat="1">
      <c r="A162" s="662"/>
      <c r="B162" s="636"/>
      <c r="C162" s="636"/>
      <c r="D162" s="636"/>
      <c r="E162" s="636"/>
      <c r="F162" s="636"/>
      <c r="G162" s="636"/>
      <c r="H162" s="636"/>
      <c r="I162" s="636"/>
      <c r="J162" s="636"/>
      <c r="K162" s="636"/>
      <c r="L162" s="636"/>
      <c r="M162" s="636"/>
      <c r="N162" s="636"/>
      <c r="O162" s="636"/>
      <c r="P162" s="636"/>
      <c r="Q162" s="636"/>
      <c r="R162" s="636"/>
      <c r="S162" s="660"/>
      <c r="T162" s="660"/>
      <c r="U162" s="660"/>
      <c r="V162" s="660"/>
      <c r="W162" s="661"/>
      <c r="X162" s="636"/>
      <c r="Y162" s="636"/>
      <c r="Z162" s="636"/>
      <c r="AA162" s="636"/>
      <c r="AB162" s="636"/>
      <c r="AC162" s="636"/>
      <c r="AD162" s="636"/>
      <c r="AE162" s="636"/>
      <c r="AF162" s="636"/>
      <c r="AG162" s="636"/>
      <c r="AH162" s="636"/>
      <c r="AI162" s="636"/>
      <c r="AJ162" s="636"/>
      <c r="AK162" s="636"/>
      <c r="AL162" s="636"/>
    </row>
    <row r="163" spans="1:38" s="678" customFormat="1">
      <c r="A163" s="662"/>
      <c r="B163" s="636"/>
      <c r="C163" s="636"/>
      <c r="D163" s="636"/>
      <c r="E163" s="636"/>
      <c r="F163" s="636"/>
      <c r="G163" s="636"/>
      <c r="H163" s="636"/>
      <c r="I163" s="636"/>
      <c r="J163" s="636"/>
      <c r="K163" s="636"/>
      <c r="L163" s="636"/>
      <c r="M163" s="636"/>
      <c r="N163" s="636"/>
      <c r="O163" s="636"/>
      <c r="P163" s="636"/>
      <c r="Q163" s="636"/>
      <c r="R163" s="636"/>
      <c r="S163" s="660"/>
      <c r="T163" s="660"/>
      <c r="U163" s="660"/>
      <c r="V163" s="660"/>
      <c r="W163" s="661"/>
      <c r="X163" s="636"/>
      <c r="Y163" s="636"/>
      <c r="Z163" s="636"/>
      <c r="AA163" s="636"/>
      <c r="AB163" s="636"/>
      <c r="AC163" s="636"/>
      <c r="AD163" s="636"/>
      <c r="AE163" s="636"/>
      <c r="AF163" s="636"/>
      <c r="AG163" s="636"/>
      <c r="AH163" s="636"/>
      <c r="AI163" s="636"/>
      <c r="AJ163" s="636"/>
      <c r="AK163" s="636"/>
      <c r="AL163" s="636"/>
    </row>
    <row r="164" spans="1:38" s="678" customFormat="1">
      <c r="A164" s="662"/>
      <c r="B164" s="636"/>
      <c r="C164" s="636"/>
      <c r="D164" s="636"/>
      <c r="E164" s="636"/>
      <c r="F164" s="636"/>
      <c r="G164" s="636"/>
      <c r="H164" s="636"/>
      <c r="I164" s="636"/>
      <c r="J164" s="636"/>
      <c r="K164" s="636"/>
      <c r="L164" s="636"/>
      <c r="M164" s="636"/>
      <c r="N164" s="636"/>
      <c r="O164" s="636"/>
      <c r="P164" s="636"/>
      <c r="Q164" s="636"/>
      <c r="R164" s="636"/>
      <c r="S164" s="660"/>
      <c r="T164" s="660"/>
      <c r="U164" s="660"/>
      <c r="V164" s="660"/>
      <c r="W164" s="661"/>
      <c r="X164" s="636"/>
      <c r="Y164" s="636"/>
      <c r="Z164" s="636"/>
      <c r="AA164" s="636"/>
      <c r="AB164" s="636"/>
      <c r="AC164" s="636"/>
      <c r="AD164" s="636"/>
      <c r="AE164" s="636"/>
      <c r="AF164" s="636"/>
      <c r="AG164" s="636"/>
      <c r="AH164" s="636"/>
      <c r="AI164" s="636"/>
      <c r="AJ164" s="636"/>
      <c r="AK164" s="636"/>
      <c r="AL164" s="636"/>
    </row>
    <row r="165" spans="1:38" s="678" customFormat="1">
      <c r="A165" s="662"/>
      <c r="B165" s="636"/>
      <c r="C165" s="636"/>
      <c r="D165" s="636"/>
      <c r="E165" s="636"/>
      <c r="F165" s="636"/>
      <c r="G165" s="636"/>
      <c r="H165" s="636"/>
      <c r="I165" s="636"/>
      <c r="J165" s="636"/>
      <c r="K165" s="636"/>
      <c r="L165" s="636"/>
      <c r="M165" s="636"/>
      <c r="N165" s="636"/>
      <c r="O165" s="636"/>
      <c r="P165" s="636"/>
      <c r="Q165" s="636"/>
      <c r="R165" s="636"/>
      <c r="S165" s="660"/>
      <c r="T165" s="660"/>
      <c r="U165" s="660"/>
      <c r="V165" s="660"/>
      <c r="W165" s="661"/>
      <c r="X165" s="636"/>
      <c r="Y165" s="636"/>
      <c r="Z165" s="636"/>
      <c r="AA165" s="636"/>
      <c r="AB165" s="636"/>
      <c r="AC165" s="636"/>
      <c r="AD165" s="636"/>
      <c r="AE165" s="636"/>
      <c r="AF165" s="636"/>
      <c r="AG165" s="636"/>
      <c r="AH165" s="636"/>
      <c r="AI165" s="636"/>
      <c r="AJ165" s="636"/>
      <c r="AK165" s="636"/>
      <c r="AL165" s="636"/>
    </row>
    <row r="166" spans="1:38" s="678" customFormat="1">
      <c r="A166" s="662"/>
      <c r="B166" s="636"/>
      <c r="C166" s="636"/>
      <c r="D166" s="636"/>
      <c r="E166" s="636"/>
      <c r="F166" s="636"/>
      <c r="G166" s="636"/>
      <c r="H166" s="636"/>
      <c r="I166" s="636"/>
      <c r="J166" s="636"/>
      <c r="K166" s="636"/>
      <c r="L166" s="636"/>
      <c r="M166" s="636"/>
      <c r="N166" s="636"/>
      <c r="O166" s="636"/>
      <c r="P166" s="636"/>
      <c r="Q166" s="636"/>
      <c r="R166" s="636"/>
      <c r="S166" s="660"/>
      <c r="T166" s="660"/>
      <c r="U166" s="660"/>
      <c r="V166" s="660"/>
      <c r="W166" s="661"/>
      <c r="X166" s="636"/>
      <c r="Y166" s="636"/>
      <c r="Z166" s="636"/>
      <c r="AA166" s="636"/>
      <c r="AB166" s="636"/>
      <c r="AC166" s="636"/>
      <c r="AD166" s="636"/>
      <c r="AE166" s="636"/>
      <c r="AF166" s="636"/>
      <c r="AG166" s="636"/>
      <c r="AH166" s="636"/>
      <c r="AI166" s="636"/>
      <c r="AJ166" s="636"/>
      <c r="AK166" s="636"/>
      <c r="AL166" s="636"/>
    </row>
    <row r="167" spans="1:38" s="678" customFormat="1">
      <c r="A167" s="662"/>
      <c r="B167" s="636"/>
      <c r="C167" s="636"/>
      <c r="D167" s="636"/>
      <c r="E167" s="636"/>
      <c r="F167" s="636"/>
      <c r="G167" s="636"/>
      <c r="H167" s="636"/>
      <c r="I167" s="636"/>
      <c r="J167" s="636"/>
      <c r="K167" s="636"/>
      <c r="L167" s="636"/>
      <c r="M167" s="636"/>
      <c r="N167" s="636"/>
      <c r="O167" s="636"/>
      <c r="P167" s="636"/>
      <c r="Q167" s="636"/>
      <c r="R167" s="636"/>
      <c r="S167" s="660"/>
      <c r="T167" s="660"/>
      <c r="U167" s="660"/>
      <c r="V167" s="660"/>
      <c r="W167" s="661"/>
      <c r="X167" s="636"/>
      <c r="Y167" s="636"/>
      <c r="Z167" s="636"/>
      <c r="AA167" s="636"/>
      <c r="AB167" s="636"/>
      <c r="AC167" s="636"/>
      <c r="AD167" s="636"/>
      <c r="AE167" s="636"/>
      <c r="AF167" s="636"/>
      <c r="AG167" s="636"/>
      <c r="AH167" s="636"/>
      <c r="AI167" s="636"/>
      <c r="AJ167" s="636"/>
      <c r="AK167" s="636"/>
      <c r="AL167" s="636"/>
    </row>
    <row r="168" spans="1:38" s="678" customFormat="1">
      <c r="A168" s="662"/>
      <c r="B168" s="636"/>
      <c r="C168" s="636"/>
      <c r="D168" s="636"/>
      <c r="E168" s="636"/>
      <c r="F168" s="636"/>
      <c r="G168" s="636"/>
      <c r="H168" s="636"/>
      <c r="I168" s="636"/>
      <c r="J168" s="636"/>
      <c r="K168" s="636"/>
      <c r="L168" s="636"/>
      <c r="M168" s="636"/>
      <c r="N168" s="636"/>
      <c r="O168" s="636"/>
      <c r="P168" s="636"/>
      <c r="Q168" s="636"/>
      <c r="R168" s="636"/>
      <c r="S168" s="660"/>
      <c r="T168" s="660"/>
      <c r="U168" s="660"/>
      <c r="V168" s="660"/>
      <c r="W168" s="661"/>
      <c r="X168" s="636"/>
      <c r="Y168" s="636"/>
      <c r="Z168" s="636"/>
      <c r="AA168" s="636"/>
      <c r="AB168" s="636"/>
      <c r="AC168" s="636"/>
      <c r="AD168" s="636"/>
      <c r="AE168" s="636"/>
      <c r="AF168" s="636"/>
      <c r="AG168" s="636"/>
      <c r="AH168" s="636"/>
      <c r="AI168" s="636"/>
      <c r="AJ168" s="636"/>
      <c r="AK168" s="636"/>
      <c r="AL168" s="636"/>
    </row>
    <row r="169" spans="1:38" s="678" customFormat="1">
      <c r="A169" s="662"/>
      <c r="B169" s="636"/>
      <c r="C169" s="636"/>
      <c r="D169" s="636"/>
      <c r="E169" s="636"/>
      <c r="F169" s="636"/>
      <c r="G169" s="636"/>
      <c r="H169" s="636"/>
      <c r="I169" s="636"/>
      <c r="J169" s="636"/>
      <c r="K169" s="636"/>
      <c r="L169" s="636"/>
      <c r="M169" s="636"/>
      <c r="N169" s="636"/>
      <c r="O169" s="636"/>
      <c r="P169" s="636"/>
      <c r="Q169" s="636"/>
      <c r="R169" s="636"/>
      <c r="S169" s="660"/>
      <c r="T169" s="660"/>
      <c r="U169" s="660"/>
      <c r="V169" s="660"/>
      <c r="W169" s="661"/>
      <c r="X169" s="636"/>
      <c r="Y169" s="636"/>
      <c r="Z169" s="636"/>
      <c r="AA169" s="636"/>
      <c r="AB169" s="636"/>
      <c r="AC169" s="636"/>
      <c r="AD169" s="636"/>
      <c r="AE169" s="636"/>
      <c r="AF169" s="636"/>
      <c r="AG169" s="636"/>
      <c r="AH169" s="636"/>
      <c r="AI169" s="636"/>
      <c r="AJ169" s="636"/>
      <c r="AK169" s="636"/>
      <c r="AL169" s="636"/>
    </row>
    <row r="170" spans="1:38" s="678" customFormat="1">
      <c r="A170" s="662"/>
      <c r="B170" s="636"/>
      <c r="C170" s="636"/>
      <c r="D170" s="636"/>
      <c r="E170" s="636"/>
      <c r="F170" s="636"/>
      <c r="G170" s="636"/>
      <c r="H170" s="636"/>
      <c r="I170" s="636"/>
      <c r="J170" s="636"/>
      <c r="K170" s="636"/>
      <c r="L170" s="636"/>
      <c r="M170" s="636"/>
      <c r="N170" s="636"/>
      <c r="O170" s="636"/>
      <c r="P170" s="636"/>
      <c r="Q170" s="636"/>
      <c r="R170" s="636"/>
      <c r="S170" s="660"/>
      <c r="T170" s="660"/>
      <c r="U170" s="660"/>
      <c r="V170" s="660"/>
      <c r="W170" s="661"/>
      <c r="X170" s="636"/>
      <c r="Y170" s="636"/>
      <c r="Z170" s="636"/>
      <c r="AA170" s="636"/>
      <c r="AB170" s="636"/>
      <c r="AC170" s="636"/>
      <c r="AD170" s="636"/>
      <c r="AE170" s="636"/>
      <c r="AF170" s="636"/>
      <c r="AG170" s="636"/>
      <c r="AH170" s="636"/>
      <c r="AI170" s="636"/>
      <c r="AJ170" s="636"/>
      <c r="AK170" s="636"/>
      <c r="AL170" s="636"/>
    </row>
    <row r="171" spans="1:38" s="678" customFormat="1">
      <c r="A171" s="662"/>
      <c r="B171" s="636"/>
      <c r="C171" s="636"/>
      <c r="D171" s="636"/>
      <c r="E171" s="636"/>
      <c r="F171" s="636"/>
      <c r="G171" s="636"/>
      <c r="H171" s="636"/>
      <c r="I171" s="636"/>
      <c r="J171" s="636"/>
      <c r="K171" s="636"/>
      <c r="L171" s="636"/>
      <c r="M171" s="636"/>
      <c r="N171" s="636"/>
      <c r="O171" s="636"/>
      <c r="P171" s="636"/>
      <c r="Q171" s="636"/>
      <c r="R171" s="636"/>
      <c r="S171" s="660"/>
      <c r="T171" s="660"/>
      <c r="U171" s="660"/>
      <c r="V171" s="660"/>
      <c r="W171" s="661"/>
      <c r="X171" s="636"/>
      <c r="Y171" s="636"/>
      <c r="Z171" s="636"/>
      <c r="AA171" s="636"/>
      <c r="AB171" s="636"/>
      <c r="AC171" s="636"/>
      <c r="AD171" s="636"/>
      <c r="AE171" s="636"/>
      <c r="AF171" s="636"/>
      <c r="AG171" s="636"/>
      <c r="AH171" s="636"/>
      <c r="AI171" s="636"/>
      <c r="AJ171" s="636"/>
      <c r="AK171" s="636"/>
      <c r="AL171" s="636"/>
    </row>
    <row r="172" spans="1:38" s="678" customFormat="1">
      <c r="A172" s="662"/>
      <c r="B172" s="636"/>
      <c r="C172" s="636"/>
      <c r="D172" s="636"/>
      <c r="E172" s="636"/>
      <c r="F172" s="636"/>
      <c r="G172" s="636"/>
      <c r="H172" s="636"/>
      <c r="I172" s="636"/>
      <c r="J172" s="636"/>
      <c r="K172" s="636"/>
      <c r="L172" s="636"/>
      <c r="M172" s="636"/>
      <c r="N172" s="636"/>
      <c r="O172" s="636"/>
      <c r="P172" s="636"/>
      <c r="Q172" s="636"/>
      <c r="R172" s="636"/>
      <c r="S172" s="660"/>
      <c r="T172" s="660"/>
      <c r="U172" s="660"/>
      <c r="V172" s="660"/>
      <c r="W172" s="661"/>
      <c r="X172" s="636"/>
      <c r="Y172" s="636"/>
      <c r="Z172" s="636"/>
      <c r="AA172" s="636"/>
      <c r="AB172" s="636"/>
      <c r="AC172" s="636"/>
      <c r="AD172" s="636"/>
      <c r="AE172" s="636"/>
      <c r="AF172" s="636"/>
      <c r="AG172" s="636"/>
      <c r="AH172" s="636"/>
      <c r="AI172" s="636"/>
      <c r="AJ172" s="636"/>
      <c r="AK172" s="636"/>
      <c r="AL172" s="636"/>
    </row>
    <row r="173" spans="1:38" s="678" customFormat="1">
      <c r="A173" s="662"/>
      <c r="B173" s="636"/>
      <c r="C173" s="636"/>
      <c r="D173" s="636"/>
      <c r="E173" s="636"/>
      <c r="F173" s="636"/>
      <c r="G173" s="636"/>
      <c r="H173" s="636"/>
      <c r="I173" s="636"/>
      <c r="J173" s="636"/>
      <c r="K173" s="636"/>
      <c r="L173" s="636"/>
      <c r="M173" s="636"/>
      <c r="N173" s="636"/>
      <c r="O173" s="636"/>
      <c r="P173" s="636"/>
      <c r="Q173" s="636"/>
      <c r="R173" s="636"/>
      <c r="S173" s="660"/>
      <c r="T173" s="660"/>
      <c r="U173" s="660"/>
      <c r="V173" s="660"/>
      <c r="W173" s="661"/>
      <c r="X173" s="636"/>
      <c r="Y173" s="636"/>
      <c r="Z173" s="636"/>
      <c r="AA173" s="636"/>
      <c r="AB173" s="636"/>
      <c r="AC173" s="636"/>
      <c r="AD173" s="636"/>
      <c r="AE173" s="636"/>
      <c r="AF173" s="636"/>
      <c r="AG173" s="636"/>
      <c r="AH173" s="636"/>
      <c r="AI173" s="636"/>
      <c r="AJ173" s="636"/>
      <c r="AK173" s="636"/>
      <c r="AL173" s="636"/>
    </row>
    <row r="174" spans="1:38" s="678" customFormat="1">
      <c r="A174" s="662"/>
      <c r="B174" s="636"/>
      <c r="C174" s="636"/>
      <c r="D174" s="636"/>
      <c r="E174" s="636"/>
      <c r="F174" s="636"/>
      <c r="G174" s="636"/>
      <c r="H174" s="636"/>
      <c r="I174" s="636"/>
      <c r="J174" s="636"/>
      <c r="K174" s="636"/>
      <c r="L174" s="636"/>
      <c r="M174" s="636"/>
      <c r="N174" s="636"/>
      <c r="O174" s="636"/>
      <c r="P174" s="636"/>
      <c r="Q174" s="636"/>
      <c r="R174" s="636"/>
      <c r="S174" s="660"/>
      <c r="T174" s="660"/>
      <c r="U174" s="660"/>
      <c r="V174" s="660"/>
      <c r="W174" s="661"/>
      <c r="X174" s="636"/>
      <c r="Y174" s="636"/>
      <c r="Z174" s="636"/>
      <c r="AA174" s="636"/>
      <c r="AB174" s="636"/>
      <c r="AC174" s="636"/>
      <c r="AD174" s="636"/>
      <c r="AE174" s="636"/>
      <c r="AF174" s="636"/>
      <c r="AG174" s="636"/>
      <c r="AH174" s="636"/>
      <c r="AI174" s="636"/>
      <c r="AJ174" s="636"/>
      <c r="AK174" s="636"/>
      <c r="AL174" s="636"/>
    </row>
    <row r="175" spans="1:38" s="678" customFormat="1">
      <c r="A175" s="662"/>
      <c r="B175" s="636"/>
      <c r="C175" s="636"/>
      <c r="D175" s="636"/>
      <c r="E175" s="636"/>
      <c r="F175" s="636"/>
      <c r="G175" s="636"/>
      <c r="H175" s="636"/>
      <c r="I175" s="636"/>
      <c r="J175" s="636"/>
      <c r="K175" s="636"/>
      <c r="L175" s="636"/>
      <c r="M175" s="636"/>
      <c r="N175" s="636"/>
      <c r="O175" s="636"/>
      <c r="P175" s="636"/>
      <c r="Q175" s="636"/>
      <c r="R175" s="636"/>
      <c r="S175" s="660"/>
      <c r="T175" s="660"/>
      <c r="U175" s="660"/>
      <c r="V175" s="660"/>
      <c r="W175" s="661"/>
      <c r="X175" s="636"/>
      <c r="Y175" s="636"/>
      <c r="Z175" s="636"/>
      <c r="AA175" s="636"/>
      <c r="AB175" s="636"/>
      <c r="AC175" s="636"/>
      <c r="AD175" s="636"/>
      <c r="AE175" s="636"/>
      <c r="AF175" s="636"/>
      <c r="AG175" s="636"/>
      <c r="AH175" s="636"/>
      <c r="AI175" s="636"/>
      <c r="AJ175" s="636"/>
      <c r="AK175" s="636"/>
      <c r="AL175" s="636"/>
    </row>
    <row r="176" spans="1:38" s="678" customFormat="1">
      <c r="A176" s="662"/>
      <c r="B176" s="636"/>
      <c r="C176" s="636"/>
      <c r="D176" s="636"/>
      <c r="E176" s="636"/>
      <c r="F176" s="636"/>
      <c r="G176" s="636"/>
      <c r="H176" s="636"/>
      <c r="I176" s="636"/>
      <c r="J176" s="636"/>
      <c r="K176" s="636"/>
      <c r="L176" s="636"/>
      <c r="M176" s="636"/>
      <c r="N176" s="636"/>
      <c r="O176" s="636"/>
      <c r="P176" s="636"/>
      <c r="Q176" s="636"/>
      <c r="R176" s="636"/>
      <c r="S176" s="660"/>
      <c r="T176" s="660"/>
      <c r="U176" s="660"/>
      <c r="V176" s="660"/>
      <c r="W176" s="661"/>
      <c r="X176" s="636"/>
      <c r="Y176" s="636"/>
      <c r="Z176" s="636"/>
      <c r="AA176" s="636"/>
      <c r="AB176" s="636"/>
      <c r="AC176" s="636"/>
      <c r="AD176" s="636"/>
      <c r="AE176" s="636"/>
      <c r="AF176" s="636"/>
      <c r="AG176" s="636"/>
      <c r="AH176" s="636"/>
      <c r="AI176" s="636"/>
      <c r="AJ176" s="636"/>
      <c r="AK176" s="636"/>
      <c r="AL176" s="636"/>
    </row>
    <row r="177" spans="1:38" s="678" customFormat="1">
      <c r="A177" s="662"/>
      <c r="B177" s="636"/>
      <c r="C177" s="636"/>
      <c r="D177" s="636"/>
      <c r="E177" s="636"/>
      <c r="F177" s="636"/>
      <c r="G177" s="636"/>
      <c r="H177" s="636"/>
      <c r="I177" s="636"/>
      <c r="J177" s="636"/>
      <c r="K177" s="636"/>
      <c r="L177" s="636"/>
      <c r="M177" s="636"/>
      <c r="N177" s="636"/>
      <c r="O177" s="636"/>
      <c r="P177" s="636"/>
      <c r="Q177" s="636"/>
      <c r="R177" s="636"/>
      <c r="S177" s="660"/>
      <c r="T177" s="660"/>
      <c r="U177" s="660"/>
      <c r="V177" s="660"/>
      <c r="W177" s="661"/>
      <c r="X177" s="636"/>
      <c r="Y177" s="636"/>
      <c r="Z177" s="636"/>
      <c r="AA177" s="636"/>
      <c r="AB177" s="636"/>
      <c r="AC177" s="636"/>
      <c r="AD177" s="636"/>
      <c r="AE177" s="636"/>
      <c r="AF177" s="636"/>
      <c r="AG177" s="636"/>
      <c r="AH177" s="636"/>
      <c r="AI177" s="636"/>
      <c r="AJ177" s="636"/>
      <c r="AK177" s="636"/>
      <c r="AL177" s="636"/>
    </row>
    <row r="178" spans="1:38" s="678" customFormat="1">
      <c r="A178" s="662"/>
      <c r="B178" s="636"/>
      <c r="C178" s="636"/>
      <c r="D178" s="636"/>
      <c r="E178" s="636"/>
      <c r="F178" s="636"/>
      <c r="G178" s="636"/>
      <c r="H178" s="636"/>
      <c r="I178" s="636"/>
      <c r="J178" s="636"/>
      <c r="K178" s="636"/>
      <c r="L178" s="636"/>
      <c r="M178" s="636"/>
      <c r="N178" s="636"/>
      <c r="O178" s="636"/>
      <c r="P178" s="636"/>
      <c r="Q178" s="636"/>
      <c r="R178" s="636"/>
      <c r="S178" s="660"/>
      <c r="T178" s="660"/>
      <c r="U178" s="660"/>
      <c r="V178" s="660"/>
      <c r="W178" s="661"/>
      <c r="X178" s="636"/>
      <c r="Y178" s="636"/>
      <c r="Z178" s="636"/>
      <c r="AA178" s="636"/>
      <c r="AB178" s="636"/>
      <c r="AC178" s="636"/>
      <c r="AD178" s="636"/>
      <c r="AE178" s="636"/>
      <c r="AF178" s="636"/>
      <c r="AG178" s="636"/>
      <c r="AH178" s="636"/>
      <c r="AI178" s="636"/>
      <c r="AJ178" s="636"/>
      <c r="AK178" s="636"/>
      <c r="AL178" s="636"/>
    </row>
    <row r="179" spans="1:38" s="678" customFormat="1">
      <c r="A179" s="662"/>
      <c r="B179" s="636"/>
      <c r="C179" s="636"/>
      <c r="D179" s="636"/>
      <c r="E179" s="636"/>
      <c r="F179" s="636"/>
      <c r="G179" s="636"/>
      <c r="H179" s="636"/>
      <c r="I179" s="636"/>
      <c r="J179" s="636"/>
      <c r="K179" s="636"/>
      <c r="L179" s="636"/>
      <c r="M179" s="636"/>
      <c r="N179" s="636"/>
      <c r="O179" s="636"/>
      <c r="P179" s="636"/>
      <c r="Q179" s="636"/>
      <c r="R179" s="636"/>
      <c r="S179" s="660"/>
      <c r="T179" s="660"/>
      <c r="U179" s="660"/>
      <c r="V179" s="660"/>
      <c r="W179" s="661"/>
      <c r="X179" s="636"/>
      <c r="Y179" s="636"/>
      <c r="Z179" s="636"/>
      <c r="AA179" s="636"/>
      <c r="AB179" s="636"/>
      <c r="AC179" s="636"/>
      <c r="AD179" s="636"/>
      <c r="AE179" s="636"/>
      <c r="AF179" s="636"/>
      <c r="AG179" s="636"/>
      <c r="AH179" s="636"/>
      <c r="AI179" s="636"/>
      <c r="AJ179" s="636"/>
      <c r="AK179" s="636"/>
      <c r="AL179" s="636"/>
    </row>
    <row r="180" spans="1:38" s="678" customFormat="1">
      <c r="A180" s="662"/>
      <c r="B180" s="636"/>
      <c r="C180" s="636"/>
      <c r="D180" s="636"/>
      <c r="E180" s="636"/>
      <c r="F180" s="636"/>
      <c r="G180" s="636"/>
      <c r="H180" s="636"/>
      <c r="I180" s="636"/>
      <c r="J180" s="636"/>
      <c r="K180" s="636"/>
      <c r="L180" s="636"/>
      <c r="M180" s="636"/>
      <c r="N180" s="636"/>
      <c r="O180" s="636"/>
      <c r="P180" s="636"/>
      <c r="Q180" s="636"/>
      <c r="R180" s="636"/>
      <c r="S180" s="660"/>
      <c r="T180" s="660"/>
      <c r="U180" s="660"/>
      <c r="V180" s="660"/>
      <c r="W180" s="661"/>
      <c r="X180" s="636"/>
      <c r="Y180" s="636"/>
      <c r="Z180" s="636"/>
      <c r="AA180" s="636"/>
      <c r="AB180" s="636"/>
      <c r="AC180" s="636"/>
      <c r="AD180" s="636"/>
      <c r="AE180" s="636"/>
      <c r="AF180" s="636"/>
      <c r="AG180" s="636"/>
      <c r="AH180" s="636"/>
      <c r="AI180" s="636"/>
      <c r="AJ180" s="636"/>
      <c r="AK180" s="636"/>
      <c r="AL180" s="636"/>
    </row>
    <row r="181" spans="1:38" s="678" customFormat="1">
      <c r="A181" s="662"/>
      <c r="B181" s="636"/>
      <c r="C181" s="636"/>
      <c r="D181" s="636"/>
      <c r="E181" s="636"/>
      <c r="F181" s="636"/>
      <c r="G181" s="636"/>
      <c r="H181" s="636"/>
      <c r="I181" s="636"/>
      <c r="J181" s="636"/>
      <c r="K181" s="636"/>
      <c r="L181" s="636"/>
      <c r="M181" s="636"/>
      <c r="N181" s="636"/>
      <c r="O181" s="636"/>
      <c r="P181" s="636"/>
      <c r="Q181" s="636"/>
      <c r="R181" s="636"/>
      <c r="S181" s="660"/>
      <c r="T181" s="660"/>
      <c r="U181" s="660"/>
      <c r="V181" s="660"/>
      <c r="W181" s="661"/>
      <c r="X181" s="636"/>
      <c r="Y181" s="636"/>
      <c r="Z181" s="636"/>
      <c r="AA181" s="636"/>
      <c r="AB181" s="636"/>
      <c r="AC181" s="636"/>
      <c r="AD181" s="636"/>
      <c r="AE181" s="636"/>
      <c r="AF181" s="636"/>
      <c r="AG181" s="636"/>
      <c r="AH181" s="636"/>
      <c r="AI181" s="636"/>
      <c r="AJ181" s="636"/>
      <c r="AK181" s="636"/>
      <c r="AL181" s="636"/>
    </row>
    <row r="182" spans="1:38" s="678" customFormat="1">
      <c r="A182" s="662"/>
      <c r="B182" s="636"/>
      <c r="C182" s="636"/>
      <c r="D182" s="636"/>
      <c r="E182" s="636"/>
      <c r="F182" s="636"/>
      <c r="G182" s="636"/>
      <c r="H182" s="636"/>
      <c r="I182" s="636"/>
      <c r="J182" s="636"/>
      <c r="K182" s="636"/>
      <c r="L182" s="636"/>
      <c r="M182" s="636"/>
      <c r="N182" s="636"/>
      <c r="O182" s="636"/>
      <c r="P182" s="636"/>
      <c r="Q182" s="636"/>
      <c r="R182" s="636"/>
      <c r="S182" s="660"/>
      <c r="T182" s="660"/>
      <c r="U182" s="660"/>
      <c r="V182" s="660"/>
      <c r="W182" s="661"/>
      <c r="X182" s="636"/>
      <c r="Y182" s="636"/>
      <c r="Z182" s="636"/>
      <c r="AA182" s="636"/>
      <c r="AB182" s="636"/>
      <c r="AC182" s="636"/>
      <c r="AD182" s="636"/>
      <c r="AE182" s="636"/>
      <c r="AF182" s="636"/>
      <c r="AG182" s="636"/>
      <c r="AH182" s="636"/>
      <c r="AI182" s="636"/>
      <c r="AJ182" s="636"/>
      <c r="AK182" s="636"/>
      <c r="AL182" s="636"/>
    </row>
    <row r="183" spans="1:38" s="678" customFormat="1">
      <c r="A183" s="662"/>
      <c r="B183" s="636"/>
      <c r="C183" s="636"/>
      <c r="D183" s="636"/>
      <c r="E183" s="636"/>
      <c r="F183" s="636"/>
      <c r="G183" s="636"/>
      <c r="H183" s="636"/>
      <c r="I183" s="636"/>
      <c r="J183" s="636"/>
      <c r="K183" s="636"/>
      <c r="L183" s="636"/>
      <c r="M183" s="636"/>
      <c r="N183" s="636"/>
      <c r="O183" s="636"/>
      <c r="P183" s="636"/>
      <c r="Q183" s="636"/>
      <c r="R183" s="636"/>
      <c r="S183" s="660"/>
      <c r="T183" s="660"/>
      <c r="U183" s="660"/>
      <c r="V183" s="660"/>
      <c r="W183" s="661"/>
      <c r="X183" s="636"/>
      <c r="Y183" s="636"/>
      <c r="Z183" s="636"/>
      <c r="AA183" s="636"/>
      <c r="AB183" s="636"/>
      <c r="AC183" s="636"/>
      <c r="AD183" s="636"/>
      <c r="AE183" s="636"/>
      <c r="AF183" s="636"/>
      <c r="AG183" s="636"/>
      <c r="AH183" s="636"/>
      <c r="AI183" s="636"/>
      <c r="AJ183" s="636"/>
      <c r="AK183" s="636"/>
      <c r="AL183" s="636"/>
    </row>
    <row r="184" spans="1:38" s="678" customFormat="1">
      <c r="A184" s="662"/>
      <c r="B184" s="636"/>
      <c r="C184" s="636"/>
      <c r="D184" s="636"/>
      <c r="E184" s="636"/>
      <c r="F184" s="636"/>
      <c r="G184" s="636"/>
      <c r="H184" s="636"/>
      <c r="I184" s="636"/>
      <c r="J184" s="636"/>
      <c r="K184" s="636"/>
      <c r="L184" s="636"/>
      <c r="M184" s="636"/>
      <c r="N184" s="636"/>
      <c r="O184" s="636"/>
      <c r="P184" s="636"/>
      <c r="Q184" s="636"/>
      <c r="R184" s="636"/>
      <c r="S184" s="660"/>
      <c r="T184" s="660"/>
      <c r="U184" s="660"/>
      <c r="V184" s="660"/>
      <c r="W184" s="661"/>
      <c r="X184" s="636"/>
      <c r="Y184" s="636"/>
      <c r="Z184" s="636"/>
      <c r="AA184" s="636"/>
      <c r="AB184" s="636"/>
      <c r="AC184" s="636"/>
      <c r="AD184" s="636"/>
      <c r="AE184" s="636"/>
      <c r="AF184" s="636"/>
      <c r="AG184" s="636"/>
      <c r="AH184" s="636"/>
      <c r="AI184" s="636"/>
      <c r="AJ184" s="636"/>
      <c r="AK184" s="636"/>
      <c r="AL184" s="636"/>
    </row>
    <row r="185" spans="1:38" s="678" customFormat="1">
      <c r="A185" s="662"/>
      <c r="B185" s="636"/>
      <c r="C185" s="636"/>
      <c r="D185" s="636"/>
      <c r="E185" s="636"/>
      <c r="F185" s="636"/>
      <c r="G185" s="636"/>
      <c r="H185" s="636"/>
      <c r="I185" s="636"/>
      <c r="J185" s="636"/>
      <c r="K185" s="636"/>
      <c r="L185" s="636"/>
      <c r="M185" s="636"/>
      <c r="N185" s="636"/>
      <c r="O185" s="636"/>
      <c r="P185" s="636"/>
      <c r="Q185" s="636"/>
      <c r="R185" s="636"/>
      <c r="S185" s="660"/>
      <c r="T185" s="660"/>
      <c r="U185" s="660"/>
      <c r="V185" s="660"/>
      <c r="W185" s="661"/>
      <c r="X185" s="636"/>
      <c r="Y185" s="636"/>
      <c r="Z185" s="636"/>
      <c r="AA185" s="636"/>
      <c r="AB185" s="636"/>
      <c r="AC185" s="636"/>
      <c r="AD185" s="636"/>
      <c r="AE185" s="636"/>
      <c r="AF185" s="636"/>
      <c r="AG185" s="636"/>
      <c r="AH185" s="636"/>
      <c r="AI185" s="636"/>
      <c r="AJ185" s="636"/>
      <c r="AK185" s="636"/>
      <c r="AL185" s="636"/>
    </row>
    <row r="186" spans="1:38" s="678" customFormat="1">
      <c r="A186" s="662"/>
      <c r="B186" s="636"/>
      <c r="C186" s="636"/>
      <c r="D186" s="636"/>
      <c r="E186" s="636"/>
      <c r="F186" s="636"/>
      <c r="G186" s="636"/>
      <c r="H186" s="636"/>
      <c r="I186" s="636"/>
      <c r="J186" s="636"/>
      <c r="K186" s="636"/>
      <c r="L186" s="636"/>
      <c r="M186" s="636"/>
      <c r="N186" s="636"/>
      <c r="O186" s="636"/>
      <c r="P186" s="636"/>
      <c r="Q186" s="636"/>
      <c r="R186" s="636"/>
      <c r="S186" s="660"/>
      <c r="T186" s="660"/>
      <c r="U186" s="660"/>
      <c r="V186" s="660"/>
      <c r="W186" s="661"/>
      <c r="X186" s="636"/>
      <c r="Y186" s="636"/>
      <c r="Z186" s="636"/>
      <c r="AA186" s="636"/>
      <c r="AB186" s="636"/>
      <c r="AC186" s="636"/>
      <c r="AD186" s="636"/>
      <c r="AE186" s="636"/>
      <c r="AF186" s="636"/>
      <c r="AG186" s="636"/>
      <c r="AH186" s="636"/>
      <c r="AI186" s="636"/>
      <c r="AJ186" s="636"/>
      <c r="AK186" s="636"/>
      <c r="AL186" s="636"/>
    </row>
    <row r="187" spans="1:38" s="678" customFormat="1">
      <c r="A187" s="662"/>
      <c r="B187" s="636"/>
      <c r="C187" s="636"/>
      <c r="D187" s="636"/>
      <c r="E187" s="636"/>
      <c r="F187" s="636"/>
      <c r="G187" s="636"/>
      <c r="H187" s="636"/>
      <c r="I187" s="636"/>
      <c r="J187" s="636"/>
      <c r="K187" s="636"/>
      <c r="L187" s="636"/>
      <c r="M187" s="636"/>
      <c r="N187" s="636"/>
      <c r="O187" s="636"/>
      <c r="P187" s="636"/>
      <c r="Q187" s="636"/>
      <c r="R187" s="636"/>
      <c r="S187" s="660"/>
      <c r="T187" s="660"/>
      <c r="U187" s="660"/>
      <c r="V187" s="660"/>
      <c r="W187" s="661"/>
      <c r="X187" s="636"/>
      <c r="Y187" s="636"/>
      <c r="Z187" s="636"/>
      <c r="AA187" s="636"/>
      <c r="AB187" s="636"/>
      <c r="AC187" s="636"/>
      <c r="AD187" s="636"/>
      <c r="AE187" s="636"/>
      <c r="AF187" s="636"/>
      <c r="AG187" s="636"/>
      <c r="AH187" s="636"/>
      <c r="AI187" s="636"/>
      <c r="AJ187" s="636"/>
      <c r="AK187" s="636"/>
      <c r="AL187" s="636"/>
    </row>
    <row r="188" spans="1:38" s="678" customFormat="1">
      <c r="A188" s="662"/>
      <c r="B188" s="636"/>
      <c r="C188" s="636"/>
      <c r="D188" s="636"/>
      <c r="E188" s="636"/>
      <c r="F188" s="636"/>
      <c r="G188" s="636"/>
      <c r="H188" s="636"/>
      <c r="I188" s="636"/>
      <c r="J188" s="636"/>
      <c r="K188" s="636"/>
      <c r="L188" s="636"/>
      <c r="M188" s="636"/>
      <c r="N188" s="636"/>
      <c r="O188" s="636"/>
      <c r="P188" s="636"/>
      <c r="Q188" s="636"/>
      <c r="R188" s="636"/>
      <c r="S188" s="660"/>
      <c r="T188" s="660"/>
      <c r="U188" s="660"/>
      <c r="V188" s="660"/>
      <c r="W188" s="661"/>
      <c r="X188" s="636"/>
      <c r="Y188" s="636"/>
      <c r="Z188" s="636"/>
      <c r="AA188" s="636"/>
      <c r="AB188" s="636"/>
      <c r="AC188" s="636"/>
      <c r="AD188" s="636"/>
      <c r="AE188" s="636"/>
      <c r="AF188" s="636"/>
      <c r="AG188" s="636"/>
      <c r="AH188" s="636"/>
      <c r="AI188" s="636"/>
      <c r="AJ188" s="636"/>
      <c r="AK188" s="636"/>
      <c r="AL188" s="636"/>
    </row>
    <row r="189" spans="1:38" s="678" customFormat="1">
      <c r="A189" s="662"/>
      <c r="B189" s="636"/>
      <c r="C189" s="636"/>
      <c r="D189" s="636"/>
      <c r="E189" s="636"/>
      <c r="F189" s="636"/>
      <c r="G189" s="636"/>
      <c r="H189" s="636"/>
      <c r="I189" s="636"/>
      <c r="J189" s="636"/>
      <c r="K189" s="636"/>
      <c r="L189" s="636"/>
      <c r="M189" s="636"/>
      <c r="N189" s="636"/>
      <c r="O189" s="636"/>
      <c r="P189" s="636"/>
      <c r="Q189" s="636"/>
      <c r="R189" s="636"/>
      <c r="S189" s="660"/>
      <c r="T189" s="660"/>
      <c r="U189" s="660"/>
      <c r="V189" s="660"/>
      <c r="W189" s="661"/>
      <c r="X189" s="636"/>
      <c r="Y189" s="636"/>
      <c r="Z189" s="636"/>
      <c r="AA189" s="636"/>
      <c r="AB189" s="636"/>
      <c r="AC189" s="636"/>
      <c r="AD189" s="636"/>
      <c r="AE189" s="636"/>
      <c r="AF189" s="636"/>
      <c r="AG189" s="636"/>
      <c r="AH189" s="636"/>
      <c r="AI189" s="636"/>
      <c r="AJ189" s="636"/>
      <c r="AK189" s="636"/>
      <c r="AL189" s="636"/>
    </row>
    <row r="190" spans="1:38" s="678" customFormat="1">
      <c r="A190" s="662"/>
      <c r="B190" s="636"/>
      <c r="C190" s="636"/>
      <c r="D190" s="636"/>
      <c r="E190" s="636"/>
      <c r="F190" s="636"/>
      <c r="G190" s="636"/>
      <c r="H190" s="636"/>
      <c r="I190" s="636"/>
      <c r="J190" s="636"/>
      <c r="K190" s="636"/>
      <c r="L190" s="636"/>
      <c r="M190" s="636"/>
      <c r="N190" s="636"/>
      <c r="O190" s="636"/>
      <c r="P190" s="636"/>
      <c r="Q190" s="636"/>
      <c r="R190" s="636"/>
      <c r="S190" s="660"/>
      <c r="T190" s="660"/>
      <c r="U190" s="660"/>
      <c r="V190" s="660"/>
      <c r="W190" s="661"/>
      <c r="X190" s="636"/>
      <c r="Y190" s="636"/>
      <c r="Z190" s="636"/>
      <c r="AA190" s="636"/>
      <c r="AB190" s="636"/>
      <c r="AC190" s="636"/>
      <c r="AD190" s="636"/>
      <c r="AE190" s="636"/>
      <c r="AF190" s="636"/>
      <c r="AG190" s="636"/>
      <c r="AH190" s="636"/>
      <c r="AI190" s="636"/>
      <c r="AJ190" s="636"/>
      <c r="AK190" s="636"/>
      <c r="AL190" s="636"/>
    </row>
    <row r="191" spans="1:38" s="678" customFormat="1">
      <c r="A191" s="662"/>
      <c r="B191" s="636"/>
      <c r="C191" s="636"/>
      <c r="D191" s="636"/>
      <c r="E191" s="636"/>
      <c r="F191" s="636"/>
      <c r="G191" s="636"/>
      <c r="H191" s="636"/>
      <c r="I191" s="636"/>
      <c r="J191" s="636"/>
      <c r="K191" s="636"/>
      <c r="L191" s="636"/>
      <c r="M191" s="636"/>
      <c r="N191" s="636"/>
      <c r="O191" s="636"/>
      <c r="P191" s="636"/>
      <c r="Q191" s="636"/>
      <c r="R191" s="636"/>
      <c r="S191" s="660"/>
      <c r="T191" s="660"/>
      <c r="U191" s="660"/>
      <c r="V191" s="660"/>
      <c r="W191" s="661"/>
      <c r="X191" s="636"/>
      <c r="Y191" s="636"/>
      <c r="Z191" s="636"/>
      <c r="AA191" s="636"/>
      <c r="AB191" s="636"/>
      <c r="AC191" s="636"/>
      <c r="AD191" s="636"/>
      <c r="AE191" s="636"/>
      <c r="AF191" s="636"/>
      <c r="AG191" s="636"/>
      <c r="AH191" s="636"/>
      <c r="AI191" s="636"/>
      <c r="AJ191" s="636"/>
      <c r="AK191" s="636"/>
      <c r="AL191" s="636"/>
    </row>
    <row r="192" spans="1:38" s="678" customFormat="1">
      <c r="A192" s="662"/>
      <c r="B192" s="636"/>
      <c r="C192" s="636"/>
      <c r="D192" s="636"/>
      <c r="E192" s="636"/>
      <c r="F192" s="636"/>
      <c r="G192" s="636"/>
      <c r="H192" s="636"/>
      <c r="I192" s="636"/>
      <c r="J192" s="636"/>
      <c r="K192" s="636"/>
      <c r="L192" s="636"/>
      <c r="M192" s="636"/>
      <c r="N192" s="636"/>
      <c r="O192" s="636"/>
      <c r="P192" s="636"/>
      <c r="Q192" s="636"/>
      <c r="R192" s="636"/>
      <c r="S192" s="660"/>
      <c r="T192" s="660"/>
      <c r="U192" s="660"/>
      <c r="V192" s="660"/>
      <c r="W192" s="661"/>
      <c r="X192" s="636"/>
      <c r="Y192" s="636"/>
      <c r="Z192" s="636"/>
      <c r="AA192" s="636"/>
      <c r="AB192" s="636"/>
      <c r="AC192" s="636"/>
      <c r="AD192" s="636"/>
      <c r="AE192" s="636"/>
      <c r="AF192" s="636"/>
      <c r="AG192" s="636"/>
      <c r="AH192" s="636"/>
      <c r="AI192" s="636"/>
      <c r="AJ192" s="636"/>
      <c r="AK192" s="636"/>
      <c r="AL192" s="636"/>
    </row>
    <row r="193" spans="1:38" s="678" customFormat="1">
      <c r="A193" s="662"/>
      <c r="B193" s="636"/>
      <c r="C193" s="636"/>
      <c r="D193" s="636"/>
      <c r="E193" s="636"/>
      <c r="F193" s="636"/>
      <c r="G193" s="636"/>
      <c r="H193" s="636"/>
      <c r="I193" s="636"/>
      <c r="J193" s="636"/>
      <c r="K193" s="636"/>
      <c r="L193" s="636"/>
      <c r="M193" s="636"/>
      <c r="N193" s="636"/>
      <c r="O193" s="636"/>
      <c r="P193" s="636"/>
      <c r="Q193" s="636"/>
      <c r="R193" s="636"/>
      <c r="S193" s="660"/>
      <c r="T193" s="660"/>
      <c r="U193" s="660"/>
      <c r="V193" s="660"/>
      <c r="W193" s="661"/>
      <c r="X193" s="636"/>
      <c r="Y193" s="636"/>
      <c r="Z193" s="636"/>
      <c r="AA193" s="636"/>
      <c r="AB193" s="636"/>
      <c r="AC193" s="636"/>
      <c r="AD193" s="636"/>
      <c r="AE193" s="636"/>
      <c r="AF193" s="636"/>
      <c r="AG193" s="636"/>
      <c r="AH193" s="636"/>
      <c r="AI193" s="636"/>
      <c r="AJ193" s="636"/>
      <c r="AK193" s="636"/>
      <c r="AL193" s="636"/>
    </row>
    <row r="194" spans="1:38" s="678" customFormat="1">
      <c r="A194" s="662"/>
      <c r="B194" s="636"/>
      <c r="C194" s="636"/>
      <c r="D194" s="636"/>
      <c r="E194" s="636"/>
      <c r="F194" s="636"/>
      <c r="G194" s="636"/>
      <c r="H194" s="636"/>
      <c r="I194" s="636"/>
      <c r="J194" s="636"/>
      <c r="K194" s="636"/>
      <c r="L194" s="636"/>
      <c r="M194" s="636"/>
      <c r="N194" s="636"/>
      <c r="O194" s="636"/>
      <c r="P194" s="636"/>
      <c r="Q194" s="636"/>
      <c r="R194" s="636"/>
      <c r="S194" s="660"/>
      <c r="T194" s="660"/>
      <c r="U194" s="660"/>
      <c r="V194" s="660"/>
      <c r="W194" s="661"/>
      <c r="X194" s="636"/>
      <c r="Y194" s="636"/>
      <c r="Z194" s="636"/>
      <c r="AA194" s="636"/>
      <c r="AB194" s="636"/>
      <c r="AC194" s="636"/>
      <c r="AD194" s="636"/>
      <c r="AE194" s="636"/>
      <c r="AF194" s="636"/>
      <c r="AG194" s="636"/>
      <c r="AH194" s="636"/>
      <c r="AI194" s="636"/>
      <c r="AJ194" s="636"/>
      <c r="AK194" s="636"/>
      <c r="AL194" s="636"/>
    </row>
    <row r="195" spans="1:38" s="678" customFormat="1">
      <c r="A195" s="662"/>
      <c r="B195" s="636"/>
      <c r="C195" s="636"/>
      <c r="D195" s="636"/>
      <c r="E195" s="636"/>
      <c r="F195" s="636"/>
      <c r="G195" s="636"/>
      <c r="H195" s="636"/>
      <c r="I195" s="636"/>
      <c r="J195" s="636"/>
      <c r="K195" s="636"/>
      <c r="L195" s="636"/>
      <c r="M195" s="636"/>
      <c r="N195" s="636"/>
      <c r="O195" s="636"/>
      <c r="P195" s="636"/>
      <c r="Q195" s="636"/>
      <c r="R195" s="636"/>
      <c r="S195" s="660"/>
      <c r="T195" s="660"/>
      <c r="U195" s="660"/>
      <c r="V195" s="660"/>
      <c r="W195" s="661"/>
      <c r="X195" s="636"/>
      <c r="Y195" s="636"/>
      <c r="Z195" s="636"/>
      <c r="AA195" s="636"/>
      <c r="AB195" s="636"/>
      <c r="AC195" s="636"/>
      <c r="AD195" s="636"/>
      <c r="AE195" s="636"/>
      <c r="AF195" s="636"/>
      <c r="AG195" s="636"/>
      <c r="AH195" s="636"/>
      <c r="AI195" s="636"/>
      <c r="AJ195" s="636"/>
      <c r="AK195" s="636"/>
      <c r="AL195" s="636"/>
    </row>
    <row r="196" spans="1:38" s="678" customFormat="1">
      <c r="A196" s="662"/>
      <c r="B196" s="636"/>
      <c r="C196" s="636"/>
      <c r="D196" s="636"/>
      <c r="E196" s="636"/>
      <c r="F196" s="636"/>
      <c r="G196" s="636"/>
      <c r="H196" s="636"/>
      <c r="I196" s="636"/>
      <c r="J196" s="636"/>
      <c r="K196" s="636"/>
      <c r="L196" s="636"/>
      <c r="M196" s="636"/>
      <c r="N196" s="636"/>
      <c r="O196" s="636"/>
      <c r="P196" s="636"/>
      <c r="Q196" s="636"/>
      <c r="R196" s="636"/>
      <c r="S196" s="660"/>
      <c r="T196" s="660"/>
      <c r="U196" s="660"/>
      <c r="V196" s="660"/>
      <c r="W196" s="661"/>
      <c r="X196" s="636"/>
      <c r="Y196" s="636"/>
      <c r="Z196" s="636"/>
      <c r="AA196" s="636"/>
      <c r="AB196" s="636"/>
      <c r="AC196" s="636"/>
      <c r="AD196" s="636"/>
      <c r="AE196" s="636"/>
      <c r="AF196" s="636"/>
      <c r="AG196" s="636"/>
      <c r="AH196" s="636"/>
      <c r="AI196" s="636"/>
      <c r="AJ196" s="636"/>
      <c r="AK196" s="636"/>
      <c r="AL196" s="636"/>
    </row>
    <row r="197" spans="1:38" s="678" customFormat="1">
      <c r="A197" s="662"/>
      <c r="B197" s="636"/>
      <c r="C197" s="636"/>
      <c r="D197" s="636"/>
      <c r="E197" s="636"/>
      <c r="F197" s="636"/>
      <c r="G197" s="636"/>
      <c r="H197" s="636"/>
      <c r="I197" s="636"/>
      <c r="J197" s="636"/>
      <c r="K197" s="636"/>
      <c r="L197" s="636"/>
      <c r="M197" s="636"/>
      <c r="N197" s="636"/>
      <c r="O197" s="636"/>
      <c r="P197" s="636"/>
      <c r="Q197" s="636"/>
      <c r="R197" s="636"/>
      <c r="S197" s="660"/>
      <c r="T197" s="660"/>
      <c r="U197" s="660"/>
      <c r="V197" s="660"/>
      <c r="W197" s="661"/>
      <c r="X197" s="636"/>
      <c r="Y197" s="636"/>
      <c r="Z197" s="636"/>
      <c r="AA197" s="636"/>
      <c r="AB197" s="636"/>
      <c r="AC197" s="636"/>
      <c r="AD197" s="636"/>
      <c r="AE197" s="636"/>
      <c r="AF197" s="636"/>
      <c r="AG197" s="636"/>
      <c r="AH197" s="636"/>
      <c r="AI197" s="636"/>
      <c r="AJ197" s="636"/>
      <c r="AK197" s="636"/>
      <c r="AL197" s="636"/>
    </row>
    <row r="198" spans="1:38" s="678" customFormat="1">
      <c r="A198" s="662"/>
      <c r="B198" s="636"/>
      <c r="C198" s="636"/>
      <c r="D198" s="636"/>
      <c r="E198" s="636"/>
      <c r="F198" s="636"/>
      <c r="G198" s="636"/>
      <c r="H198" s="636"/>
      <c r="I198" s="636"/>
      <c r="J198" s="636"/>
      <c r="K198" s="636"/>
      <c r="L198" s="636"/>
      <c r="M198" s="636"/>
      <c r="N198" s="636"/>
      <c r="O198" s="636"/>
      <c r="P198" s="636"/>
      <c r="Q198" s="636"/>
      <c r="R198" s="636"/>
      <c r="S198" s="660"/>
      <c r="T198" s="660"/>
      <c r="U198" s="660"/>
      <c r="V198" s="660"/>
      <c r="W198" s="661"/>
      <c r="X198" s="636"/>
      <c r="Y198" s="636"/>
      <c r="Z198" s="636"/>
      <c r="AA198" s="636"/>
      <c r="AB198" s="636"/>
      <c r="AC198" s="636"/>
      <c r="AD198" s="636"/>
      <c r="AE198" s="636"/>
      <c r="AF198" s="636"/>
      <c r="AG198" s="636"/>
      <c r="AH198" s="636"/>
      <c r="AI198" s="636"/>
      <c r="AJ198" s="636"/>
      <c r="AK198" s="636"/>
      <c r="AL198" s="636"/>
    </row>
    <row r="199" spans="1:38" s="678" customFormat="1">
      <c r="A199" s="662"/>
      <c r="B199" s="636"/>
      <c r="C199" s="636"/>
      <c r="D199" s="636"/>
      <c r="E199" s="636"/>
      <c r="F199" s="636"/>
      <c r="G199" s="636"/>
      <c r="H199" s="636"/>
      <c r="I199" s="636"/>
      <c r="J199" s="636"/>
      <c r="K199" s="636"/>
      <c r="L199" s="636"/>
      <c r="M199" s="636"/>
      <c r="N199" s="636"/>
      <c r="O199" s="636"/>
      <c r="P199" s="636"/>
      <c r="Q199" s="636"/>
      <c r="R199" s="636"/>
      <c r="S199" s="660"/>
      <c r="T199" s="660"/>
      <c r="U199" s="660"/>
      <c r="V199" s="660"/>
      <c r="W199" s="661"/>
      <c r="X199" s="636"/>
      <c r="Y199" s="636"/>
      <c r="Z199" s="636"/>
      <c r="AA199" s="636"/>
      <c r="AB199" s="636"/>
      <c r="AC199" s="636"/>
      <c r="AD199" s="636"/>
      <c r="AE199" s="636"/>
      <c r="AF199" s="636"/>
      <c r="AG199" s="636"/>
      <c r="AH199" s="636"/>
      <c r="AI199" s="636"/>
      <c r="AJ199" s="636"/>
      <c r="AK199" s="636"/>
      <c r="AL199" s="636"/>
    </row>
    <row r="200" spans="1:38" s="678" customFormat="1">
      <c r="A200" s="662"/>
      <c r="B200" s="636"/>
      <c r="C200" s="636"/>
      <c r="D200" s="636"/>
      <c r="E200" s="636"/>
      <c r="F200" s="636"/>
      <c r="G200" s="636"/>
      <c r="H200" s="636"/>
      <c r="I200" s="636"/>
      <c r="J200" s="636"/>
      <c r="K200" s="636"/>
      <c r="L200" s="636"/>
      <c r="M200" s="636"/>
      <c r="N200" s="636"/>
      <c r="O200" s="636"/>
      <c r="P200" s="636"/>
      <c r="Q200" s="636"/>
      <c r="R200" s="636"/>
      <c r="S200" s="660"/>
      <c r="T200" s="660"/>
      <c r="U200" s="660"/>
      <c r="V200" s="660"/>
      <c r="W200" s="661"/>
      <c r="X200" s="636"/>
      <c r="Y200" s="636"/>
      <c r="Z200" s="636"/>
      <c r="AA200" s="636"/>
      <c r="AB200" s="636"/>
      <c r="AC200" s="636"/>
      <c r="AD200" s="636"/>
      <c r="AE200" s="636"/>
      <c r="AF200" s="636"/>
      <c r="AG200" s="636"/>
      <c r="AH200" s="636"/>
      <c r="AI200" s="636"/>
      <c r="AJ200" s="636"/>
      <c r="AK200" s="636"/>
      <c r="AL200" s="636"/>
    </row>
    <row r="201" spans="1:38" s="678" customFormat="1">
      <c r="A201" s="662"/>
      <c r="B201" s="636"/>
      <c r="C201" s="636"/>
      <c r="D201" s="636"/>
      <c r="E201" s="636"/>
      <c r="F201" s="636"/>
      <c r="G201" s="636"/>
      <c r="H201" s="636"/>
      <c r="I201" s="636"/>
      <c r="J201" s="636"/>
      <c r="K201" s="636"/>
      <c r="L201" s="636"/>
      <c r="M201" s="636"/>
      <c r="N201" s="636"/>
      <c r="O201" s="636"/>
      <c r="P201" s="636"/>
      <c r="Q201" s="636"/>
      <c r="R201" s="636"/>
      <c r="S201" s="660"/>
      <c r="T201" s="660"/>
      <c r="U201" s="660"/>
      <c r="V201" s="660"/>
      <c r="W201" s="661"/>
      <c r="X201" s="636"/>
      <c r="Y201" s="636"/>
      <c r="Z201" s="636"/>
      <c r="AA201" s="636"/>
      <c r="AB201" s="636"/>
      <c r="AC201" s="636"/>
      <c r="AD201" s="636"/>
      <c r="AE201" s="636"/>
      <c r="AF201" s="636"/>
      <c r="AG201" s="636"/>
      <c r="AH201" s="636"/>
      <c r="AI201" s="636"/>
      <c r="AJ201" s="636"/>
      <c r="AK201" s="636"/>
      <c r="AL201" s="636"/>
    </row>
    <row r="202" spans="1:38" s="678" customFormat="1">
      <c r="A202" s="662"/>
      <c r="B202" s="636"/>
      <c r="C202" s="636"/>
      <c r="D202" s="636"/>
      <c r="E202" s="636"/>
      <c r="F202" s="636"/>
      <c r="G202" s="636"/>
      <c r="H202" s="636"/>
      <c r="I202" s="636"/>
      <c r="J202" s="636"/>
      <c r="K202" s="636"/>
      <c r="L202" s="636"/>
      <c r="M202" s="636"/>
      <c r="N202" s="636"/>
      <c r="O202" s="636"/>
      <c r="P202" s="636"/>
      <c r="Q202" s="636"/>
      <c r="R202" s="636"/>
      <c r="S202" s="660"/>
      <c r="T202" s="660"/>
      <c r="U202" s="660"/>
      <c r="V202" s="660"/>
      <c r="W202" s="661"/>
      <c r="X202" s="636"/>
      <c r="Y202" s="636"/>
      <c r="Z202" s="636"/>
      <c r="AA202" s="636"/>
      <c r="AB202" s="636"/>
      <c r="AC202" s="636"/>
      <c r="AD202" s="636"/>
      <c r="AE202" s="636"/>
      <c r="AF202" s="636"/>
      <c r="AG202" s="636"/>
      <c r="AH202" s="636"/>
      <c r="AI202" s="636"/>
      <c r="AJ202" s="636"/>
      <c r="AK202" s="636"/>
      <c r="AL202" s="636"/>
    </row>
    <row r="203" spans="1:38" s="678" customFormat="1">
      <c r="A203" s="662"/>
      <c r="B203" s="636"/>
      <c r="C203" s="636"/>
      <c r="D203" s="636"/>
      <c r="E203" s="636"/>
      <c r="F203" s="636"/>
      <c r="G203" s="636"/>
      <c r="H203" s="636"/>
      <c r="I203" s="636"/>
      <c r="J203" s="636"/>
      <c r="K203" s="636"/>
      <c r="L203" s="636"/>
      <c r="M203" s="636"/>
      <c r="N203" s="636"/>
      <c r="O203" s="636"/>
      <c r="P203" s="636"/>
      <c r="Q203" s="636"/>
      <c r="R203" s="636"/>
      <c r="S203" s="660"/>
      <c r="T203" s="660"/>
      <c r="U203" s="660"/>
      <c r="V203" s="660"/>
      <c r="W203" s="661"/>
      <c r="X203" s="636"/>
      <c r="Y203" s="636"/>
      <c r="Z203" s="636"/>
      <c r="AA203" s="636"/>
      <c r="AB203" s="636"/>
      <c r="AC203" s="636"/>
      <c r="AD203" s="636"/>
      <c r="AE203" s="636"/>
      <c r="AF203" s="636"/>
      <c r="AG203" s="636"/>
      <c r="AH203" s="636"/>
      <c r="AI203" s="636"/>
      <c r="AJ203" s="636"/>
      <c r="AK203" s="636"/>
      <c r="AL203" s="636"/>
    </row>
    <row r="204" spans="1:38" s="678" customFormat="1">
      <c r="A204" s="662"/>
      <c r="B204" s="636"/>
      <c r="C204" s="636"/>
      <c r="D204" s="636"/>
      <c r="E204" s="636"/>
      <c r="F204" s="636"/>
      <c r="G204" s="636"/>
      <c r="H204" s="636"/>
      <c r="I204" s="636"/>
      <c r="J204" s="636"/>
      <c r="K204" s="636"/>
      <c r="L204" s="636"/>
      <c r="M204" s="636"/>
      <c r="N204" s="636"/>
      <c r="O204" s="636"/>
      <c r="P204" s="636"/>
      <c r="Q204" s="636"/>
      <c r="R204" s="636"/>
      <c r="S204" s="660"/>
      <c r="T204" s="660"/>
      <c r="U204" s="660"/>
      <c r="V204" s="660"/>
      <c r="W204" s="661"/>
      <c r="X204" s="636"/>
      <c r="Y204" s="636"/>
      <c r="Z204" s="636"/>
      <c r="AA204" s="636"/>
      <c r="AB204" s="636"/>
      <c r="AC204" s="636"/>
      <c r="AD204" s="636"/>
      <c r="AE204" s="636"/>
      <c r="AF204" s="636"/>
      <c r="AG204" s="636"/>
      <c r="AH204" s="636"/>
      <c r="AI204" s="636"/>
      <c r="AJ204" s="636"/>
      <c r="AK204" s="636"/>
      <c r="AL204" s="636"/>
    </row>
    <row r="205" spans="1:38" s="678" customFormat="1">
      <c r="A205" s="662"/>
      <c r="B205" s="636"/>
      <c r="C205" s="636"/>
      <c r="D205" s="636"/>
      <c r="E205" s="636"/>
      <c r="F205" s="636"/>
      <c r="G205" s="636"/>
      <c r="H205" s="636"/>
      <c r="I205" s="636"/>
      <c r="J205" s="636"/>
      <c r="K205" s="636"/>
      <c r="L205" s="636"/>
      <c r="M205" s="636"/>
      <c r="N205" s="636"/>
      <c r="O205" s="636"/>
      <c r="P205" s="636"/>
      <c r="Q205" s="636"/>
      <c r="R205" s="636"/>
      <c r="S205" s="660"/>
      <c r="T205" s="660"/>
      <c r="U205" s="660"/>
      <c r="V205" s="660"/>
      <c r="W205" s="661"/>
      <c r="X205" s="636"/>
      <c r="Y205" s="636"/>
      <c r="Z205" s="636"/>
      <c r="AA205" s="636"/>
      <c r="AB205" s="636"/>
      <c r="AC205" s="636"/>
      <c r="AD205" s="636"/>
      <c r="AE205" s="636"/>
      <c r="AF205" s="636"/>
      <c r="AG205" s="636"/>
      <c r="AH205" s="636"/>
      <c r="AI205" s="636"/>
      <c r="AJ205" s="636"/>
      <c r="AK205" s="636"/>
      <c r="AL205" s="636"/>
    </row>
  </sheetData>
  <sheetProtection password="C07B" sheet="1" objects="1" scenarios="1"/>
  <mergeCells count="37">
    <mergeCell ref="Q33:Q34"/>
    <mergeCell ref="Q51:Q52"/>
    <mergeCell ref="N25:P27"/>
    <mergeCell ref="C33:C34"/>
    <mergeCell ref="D33:D34"/>
    <mergeCell ref="E33:E34"/>
    <mergeCell ref="F33:F34"/>
    <mergeCell ref="N33:N34"/>
    <mergeCell ref="O33:O34"/>
    <mergeCell ref="P33:P34"/>
    <mergeCell ref="C51:C52"/>
    <mergeCell ref="D51:D52"/>
    <mergeCell ref="O14:O15"/>
    <mergeCell ref="P14:P15"/>
    <mergeCell ref="O51:O52"/>
    <mergeCell ref="P51:P52"/>
    <mergeCell ref="B12:E12"/>
    <mergeCell ref="M12:P12"/>
    <mergeCell ref="C14:C15"/>
    <mergeCell ref="D14:D15"/>
    <mergeCell ref="G14:G15"/>
    <mergeCell ref="C25:E27"/>
    <mergeCell ref="M51:M52"/>
    <mergeCell ref="N51:N52"/>
    <mergeCell ref="B51:B52"/>
    <mergeCell ref="G21:H21"/>
    <mergeCell ref="G55:H55"/>
    <mergeCell ref="G54:H54"/>
    <mergeCell ref="B33:B34"/>
    <mergeCell ref="B14:B15"/>
    <mergeCell ref="N14:N15"/>
    <mergeCell ref="E51:E52"/>
    <mergeCell ref="F51:F52"/>
    <mergeCell ref="G39:H39"/>
    <mergeCell ref="G40:H40"/>
    <mergeCell ref="E14:E15"/>
    <mergeCell ref="F14:F15"/>
  </mergeCells>
  <conditionalFormatting sqref="I40">
    <cfRule type="containsText" dxfId="202" priority="41" operator="containsText" text="OK">
      <formula>NOT(ISERROR(SEARCH("OK",I40)))</formula>
    </cfRule>
    <cfRule type="containsText" dxfId="201" priority="42" operator="containsText" text="ERROR">
      <formula>NOT(ISERROR(SEARCH("ERROR",I40)))</formula>
    </cfRule>
    <cfRule type="expression" dxfId="200" priority="43">
      <formula>"ERROR"</formula>
    </cfRule>
    <cfRule type="colorScale" priority="44">
      <colorScale>
        <cfvo type="min"/>
        <cfvo type="max"/>
        <color rgb="FFFF0000"/>
        <color rgb="FFFFEF9C"/>
      </colorScale>
    </cfRule>
  </conditionalFormatting>
  <conditionalFormatting sqref="I55">
    <cfRule type="containsText" dxfId="199" priority="37" operator="containsText" text="OK">
      <formula>NOT(ISERROR(SEARCH("OK",I55)))</formula>
    </cfRule>
    <cfRule type="containsText" dxfId="198" priority="38" operator="containsText" text="ERROR">
      <formula>NOT(ISERROR(SEARCH("ERROR",I55)))</formula>
    </cfRule>
    <cfRule type="expression" dxfId="197" priority="39">
      <formula>"ERROR"</formula>
    </cfRule>
    <cfRule type="colorScale" priority="40">
      <colorScale>
        <cfvo type="min"/>
        <cfvo type="max"/>
        <color rgb="FFFF0000"/>
        <color rgb="FFFFEF9C"/>
      </colorScale>
    </cfRule>
  </conditionalFormatting>
  <conditionalFormatting sqref="D53:F55">
    <cfRule type="cellIs" dxfId="196" priority="35" operator="lessThan">
      <formula>0</formula>
    </cfRule>
  </conditionalFormatting>
  <conditionalFormatting sqref="D39:F39 D41:F41 F35:F41">
    <cfRule type="cellIs" dxfId="195" priority="34" operator="lessThan">
      <formula>0</formula>
    </cfRule>
  </conditionalFormatting>
  <conditionalFormatting sqref="I25">
    <cfRule type="containsText" dxfId="194" priority="29" operator="containsText" text="OK">
      <formula>NOT(ISERROR(SEARCH("OK",I25)))</formula>
    </cfRule>
    <cfRule type="containsText" dxfId="193" priority="30" operator="containsText" text="ERROR">
      <formula>NOT(ISERROR(SEARCH("ERROR",I25)))</formula>
    </cfRule>
    <cfRule type="expression" dxfId="192" priority="31">
      <formula>"ERROR"</formula>
    </cfRule>
    <cfRule type="colorScale" priority="32">
      <colorScale>
        <cfvo type="min"/>
        <cfvo type="max"/>
        <color rgb="FFFF0000"/>
        <color rgb="FFFFEF9C"/>
      </colorScale>
    </cfRule>
  </conditionalFormatting>
  <conditionalFormatting sqref="I19">
    <cfRule type="containsText" dxfId="191" priority="25" operator="containsText" text="OK">
      <formula>NOT(ISERROR(SEARCH("OK",I19)))</formula>
    </cfRule>
    <cfRule type="containsText" dxfId="190" priority="26" operator="containsText" text="ERROR">
      <formula>NOT(ISERROR(SEARCH("ERROR",I19)))</formula>
    </cfRule>
    <cfRule type="expression" dxfId="189" priority="27">
      <formula>"ERROR"</formula>
    </cfRule>
    <cfRule type="colorScale" priority="28">
      <colorScale>
        <cfvo type="min"/>
        <cfvo type="max"/>
        <color rgb="FFFF0000"/>
        <color rgb="FFFFEF9C"/>
      </colorScale>
    </cfRule>
  </conditionalFormatting>
  <conditionalFormatting sqref="I18">
    <cfRule type="containsText" dxfId="188" priority="21" operator="containsText" text="OK">
      <formula>NOT(ISERROR(SEARCH("OK",I18)))</formula>
    </cfRule>
    <cfRule type="containsText" dxfId="187" priority="22" operator="containsText" text="ERROR">
      <formula>NOT(ISERROR(SEARCH("ERROR",I18)))</formula>
    </cfRule>
    <cfRule type="expression" dxfId="186" priority="23">
      <formula>"ERROR"</formula>
    </cfRule>
    <cfRule type="colorScale" priority="24">
      <colorScale>
        <cfvo type="min"/>
        <cfvo type="max"/>
        <color rgb="FFFF0000"/>
        <color rgb="FFFFEF9C"/>
      </colorScale>
    </cfRule>
  </conditionalFormatting>
  <conditionalFormatting sqref="I17">
    <cfRule type="containsText" dxfId="185" priority="17" operator="containsText" text="OK">
      <formula>NOT(ISERROR(SEARCH("OK",I17)))</formula>
    </cfRule>
    <cfRule type="containsText" dxfId="184" priority="18" operator="containsText" text="ERROR">
      <formula>NOT(ISERROR(SEARCH("ERROR",I17)))</formula>
    </cfRule>
    <cfRule type="expression" dxfId="183" priority="19">
      <formula>"ERROR"</formula>
    </cfRule>
    <cfRule type="colorScale" priority="20">
      <colorScale>
        <cfvo type="min"/>
        <cfvo type="max"/>
        <color rgb="FFFF0000"/>
        <color rgb="FFFFEF9C"/>
      </colorScale>
    </cfRule>
  </conditionalFormatting>
  <conditionalFormatting sqref="D21">
    <cfRule type="cellIs" dxfId="182" priority="16" operator="lessThan">
      <formula>0</formula>
    </cfRule>
  </conditionalFormatting>
  <conditionalFormatting sqref="O53:Q55">
    <cfRule type="cellIs" dxfId="181" priority="15" operator="lessThan">
      <formula>0</formula>
    </cfRule>
  </conditionalFormatting>
  <conditionalFormatting sqref="O21">
    <cfRule type="cellIs" dxfId="180" priority="14" operator="lessThan">
      <formula>0</formula>
    </cfRule>
  </conditionalFormatting>
  <conditionalFormatting sqref="F16">
    <cfRule type="cellIs" dxfId="179" priority="12" operator="lessThan">
      <formula>0</formula>
    </cfRule>
  </conditionalFormatting>
  <conditionalFormatting sqref="F17:F20">
    <cfRule type="cellIs" dxfId="178" priority="11" operator="lessThan">
      <formula>0</formula>
    </cfRule>
  </conditionalFormatting>
  <conditionalFormatting sqref="E21">
    <cfRule type="cellIs" dxfId="177" priority="10" operator="lessThan">
      <formula>0</formula>
    </cfRule>
  </conditionalFormatting>
  <conditionalFormatting sqref="F21">
    <cfRule type="cellIs" dxfId="176" priority="9" operator="lessThan">
      <formula>0</formula>
    </cfRule>
  </conditionalFormatting>
  <conditionalFormatting sqref="E45">
    <cfRule type="containsText" dxfId="175" priority="5" operator="containsText" text="OK">
      <formula>NOT(ISERROR(SEARCH("OK",E45)))</formula>
    </cfRule>
    <cfRule type="containsText" dxfId="174" priority="6" operator="containsText" text="ERROR">
      <formula>NOT(ISERROR(SEARCH("ERROR",E45)))</formula>
    </cfRule>
    <cfRule type="expression" dxfId="173" priority="7">
      <formula>"ERROR"</formula>
    </cfRule>
    <cfRule type="colorScale" priority="8">
      <colorScale>
        <cfvo type="min"/>
        <cfvo type="max"/>
        <color rgb="FFFF0000"/>
        <color rgb="FFFFEF9C"/>
      </colorScale>
    </cfRule>
  </conditionalFormatting>
  <conditionalFormatting sqref="E48">
    <cfRule type="containsText" dxfId="172" priority="1" operator="containsText" text="OK">
      <formula>NOT(ISERROR(SEARCH("OK",E48)))</formula>
    </cfRule>
    <cfRule type="containsText" dxfId="171" priority="2" operator="containsText" text="ERROR">
      <formula>NOT(ISERROR(SEARCH("ERROR",E48)))</formula>
    </cfRule>
    <cfRule type="expression" dxfId="170" priority="3">
      <formula>"ERROR"</formula>
    </cfRule>
    <cfRule type="colorScale" priority="4">
      <colorScale>
        <cfvo type="min"/>
        <cfvo type="max"/>
        <color rgb="FFFF0000"/>
        <color rgb="FFFFEF9C"/>
      </colorScale>
    </cfRule>
  </conditionalFormatting>
  <pageMargins left="0.7" right="0.7" top="0.75" bottom="0.75" header="0.3" footer="0.3"/>
  <pageSetup scale="10" orientation="portrait" r:id="rId1"/>
  <customProperties>
    <customPr name="CofConfiguration" r:id="rId2"/>
    <customPr name="CofWorksheetType" r:id="rId3"/>
    <customPr name="EpmWorksheetKeyString_GUID" r:id="rId4"/>
    <customPr name="FPMExcelClientCellBasedFunctionStatus" r:id="rId5"/>
    <customPr name="FPMExcelClientRefreshTime" r:id="rId6"/>
  </customProperties>
  <drawing r:id="rId7"/>
  <legacyDrawing r:id="rId8"/>
  <controls>
    <mc:AlternateContent xmlns:mc="http://schemas.openxmlformats.org/markup-compatibility/2006">
      <mc:Choice Requires="x14">
        <control shapeId="258049" r:id="rId9" name="FPMExcelClientSheetOptionstb1">
          <controlPr defaultSize="0" autoLine="0" r:id="rId10">
            <anchor moveWithCells="1" sizeWithCells="1">
              <from>
                <xdr:col>0</xdr:col>
                <xdr:colOff>0</xdr:colOff>
                <xdr:row>0</xdr:row>
                <xdr:rowOff>0</xdr:rowOff>
              </from>
              <to>
                <xdr:col>0</xdr:col>
                <xdr:colOff>0</xdr:colOff>
                <xdr:row>0</xdr:row>
                <xdr:rowOff>0</xdr:rowOff>
              </to>
            </anchor>
          </controlPr>
        </control>
      </mc:Choice>
      <mc:Fallback>
        <control shapeId="258049" r:id="rId9" name="FPMExcelClientSheetOptionstb1"/>
      </mc:Fallback>
    </mc:AlternateContent>
    <mc:AlternateContent xmlns:mc="http://schemas.openxmlformats.org/markup-compatibility/2006">
      <mc:Choice Requires="x14">
        <control shapeId="258050" r:id="rId11" name="ConnectionDescriptorsInfotb1">
          <controlPr defaultSize="0" autoLine="0" r:id="rId12">
            <anchor moveWithCells="1" sizeWithCells="1">
              <from>
                <xdr:col>0</xdr:col>
                <xdr:colOff>0</xdr:colOff>
                <xdr:row>0</xdr:row>
                <xdr:rowOff>0</xdr:rowOff>
              </from>
              <to>
                <xdr:col>0</xdr:col>
                <xdr:colOff>0</xdr:colOff>
                <xdr:row>0</xdr:row>
                <xdr:rowOff>0</xdr:rowOff>
              </to>
            </anchor>
          </controlPr>
        </control>
      </mc:Choice>
      <mc:Fallback>
        <control shapeId="258050" r:id="rId11" name="ConnectionDescriptorsInfotb1"/>
      </mc:Fallback>
    </mc:AlternateContent>
    <mc:AlternateContent xmlns:mc="http://schemas.openxmlformats.org/markup-compatibility/2006">
      <mc:Choice Requires="x14">
        <control shapeId="258051" r:id="rId13" name="MultipleReportManagerInfotb1">
          <controlPr defaultSize="0" autoLine="0" r:id="rId14">
            <anchor moveWithCells="1" sizeWithCells="1">
              <from>
                <xdr:col>0</xdr:col>
                <xdr:colOff>0</xdr:colOff>
                <xdr:row>0</xdr:row>
                <xdr:rowOff>0</xdr:rowOff>
              </from>
              <to>
                <xdr:col>0</xdr:col>
                <xdr:colOff>0</xdr:colOff>
                <xdr:row>0</xdr:row>
                <xdr:rowOff>0</xdr:rowOff>
              </to>
            </anchor>
          </controlPr>
        </control>
      </mc:Choice>
      <mc:Fallback>
        <control shapeId="258051" r:id="rId13" name="MultipleReportManagerInfotb1"/>
      </mc:Fallback>
    </mc:AlternateContent>
    <mc:AlternateContent xmlns:mc="http://schemas.openxmlformats.org/markup-compatibility/2006">
      <mc:Choice Requires="x14">
        <control shapeId="258052" r:id="rId15" name="AnalyzerDynReport000tb1">
          <controlPr defaultSize="0" autoLine="0" r:id="rId16">
            <anchor moveWithCells="1" sizeWithCells="1">
              <from>
                <xdr:col>0</xdr:col>
                <xdr:colOff>0</xdr:colOff>
                <xdr:row>0</xdr:row>
                <xdr:rowOff>0</xdr:rowOff>
              </from>
              <to>
                <xdr:col>0</xdr:col>
                <xdr:colOff>0</xdr:colOff>
                <xdr:row>0</xdr:row>
                <xdr:rowOff>0</xdr:rowOff>
              </to>
            </anchor>
          </controlPr>
        </control>
      </mc:Choice>
      <mc:Fallback>
        <control shapeId="258052" r:id="rId15" name="AnalyzerDynReport000tb1"/>
      </mc:Fallback>
    </mc:AlternateContent>
    <mc:AlternateContent xmlns:mc="http://schemas.openxmlformats.org/markup-compatibility/2006">
      <mc:Choice Requires="x14">
        <control shapeId="258053" r:id="rId17" name="ReportSubmitManagerControltb1">
          <controlPr defaultSize="0" autoLine="0" r:id="rId18">
            <anchor moveWithCells="1" sizeWithCells="1">
              <from>
                <xdr:col>0</xdr:col>
                <xdr:colOff>0</xdr:colOff>
                <xdr:row>0</xdr:row>
                <xdr:rowOff>0</xdr:rowOff>
              </from>
              <to>
                <xdr:col>0</xdr:col>
                <xdr:colOff>0</xdr:colOff>
                <xdr:row>0</xdr:row>
                <xdr:rowOff>0</xdr:rowOff>
              </to>
            </anchor>
          </controlPr>
        </control>
      </mc:Choice>
      <mc:Fallback>
        <control shapeId="258053" r:id="rId17" name="ReportSubmitManagerControltb1"/>
      </mc:Fallback>
    </mc:AlternateContent>
    <mc:AlternateContent xmlns:mc="http://schemas.openxmlformats.org/markup-compatibility/2006">
      <mc:Choice Requires="x14">
        <control shapeId="258054" r:id="rId19" name="ReportSubmitControl_1tb1">
          <controlPr defaultSize="0" autoLine="0" r:id="rId20">
            <anchor moveWithCells="1" sizeWithCells="1">
              <from>
                <xdr:col>0</xdr:col>
                <xdr:colOff>0</xdr:colOff>
                <xdr:row>0</xdr:row>
                <xdr:rowOff>0</xdr:rowOff>
              </from>
              <to>
                <xdr:col>0</xdr:col>
                <xdr:colOff>0</xdr:colOff>
                <xdr:row>0</xdr:row>
                <xdr:rowOff>0</xdr:rowOff>
              </to>
            </anchor>
          </controlPr>
        </control>
      </mc:Choice>
      <mc:Fallback>
        <control shapeId="258054" r:id="rId19" name="ReportSubmitControl_1tb1"/>
      </mc:Fallback>
    </mc:AlternateContent>
    <mc:AlternateContent xmlns:mc="http://schemas.openxmlformats.org/markup-compatibility/2006">
      <mc:Choice Requires="x14">
        <control shapeId="258069" r:id="rId21" name="Button 21">
          <controlPr defaultSize="0" print="0" autoFill="0" autoPict="0" macro="[0]!CONSULTAR_INFORMACION">
            <anchor moveWithCells="1" sizeWithCells="1">
              <from>
                <xdr:col>3</xdr:col>
                <xdr:colOff>352425</xdr:colOff>
                <xdr:row>2</xdr:row>
                <xdr:rowOff>0</xdr:rowOff>
              </from>
              <to>
                <xdr:col>4</xdr:col>
                <xdr:colOff>1333500</xdr:colOff>
                <xdr:row>3</xdr:row>
                <xdr:rowOff>38100</xdr:rowOff>
              </to>
            </anchor>
          </controlPr>
        </control>
      </mc:Choice>
    </mc:AlternateContent>
    <mc:AlternateContent xmlns:mc="http://schemas.openxmlformats.org/markup-compatibility/2006">
      <mc:Choice Requires="x14">
        <control shapeId="258074" r:id="rId22" name="Button 26">
          <controlPr defaultSize="0" print="0" autoFill="0" autoPict="0" macro="[0]!GUARDAR_INFORMACION">
            <anchor moveWithCells="1" sizeWithCells="1">
              <from>
                <xdr:col>5</xdr:col>
                <xdr:colOff>476250</xdr:colOff>
                <xdr:row>0</xdr:row>
                <xdr:rowOff>142875</xdr:rowOff>
              </from>
              <to>
                <xdr:col>6</xdr:col>
                <xdr:colOff>1428750</xdr:colOff>
                <xdr:row>0</xdr:row>
                <xdr:rowOff>342900</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error="Por favor, elegir una fecha correcta. ">
          <x14:formula1>
            <xm:f>Resultados!$BG$6:$BG$37</xm:f>
          </x14:formula1>
          <xm:sqref>C4:C5</xm:sqref>
        </x14:dataValidation>
        <x14:dataValidation type="list" allowBlank="1" showInputMessage="1" showErrorMessage="1" error="Por favor, Elegir una Entidad valida">
          <x14:formula1>
            <xm:f>Resultados!$BA$6:$BA$77</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7"/>
  <dimension ref="A1:AS205"/>
  <sheetViews>
    <sheetView showGridLines="0" topLeftCell="B14" zoomScaleNormal="100" workbookViewId="0">
      <selection activeCell="C26" sqref="C26"/>
    </sheetView>
  </sheetViews>
  <sheetFormatPr baseColWidth="10" defaultColWidth="11.42578125" defaultRowHeight="15"/>
  <cols>
    <col min="1" max="1" width="12" style="99" hidden="1" customWidth="1"/>
    <col min="2" max="2" width="17.85546875" style="20" customWidth="1"/>
    <col min="3" max="3" width="100.7109375" style="20" customWidth="1"/>
    <col min="4" max="8" width="20.7109375" style="20" customWidth="1"/>
    <col min="9" max="11" width="20.7109375" style="20" hidden="1" customWidth="1"/>
    <col min="12" max="15" width="20.7109375" style="20" customWidth="1"/>
    <col min="16" max="18" width="40.7109375" style="20" customWidth="1"/>
    <col min="19" max="19" width="7.140625" style="20" customWidth="1"/>
    <col min="20" max="20" width="14.85546875" style="365" hidden="1" customWidth="1"/>
    <col min="21" max="21" width="18.7109375" style="365" hidden="1" customWidth="1"/>
    <col min="22" max="22" width="60.85546875" style="365" hidden="1" customWidth="1"/>
    <col min="23" max="23" width="64.5703125" style="365" hidden="1" customWidth="1"/>
    <col min="24" max="25" width="17.7109375" style="365" hidden="1" customWidth="1"/>
    <col min="26" max="26" width="5.28515625" style="365" customWidth="1"/>
    <col min="27" max="27" width="18.7109375" style="365" customWidth="1"/>
    <col min="28" max="28" width="18.7109375" style="108" customWidth="1"/>
    <col min="29" max="31" width="18.7109375" style="20" customWidth="1"/>
    <col min="32" max="32" width="18.7109375" style="20" hidden="1" customWidth="1"/>
    <col min="33" max="35" width="18.7109375" style="20" customWidth="1"/>
    <col min="36" max="36" width="2.7109375" style="20" customWidth="1"/>
    <col min="37" max="37" width="7.42578125" style="20" bestFit="1" customWidth="1"/>
    <col min="38" max="38" width="18.7109375" style="20" customWidth="1"/>
    <col min="39" max="39" width="7" style="20" bestFit="1" customWidth="1"/>
    <col min="40" max="40" width="19.42578125" style="20" bestFit="1" customWidth="1"/>
    <col min="41" max="64" width="18.7109375" style="20" customWidth="1"/>
    <col min="65" max="16384" width="11.42578125" style="20"/>
  </cols>
  <sheetData>
    <row r="1" spans="1:40" s="207" customFormat="1" ht="101.25" customHeight="1">
      <c r="A1" s="208" t="s">
        <v>25</v>
      </c>
      <c r="B1" s="209" t="s">
        <v>656</v>
      </c>
      <c r="C1" s="190"/>
      <c r="D1" s="190"/>
      <c r="E1" s="190"/>
      <c r="F1" s="190"/>
      <c r="G1" s="190"/>
      <c r="H1" s="190"/>
      <c r="I1" s="190"/>
      <c r="J1" s="190"/>
      <c r="K1" s="190"/>
      <c r="L1" s="190"/>
      <c r="M1" s="190"/>
      <c r="N1" s="190"/>
      <c r="O1" s="190"/>
      <c r="P1" s="190"/>
      <c r="Q1" s="190"/>
      <c r="R1" s="190"/>
      <c r="S1" s="190"/>
      <c r="T1" s="363"/>
      <c r="U1" s="363"/>
      <c r="V1" s="363"/>
      <c r="W1" s="363"/>
      <c r="X1" s="363"/>
      <c r="Y1" s="363"/>
      <c r="Z1" s="363"/>
      <c r="AA1" s="363"/>
      <c r="AB1" s="190"/>
      <c r="AC1" s="190"/>
      <c r="AD1" s="190"/>
      <c r="AE1" s="190"/>
      <c r="AF1" s="190"/>
      <c r="AG1" s="190"/>
      <c r="AH1" s="190"/>
      <c r="AI1" s="190"/>
      <c r="AJ1" s="190"/>
      <c r="AK1" s="190"/>
      <c r="AL1" s="190"/>
      <c r="AM1" s="190"/>
      <c r="AN1" s="190"/>
    </row>
    <row r="2" spans="1:40">
      <c r="A2" s="99" t="str">
        <f>IF(A18&gt;0,"Error","ok")</f>
        <v>Error</v>
      </c>
      <c r="B2" s="5"/>
      <c r="C2" s="5"/>
      <c r="D2" s="29"/>
      <c r="E2" s="29"/>
      <c r="F2" s="29"/>
      <c r="G2" s="29"/>
      <c r="H2" s="29"/>
      <c r="I2" s="29"/>
      <c r="J2" s="29"/>
      <c r="K2" s="29"/>
      <c r="L2" s="29"/>
      <c r="M2" s="29"/>
      <c r="N2" s="29"/>
      <c r="O2" s="29"/>
      <c r="P2" s="29"/>
      <c r="Q2" s="29"/>
      <c r="R2" s="29"/>
      <c r="S2" s="29"/>
      <c r="T2" s="364"/>
      <c r="U2" s="364"/>
      <c r="V2" s="364"/>
      <c r="W2" s="364"/>
      <c r="X2" s="364"/>
      <c r="Y2" s="364"/>
      <c r="Z2" s="364"/>
      <c r="AA2" s="364"/>
      <c r="AB2" s="29"/>
      <c r="AC2" s="29"/>
      <c r="AD2" s="29"/>
      <c r="AE2" s="29"/>
      <c r="AF2" s="29"/>
      <c r="AG2" s="29"/>
      <c r="AH2" s="29"/>
      <c r="AJ2" s="100"/>
    </row>
    <row r="3" spans="1:40">
      <c r="A3" s="21">
        <f>IF(A2="ok",1,0)</f>
        <v>0</v>
      </c>
      <c r="B3" s="226" t="str">
        <f>tblParam[[#This Row],[FILTROS]]</f>
        <v>ENTIDAD</v>
      </c>
      <c r="C3" s="229"/>
      <c r="D3" s="29"/>
      <c r="E3" s="29"/>
      <c r="F3" s="29"/>
      <c r="G3" s="29"/>
      <c r="H3" s="29"/>
      <c r="I3" s="29"/>
      <c r="J3" s="29"/>
      <c r="K3" s="29"/>
      <c r="L3" s="29"/>
      <c r="M3" s="29"/>
      <c r="N3" s="29"/>
      <c r="O3" s="29"/>
      <c r="P3" s="29"/>
      <c r="Q3" s="29"/>
      <c r="R3" s="29"/>
      <c r="S3" s="29"/>
      <c r="T3" s="364"/>
      <c r="U3" s="364"/>
      <c r="V3" s="364"/>
      <c r="W3" s="364"/>
      <c r="X3" s="364"/>
      <c r="Y3" s="364"/>
      <c r="Z3" s="364"/>
      <c r="AA3" s="364"/>
      <c r="AB3" s="29"/>
      <c r="AC3" s="29"/>
      <c r="AD3" s="29"/>
      <c r="AE3" s="29"/>
      <c r="AF3" s="29"/>
      <c r="AG3" s="29"/>
      <c r="AH3" s="29"/>
      <c r="AJ3" s="100"/>
    </row>
    <row r="4" spans="1:40">
      <c r="A4" s="21" t="str">
        <f>MID(Resultados!K5,1,4)</f>
        <v/>
      </c>
      <c r="B4" s="226" t="str">
        <f>tblParam[[#This Row],[FILTROS]]</f>
        <v>PERIODO1</v>
      </c>
      <c r="C4" s="229"/>
      <c r="AB4" s="20"/>
      <c r="AJ4" s="100"/>
    </row>
    <row r="5" spans="1:40">
      <c r="A5" s="21" t="str">
        <f>MID(Resultados!K4,1,4)</f>
        <v/>
      </c>
      <c r="B5" s="226" t="str">
        <f>tblParam[[#This Row],[FILTROS]]</f>
        <v>PERIODO2</v>
      </c>
      <c r="C5" s="229"/>
      <c r="AB5" s="20"/>
      <c r="AJ5" s="100"/>
    </row>
    <row r="6" spans="1:40" hidden="1">
      <c r="A6" s="21"/>
      <c r="B6" s="226" t="str">
        <f>tblParam[[#This Row],[FILTROS]]</f>
        <v>VERSION</v>
      </c>
      <c r="C6" s="227">
        <f>tblParam[[#This Row],[VALOR]]</f>
        <v>0</v>
      </c>
      <c r="D6" s="133"/>
      <c r="E6" s="186" t="e">
        <f ca="1">_xll.EPMMemberProperty("ANEXO_NOTAS_XBRL", C3, "CURRENCY")</f>
        <v>#NAME?</v>
      </c>
      <c r="AB6" s="20"/>
    </row>
    <row r="7" spans="1:40" hidden="1">
      <c r="A7" s="21"/>
      <c r="B7" s="226" t="str">
        <f>tblParam[[#This Row],[FILTROS]]</f>
        <v>GRUPO</v>
      </c>
      <c r="C7" s="229" t="str">
        <f>Resultados!$C$13</f>
        <v>GRUPO EMPRESARIAL INVERNAC</v>
      </c>
      <c r="AB7" s="20"/>
    </row>
    <row r="8" spans="1:40">
      <c r="A8" s="21"/>
      <c r="B8" s="226" t="e">
        <f>CONCATENATE("TRM A LA FECHA DE REPORTE: ",IF(INDEX(ENTIDADES[#All],MATCH($C$3,ENTIDADES[[#All],[Concatenacion]],0),3)&lt;&gt;"COP",INDEX(BPC_TASAS[#All],MATCH(INDEX(ENTIDADES[#All],MATCH($C$3,ENTIDADES[[#All],[Concatenacion]],0),3)&amp;"_"&amp;Resultados!$K$4,BPC_TASAS[[#All],[Concatenacion]],0),3),INDEX(BPC_TASAS[#All],MATCH("USD"&amp;"_"&amp;Resultados!$K$4,BPC_TASAS[[#All],[Concatenacion]],0),3)))</f>
        <v>#N/A</v>
      </c>
      <c r="C8" s="229"/>
      <c r="AB8" s="20"/>
    </row>
    <row r="9" spans="1:40">
      <c r="A9" s="21"/>
      <c r="B9" s="226" t="e">
        <f>CONCATENATE("MONEDA DE PRESENTACION: ",INDEX(ENTIDADES[#All],MATCH($C$3,ENTIDADES[[#All],[Concatenacion]],0),2),IF(INDEX(ENTIDADES[#All],MATCH($C$3,ENTIDADES[[#All],[Concatenacion]],0),3) = "COP"," (Sin decimales)"," (Con decimales)"))</f>
        <v>#N/A</v>
      </c>
      <c r="C9" s="229"/>
      <c r="AB9" s="20"/>
    </row>
    <row r="10" spans="1:40">
      <c r="A10" s="248"/>
      <c r="B10" s="249" t="str">
        <f>"La definición de partes relacionadas según la NIC 24 es muy amplia y puede llegar a ser subjetiva, por lo tanto es necesario delimitar para el "  &amp;Resultados!C13 &amp; " que personas vamos a considerar como partes relacionadas. En principio hemos definido delimitar las partes relacionadas a:"</f>
        <v>La definición de partes relacionadas según la NIC 24 es muy amplia y puede llegar a ser subjetiva, por lo tanto es necesario delimitar para el GRUPO EMPRESARIAL INVERNAC que personas vamos a considerar como partes relacionadas. En principio hemos definido delimitar las partes relacionadas a:</v>
      </c>
      <c r="C10" s="249"/>
      <c r="D10" s="249"/>
      <c r="E10" s="249"/>
      <c r="F10" s="249"/>
      <c r="G10" s="249"/>
      <c r="H10" s="249"/>
      <c r="I10" s="249"/>
      <c r="J10" s="249"/>
      <c r="K10" s="249"/>
      <c r="L10" s="249"/>
      <c r="M10" s="249"/>
      <c r="N10" s="249"/>
      <c r="O10" s="250"/>
      <c r="AB10" s="20"/>
    </row>
    <row r="11" spans="1:40">
      <c r="A11" s="251"/>
      <c r="B11" s="269" t="s">
        <v>176</v>
      </c>
      <c r="C11" s="269"/>
      <c r="D11" s="269"/>
      <c r="E11" s="269"/>
      <c r="F11" s="269"/>
      <c r="G11" s="269"/>
      <c r="H11" s="269"/>
      <c r="I11" s="269"/>
      <c r="J11" s="269"/>
      <c r="K11" s="269"/>
      <c r="L11" s="269"/>
      <c r="M11" s="269"/>
      <c r="N11" s="269"/>
      <c r="O11" s="252"/>
      <c r="AB11" s="20"/>
    </row>
    <row r="12" spans="1:40">
      <c r="A12" s="251"/>
      <c r="B12" s="269" t="str">
        <f>"En el evento de que alguna de las compañías que conforman el " &amp;Resultados!C13 &amp;", considere que tiene operaciones importantes con una parte relacionada que deban ser reveladas y que no las estemos considerando, nos informa oportunamente, analizamos conjuntamente las razones para incluirla y si aplica la adicionamos."</f>
        <v>En el evento de que alguna de las compañías que conforman el GRUPO EMPRESARIAL INVERNAC, considere que tiene operaciones importantes con una parte relacionada que deban ser reveladas y que no las estemos considerando, nos informa oportunamente, analizamos conjuntamente las razones para incluirla y si aplica la adicionamos.</v>
      </c>
      <c r="C12" s="269"/>
      <c r="D12" s="269"/>
      <c r="E12" s="269"/>
      <c r="F12" s="269"/>
      <c r="G12" s="269"/>
      <c r="H12" s="269"/>
      <c r="I12" s="269"/>
      <c r="J12" s="269"/>
      <c r="K12" s="269"/>
      <c r="L12" s="269"/>
      <c r="M12" s="269"/>
      <c r="N12" s="269"/>
      <c r="O12" s="252"/>
      <c r="AB12" s="20"/>
    </row>
    <row r="13" spans="1:40">
      <c r="A13" s="251"/>
      <c r="B13" s="304" t="s">
        <v>650</v>
      </c>
      <c r="C13" s="269"/>
      <c r="D13" s="269"/>
      <c r="E13" s="269"/>
      <c r="F13" s="269"/>
      <c r="G13" s="269"/>
      <c r="H13" s="269"/>
      <c r="I13" s="269"/>
      <c r="J13" s="269"/>
      <c r="K13" s="269"/>
      <c r="L13" s="269"/>
      <c r="M13" s="269"/>
      <c r="N13" s="269"/>
      <c r="O13" s="252"/>
      <c r="AB13" s="20"/>
    </row>
    <row r="14" spans="1:40">
      <c r="A14" s="253"/>
      <c r="B14" s="269" t="s">
        <v>177</v>
      </c>
      <c r="C14" s="269"/>
      <c r="D14" s="269"/>
      <c r="E14" s="269"/>
      <c r="F14" s="269"/>
      <c r="G14" s="269"/>
      <c r="H14" s="269"/>
      <c r="I14" s="269"/>
      <c r="J14" s="269"/>
      <c r="K14" s="269"/>
      <c r="L14" s="269"/>
      <c r="M14" s="269"/>
      <c r="N14" s="269"/>
      <c r="O14" s="252"/>
      <c r="AB14" s="20"/>
    </row>
    <row r="15" spans="1:40">
      <c r="A15" s="254"/>
      <c r="B15" s="255" t="s">
        <v>178</v>
      </c>
      <c r="C15" s="255"/>
      <c r="D15" s="255"/>
      <c r="E15" s="255"/>
      <c r="F15" s="255"/>
      <c r="G15" s="255"/>
      <c r="H15" s="255"/>
      <c r="I15" s="255"/>
      <c r="J15" s="255"/>
      <c r="K15" s="255"/>
      <c r="L15" s="255"/>
      <c r="M15" s="255"/>
      <c r="N15" s="255"/>
      <c r="O15" s="256"/>
      <c r="AB15" s="20"/>
    </row>
    <row r="16" spans="1:40" ht="15.75" thickBot="1">
      <c r="C16" s="22" t="s">
        <v>19149</v>
      </c>
      <c r="E16" s="108" t="s">
        <v>179</v>
      </c>
      <c r="F16" s="108" t="s">
        <v>180</v>
      </c>
      <c r="G16" s="108" t="s">
        <v>181</v>
      </c>
      <c r="H16" s="108" t="s">
        <v>977</v>
      </c>
      <c r="I16" s="108"/>
      <c r="J16" s="108"/>
      <c r="K16" s="108" t="e">
        <f ca="1">_xll.EPMDimensionOverride("001","TIEMPO",$A$4)</f>
        <v>#NAME?</v>
      </c>
      <c r="L16" s="108" t="s">
        <v>179</v>
      </c>
      <c r="M16" s="108" t="s">
        <v>180</v>
      </c>
      <c r="N16" s="108" t="s">
        <v>181</v>
      </c>
      <c r="O16" s="108" t="s">
        <v>977</v>
      </c>
      <c r="P16" s="108" t="s">
        <v>179</v>
      </c>
      <c r="Q16" s="108" t="s">
        <v>180</v>
      </c>
      <c r="R16" s="108" t="s">
        <v>181</v>
      </c>
      <c r="AB16" s="20"/>
    </row>
    <row r="17" spans="1:45" ht="15.75" thickBot="1">
      <c r="A17" s="99" t="s">
        <v>626</v>
      </c>
      <c r="E17" s="770" t="str">
        <f>A5</f>
        <v/>
      </c>
      <c r="F17" s="775"/>
      <c r="G17" s="775"/>
      <c r="H17" s="767"/>
      <c r="L17" s="770" t="str">
        <f>A4</f>
        <v/>
      </c>
      <c r="M17" s="775"/>
      <c r="N17" s="775"/>
      <c r="O17" s="767"/>
      <c r="P17" s="117"/>
      <c r="T17" s="840" t="s">
        <v>182</v>
      </c>
      <c r="U17" s="840"/>
      <c r="V17" s="840"/>
      <c r="W17" s="840"/>
      <c r="X17" s="840"/>
      <c r="Y17" s="840"/>
      <c r="Z17" s="840"/>
      <c r="AA17" s="545"/>
      <c r="AB17" s="20"/>
    </row>
    <row r="18" spans="1:45">
      <c r="A18" s="621">
        <f>SUM(A19:A109)+SUM(AB19:AB1048576)</f>
        <v>2</v>
      </c>
      <c r="C18" s="498" t="s">
        <v>14749</v>
      </c>
      <c r="D18" s="498" t="s">
        <v>14750</v>
      </c>
      <c r="E18" s="498" t="str">
        <f>INDEX(BPC_COLUMNA_NOTA[[#All],[CD_COLUMNA]:[DESCRIPCION_LARGA]],MATCH(E$16,BPC_COLUMNA_NOTA[[#All],[CD_COLUMNA]],0),2)</f>
        <v>Cuentas por cobrar</v>
      </c>
      <c r="F18" s="498" t="str">
        <f>INDEX(BPC_COLUMNA_NOTA[[#All],[CD_COLUMNA]:[DESCRIPCION_LARGA]],MATCH(F$16,BPC_COLUMNA_NOTA[[#All],[CD_COLUMNA]],0),2)</f>
        <v>cuentas por pagar</v>
      </c>
      <c r="G18" s="498" t="str">
        <f>INDEX(BPC_COLUMNA_NOTA[[#All],[CD_COLUMNA]:[DESCRIPCION_LARGA]],MATCH(G$16,BPC_COLUMNA_NOTA[[#All],[CD_COLUMNA]],0),2)</f>
        <v>Ingresos</v>
      </c>
      <c r="H18" s="498" t="str">
        <f>INDEX(BPC_COLUMNA_NOTA[[#All],[CD_COLUMNA]:[DESCRIPCION_LARGA]],MATCH(H$16,BPC_COLUMNA_NOTA[[#All],[CD_COLUMNA]],0),2)</f>
        <v>Gastos</v>
      </c>
      <c r="L18" s="498" t="str">
        <f>INDEX(BPC_COLUMNA_NOTA[[#All],[CD_COLUMNA]:[DESCRIPCION_LARGA]],MATCH(L$16,BPC_COLUMNA_NOTA[[#All],[CD_COLUMNA]],0),2)</f>
        <v>Cuentas por cobrar</v>
      </c>
      <c r="M18" s="498" t="str">
        <f>INDEX(BPC_COLUMNA_NOTA[[#All],[CD_COLUMNA]:[DESCRIPCION_LARGA]],MATCH(M$16,BPC_COLUMNA_NOTA[[#All],[CD_COLUMNA]],0),2)</f>
        <v>cuentas por pagar</v>
      </c>
      <c r="N18" s="498" t="str">
        <f>INDEX(BPC_COLUMNA_NOTA[[#All],[CD_COLUMNA]:[DESCRIPCION_LARGA]],MATCH(N$16,BPC_COLUMNA_NOTA[[#All],[CD_COLUMNA]],0),2)</f>
        <v>Ingresos</v>
      </c>
      <c r="O18" s="498" t="str">
        <f>INDEX(BPC_COLUMNA_NOTA[[#All],[CD_COLUMNA]:[DESCRIPCION_LARGA]],MATCH(O$16,BPC_COLUMNA_NOTA[[#All],[CD_COLUMNA]],0),2)</f>
        <v>Gastos</v>
      </c>
      <c r="P18" s="498" t="s">
        <v>14751</v>
      </c>
      <c r="Q18" s="498" t="s">
        <v>14752</v>
      </c>
      <c r="R18" s="498" t="s">
        <v>31</v>
      </c>
      <c r="S18" s="280"/>
      <c r="T18" s="545"/>
      <c r="U18" s="545"/>
      <c r="V18" s="545"/>
      <c r="W18" s="545"/>
      <c r="X18" s="545"/>
      <c r="Y18" s="545"/>
      <c r="Z18" s="545"/>
      <c r="AA18" s="545"/>
      <c r="AB18" s="20"/>
    </row>
    <row r="19" spans="1:45">
      <c r="A19" s="99">
        <f t="shared" ref="A19:A50" si="0">IF(Z19="Error",1,0)</f>
        <v>0</v>
      </c>
      <c r="B19" s="612" t="str">
        <f>IFERROR(INDEX(ORGANIZACION[#All],MATCH($C19,ORGANIZACION[[#All],[ENTIDAD]],0),2),"")</f>
        <v/>
      </c>
      <c r="C19" s="622"/>
      <c r="D19" s="424" t="str">
        <f>IFERROR(INDEX(ORGANIZACION[#All],MATCH($C19,ORGANIZACION[[#All],[ENTIDAD]],0),3),"")</f>
        <v/>
      </c>
      <c r="E19" s="221"/>
      <c r="F19" s="221"/>
      <c r="G19" s="221"/>
      <c r="H19" s="221"/>
      <c r="I19" s="292"/>
      <c r="J19" s="402" t="e">
        <f ca="1" xml:space="preserve"> _xll.EPMOlapMemberO("[TIEMPO].[PARENTH1].[2018.12]","","2018 DIC","","001")</f>
        <v>#NAME?</v>
      </c>
      <c r="K19" s="402" t="e">
        <f ca="1" xml:space="preserve"> _xll.EPMOlapMemberO("[FILA_NOTA].[PARENTH1].[11601002]","","11601002","","001")</f>
        <v>#NAME?</v>
      </c>
      <c r="L19" s="427" t="str">
        <f>IFERROR(INDEX(BPC_NOTAS2[#All],MATCH($B19&amp;"_"&amp;L$16,BPC_NOTAS2[[#All],[FILA_COLUMNA]],0),2),"")</f>
        <v/>
      </c>
      <c r="M19" s="427" t="str">
        <f>IFERROR(INDEX(BPC_NOTAS2[#All],MATCH($B19&amp;"_"&amp;M$16,BPC_NOTAS2[[#All],[FILA_COLUMNA]],0),2),"")</f>
        <v/>
      </c>
      <c r="N19" s="427" t="str">
        <f>IFERROR(INDEX(BPC_NOTAS2[#All],MATCH($B19&amp;"_"&amp;N$16,BPC_NOTAS2[[#All],[FILA_COLUMNA]],0),2),"")</f>
        <v/>
      </c>
      <c r="O19" s="427" t="str">
        <f>IFERROR(INDEX(BPC_NOTAS2[#All],MATCH($B19&amp;"_"&amp;O$16,BPC_NOTAS2[[#All],[FILA_COLUMNA]],0),2),"")</f>
        <v/>
      </c>
      <c r="P19" s="222"/>
      <c r="Q19" s="222"/>
      <c r="R19" s="222"/>
      <c r="S19"/>
      <c r="T19" s="545" t="s">
        <v>10383</v>
      </c>
      <c r="U19" s="545" t="s">
        <v>19097</v>
      </c>
      <c r="V19" s="545" t="s">
        <v>9547</v>
      </c>
      <c r="W19" s="545">
        <v>11602001</v>
      </c>
      <c r="X19" s="545"/>
      <c r="Y19" s="545"/>
      <c r="Z19" s="19" t="str">
        <f t="shared" ref="Z19:Z22" si="1">IF(P19="",IF(OR(E19&lt;&gt;0,F19&lt;&gt;0,G19&lt;&gt;0,H19&lt;&gt;0,Q19&lt;&gt;"",R19&lt;&gt;""),"Error","Ok"),IF(OR(AND(OR(E19&lt;&gt;0,F19&lt;&gt;0,G19&lt;&gt;0,H19&lt;&gt;0),OR(Q19="",R19="")),AND(OR(E19&lt;&gt;0,F19&lt;&gt;0,G19&lt;&gt;0,H19&lt;&gt;0),OR(Q19="N/A"))),"Error","Ok"))</f>
        <v>Ok</v>
      </c>
      <c r="AA19" s="19" t="str">
        <f>+IF(C19="","OK",IF(OR(C19=$C$54,C19=$C$53,C19=$C$52,C19=$C$51,C19=$C$50,C19=$C$49,C19=$C$48,C19=$C$47,C19=$C$46,C19=$C$45,C19=$C$44,C19=$C$43,C19=$C$42,C19=$C$41,C19=$C$40,C19=$C$39,C19=$C$38,C19=$C$37,C19=$C$36,C19=$C$35,C19=$C$34,C19=$C$33,C19=$C$32,C19=$C$31,C19=$C$30,C19=$C$29,C19=$C$28,C19=$C$27,C19=$C$26,C19=$C$25,C19=$C$24,C19=$C$23,C19=$C$22,C19=$C$21,C19=$C$20),"Error","Ok"))</f>
        <v>OK</v>
      </c>
      <c r="AB19" s="597">
        <f>+IF(AA19="Ok",0,1)</f>
        <v>0</v>
      </c>
      <c r="AC19" s="446"/>
      <c r="AD19" s="446"/>
      <c r="AE19" s="1"/>
      <c r="AF19" s="619" t="s">
        <v>14820</v>
      </c>
    </row>
    <row r="20" spans="1:45">
      <c r="A20" s="99">
        <f t="shared" si="0"/>
        <v>0</v>
      </c>
      <c r="B20" s="612" t="str">
        <f>IFERROR(INDEX(ORGANIZACION[#All],MATCH($C20,ORGANIZACION[[#All],[ENTIDAD]],0),2),"")</f>
        <v/>
      </c>
      <c r="C20" s="622"/>
      <c r="D20" s="424" t="str">
        <f>IFERROR(INDEX(ORGANIZACION[#All],MATCH($C20,ORGANIZACION[[#All],[ENTIDAD]],0),3),"")</f>
        <v/>
      </c>
      <c r="E20" s="221"/>
      <c r="F20" s="221"/>
      <c r="G20" s="221"/>
      <c r="H20" s="221"/>
      <c r="I20" s="292"/>
      <c r="J20" s="402"/>
      <c r="K20" s="402" t="e">
        <f ca="1" xml:space="preserve"> _xll.EPMOlapMemberO("[FILA_NOTA].[PARENTH1].[11601003]","","11601003","","001")</f>
        <v>#NAME?</v>
      </c>
      <c r="L20" s="427" t="str">
        <f>IFERROR(INDEX(BPC_NOTAS2[#All],MATCH($B20&amp;"_"&amp;L$16,BPC_NOTAS2[[#All],[FILA_COLUMNA]],0),2),"")</f>
        <v/>
      </c>
      <c r="M20" s="427" t="str">
        <f>IFERROR(INDEX(BPC_NOTAS2[#All],MATCH($B20&amp;"_"&amp;M$16,BPC_NOTAS2[[#All],[FILA_COLUMNA]],0),2),"")</f>
        <v/>
      </c>
      <c r="N20" s="427" t="str">
        <f>IFERROR(INDEX(BPC_NOTAS2[#All],MATCH($B20&amp;"_"&amp;N$16,BPC_NOTAS2[[#All],[FILA_COLUMNA]],0),2),"")</f>
        <v/>
      </c>
      <c r="O20" s="427" t="str">
        <f>IFERROR(INDEX(BPC_NOTAS2[#All],MATCH($B20&amp;"_"&amp;O$16,BPC_NOTAS2[[#All],[FILA_COLUMNA]],0),2),"")</f>
        <v/>
      </c>
      <c r="P20" s="222"/>
      <c r="Q20" s="222"/>
      <c r="R20" s="222"/>
      <c r="S20"/>
      <c r="T20" s="545" t="s">
        <v>10383</v>
      </c>
      <c r="U20" s="545" t="s">
        <v>14302</v>
      </c>
      <c r="V20" s="545" t="s">
        <v>9549</v>
      </c>
      <c r="W20" s="545">
        <v>11602002</v>
      </c>
      <c r="X20" s="545"/>
      <c r="Y20" s="545"/>
      <c r="Z20" s="19" t="str">
        <f t="shared" si="1"/>
        <v>Ok</v>
      </c>
      <c r="AA20" s="19" t="str">
        <f>+IF(C20="","OK",IF(OR(C20=$C$54,C20=$C$53,C20=$C$52,C20=$C$51,C20=$C$50,C20=$C$49,C20=$C$48,C20=$C$47,C20=$C$46,C20=$C$45,C20=$C$44,C20=$C$43,C20=$C$42,C20=$C$41,C20=$C$40,C20=$C$39,C20=$C$38,C20=$C$37,C20=$C$36,C20=$C$35,C20=$C$34,C20=$C$33,C20=$C$32,C20=$C$31,C20=$C$30,C20=$C$29,C20=$C$28,C20=$C$27,C20=$C$26,C20=$C$25,C20=$C$24,C20=$C$23,C20=$C$22,C20=$C$21,C20=$C$19),"Error","Ok"))</f>
        <v>OK</v>
      </c>
      <c r="AB20" s="597">
        <f t="shared" ref="AB20:AB83" si="2">+IF(AA20="Ok",0,1)</f>
        <v>0</v>
      </c>
      <c r="AC20" s="446"/>
      <c r="AD20" s="446"/>
      <c r="AE20" s="1"/>
      <c r="AF20" s="620" t="s">
        <v>14821</v>
      </c>
    </row>
    <row r="21" spans="1:45">
      <c r="A21" s="99">
        <f t="shared" si="0"/>
        <v>0</v>
      </c>
      <c r="B21" s="612" t="str">
        <f>IFERROR(INDEX(ORGANIZACION[#All],MATCH($C21,ORGANIZACION[[#All],[ENTIDAD]],0),2),"")</f>
        <v/>
      </c>
      <c r="C21" s="622"/>
      <c r="D21" s="424" t="str">
        <f>IFERROR(INDEX(ORGANIZACION[#All],MATCH($C21,ORGANIZACION[[#All],[ENTIDAD]],0),3),"")</f>
        <v/>
      </c>
      <c r="E21" s="221"/>
      <c r="F21" s="221"/>
      <c r="G21" s="221"/>
      <c r="H21" s="221"/>
      <c r="I21" s="292"/>
      <c r="J21" s="402"/>
      <c r="K21" s="402" t="e">
        <f ca="1" xml:space="preserve"> _xll.EPMOlapMemberO("[FILA_NOTA].[PARENTH1].[11601004]","","11601004","","001")</f>
        <v>#NAME?</v>
      </c>
      <c r="L21" s="427" t="str">
        <f>IFERROR(INDEX(BPC_NOTAS2[#All],MATCH($B21&amp;"_"&amp;L$16,BPC_NOTAS2[[#All],[FILA_COLUMNA]],0),2),"")</f>
        <v/>
      </c>
      <c r="M21" s="427" t="str">
        <f>IFERROR(INDEX(BPC_NOTAS2[#All],MATCH($B21&amp;"_"&amp;M$16,BPC_NOTAS2[[#All],[FILA_COLUMNA]],0),2),"")</f>
        <v/>
      </c>
      <c r="N21" s="427" t="str">
        <f>IFERROR(INDEX(BPC_NOTAS2[#All],MATCH($B21&amp;"_"&amp;N$16,BPC_NOTAS2[[#All],[FILA_COLUMNA]],0),2),"")</f>
        <v/>
      </c>
      <c r="O21" s="427" t="str">
        <f>IFERROR(INDEX(BPC_NOTAS2[#All],MATCH($B21&amp;"_"&amp;O$16,BPC_NOTAS2[[#All],[FILA_COLUMNA]],0),2),"")</f>
        <v/>
      </c>
      <c r="P21" s="222"/>
      <c r="Q21" s="222"/>
      <c r="R21" s="222"/>
      <c r="T21" s="545" t="s">
        <v>19100</v>
      </c>
      <c r="U21" s="545" t="s">
        <v>19099</v>
      </c>
      <c r="V21" s="545" t="s">
        <v>9551</v>
      </c>
      <c r="W21" s="545">
        <v>11602003</v>
      </c>
      <c r="X21" s="545"/>
      <c r="Y21" s="545"/>
      <c r="Z21" s="19" t="str">
        <f t="shared" si="1"/>
        <v>Ok</v>
      </c>
      <c r="AA21" s="19" t="str">
        <f>+IF(C21="","OK",IF(OR(C21=$C$54,C21=$C$53,C21=$C$52,C21=$C$51,C21=$C$50,C21=$C$49,C21=$C$48,C21=$C$47,C21=$C$46,C21=$C$45,C21=$C$44,C21=$C$43,C21=$C$42,C21=$C$41,C21=$C$40,C21=$C$39,C21=$C$38,C21=$C$37,C21=$C$36,C21=$C$35,C21=$C$34,C21=$C$33,C21=$C$32,C21=$C$31,C21=$C$30,C21=$C$29,C21=$C$28,C21=$C$27,C21=$C$26,C21=$C$25,C21=$C$24,C21=$C$23,C21=$C$22,C21=$C$20,C21=$C$19),"Error","Ok"))</f>
        <v>OK</v>
      </c>
      <c r="AB21" s="597">
        <f t="shared" si="2"/>
        <v>0</v>
      </c>
      <c r="AC21" s="446"/>
      <c r="AD21" s="446"/>
      <c r="AE21" s="1"/>
      <c r="AF21" s="619" t="s">
        <v>14822</v>
      </c>
    </row>
    <row r="22" spans="1:45">
      <c r="A22" s="99">
        <f t="shared" si="0"/>
        <v>0</v>
      </c>
      <c r="B22" s="612" t="str">
        <f>IFERROR(INDEX(ORGANIZACION[#All],MATCH($C22,ORGANIZACION[[#All],[ENTIDAD]],0),2),"")</f>
        <v/>
      </c>
      <c r="C22" s="622"/>
      <c r="D22" s="424" t="str">
        <f>IFERROR(INDEX(ORGANIZACION[#All],MATCH($C22,ORGANIZACION[[#All],[ENTIDAD]],0),3),"")</f>
        <v/>
      </c>
      <c r="E22" s="221"/>
      <c r="F22" s="221"/>
      <c r="G22" s="221"/>
      <c r="H22" s="221"/>
      <c r="I22" s="292"/>
      <c r="J22" s="402"/>
      <c r="K22" s="402" t="e">
        <f ca="1" xml:space="preserve"> _xll.EPMOlapMemberO("[FILA_NOTA].[PARENTH1].[11601005]","","11601005","","001")</f>
        <v>#NAME?</v>
      </c>
      <c r="L22" s="427" t="str">
        <f>IFERROR(INDEX(BPC_NOTAS2[#All],MATCH($B22&amp;"_"&amp;L$16,BPC_NOTAS2[[#All],[FILA_COLUMNA]],0),2),"")</f>
        <v/>
      </c>
      <c r="M22" s="427" t="str">
        <f>IFERROR(INDEX(BPC_NOTAS2[#All],MATCH($B22&amp;"_"&amp;M$16,BPC_NOTAS2[[#All],[FILA_COLUMNA]],0),2),"")</f>
        <v/>
      </c>
      <c r="N22" s="427" t="str">
        <f>IFERROR(INDEX(BPC_NOTAS2[#All],MATCH($B22&amp;"_"&amp;N$16,BPC_NOTAS2[[#All],[FILA_COLUMNA]],0),2),"")</f>
        <v/>
      </c>
      <c r="O22" s="427" t="str">
        <f>IFERROR(INDEX(BPC_NOTAS2[#All],MATCH($B22&amp;"_"&amp;O$16,BPC_NOTAS2[[#All],[FILA_COLUMNA]],0),2),"")</f>
        <v/>
      </c>
      <c r="P22" s="222"/>
      <c r="Q22" s="222"/>
      <c r="R22" s="222"/>
      <c r="T22" s="545" t="s">
        <v>19100</v>
      </c>
      <c r="U22" s="545" t="s">
        <v>19102</v>
      </c>
      <c r="V22" s="545" t="s">
        <v>9553</v>
      </c>
      <c r="W22" s="545">
        <v>11602004</v>
      </c>
      <c r="X22" s="545"/>
      <c r="Y22" s="545"/>
      <c r="Z22" s="19" t="str">
        <f t="shared" si="1"/>
        <v>Ok</v>
      </c>
      <c r="AA22" s="19" t="str">
        <f>+IF(C22="","OK",IF(OR(C22=$C$54,C22=$C$53,C22=$C$52,C22=$C$51,C22=$C$50,C22=$C$49,C22=$C$48,C22=$C$47,C22=$C$46,C22=$C$45,C22=$C$44,C22=$C$43,C22=$C$42,C22=$C$41,C22=$C$40,C22=$C$39,C22=$C$38,C22=$C$37,C22=$C$36,C22=$C$35,C22=$C$34,C22=$C$33,C22=$C$32,C22=$C$31,C22=$C$30,C22=$C$29,C22=$C$28,C22=$C$27,C22=$C$26,C22=$C$25,C22=$C$24,C22=$C$23,C22=$C$21,C22=$C$20,C22=$C$19),"Error","Ok"))</f>
        <v>OK</v>
      </c>
      <c r="AB22" s="597">
        <f t="shared" si="2"/>
        <v>0</v>
      </c>
      <c r="AC22" s="446"/>
      <c r="AD22" s="446"/>
      <c r="AE22" s="1"/>
      <c r="AF22" s="620" t="s">
        <v>14823</v>
      </c>
    </row>
    <row r="23" spans="1:45">
      <c r="A23" s="99">
        <f t="shared" si="0"/>
        <v>0</v>
      </c>
      <c r="B23" s="612" t="str">
        <f>IFERROR(INDEX(ORGANIZACION[#All],MATCH($C23,ORGANIZACION[[#All],[ENTIDAD]],0),2),"")</f>
        <v/>
      </c>
      <c r="C23" s="622"/>
      <c r="D23" s="424" t="str">
        <f>IFERROR(INDEX(ORGANIZACION[#All],MATCH($C23,ORGANIZACION[[#All],[ENTIDAD]],0),3),"")</f>
        <v/>
      </c>
      <c r="E23" s="221"/>
      <c r="F23" s="221"/>
      <c r="G23" s="221"/>
      <c r="H23" s="221"/>
      <c r="I23" s="292"/>
      <c r="J23" s="402"/>
      <c r="K23" s="402" t="e">
        <f ca="1" xml:space="preserve"> _xll.EPMOlapMemberO("[FILA_NOTA].[PARENTH1].[11601006]","","11601006","","001")</f>
        <v>#NAME?</v>
      </c>
      <c r="L23" s="427" t="str">
        <f>IFERROR(INDEX(BPC_NOTAS2[#All],MATCH($B23&amp;"_"&amp;L$16,BPC_NOTAS2[[#All],[FILA_COLUMNA]],0),2),"")</f>
        <v/>
      </c>
      <c r="M23" s="427" t="str">
        <f>IFERROR(INDEX(BPC_NOTAS2[#All],MATCH($B23&amp;"_"&amp;M$16,BPC_NOTAS2[[#All],[FILA_COLUMNA]],0),2),"")</f>
        <v/>
      </c>
      <c r="N23" s="427" t="str">
        <f>IFERROR(INDEX(BPC_NOTAS2[#All],MATCH($B23&amp;"_"&amp;N$16,BPC_NOTAS2[[#All],[FILA_COLUMNA]],0),2),"")</f>
        <v/>
      </c>
      <c r="O23" s="427" t="str">
        <f>IFERROR(INDEX(BPC_NOTAS2[#All],MATCH($B23&amp;"_"&amp;O$16,BPC_NOTAS2[[#All],[FILA_COLUMNA]],0),2),"")</f>
        <v/>
      </c>
      <c r="P23" s="222"/>
      <c r="Q23" s="222"/>
      <c r="R23" s="222"/>
      <c r="T23" s="545" t="s">
        <v>10383</v>
      </c>
      <c r="U23" s="545" t="s">
        <v>14305</v>
      </c>
      <c r="V23" s="545" t="s">
        <v>9554</v>
      </c>
      <c r="W23" s="545">
        <v>11602005</v>
      </c>
      <c r="X23" s="545"/>
      <c r="Y23" s="545"/>
      <c r="Z23" s="19" t="str">
        <f>IF(P23="",IF(OR(E23&lt;&gt;0,F23&lt;&gt;0,G23&lt;&gt;0,H23&lt;&gt;0,Q23&lt;&gt;"",R23&lt;&gt;""),"Error","Ok"),IF(OR(AND(OR(E23&lt;&gt;0,F23&lt;&gt;0,G23&lt;&gt;0,H23&lt;&gt;0),OR(Q23="",R23="")),AND(OR(E23&lt;&gt;0,F23&lt;&gt;0,G23&lt;&gt;0,H23&lt;&gt;0),OR(Q23="N/A"))),"Error","Ok"))</f>
        <v>Ok</v>
      </c>
      <c r="AA23" s="19" t="str">
        <f>+IF(C23="","OK",IF(OR(C23=$C$54,C23=$C$53,C23=$C$52,C23=$C$51,C23=$C$50,C23=$C$49,C23=$C$48,C23=$C$47,C23=$C$46,C23=$C$45,C23=$C$44,C23=$C$43,C23=$C$42,C23=$C$41,C23=$C$40,C23=$C$39,C23=$C$38,C23=$C$37,C23=$C$36,C23=$C$35,C23=$C$34,C23=$C$33,C23=$C$32,C23=$C$31,C23=$C$30,C23=$C$29,C23=$C$28,C23=$C$27,C23=$C$26,C23=$C$25,C23=$C$24,C23=$C$22,C23=$C$21,C23=$C$20,C23=$C$19),"Error","Ok"))</f>
        <v>OK</v>
      </c>
      <c r="AB23" s="597">
        <f t="shared" si="2"/>
        <v>0</v>
      </c>
      <c r="AC23" s="446"/>
      <c r="AD23" s="446"/>
      <c r="AE23" s="1"/>
      <c r="AF23" s="619" t="s">
        <v>14824</v>
      </c>
    </row>
    <row r="24" spans="1:45">
      <c r="A24" s="99">
        <f t="shared" si="0"/>
        <v>0</v>
      </c>
      <c r="B24" s="612" t="str">
        <f>IFERROR(INDEX(ORGANIZACION[#All],MATCH($C24,ORGANIZACION[[#All],[ENTIDAD]],0),2),"")</f>
        <v/>
      </c>
      <c r="C24" s="622"/>
      <c r="D24" s="424" t="str">
        <f>IFERROR(INDEX(ORGANIZACION[#All],MATCH($C24,ORGANIZACION[[#All],[ENTIDAD]],0),3),"")</f>
        <v/>
      </c>
      <c r="E24" s="221"/>
      <c r="F24" s="221"/>
      <c r="G24" s="221"/>
      <c r="H24" s="221"/>
      <c r="I24" s="292"/>
      <c r="J24" s="402"/>
      <c r="K24" s="402" t="e">
        <f ca="1" xml:space="preserve"> _xll.EPMOlapMemberO("[FILA_NOTA].[PARENTH1].[11601007]","","11601007","","001")</f>
        <v>#NAME?</v>
      </c>
      <c r="L24" s="427" t="str">
        <f>IFERROR(INDEX(BPC_NOTAS2[#All],MATCH($B24&amp;"_"&amp;L$16,BPC_NOTAS2[[#All],[FILA_COLUMNA]],0),2),"")</f>
        <v/>
      </c>
      <c r="M24" s="427" t="str">
        <f>IFERROR(INDEX(BPC_NOTAS2[#All],MATCH($B24&amp;"_"&amp;M$16,BPC_NOTAS2[[#All],[FILA_COLUMNA]],0),2),"")</f>
        <v/>
      </c>
      <c r="N24" s="427" t="str">
        <f>IFERROR(INDEX(BPC_NOTAS2[#All],MATCH($B24&amp;"_"&amp;N$16,BPC_NOTAS2[[#All],[FILA_COLUMNA]],0),2),"")</f>
        <v/>
      </c>
      <c r="O24" s="427" t="str">
        <f>IFERROR(INDEX(BPC_NOTAS2[#All],MATCH($B24&amp;"_"&amp;O$16,BPC_NOTAS2[[#All],[FILA_COLUMNA]],0),2),"")</f>
        <v/>
      </c>
      <c r="P24" s="222"/>
      <c r="Q24" s="222"/>
      <c r="R24" s="222"/>
      <c r="T24" s="545" t="s">
        <v>19100</v>
      </c>
      <c r="U24" s="545" t="s">
        <v>19101</v>
      </c>
      <c r="V24" s="545" t="s">
        <v>9556</v>
      </c>
      <c r="W24" s="545">
        <v>11602006</v>
      </c>
      <c r="X24" s="545"/>
      <c r="Y24" s="545"/>
      <c r="Z24" s="19" t="str">
        <f t="shared" ref="Z24:Z87" si="3">IF(P24="",IF(OR(E24&lt;&gt;0,F24&lt;&gt;0,G24&lt;&gt;0,H24&lt;&gt;0,Q24&lt;&gt;"",R24&lt;&gt;""),"Error","Ok"),IF(OR(AND(OR(E24&lt;&gt;0,F24&lt;&gt;0,G24&lt;&gt;0,H24&lt;&gt;0),OR(Q24="",R24="")),AND(OR(E24&lt;&gt;0,F24&lt;&gt;0,G24&lt;&gt;0,H24&lt;&gt;0),OR(Q24="N/A"))),"Error","Ok"))</f>
        <v>Ok</v>
      </c>
      <c r="AA24" s="19" t="str">
        <f>+IF(C24="","OK",IF(OR(C24=$C$54,C24=$C$53,C24=$C$52,C24=$C$51,C24=$C$50,C24=$C$49,C24=$C$48,C24=$C$47,C24=$C$46,C24=$C$45,C24=$C$44,C24=$C$43,C24=$C$42,C24=$C$41,C24=$C$40,C24=$C$39,C24=$C$38,C24=$C$37,C24=$C$36,C24=$C$35,C24=$C$34,C24=$C$33,C24=$C$32,C24=$C$31,C24=$C$30,C24=$C$29,C24=$C$28,C24=$C$27,C24=$C$26,C24=$C$25,C24=$C$23,C24=$C$22,C24=$C$21,C24=$C$20,C24=$C$19),"Error","Ok"))</f>
        <v>OK</v>
      </c>
      <c r="AB24" s="597">
        <f t="shared" si="2"/>
        <v>0</v>
      </c>
      <c r="AC24" s="446"/>
      <c r="AD24" s="446"/>
      <c r="AE24" s="1"/>
      <c r="AF24" s="620" t="s">
        <v>14825</v>
      </c>
    </row>
    <row r="25" spans="1:45">
      <c r="A25" s="99">
        <f t="shared" si="0"/>
        <v>0</v>
      </c>
      <c r="B25" s="612" t="str">
        <f>IFERROR(INDEX(ORGANIZACION[#All],MATCH($C25,ORGANIZACION[[#All],[ENTIDAD]],0),2),"")</f>
        <v/>
      </c>
      <c r="C25" s="622"/>
      <c r="D25" s="424" t="str">
        <f>IFERROR(INDEX(ORGANIZACION[#All],MATCH($C25,ORGANIZACION[[#All],[ENTIDAD]],0),3),"")</f>
        <v/>
      </c>
      <c r="E25" s="221"/>
      <c r="F25" s="221"/>
      <c r="G25" s="221"/>
      <c r="H25" s="221"/>
      <c r="I25" s="292"/>
      <c r="J25" s="402"/>
      <c r="K25" s="402" t="e">
        <f ca="1" xml:space="preserve"> _xll.EPMOlapMemberO("[FILA_NOTA].[PARENTH1].[11601008]","","11601008","","001")</f>
        <v>#NAME?</v>
      </c>
      <c r="L25" s="427" t="str">
        <f>IFERROR(INDEX(BPC_NOTAS2[#All],MATCH($B25&amp;"_"&amp;L$16,BPC_NOTAS2[[#All],[FILA_COLUMNA]],0),2),"")</f>
        <v/>
      </c>
      <c r="M25" s="427" t="str">
        <f>IFERROR(INDEX(BPC_NOTAS2[#All],MATCH($B25&amp;"_"&amp;M$16,BPC_NOTAS2[[#All],[FILA_COLUMNA]],0),2),"")</f>
        <v/>
      </c>
      <c r="N25" s="427" t="str">
        <f>IFERROR(INDEX(BPC_NOTAS2[#All],MATCH($B25&amp;"_"&amp;N$16,BPC_NOTAS2[[#All],[FILA_COLUMNA]],0),2),"")</f>
        <v/>
      </c>
      <c r="O25" s="427" t="str">
        <f>IFERROR(INDEX(BPC_NOTAS2[#All],MATCH($B25&amp;"_"&amp;O$16,BPC_NOTAS2[[#All],[FILA_COLUMNA]],0),2),"")</f>
        <v/>
      </c>
      <c r="P25" s="222"/>
      <c r="Q25" s="222"/>
      <c r="R25" s="222"/>
      <c r="T25" s="545" t="s">
        <v>10383</v>
      </c>
      <c r="U25" s="545" t="s">
        <v>14307</v>
      </c>
      <c r="V25" s="545" t="s">
        <v>9557</v>
      </c>
      <c r="W25" s="545">
        <v>11602007</v>
      </c>
      <c r="X25" s="545"/>
      <c r="Y25" s="545"/>
      <c r="Z25" s="19" t="str">
        <f t="shared" si="3"/>
        <v>Ok</v>
      </c>
      <c r="AA25" s="19" t="str">
        <f>+IF(C25="","OK",IF(OR(C25=$C$54,C25=$C$53,C25=$C$52,C25=$C$51,C25=$C$50,C25=$C$49,C25=$C$48,C25=$C$47,C25=$C$46,C25=$C$45,C25=$C$44,C25=$C$43,C25=$C$42,C25=$C$41,C25=$C$40,C25=$C$39,C25=$C$38,C25=$C$37,C25=$C$36,C25=$C$35,C25=$C$34,C25=$C$33,C25=$C$32,C25=$C$31,C25=$C$30,C25=$C$29,C25=$C$28,C25=$C$27,C25=$C$26,C25=$C$24,C25=$C$23,C25=$C$22,C25=$C$21,C25=$C$20,C25=$C$19),"Error","Ok"))</f>
        <v>OK</v>
      </c>
      <c r="AB25" s="597">
        <f t="shared" si="2"/>
        <v>0</v>
      </c>
      <c r="AC25" s="446"/>
      <c r="AD25" s="446"/>
      <c r="AE25" s="1"/>
      <c r="AF25" s="619" t="s">
        <v>14826</v>
      </c>
    </row>
    <row r="26" spans="1:45">
      <c r="A26" s="99">
        <f t="shared" si="0"/>
        <v>0</v>
      </c>
      <c r="B26" s="612" t="str">
        <f>IFERROR(INDEX(ORGANIZACION[#All],MATCH($C26,ORGANIZACION[[#All],[ENTIDAD]],0),2),"")</f>
        <v/>
      </c>
      <c r="C26" s="622"/>
      <c r="D26" s="424" t="str">
        <f>IFERROR(INDEX(ORGANIZACION[#All],MATCH($C26,ORGANIZACION[[#All],[ENTIDAD]],0),3),"")</f>
        <v/>
      </c>
      <c r="E26" s="221"/>
      <c r="F26" s="221"/>
      <c r="G26" s="221"/>
      <c r="H26" s="221"/>
      <c r="I26" s="292"/>
      <c r="J26" s="402"/>
      <c r="K26" s="402" t="e">
        <f ca="1" xml:space="preserve"> _xll.EPMOlapMemberO("[FILA_NOTA].[PARENTH1].[11601009]","","11601009","","001")</f>
        <v>#NAME?</v>
      </c>
      <c r="L26" s="427" t="str">
        <f>IFERROR(INDEX(BPC_NOTAS2[#All],MATCH($B26&amp;"_"&amp;L$16,BPC_NOTAS2[[#All],[FILA_COLUMNA]],0),2),"")</f>
        <v/>
      </c>
      <c r="M26" s="427" t="str">
        <f>IFERROR(INDEX(BPC_NOTAS2[#All],MATCH($B26&amp;"_"&amp;M$16,BPC_NOTAS2[[#All],[FILA_COLUMNA]],0),2),"")</f>
        <v/>
      </c>
      <c r="N26" s="427" t="str">
        <f>IFERROR(INDEX(BPC_NOTAS2[#All],MATCH($B26&amp;"_"&amp;N$16,BPC_NOTAS2[[#All],[FILA_COLUMNA]],0),2),"")</f>
        <v/>
      </c>
      <c r="O26" s="427" t="str">
        <f>IFERROR(INDEX(BPC_NOTAS2[#All],MATCH($B26&amp;"_"&amp;O$16,BPC_NOTAS2[[#All],[FILA_COLUMNA]],0),2),"")</f>
        <v/>
      </c>
      <c r="P26" s="222"/>
      <c r="Q26" s="222"/>
      <c r="R26" s="222"/>
      <c r="T26" s="545" t="s">
        <v>10383</v>
      </c>
      <c r="U26" s="545" t="s">
        <v>14309</v>
      </c>
      <c r="V26" s="545" t="s">
        <v>9558</v>
      </c>
      <c r="W26" s="545">
        <v>11602008</v>
      </c>
      <c r="X26" s="545"/>
      <c r="Y26" s="545"/>
      <c r="Z26" s="19" t="str">
        <f t="shared" si="3"/>
        <v>Ok</v>
      </c>
      <c r="AA26" s="19" t="str">
        <f>+IF(C26="","OK",IF(OR(C26=$C$54,C26=$C$53,C26=$C$52,C26=$C$51,C26=$C$50,C26=$C$49,C26=$C$48,C26=$C$47,C26=$C$46,C26=$C$45,C26=$C$44,C26=$C$43,C26=$C$42,C26=$C$41,C26=$C$40,C26=$C$39,C26=$C$38,C26=$C$37,C26=$C$36,C26=$C$35,C26=$C$34,C26=$C$33,C26=$C$32,C26=$C$31,C26=$C$30,C26=$C$29,C26=$C$28,C26=$C$27,C26=$C$25,C26=$C$24,C26=$C$23,C26=$C$22,C26=$C$21,C26=$C$20,C26=$C$19),"Error","Ok"))</f>
        <v>OK</v>
      </c>
      <c r="AB26" s="597">
        <f t="shared" si="2"/>
        <v>0</v>
      </c>
      <c r="AC26" s="446"/>
      <c r="AD26" s="446"/>
      <c r="AE26" s="1"/>
      <c r="AF26" s="620" t="s">
        <v>14827</v>
      </c>
    </row>
    <row r="27" spans="1:45">
      <c r="A27" s="99">
        <f t="shared" si="0"/>
        <v>0</v>
      </c>
      <c r="B27" s="612" t="str">
        <f>IFERROR(INDEX(ORGANIZACION[#All],MATCH($C27,ORGANIZACION[[#All],[ENTIDAD]],0),2),"")</f>
        <v/>
      </c>
      <c r="C27" s="622"/>
      <c r="D27" s="424" t="str">
        <f>IFERROR(INDEX(ORGANIZACION[#All],MATCH($C27,ORGANIZACION[[#All],[ENTIDAD]],0),3),"")</f>
        <v/>
      </c>
      <c r="E27" s="221"/>
      <c r="F27" s="221"/>
      <c r="G27" s="221"/>
      <c r="H27" s="221"/>
      <c r="I27" s="292"/>
      <c r="J27" s="402"/>
      <c r="K27" s="402" t="e">
        <f ca="1" xml:space="preserve"> _xll.EPMOlapMemberO("[FILA_NOTA].[PARENTH1].[11601010]","","11601010","","001")</f>
        <v>#NAME?</v>
      </c>
      <c r="L27" s="427" t="str">
        <f>IFERROR(INDEX(BPC_NOTAS2[#All],MATCH($B27&amp;"_"&amp;L$16,BPC_NOTAS2[[#All],[FILA_COLUMNA]],0),2),"")</f>
        <v/>
      </c>
      <c r="M27" s="427" t="str">
        <f>IFERROR(INDEX(BPC_NOTAS2[#All],MATCH($B27&amp;"_"&amp;M$16,BPC_NOTAS2[[#All],[FILA_COLUMNA]],0),2),"")</f>
        <v/>
      </c>
      <c r="N27" s="427" t="str">
        <f>IFERROR(INDEX(BPC_NOTAS2[#All],MATCH($B27&amp;"_"&amp;N$16,BPC_NOTAS2[[#All],[FILA_COLUMNA]],0),2),"")</f>
        <v/>
      </c>
      <c r="O27" s="427" t="str">
        <f>IFERROR(INDEX(BPC_NOTAS2[#All],MATCH($B27&amp;"_"&amp;O$16,BPC_NOTAS2[[#All],[FILA_COLUMNA]],0),2),"")</f>
        <v/>
      </c>
      <c r="P27" s="222"/>
      <c r="Q27" s="222"/>
      <c r="R27" s="222"/>
      <c r="T27" s="545" t="s">
        <v>10383</v>
      </c>
      <c r="U27" s="545" t="s">
        <v>14308</v>
      </c>
      <c r="V27" s="545" t="s">
        <v>9559</v>
      </c>
      <c r="W27" s="545">
        <v>11602009</v>
      </c>
      <c r="X27" s="545"/>
      <c r="Y27" s="545"/>
      <c r="Z27" s="19" t="str">
        <f t="shared" si="3"/>
        <v>Ok</v>
      </c>
      <c r="AA27" s="19" t="str">
        <f>+IF(C27="","OK",IF(OR(C27=$C$54,C27=$C$53,C27=$C$52,C27=$C$51,C27=$C$50,C27=$C$49,C27=$C$48,C27=$C$47,C27=$C$46,C27=$C$45,C27=$C$44,C27=$C$43,C27=$C$42,C27=$C$41,C27=$C$40,C27=$C$39,C27=$C$38,C27=$C$37,C27=$C$36,C27=$C$35,C27=$C$34,C27=$C$33,C27=$C$32,C27=$C$31,C27=$C$30,C27=$C$29,C27=$C$28,C27=$C$26,C27=$C$25,C27=$C$24,C27=$C$23,C27=$C$22,C27=$C$21,C27=$C$20,C27=$C$19),"Error","Ok"))</f>
        <v>OK</v>
      </c>
      <c r="AB27" s="597">
        <f t="shared" si="2"/>
        <v>0</v>
      </c>
      <c r="AC27" s="446"/>
      <c r="AD27" s="446"/>
      <c r="AE27" s="1"/>
      <c r="AF27" s="619" t="s">
        <v>14828</v>
      </c>
      <c r="AS27" s="116"/>
    </row>
    <row r="28" spans="1:45">
      <c r="A28" s="99">
        <f t="shared" si="0"/>
        <v>0</v>
      </c>
      <c r="B28" s="612" t="str">
        <f>IFERROR(INDEX(ORGANIZACION[#All],MATCH($C28,ORGANIZACION[[#All],[ENTIDAD]],0),2),"")</f>
        <v/>
      </c>
      <c r="C28" s="622"/>
      <c r="D28" s="424" t="str">
        <f>IFERROR(INDEX(ORGANIZACION[#All],MATCH($C28,ORGANIZACION[[#All],[ENTIDAD]],0),3),"")</f>
        <v/>
      </c>
      <c r="E28" s="221"/>
      <c r="F28" s="221"/>
      <c r="G28" s="221"/>
      <c r="H28" s="221"/>
      <c r="I28" s="292"/>
      <c r="J28" s="402"/>
      <c r="K28" s="402" t="e">
        <f ca="1" xml:space="preserve"> _xll.EPMOlapMemberO("[FILA_NOTA].[PARENTH1].[11601011]","","11601011","","001")</f>
        <v>#NAME?</v>
      </c>
      <c r="L28" s="427" t="str">
        <f>IFERROR(INDEX(BPC_NOTAS2[#All],MATCH($B28&amp;"_"&amp;L$16,BPC_NOTAS2[[#All],[FILA_COLUMNA]],0),2),"")</f>
        <v/>
      </c>
      <c r="M28" s="427" t="str">
        <f>IFERROR(INDEX(BPC_NOTAS2[#All],MATCH($B28&amp;"_"&amp;M$16,BPC_NOTAS2[[#All],[FILA_COLUMNA]],0),2),"")</f>
        <v/>
      </c>
      <c r="N28" s="427" t="str">
        <f>IFERROR(INDEX(BPC_NOTAS2[#All],MATCH($B28&amp;"_"&amp;N$16,BPC_NOTAS2[[#All],[FILA_COLUMNA]],0),2),"")</f>
        <v/>
      </c>
      <c r="O28" s="427" t="str">
        <f>IFERROR(INDEX(BPC_NOTAS2[#All],MATCH($B28&amp;"_"&amp;O$16,BPC_NOTAS2[[#All],[FILA_COLUMNA]],0),2),"")</f>
        <v/>
      </c>
      <c r="P28" s="222"/>
      <c r="Q28" s="222"/>
      <c r="R28" s="222"/>
      <c r="T28" s="545" t="s">
        <v>68</v>
      </c>
      <c r="U28" s="545" t="s">
        <v>9560</v>
      </c>
      <c r="V28" s="545" t="s">
        <v>9560</v>
      </c>
      <c r="W28" s="545">
        <v>11602010</v>
      </c>
      <c r="X28" s="545"/>
      <c r="Y28" s="545"/>
      <c r="Z28" s="19" t="str">
        <f t="shared" si="3"/>
        <v>Ok</v>
      </c>
      <c r="AA28" s="19" t="str">
        <f>+IF(C28="","OK",IF(OR(C28=$C$54,C28=$C$53,C28=$C$52,C28=$C$51,C28=$C$50,C28=$C$49,C28=$C$48,C28=$C$47,C28=$C$46,C28=$C$45,C28=$C$44,C28=$C$43,C28=$C$42,C28=$C$41,C28=$C$40,C28=$C$39,C28=$C$38,C28=$C$37,C28=$C$36,C28=$C$35,C28=$C$34,C28=$C$33,C28=$C$32,C28=$C$31,C28=$C$30,C28=$C$29,C28=$C$27,C28=$C$26,C28=$C$25,C28=$C$24,C28=$C$23,C28=$C$22,C28=$C$21,C28=$C$20,C28=$C$19),"Error","Ok"))</f>
        <v>OK</v>
      </c>
      <c r="AB28" s="597">
        <f t="shared" si="2"/>
        <v>0</v>
      </c>
      <c r="AC28" s="446"/>
      <c r="AD28" s="446"/>
      <c r="AE28" s="1"/>
      <c r="AF28" s="620" t="s">
        <v>14829</v>
      </c>
    </row>
    <row r="29" spans="1:45">
      <c r="A29" s="99">
        <f t="shared" si="0"/>
        <v>0</v>
      </c>
      <c r="B29" s="612" t="str">
        <f>IFERROR(INDEX(ORGANIZACION[#All],MATCH($C29,ORGANIZACION[[#All],[ENTIDAD]],0),2),"")</f>
        <v/>
      </c>
      <c r="C29" s="622"/>
      <c r="D29" s="424" t="str">
        <f>IFERROR(INDEX(ORGANIZACION[#All],MATCH($C29,ORGANIZACION[[#All],[ENTIDAD]],0),3),"")</f>
        <v/>
      </c>
      <c r="E29" s="221"/>
      <c r="F29" s="221"/>
      <c r="G29" s="221"/>
      <c r="H29" s="221"/>
      <c r="I29" s="292"/>
      <c r="J29" s="402"/>
      <c r="K29" s="402" t="e">
        <f ca="1" xml:space="preserve"> _xll.EPMOlapMemberO("[FILA_NOTA].[PARENTH1].[11601012]","","11601012","","001")</f>
        <v>#NAME?</v>
      </c>
      <c r="L29" s="427" t="str">
        <f>IFERROR(INDEX(BPC_NOTAS2[#All],MATCH($B29&amp;"_"&amp;L$16,BPC_NOTAS2[[#All],[FILA_COLUMNA]],0),2),"")</f>
        <v/>
      </c>
      <c r="M29" s="427" t="str">
        <f>IFERROR(INDEX(BPC_NOTAS2[#All],MATCH($B29&amp;"_"&amp;M$16,BPC_NOTAS2[[#All],[FILA_COLUMNA]],0),2),"")</f>
        <v/>
      </c>
      <c r="N29" s="427" t="str">
        <f>IFERROR(INDEX(BPC_NOTAS2[#All],MATCH($B29&amp;"_"&amp;N$16,BPC_NOTAS2[[#All],[FILA_COLUMNA]],0),2),"")</f>
        <v/>
      </c>
      <c r="O29" s="427" t="str">
        <f>IFERROR(INDEX(BPC_NOTAS2[#All],MATCH($B29&amp;"_"&amp;O$16,BPC_NOTAS2[[#All],[FILA_COLUMNA]],0),2),"")</f>
        <v/>
      </c>
      <c r="P29" s="222"/>
      <c r="Q29" s="222"/>
      <c r="R29" s="222"/>
      <c r="T29" s="545" t="s">
        <v>10383</v>
      </c>
      <c r="U29" s="545" t="s">
        <v>14310</v>
      </c>
      <c r="V29" s="545" t="s">
        <v>9561</v>
      </c>
      <c r="W29" s="545">
        <v>11602011</v>
      </c>
      <c r="X29" s="545"/>
      <c r="Y29" s="545"/>
      <c r="Z29" s="19" t="str">
        <f t="shared" si="3"/>
        <v>Ok</v>
      </c>
      <c r="AA29" s="19" t="str">
        <f>+IF(C29="","OK",IF(OR(C29=$C$54,C29=$C$53,C29=$C$52,C29=$C$51,C29=$C$50,C29=$C$49,C29=$C$48,C29=$C$47,C29=$C$46,C29=$C$45,C29=$C$44,C29=$C$43,C29=$C$42,C29=$C$41,C29=$C$40,C29=$C$39,C29=$C$38,C29=$C$37,C29=$C$36,C29=$C$35,C29=$C$34,C29=$C$33,C29=$C$32,C29=$C$31,C29=$C$30,C29=$C$28,C29=$C$27,C29=$C$26,C29=$C$25,C29=$C$24,C29=$C$23,C29=$C$22,C29=$C$21,C29=$C$20,C29=$C$19),"Error","Ok"))</f>
        <v>OK</v>
      </c>
      <c r="AB29" s="597">
        <f t="shared" si="2"/>
        <v>0</v>
      </c>
      <c r="AC29" s="446"/>
      <c r="AD29" s="446"/>
      <c r="AE29" s="1"/>
      <c r="AF29" s="619" t="s">
        <v>14830</v>
      </c>
    </row>
    <row r="30" spans="1:45">
      <c r="A30" s="99">
        <f t="shared" si="0"/>
        <v>0</v>
      </c>
      <c r="B30" s="612" t="str">
        <f>IFERROR(INDEX(ORGANIZACION[#All],MATCH($C30,ORGANIZACION[[#All],[ENTIDAD]],0),2),"")</f>
        <v/>
      </c>
      <c r="C30" s="622"/>
      <c r="D30" s="424" t="str">
        <f>IFERROR(INDEX(ORGANIZACION[#All],MATCH($C30,ORGANIZACION[[#All],[ENTIDAD]],0),3),"")</f>
        <v/>
      </c>
      <c r="E30" s="221"/>
      <c r="F30" s="221"/>
      <c r="G30" s="221"/>
      <c r="H30" s="221"/>
      <c r="I30" s="292"/>
      <c r="J30" s="402"/>
      <c r="K30" s="402" t="e">
        <f ca="1" xml:space="preserve"> _xll.EPMOlapMemberO("[FILA_NOTA].[PARENTH1].[11601013]","","11601013","","001")</f>
        <v>#NAME?</v>
      </c>
      <c r="L30" s="427" t="str">
        <f>IFERROR(INDEX(BPC_NOTAS2[#All],MATCH($B30&amp;"_"&amp;L$16,BPC_NOTAS2[[#All],[FILA_COLUMNA]],0),2),"")</f>
        <v/>
      </c>
      <c r="M30" s="427" t="str">
        <f>IFERROR(INDEX(BPC_NOTAS2[#All],MATCH($B30&amp;"_"&amp;M$16,BPC_NOTAS2[[#All],[FILA_COLUMNA]],0),2),"")</f>
        <v/>
      </c>
      <c r="N30" s="427" t="str">
        <f>IFERROR(INDEX(BPC_NOTAS2[#All],MATCH($B30&amp;"_"&amp;N$16,BPC_NOTAS2[[#All],[FILA_COLUMNA]],0),2),"")</f>
        <v/>
      </c>
      <c r="O30" s="427" t="str">
        <f>IFERROR(INDEX(BPC_NOTAS2[#All],MATCH($B30&amp;"_"&amp;O$16,BPC_NOTAS2[[#All],[FILA_COLUMNA]],0),2),"")</f>
        <v/>
      </c>
      <c r="P30" s="222"/>
      <c r="Q30" s="222"/>
      <c r="R30" s="222"/>
      <c r="T30" s="545" t="s">
        <v>10383</v>
      </c>
      <c r="U30" s="545" t="s">
        <v>14329</v>
      </c>
      <c r="V30" s="545" t="s">
        <v>9562</v>
      </c>
      <c r="W30" s="545">
        <v>11602012</v>
      </c>
      <c r="X30" s="545"/>
      <c r="Y30" s="545"/>
      <c r="Z30" s="19" t="str">
        <f t="shared" si="3"/>
        <v>Ok</v>
      </c>
      <c r="AA30" s="19" t="str">
        <f>+IF(C30="","OK",IF(OR(C30=$C$54,C30=$C$53,C30=$C$52,C30=$C$51,C30=$C$50,C30=$C$49,C30=$C$48,C30=$C$47,C30=$C$46,C30=$C$45,C30=$C$44,C30=$C$43,C30=$C$42,C30=$C$41,C30=$C$40,C30=$C$39,C30=$C$38,C30=$C$37,C30=$C$36,C30=$C$35,C30=$C$34,C30=$C$33,C30=$C$32,C30=$C$31,C30=$C$29,C30=$C$28,C30=$C$27,C30=$C$26,C30=$C$25,C30=$C$24,C30=$C$23,C30=$C$22,C30=$C$21,C30=$C$20,C30=$C$19),"Error","Ok"))</f>
        <v>OK</v>
      </c>
      <c r="AB30" s="597">
        <f t="shared" si="2"/>
        <v>0</v>
      </c>
      <c r="AC30" s="446"/>
      <c r="AD30" s="446"/>
      <c r="AE30" s="1"/>
      <c r="AF30" s="620" t="s">
        <v>14831</v>
      </c>
    </row>
    <row r="31" spans="1:45">
      <c r="A31" s="99">
        <f t="shared" si="0"/>
        <v>0</v>
      </c>
      <c r="B31" s="612" t="str">
        <f>IFERROR(INDEX(ORGANIZACION[#All],MATCH($C31,ORGANIZACION[[#All],[ENTIDAD]],0),2),"")</f>
        <v/>
      </c>
      <c r="C31" s="622"/>
      <c r="D31" s="424" t="str">
        <f>IFERROR(INDEX(ORGANIZACION[#All],MATCH($C31,ORGANIZACION[[#All],[ENTIDAD]],0),3),"")</f>
        <v/>
      </c>
      <c r="E31" s="221"/>
      <c r="F31" s="221"/>
      <c r="G31" s="221"/>
      <c r="H31" s="221"/>
      <c r="I31" s="292"/>
      <c r="J31" s="402"/>
      <c r="K31" s="402" t="e">
        <f ca="1" xml:space="preserve"> _xll.EPMOlapMemberO("[FILA_NOTA].[PARENTH1].[11601014]","","11601014","","001")</f>
        <v>#NAME?</v>
      </c>
      <c r="L31" s="427" t="str">
        <f>IFERROR(INDEX(BPC_NOTAS2[#All],MATCH($B31&amp;"_"&amp;L$16,BPC_NOTAS2[[#All],[FILA_COLUMNA]],0),2),"")</f>
        <v/>
      </c>
      <c r="M31" s="427" t="str">
        <f>IFERROR(INDEX(BPC_NOTAS2[#All],MATCH($B31&amp;"_"&amp;M$16,BPC_NOTAS2[[#All],[FILA_COLUMNA]],0),2),"")</f>
        <v/>
      </c>
      <c r="N31" s="427" t="str">
        <f>IFERROR(INDEX(BPC_NOTAS2[#All],MATCH($B31&amp;"_"&amp;N$16,BPC_NOTAS2[[#All],[FILA_COLUMNA]],0),2),"")</f>
        <v/>
      </c>
      <c r="O31" s="427" t="str">
        <f>IFERROR(INDEX(BPC_NOTAS2[#All],MATCH($B31&amp;"_"&amp;O$16,BPC_NOTAS2[[#All],[FILA_COLUMNA]],0),2),"")</f>
        <v/>
      </c>
      <c r="P31" s="222"/>
      <c r="Q31" s="222"/>
      <c r="R31" s="222"/>
      <c r="T31" s="545" t="s">
        <v>10383</v>
      </c>
      <c r="U31" s="545" t="s">
        <v>14327</v>
      </c>
      <c r="V31" s="545" t="s">
        <v>9563</v>
      </c>
      <c r="W31" s="545">
        <v>11602013</v>
      </c>
      <c r="X31" s="545"/>
      <c r="Y31" s="545"/>
      <c r="Z31" s="19" t="str">
        <f t="shared" si="3"/>
        <v>Ok</v>
      </c>
      <c r="AA31" s="19" t="str">
        <f>+IF(C31="","OK",IF(OR(C31=$C$54,C31=$C$53,C31=$C$52,C31=$C$51,C31=$C$50,C31=$C$49,C31=$C$48,C31=$C$47,C31=$C$46,C31=$C$45,C31=$C$44,C31=$C$43,C31=$C$42,C31=$C$41,C31=$C$40,C31=$C$39,C31=$C$38,C31=$C$37,C31=$C$36,C31=$C$35,C31=$C$34,C31=$C$33,C31=$C$32,C31=$C$30,C31=$C$29,C31=$C$28,C31=$C$27,C31=$C$26,C31=$C$25,C31=$C$24,C31=$C$23,C31=$C$22,C31=$C$21,C31=$C$20,C31=$C$19),"Error","Ok"))</f>
        <v>OK</v>
      </c>
      <c r="AB31" s="597">
        <f t="shared" si="2"/>
        <v>0</v>
      </c>
      <c r="AC31" s="446"/>
      <c r="AD31" s="446"/>
      <c r="AE31" s="1"/>
      <c r="AF31" s="619" t="s">
        <v>14832</v>
      </c>
    </row>
    <row r="32" spans="1:45">
      <c r="A32" s="99">
        <f t="shared" si="0"/>
        <v>0</v>
      </c>
      <c r="B32" s="612" t="str">
        <f>IFERROR(INDEX(ORGANIZACION[#All],MATCH($C32,ORGANIZACION[[#All],[ENTIDAD]],0),2),"")</f>
        <v/>
      </c>
      <c r="C32" s="622"/>
      <c r="D32" s="424" t="str">
        <f>IFERROR(INDEX(ORGANIZACION[#All],MATCH($C32,ORGANIZACION[[#All],[ENTIDAD]],0),3),"")</f>
        <v/>
      </c>
      <c r="E32" s="221"/>
      <c r="F32" s="221"/>
      <c r="G32" s="221"/>
      <c r="H32" s="221"/>
      <c r="I32" s="292"/>
      <c r="J32" s="402"/>
      <c r="K32" s="402" t="e">
        <f ca="1" xml:space="preserve"> _xll.EPMOlapMemberO("[FILA_NOTA].[PARENTH1].[11601015]","","11601015","","001")</f>
        <v>#NAME?</v>
      </c>
      <c r="L32" s="427" t="str">
        <f>IFERROR(INDEX(BPC_NOTAS2[#All],MATCH($B32&amp;"_"&amp;L$16,BPC_NOTAS2[[#All],[FILA_COLUMNA]],0),2),"")</f>
        <v/>
      </c>
      <c r="M32" s="427" t="str">
        <f>IFERROR(INDEX(BPC_NOTAS2[#All],MATCH($B32&amp;"_"&amp;M$16,BPC_NOTAS2[[#All],[FILA_COLUMNA]],0),2),"")</f>
        <v/>
      </c>
      <c r="N32" s="427" t="str">
        <f>IFERROR(INDEX(BPC_NOTAS2[#All],MATCH($B32&amp;"_"&amp;N$16,BPC_NOTAS2[[#All],[FILA_COLUMNA]],0),2),"")</f>
        <v/>
      </c>
      <c r="O32" s="427" t="str">
        <f>IFERROR(INDEX(BPC_NOTAS2[#All],MATCH($B32&amp;"_"&amp;O$16,BPC_NOTAS2[[#All],[FILA_COLUMNA]],0),2),"")</f>
        <v/>
      </c>
      <c r="P32" s="222"/>
      <c r="Q32" s="222"/>
      <c r="R32" s="222"/>
      <c r="T32" s="545" t="s">
        <v>10383</v>
      </c>
      <c r="U32" s="545" t="s">
        <v>19103</v>
      </c>
      <c r="V32" s="545" t="s">
        <v>9564</v>
      </c>
      <c r="W32" s="545">
        <v>11602014</v>
      </c>
      <c r="X32" s="545"/>
      <c r="Y32" s="545"/>
      <c r="Z32" s="19" t="str">
        <f t="shared" si="3"/>
        <v>Ok</v>
      </c>
      <c r="AA32" s="19" t="str">
        <f>+IF(C32="","OK",IF(OR(C32=$C$54,C32=$C$53,C32=$C$52,C32=$C$51,C32=$C$50,C32=$C$49,C32=$C$48,C32=$C$47,C32=$C$46,C32=$C$45,C32=$C$44,C32=$C$43,C32=$C$42,C32=$C$41,C32=$C$40,C32=$C$39,C32=$C$38,C32=$C$37,C32=$C$36,C32=$C$35,C32=$C$34,C32=$C$33,C32=$C$31,C32=$C$30,C32=$C$29,C32=$C$28,C32=$C$27,C32=$C$26,C32=$C$25,C32=$C$24,C32=$C$23,C32=$C$22,C32=$C$21,C32=$C$20,C32=$C$19),"Error","Ok"))</f>
        <v>OK</v>
      </c>
      <c r="AB32" s="597">
        <f t="shared" si="2"/>
        <v>0</v>
      </c>
      <c r="AC32" s="446"/>
      <c r="AD32" s="446"/>
      <c r="AE32" s="1"/>
      <c r="AF32" s="620" t="s">
        <v>14833</v>
      </c>
    </row>
    <row r="33" spans="1:32">
      <c r="A33" s="99">
        <f t="shared" si="0"/>
        <v>0</v>
      </c>
      <c r="B33" s="612" t="str">
        <f>IFERROR(INDEX(ORGANIZACION[#All],MATCH($C33,ORGANIZACION[[#All],[ENTIDAD]],0),2),"")</f>
        <v/>
      </c>
      <c r="C33" s="622"/>
      <c r="D33" s="424" t="str">
        <f>IFERROR(INDEX(ORGANIZACION[#All],MATCH($C33,ORGANIZACION[[#All],[ENTIDAD]],0),3),"")</f>
        <v/>
      </c>
      <c r="E33" s="221"/>
      <c r="F33" s="221"/>
      <c r="G33" s="221"/>
      <c r="H33" s="221"/>
      <c r="I33" s="292"/>
      <c r="J33" s="402"/>
      <c r="K33" s="402" t="e">
        <f ca="1" xml:space="preserve"> _xll.EPMOlapMemberO("[FILA_NOTA].[PARENTH1].[11601016]","","11601016","","001")</f>
        <v>#NAME?</v>
      </c>
      <c r="L33" s="427" t="str">
        <f>IFERROR(INDEX(BPC_NOTAS2[#All],MATCH($B33&amp;"_"&amp;L$16,BPC_NOTAS2[[#All],[FILA_COLUMNA]],0),2),"")</f>
        <v/>
      </c>
      <c r="M33" s="427" t="str">
        <f>IFERROR(INDEX(BPC_NOTAS2[#All],MATCH($B33&amp;"_"&amp;M$16,BPC_NOTAS2[[#All],[FILA_COLUMNA]],0),2),"")</f>
        <v/>
      </c>
      <c r="N33" s="427" t="str">
        <f>IFERROR(INDEX(BPC_NOTAS2[#All],MATCH($B33&amp;"_"&amp;N$16,BPC_NOTAS2[[#All],[FILA_COLUMNA]],0),2),"")</f>
        <v/>
      </c>
      <c r="O33" s="427" t="str">
        <f>IFERROR(INDEX(BPC_NOTAS2[#All],MATCH($B33&amp;"_"&amp;O$16,BPC_NOTAS2[[#All],[FILA_COLUMNA]],0),2),"")</f>
        <v/>
      </c>
      <c r="P33" s="222"/>
      <c r="Q33" s="222"/>
      <c r="R33" s="222"/>
      <c r="T33" s="545" t="s">
        <v>10383</v>
      </c>
      <c r="U33" s="545" t="s">
        <v>19104</v>
      </c>
      <c r="V33" s="545" t="s">
        <v>9565</v>
      </c>
      <c r="W33" s="545">
        <v>11602015</v>
      </c>
      <c r="X33" s="545"/>
      <c r="Y33" s="545"/>
      <c r="Z33" s="19" t="str">
        <f t="shared" si="3"/>
        <v>Ok</v>
      </c>
      <c r="AA33" s="19" t="str">
        <f>+IF(C33="","OK",IF(OR(C33=$C$54,C33=$C$53,C33=$C$52,C33=$C$51,C33=$C$50,C33=$C$49,C33=$C$48,C33=$C$47,C33=$C$46,C33=$C$45,C33=$C$44,C33=$C$43,C33=$C$42,C33=$C$41,C33=$C$40,C33=$C$39,C33=$C$38,C33=$C$37,C33=$C$36,C33=$C$35,C33=$C$34,C33=$C$32,C33=$C$31,C33=$C$30,C33=$C$29,C33=$C$28,C33=$C$27,C33=$C$26,C33=$C$25,C33=$C$24,C33=$C$23,C33=$C$22,C33=$C$21,C33=$C$20,C33=$C$19),"Error","Ok"))</f>
        <v>OK</v>
      </c>
      <c r="AB33" s="597">
        <f t="shared" si="2"/>
        <v>0</v>
      </c>
      <c r="AC33" s="446"/>
      <c r="AD33" s="446"/>
      <c r="AE33" s="1"/>
      <c r="AF33" s="619" t="s">
        <v>14834</v>
      </c>
    </row>
    <row r="34" spans="1:32">
      <c r="A34" s="99">
        <f t="shared" si="0"/>
        <v>0</v>
      </c>
      <c r="B34" s="612" t="str">
        <f>IFERROR(INDEX(ORGANIZACION[#All],MATCH($C34,ORGANIZACION[[#All],[ENTIDAD]],0),2),"")</f>
        <v/>
      </c>
      <c r="C34" s="622"/>
      <c r="D34" s="424" t="str">
        <f>IFERROR(INDEX(ORGANIZACION[#All],MATCH($C34,ORGANIZACION[[#All],[ENTIDAD]],0),3),"")</f>
        <v/>
      </c>
      <c r="E34" s="221"/>
      <c r="F34" s="221"/>
      <c r="G34" s="221"/>
      <c r="H34" s="221"/>
      <c r="I34" s="292"/>
      <c r="J34" s="402"/>
      <c r="K34" s="402" t="e">
        <f ca="1" xml:space="preserve"> _xll.EPMOlapMemberO("[FILA_NOTA].[PARENTH1].[11601017]","","11601017","","001")</f>
        <v>#NAME?</v>
      </c>
      <c r="L34" s="427" t="str">
        <f>IFERROR(INDEX(BPC_NOTAS2[#All],MATCH($B34&amp;"_"&amp;L$16,BPC_NOTAS2[[#All],[FILA_COLUMNA]],0),2),"")</f>
        <v/>
      </c>
      <c r="M34" s="427" t="str">
        <f>IFERROR(INDEX(BPC_NOTAS2[#All],MATCH($B34&amp;"_"&amp;M$16,BPC_NOTAS2[[#All],[FILA_COLUMNA]],0),2),"")</f>
        <v/>
      </c>
      <c r="N34" s="427" t="str">
        <f>IFERROR(INDEX(BPC_NOTAS2[#All],MATCH($B34&amp;"_"&amp;N$16,BPC_NOTAS2[[#All],[FILA_COLUMNA]],0),2),"")</f>
        <v/>
      </c>
      <c r="O34" s="427" t="str">
        <f>IFERROR(INDEX(BPC_NOTAS2[#All],MATCH($B34&amp;"_"&amp;O$16,BPC_NOTAS2[[#All],[FILA_COLUMNA]],0),2),"")</f>
        <v/>
      </c>
      <c r="P34" s="222"/>
      <c r="Q34" s="222"/>
      <c r="R34" s="222"/>
      <c r="T34" s="545" t="s">
        <v>10394</v>
      </c>
      <c r="U34" s="545" t="s">
        <v>14321</v>
      </c>
      <c r="V34" s="545" t="s">
        <v>9566</v>
      </c>
      <c r="W34" s="545">
        <v>11602016</v>
      </c>
      <c r="X34" s="545"/>
      <c r="Y34" s="545"/>
      <c r="Z34" s="19" t="str">
        <f t="shared" si="3"/>
        <v>Ok</v>
      </c>
      <c r="AA34" s="19" t="str">
        <f>+IF(C34="","OK",IF(OR(C34=$C$54,C34=$C$53,C34=$C$52,C34=$C$51,C34=$C$50,C34=$C$49,C34=$C$48,C34=$C$47,C34=$C$46,C34=$C$45,C34=$C$44,C34=$C$43,C34=$C$42,C34=$C$41,C34=$C$40,C34=$C$39,C34=$C$38,C34=$C$37,C34=$C$36,C34=$C$35,C34=$C$33,C34=$C$32,C34=$C$31,C34=$C$30,C34=$C$29,C34=$C$28,C34=$C$27,C34=$C$26,C34=$C$25,C34=$C$24,C34=$C$23,C34=$C$22,C34=$C$21,C34=$C$20,C34=$C$19),"Error","Ok"))</f>
        <v>OK</v>
      </c>
      <c r="AB34" s="597">
        <f t="shared" si="2"/>
        <v>0</v>
      </c>
      <c r="AC34" s="446"/>
      <c r="AD34" s="446"/>
      <c r="AE34" s="1"/>
      <c r="AF34" s="620" t="s">
        <v>14835</v>
      </c>
    </row>
    <row r="35" spans="1:32">
      <c r="A35" s="99">
        <f t="shared" si="0"/>
        <v>0</v>
      </c>
      <c r="B35" s="612" t="str">
        <f>IFERROR(INDEX(ORGANIZACION[#All],MATCH($C35,ORGANIZACION[[#All],[ENTIDAD]],0),2),"")</f>
        <v/>
      </c>
      <c r="C35" s="622"/>
      <c r="D35" s="424" t="str">
        <f>IFERROR(INDEX(ORGANIZACION[#All],MATCH($C35,ORGANIZACION[[#All],[ENTIDAD]],0),3),"")</f>
        <v/>
      </c>
      <c r="E35" s="221"/>
      <c r="F35" s="221"/>
      <c r="G35" s="221"/>
      <c r="H35" s="221"/>
      <c r="I35" s="292"/>
      <c r="J35" s="402"/>
      <c r="K35" s="402" t="e">
        <f ca="1" xml:space="preserve"> _xll.EPMOlapMemberO("[FILA_NOTA].[PARENTH1].[11601018]","","11601018","","001")</f>
        <v>#NAME?</v>
      </c>
      <c r="L35" s="427" t="str">
        <f>IFERROR(INDEX(BPC_NOTAS2[#All],MATCH($B35&amp;"_"&amp;L$16,BPC_NOTAS2[[#All],[FILA_COLUMNA]],0),2),"")</f>
        <v/>
      </c>
      <c r="M35" s="427" t="str">
        <f>IFERROR(INDEX(BPC_NOTAS2[#All],MATCH($B35&amp;"_"&amp;M$16,BPC_NOTAS2[[#All],[FILA_COLUMNA]],0),2),"")</f>
        <v/>
      </c>
      <c r="N35" s="427" t="str">
        <f>IFERROR(INDEX(BPC_NOTAS2[#All],MATCH($B35&amp;"_"&amp;N$16,BPC_NOTAS2[[#All],[FILA_COLUMNA]],0),2),"")</f>
        <v/>
      </c>
      <c r="O35" s="427" t="str">
        <f>IFERROR(INDEX(BPC_NOTAS2[#All],MATCH($B35&amp;"_"&amp;O$16,BPC_NOTAS2[[#All],[FILA_COLUMNA]],0),2),"")</f>
        <v/>
      </c>
      <c r="P35" s="222"/>
      <c r="Q35" s="222"/>
      <c r="R35" s="222"/>
      <c r="T35" s="545" t="s">
        <v>10383</v>
      </c>
      <c r="U35" s="545" t="s">
        <v>14311</v>
      </c>
      <c r="V35" s="545" t="s">
        <v>9567</v>
      </c>
      <c r="W35" s="545">
        <v>11602017</v>
      </c>
      <c r="X35" s="545"/>
      <c r="Y35" s="545"/>
      <c r="Z35" s="19" t="str">
        <f t="shared" si="3"/>
        <v>Ok</v>
      </c>
      <c r="AA35" s="19" t="str">
        <f>+IF(C35="","OK",IF(OR(C35=$C$54,C35=$C$53,C35=$C$52,C35=$C$51,C35=$C$50,C35=$C$49,C35=$C$48,C35=$C$47,C35=$C$46,C35=$C$45,C35=$C$44,C35=$C$43,C35=$C$42,C35=$C$41,C35=$C$40,C35=$C$39,C35=$C$38,C35=$C$37,C35=$C$36,C35=$C$34,C35=$C$33,C35=$C$32,C35=$C$31,C35=$C$30,C35=$C$29,C35=$C$28,C35=$C$27,C35=$C$26,C35=$C$25,C35=$C$24,C35=$C$23,C35=$C$22,C35=$C$21,C35=$C$20,C35=$C$19),"Error","Ok"))</f>
        <v>OK</v>
      </c>
      <c r="AB35" s="597">
        <f t="shared" si="2"/>
        <v>0</v>
      </c>
      <c r="AC35" s="446"/>
      <c r="AD35" s="446"/>
      <c r="AE35" s="1"/>
      <c r="AF35" s="619" t="s">
        <v>14836</v>
      </c>
    </row>
    <row r="36" spans="1:32">
      <c r="A36" s="99">
        <f t="shared" si="0"/>
        <v>0</v>
      </c>
      <c r="B36" s="612" t="str">
        <f>IFERROR(INDEX(ORGANIZACION[#All],MATCH($C36,ORGANIZACION[[#All],[ENTIDAD]],0),2),"")</f>
        <v/>
      </c>
      <c r="C36" s="622"/>
      <c r="D36" s="424" t="str">
        <f>IFERROR(INDEX(ORGANIZACION[#All],MATCH($C36,ORGANIZACION[[#All],[ENTIDAD]],0),3),"")</f>
        <v/>
      </c>
      <c r="E36" s="221"/>
      <c r="F36" s="221"/>
      <c r="G36" s="221"/>
      <c r="H36" s="221"/>
      <c r="I36" s="292"/>
      <c r="J36" s="402"/>
      <c r="K36" s="402" t="e">
        <f ca="1" xml:space="preserve"> _xll.EPMOlapMemberO("[FILA_NOTA].[PARENTH1].[11601019]","","11601019","","001")</f>
        <v>#NAME?</v>
      </c>
      <c r="L36" s="427" t="str">
        <f>IFERROR(INDEX(BPC_NOTAS2[#All],MATCH($B36&amp;"_"&amp;L$16,BPC_NOTAS2[[#All],[FILA_COLUMNA]],0),2),"")</f>
        <v/>
      </c>
      <c r="M36" s="427" t="str">
        <f>IFERROR(INDEX(BPC_NOTAS2[#All],MATCH($B36&amp;"_"&amp;M$16,BPC_NOTAS2[[#All],[FILA_COLUMNA]],0),2),"")</f>
        <v/>
      </c>
      <c r="N36" s="427" t="str">
        <f>IFERROR(INDEX(BPC_NOTAS2[#All],MATCH($B36&amp;"_"&amp;N$16,BPC_NOTAS2[[#All],[FILA_COLUMNA]],0),2),"")</f>
        <v/>
      </c>
      <c r="O36" s="427" t="str">
        <f>IFERROR(INDEX(BPC_NOTAS2[#All],MATCH($B36&amp;"_"&amp;O$16,BPC_NOTAS2[[#All],[FILA_COLUMNA]],0),2),"")</f>
        <v/>
      </c>
      <c r="P36" s="222"/>
      <c r="Q36" s="222"/>
      <c r="R36" s="222"/>
      <c r="T36" s="545" t="s">
        <v>10383</v>
      </c>
      <c r="U36" s="545" t="s">
        <v>19105</v>
      </c>
      <c r="V36" s="545" t="s">
        <v>9568</v>
      </c>
      <c r="W36" s="545">
        <v>11602018</v>
      </c>
      <c r="X36" s="545"/>
      <c r="Y36" s="545"/>
      <c r="Z36" s="19" t="str">
        <f t="shared" si="3"/>
        <v>Ok</v>
      </c>
      <c r="AA36" s="19" t="str">
        <f>+IF(C36="","OK",IF(OR(C36=$C$54,C36=$C$53,C36=$C$52,C36=$C$51,C36=$C$50,C36=$C$49,C36=$C$48,C36=$C$47,C36=$C$46,C36=$C$45,C36=$C$44,C36=$C$43,C36=$C$42,C36=$C$41,C36=$C$40,C36=$C$39,C36=$C$38,C36=$C$37,C36=$C$35,C36=$C$34,C36=$C$33,C36=$C$32,C36=$C$31,C36=$C$30,C36=$C$29,C36=$C$28,C36=$C$27,C36=$C$26,C36=$C$25,C36=$C$24,C36=$C$23,C36=$C$22,C36=$C$21,C36=$C$20,C36=$C$19),"Error","Ok"))</f>
        <v>OK</v>
      </c>
      <c r="AB36" s="597">
        <f t="shared" si="2"/>
        <v>0</v>
      </c>
      <c r="AC36" s="446"/>
      <c r="AD36" s="446"/>
      <c r="AE36" s="1"/>
      <c r="AF36" s="620" t="s">
        <v>14837</v>
      </c>
    </row>
    <row r="37" spans="1:32">
      <c r="A37" s="99">
        <f t="shared" si="0"/>
        <v>0</v>
      </c>
      <c r="B37" s="612" t="str">
        <f>IFERROR(INDEX(ORGANIZACION[#All],MATCH($C37,ORGANIZACION[[#All],[ENTIDAD]],0),2),"")</f>
        <v/>
      </c>
      <c r="C37" s="622"/>
      <c r="D37" s="424" t="str">
        <f>IFERROR(INDEX(ORGANIZACION[#All],MATCH($C37,ORGANIZACION[[#All],[ENTIDAD]],0),3),"")</f>
        <v/>
      </c>
      <c r="E37" s="221"/>
      <c r="F37" s="221"/>
      <c r="G37" s="221"/>
      <c r="H37" s="221"/>
      <c r="I37" s="292"/>
      <c r="J37" s="402"/>
      <c r="K37" s="402" t="e">
        <f ca="1" xml:space="preserve"> _xll.EPMOlapMemberO("[FILA_NOTA].[PARENTH1].[11601020]","","11601020","","001")</f>
        <v>#NAME?</v>
      </c>
      <c r="L37" s="427" t="str">
        <f>IFERROR(INDEX(BPC_NOTAS2[#All],MATCH($B37&amp;"_"&amp;L$16,BPC_NOTAS2[[#All],[FILA_COLUMNA]],0),2),"")</f>
        <v/>
      </c>
      <c r="M37" s="427" t="str">
        <f>IFERROR(INDEX(BPC_NOTAS2[#All],MATCH($B37&amp;"_"&amp;M$16,BPC_NOTAS2[[#All],[FILA_COLUMNA]],0),2),"")</f>
        <v/>
      </c>
      <c r="N37" s="427" t="str">
        <f>IFERROR(INDEX(BPC_NOTAS2[#All],MATCH($B37&amp;"_"&amp;N$16,BPC_NOTAS2[[#All],[FILA_COLUMNA]],0),2),"")</f>
        <v/>
      </c>
      <c r="O37" s="427" t="str">
        <f>IFERROR(INDEX(BPC_NOTAS2[#All],MATCH($B37&amp;"_"&amp;O$16,BPC_NOTAS2[[#All],[FILA_COLUMNA]],0),2),"")</f>
        <v/>
      </c>
      <c r="P37" s="222"/>
      <c r="Q37" s="222"/>
      <c r="R37" s="222"/>
      <c r="T37" s="545" t="s">
        <v>10383</v>
      </c>
      <c r="U37" s="545" t="s">
        <v>14322</v>
      </c>
      <c r="V37" s="545" t="s">
        <v>9569</v>
      </c>
      <c r="W37" s="545">
        <v>11602019</v>
      </c>
      <c r="X37" s="545"/>
      <c r="Y37" s="545"/>
      <c r="Z37" s="19" t="str">
        <f t="shared" si="3"/>
        <v>Ok</v>
      </c>
      <c r="AA37" s="19" t="str">
        <f>+IF(C37="","OK",IF(OR(C37=$C$54,C37=$C$53,C37=$C$52,C37=$C$51,C37=$C$50,C37=$C$49,C37=$C$48,C37=$C$47,C37=$C$46,C37=$C$45,C37=$C$44,C37=$C$43,C37=$C$42,C37=$C$41,C37=$C$40,C37=$C$39,C37=$C$38,C37=$C$36,C37=$C$35,C37=$C$34,C37=$C$33,C37=$C$32,C37=$C$31,C37=$C$30,C37=$C$29,C37=$C$28,C37=$C$27,C37=$C$26,C37=$C$25,C37=$C$24,C37=$C$23,C37=$C$22,C37=$C$21,C37=$C$20,C37=$C$19),"Error","Ok"))</f>
        <v>OK</v>
      </c>
      <c r="AB37" s="597">
        <f t="shared" si="2"/>
        <v>0</v>
      </c>
      <c r="AC37" s="446"/>
      <c r="AD37" s="446"/>
      <c r="AE37" s="1"/>
      <c r="AF37" s="619" t="s">
        <v>14838</v>
      </c>
    </row>
    <row r="38" spans="1:32">
      <c r="A38" s="99">
        <f t="shared" si="0"/>
        <v>0</v>
      </c>
      <c r="B38" s="612" t="str">
        <f>IFERROR(INDEX(ORGANIZACION[#All],MATCH($C38,ORGANIZACION[[#All],[ENTIDAD]],0),2),"")</f>
        <v/>
      </c>
      <c r="C38" s="622"/>
      <c r="D38" s="424" t="str">
        <f>IFERROR(INDEX(ORGANIZACION[#All],MATCH($C38,ORGANIZACION[[#All],[ENTIDAD]],0),3),"")</f>
        <v/>
      </c>
      <c r="E38" s="221"/>
      <c r="F38" s="221"/>
      <c r="G38" s="221"/>
      <c r="H38" s="221"/>
      <c r="I38" s="292"/>
      <c r="J38" s="402"/>
      <c r="K38" s="402" t="e">
        <f ca="1" xml:space="preserve"> _xll.EPMOlapMemberO("[FILA_NOTA].[PARENTH1].[11601021]","","11601021","","001")</f>
        <v>#NAME?</v>
      </c>
      <c r="L38" s="427" t="str">
        <f>IFERROR(INDEX(BPC_NOTAS2[#All],MATCH($B38&amp;"_"&amp;L$16,BPC_NOTAS2[[#All],[FILA_COLUMNA]],0),2),"")</f>
        <v/>
      </c>
      <c r="M38" s="427" t="str">
        <f>IFERROR(INDEX(BPC_NOTAS2[#All],MATCH($B38&amp;"_"&amp;M$16,BPC_NOTAS2[[#All],[FILA_COLUMNA]],0),2),"")</f>
        <v/>
      </c>
      <c r="N38" s="427" t="str">
        <f>IFERROR(INDEX(BPC_NOTAS2[#All],MATCH($B38&amp;"_"&amp;N$16,BPC_NOTAS2[[#All],[FILA_COLUMNA]],0),2),"")</f>
        <v/>
      </c>
      <c r="O38" s="427" t="str">
        <f>IFERROR(INDEX(BPC_NOTAS2[#All],MATCH($B38&amp;"_"&amp;O$16,BPC_NOTAS2[[#All],[FILA_COLUMNA]],0),2),"")</f>
        <v/>
      </c>
      <c r="P38" s="222"/>
      <c r="Q38" s="222"/>
      <c r="R38" s="222"/>
      <c r="T38" s="545" t="s">
        <v>10394</v>
      </c>
      <c r="U38" s="545" t="s">
        <v>19106</v>
      </c>
      <c r="V38" s="545" t="s">
        <v>9570</v>
      </c>
      <c r="W38" s="545">
        <v>11602020</v>
      </c>
      <c r="X38" s="545"/>
      <c r="Y38" s="545"/>
      <c r="Z38" s="19" t="str">
        <f t="shared" si="3"/>
        <v>Ok</v>
      </c>
      <c r="AA38" s="19" t="str">
        <f>+IF(C38="","OK",IF(OR(C38=$C$54,C38=$C$53,C38=$C$52,C38=$C$51,C38=$C$50,C38=$C$49,C38=$C$48,C38=$C$47,C38=$C$46,C38=$C$45,C38=$C$44,C38=$C$43,C38=$C$42,C38=$C$41,C38=$C$40,C38=$C$39,C38=$C$37,C38=$C$36,C38=$C$35,C38=$C$34,C38=$C$33,C38=$C$32,C38=$C$31,C38=$C$30,C38=$C$29,C38=$C$28,C38=$C$27,C38=$C$26,C38=$C$25,C38=$C$24,C38=$C$23,C38=$C$22,C38=$C$21,C38=$C$20,C38=$C$19),"Error","Ok"))</f>
        <v>OK</v>
      </c>
      <c r="AB38" s="597">
        <f t="shared" si="2"/>
        <v>0</v>
      </c>
      <c r="AC38" s="446"/>
      <c r="AD38" s="446"/>
      <c r="AE38" s="1"/>
      <c r="AF38" s="620" t="s">
        <v>14839</v>
      </c>
    </row>
    <row r="39" spans="1:32">
      <c r="A39" s="99">
        <f t="shared" si="0"/>
        <v>0</v>
      </c>
      <c r="B39" s="612" t="str">
        <f>IFERROR(INDEX(ORGANIZACION[#All],MATCH($C39,ORGANIZACION[[#All],[ENTIDAD]],0),2),"")</f>
        <v/>
      </c>
      <c r="C39" s="622"/>
      <c r="D39" s="424" t="str">
        <f>IFERROR(INDEX(ORGANIZACION[#All],MATCH($C39,ORGANIZACION[[#All],[ENTIDAD]],0),3),"")</f>
        <v/>
      </c>
      <c r="E39" s="221"/>
      <c r="F39" s="221"/>
      <c r="G39" s="221"/>
      <c r="H39" s="221"/>
      <c r="I39" s="292"/>
      <c r="J39" s="402"/>
      <c r="K39" s="402" t="e">
        <f ca="1" xml:space="preserve"> _xll.EPMOlapMemberO("[FILA_NOTA].[PARENTH1].[11601022]","","11601022","","001")</f>
        <v>#NAME?</v>
      </c>
      <c r="L39" s="427" t="str">
        <f>IFERROR(INDEX(BPC_NOTAS2[#All],MATCH($B39&amp;"_"&amp;L$16,BPC_NOTAS2[[#All],[FILA_COLUMNA]],0),2),"")</f>
        <v/>
      </c>
      <c r="M39" s="427" t="str">
        <f>IFERROR(INDEX(BPC_NOTAS2[#All],MATCH($B39&amp;"_"&amp;M$16,BPC_NOTAS2[[#All],[FILA_COLUMNA]],0),2),"")</f>
        <v/>
      </c>
      <c r="N39" s="427" t="str">
        <f>IFERROR(INDEX(BPC_NOTAS2[#All],MATCH($B39&amp;"_"&amp;N$16,BPC_NOTAS2[[#All],[FILA_COLUMNA]],0),2),"")</f>
        <v/>
      </c>
      <c r="O39" s="427" t="str">
        <f>IFERROR(INDEX(BPC_NOTAS2[#All],MATCH($B39&amp;"_"&amp;O$16,BPC_NOTAS2[[#All],[FILA_COLUMNA]],0),2),"")</f>
        <v/>
      </c>
      <c r="P39" s="222"/>
      <c r="Q39" s="222"/>
      <c r="R39" s="222"/>
      <c r="T39" s="545" t="s">
        <v>19100</v>
      </c>
      <c r="U39" s="545" t="s">
        <v>19107</v>
      </c>
      <c r="V39" s="545" t="s">
        <v>9571</v>
      </c>
      <c r="W39" s="545">
        <v>11602021</v>
      </c>
      <c r="X39" s="545"/>
      <c r="Y39" s="545"/>
      <c r="Z39" s="19" t="str">
        <f t="shared" si="3"/>
        <v>Ok</v>
      </c>
      <c r="AA39" s="19" t="str">
        <f>+IF(C39="","OK",IF(OR(C39=$C$54,C39=$C$53,C39=$C$52,C39=$C$51,C39=$C$50,C39=$C$49,C39=$C$48,C39=$C$47,C39=$C$46,C39=$C$45,C39=$C$44,C39=$C$43,C39=$C$42,C39=$C$41,C39=$C$40,C39=$C$38,C39=$C$37,C39=$C$36,C39=$C$35,C39=$C$34,C39=$C$33,C39=$C$32,C39=$C$31,C39=$C$30,C39=$C$29,C39=$C$28,C39=$C$27,C39=$C$26,C39=$C$25,C39=$C$24,C39=$C$23,C39=$C$22,C39=$C$21,C39=$C$20,C39=$C$19),"Error","Ok"))</f>
        <v>OK</v>
      </c>
      <c r="AB39" s="597">
        <f t="shared" si="2"/>
        <v>0</v>
      </c>
      <c r="AC39" s="446"/>
      <c r="AD39" s="446"/>
      <c r="AE39" s="1"/>
      <c r="AF39" s="619" t="s">
        <v>14840</v>
      </c>
    </row>
    <row r="40" spans="1:32">
      <c r="A40" s="99">
        <f t="shared" si="0"/>
        <v>0</v>
      </c>
      <c r="B40" s="612" t="str">
        <f>IFERROR(INDEX(ORGANIZACION[#All],MATCH($C40,ORGANIZACION[[#All],[ENTIDAD]],0),2),"")</f>
        <v/>
      </c>
      <c r="C40" s="622"/>
      <c r="D40" s="424" t="str">
        <f>IFERROR(INDEX(ORGANIZACION[#All],MATCH($C40,ORGANIZACION[[#All],[ENTIDAD]],0),3),"")</f>
        <v/>
      </c>
      <c r="E40" s="221"/>
      <c r="F40" s="221"/>
      <c r="G40" s="221"/>
      <c r="H40" s="221"/>
      <c r="I40" s="292"/>
      <c r="J40" s="402"/>
      <c r="K40" s="402" t="e">
        <f ca="1" xml:space="preserve"> _xll.EPMOlapMemberO("[FILA_NOTA].[PARENTH1].[11601023]","","11601023","","001")</f>
        <v>#NAME?</v>
      </c>
      <c r="L40" s="427" t="str">
        <f>IFERROR(INDEX(BPC_NOTAS2[#All],MATCH($B40&amp;"_"&amp;L$16,BPC_NOTAS2[[#All],[FILA_COLUMNA]],0),2),"")</f>
        <v/>
      </c>
      <c r="M40" s="427" t="str">
        <f>IFERROR(INDEX(BPC_NOTAS2[#All],MATCH($B40&amp;"_"&amp;M$16,BPC_NOTAS2[[#All],[FILA_COLUMNA]],0),2),"")</f>
        <v/>
      </c>
      <c r="N40" s="427" t="str">
        <f>IFERROR(INDEX(BPC_NOTAS2[#All],MATCH($B40&amp;"_"&amp;N$16,BPC_NOTAS2[[#All],[FILA_COLUMNA]],0),2),"")</f>
        <v/>
      </c>
      <c r="O40" s="427" t="str">
        <f>IFERROR(INDEX(BPC_NOTAS2[#All],MATCH($B40&amp;"_"&amp;O$16,BPC_NOTAS2[[#All],[FILA_COLUMNA]],0),2),"")</f>
        <v/>
      </c>
      <c r="P40" s="222"/>
      <c r="Q40" s="222"/>
      <c r="R40" s="222"/>
      <c r="T40" s="545" t="s">
        <v>10383</v>
      </c>
      <c r="U40" s="545" t="s">
        <v>14312</v>
      </c>
      <c r="V40" s="545" t="s">
        <v>9572</v>
      </c>
      <c r="W40" s="545">
        <v>11602022</v>
      </c>
      <c r="X40" s="545"/>
      <c r="Y40" s="545"/>
      <c r="Z40" s="19" t="str">
        <f t="shared" si="3"/>
        <v>Ok</v>
      </c>
      <c r="AA40" s="19" t="str">
        <f>+IF(C40="","OK",IF(OR(C40=$C$54,C40=$C$53,C40=$C$52,C40=$C$51,C40=$C$50,C40=$C$49,C40=$C$48,C40=$C$47,C40=$C$46,C40=$C$45,C40=$C$44,C40=$C$43,C40=$C$42,C40=$C$41,C40=$C$39,C40=$C$38,C40=$C$37,C40=$C$36,C40=$C$35,C40=$C$34,C40=$C$33,C40=$C$32,C40=$C$31,C40=$C$30,C40=$C$29,C40=$C$28,C40=$C$27,C40=$C$26,C40=$C$25,C40=$C$24,C40=$C$23,C40=$C$22,C40=$C$21,C40=$C$20,C40=$C$19),"Error","Ok"))</f>
        <v>OK</v>
      </c>
      <c r="AB40" s="597">
        <f t="shared" si="2"/>
        <v>0</v>
      </c>
      <c r="AC40" s="446"/>
      <c r="AD40" s="446"/>
      <c r="AE40" s="1"/>
      <c r="AF40" s="620" t="s">
        <v>14841</v>
      </c>
    </row>
    <row r="41" spans="1:32">
      <c r="A41" s="99">
        <f t="shared" si="0"/>
        <v>0</v>
      </c>
      <c r="B41" s="612" t="str">
        <f>IFERROR(INDEX(ORGANIZACION[#All],MATCH($C41,ORGANIZACION[[#All],[ENTIDAD]],0),2),"")</f>
        <v/>
      </c>
      <c r="C41" s="622"/>
      <c r="D41" s="424" t="str">
        <f>IFERROR(INDEX(ORGANIZACION[#All],MATCH($C41,ORGANIZACION[[#All],[ENTIDAD]],0),3),"")</f>
        <v/>
      </c>
      <c r="E41" s="221"/>
      <c r="F41" s="221"/>
      <c r="G41" s="221"/>
      <c r="H41" s="221"/>
      <c r="I41" s="292"/>
      <c r="J41" s="402"/>
      <c r="K41" s="402" t="e">
        <f ca="1" xml:space="preserve"> _xll.EPMOlapMemberO("[FILA_NOTA].[PARENTH1].[11601024]","","11601024","","001")</f>
        <v>#NAME?</v>
      </c>
      <c r="L41" s="427" t="str">
        <f>IFERROR(INDEX(BPC_NOTAS2[#All],MATCH($B41&amp;"_"&amp;L$16,BPC_NOTAS2[[#All],[FILA_COLUMNA]],0),2),"")</f>
        <v/>
      </c>
      <c r="M41" s="427" t="str">
        <f>IFERROR(INDEX(BPC_NOTAS2[#All],MATCH($B41&amp;"_"&amp;M$16,BPC_NOTAS2[[#All],[FILA_COLUMNA]],0),2),"")</f>
        <v/>
      </c>
      <c r="N41" s="427" t="str">
        <f>IFERROR(INDEX(BPC_NOTAS2[#All],MATCH($B41&amp;"_"&amp;N$16,BPC_NOTAS2[[#All],[FILA_COLUMNA]],0),2),"")</f>
        <v/>
      </c>
      <c r="O41" s="427" t="str">
        <f>IFERROR(INDEX(BPC_NOTAS2[#All],MATCH($B41&amp;"_"&amp;O$16,BPC_NOTAS2[[#All],[FILA_COLUMNA]],0),2),"")</f>
        <v/>
      </c>
      <c r="P41" s="222"/>
      <c r="Q41" s="222"/>
      <c r="R41" s="222"/>
      <c r="T41" s="545" t="s">
        <v>10383</v>
      </c>
      <c r="U41" s="545" t="s">
        <v>19080</v>
      </c>
      <c r="V41" s="545" t="s">
        <v>9573</v>
      </c>
      <c r="W41" s="545">
        <v>11602023</v>
      </c>
      <c r="X41" s="545"/>
      <c r="Y41" s="545"/>
      <c r="Z41" s="19" t="str">
        <f t="shared" si="3"/>
        <v>Ok</v>
      </c>
      <c r="AA41" s="19" t="str">
        <f>+IF(C41="","OK",IF(OR(C41=$C$54,C41=$C$53,C41=$C$52,C41=$C$51,C41=$C$50,C41=$C$49,C41=$C$48,C41=$C$47,C41=$C$46,C41=$C$45,C41=$C$44,C41=$C$43,C41=$C$42,C41=$C$40,C41=$C$39,C41=$C$38,C41=$C$37,C41=$C$36,C41=$C$35,C41=$C$34,C41=$C$33,C41=$C$32,C41=$C$31,C41=$C$30,C41=$C$29,C41=$C$28,C41=$C$27,C41=$C$26,C41=$C$25,C41=$C$24,C41=$C$23,C41=$C$22,C41=$C$21,C41=$C$20,C41=$C$19),"Error","Ok"))</f>
        <v>OK</v>
      </c>
      <c r="AB41" s="597">
        <f t="shared" si="2"/>
        <v>0</v>
      </c>
      <c r="AC41" s="446"/>
      <c r="AD41" s="446"/>
      <c r="AE41" s="1"/>
      <c r="AF41" s="619" t="s">
        <v>14842</v>
      </c>
    </row>
    <row r="42" spans="1:32">
      <c r="A42" s="99">
        <f t="shared" si="0"/>
        <v>0</v>
      </c>
      <c r="B42" s="612" t="str">
        <f>IFERROR(INDEX(ORGANIZACION[#All],MATCH($C42,ORGANIZACION[[#All],[ENTIDAD]],0),2),"")</f>
        <v/>
      </c>
      <c r="C42" s="622"/>
      <c r="D42" s="424" t="str">
        <f>IFERROR(INDEX(ORGANIZACION[#All],MATCH($C42,ORGANIZACION[[#All],[ENTIDAD]],0),3),"")</f>
        <v/>
      </c>
      <c r="E42" s="221"/>
      <c r="F42" s="221"/>
      <c r="G42" s="221"/>
      <c r="H42" s="221"/>
      <c r="I42" s="292"/>
      <c r="J42" s="402"/>
      <c r="K42" s="402" t="e">
        <f ca="1" xml:space="preserve"> _xll.EPMOlapMemberO("[FILA_NOTA].[PARENTH1].[11601025]","","11601025","","001")</f>
        <v>#NAME?</v>
      </c>
      <c r="L42" s="427" t="str">
        <f>IFERROR(INDEX(BPC_NOTAS2[#All],MATCH($B42&amp;"_"&amp;L$16,BPC_NOTAS2[[#All],[FILA_COLUMNA]],0),2),"")</f>
        <v/>
      </c>
      <c r="M42" s="427" t="str">
        <f>IFERROR(INDEX(BPC_NOTAS2[#All],MATCH($B42&amp;"_"&amp;M$16,BPC_NOTAS2[[#All],[FILA_COLUMNA]],0),2),"")</f>
        <v/>
      </c>
      <c r="N42" s="427" t="str">
        <f>IFERROR(INDEX(BPC_NOTAS2[#All],MATCH($B42&amp;"_"&amp;N$16,BPC_NOTAS2[[#All],[FILA_COLUMNA]],0),2),"")</f>
        <v/>
      </c>
      <c r="O42" s="427" t="str">
        <f>IFERROR(INDEX(BPC_NOTAS2[#All],MATCH($B42&amp;"_"&amp;O$16,BPC_NOTAS2[[#All],[FILA_COLUMNA]],0),2),"")</f>
        <v/>
      </c>
      <c r="P42" s="222"/>
      <c r="Q42" s="222"/>
      <c r="R42" s="222"/>
      <c r="T42" s="545" t="s">
        <v>10383</v>
      </c>
      <c r="U42" s="545" t="s">
        <v>19075</v>
      </c>
      <c r="V42" s="545" t="s">
        <v>9574</v>
      </c>
      <c r="W42" s="545">
        <v>11602024</v>
      </c>
      <c r="X42" s="545"/>
      <c r="Y42" s="545"/>
      <c r="Z42" s="19" t="str">
        <f t="shared" si="3"/>
        <v>Ok</v>
      </c>
      <c r="AA42" s="19" t="str">
        <f>+IF(C42="","OK",IF(OR(C42=$C$54,C42=$C$53,C42=$C$52,C42=$C$51,C42=$C$50,C42=$C$49,C42=$C$48,C42=$C$47,C42=$C$46,C42=$C$45,C42=$C$44,C42=$C$43,C42=$C$41,C42=$C$40,C42=$C$39,C42=$C$38,C42=$C$37,C42=$C$36,C42=$C$35,C42=$C$34,C42=$C$33,C42=$C$32,C42=$C$31,C42=$C$30,C42=$C$29,C42=$C$28,C42=$C$27,C42=$C$26,C42=$C$25,C42=$C$24,C42=$C$23,C42=$C$22,C42=$C$21,C42=$C$20,C42=$C$19),"Error","Ok"))</f>
        <v>OK</v>
      </c>
      <c r="AB42" s="597">
        <f t="shared" si="2"/>
        <v>0</v>
      </c>
      <c r="AC42" s="446"/>
      <c r="AD42" s="446"/>
      <c r="AE42" s="1"/>
      <c r="AF42" s="620" t="s">
        <v>14843</v>
      </c>
    </row>
    <row r="43" spans="1:32">
      <c r="A43" s="99">
        <f t="shared" si="0"/>
        <v>0</v>
      </c>
      <c r="B43" s="612" t="str">
        <f>IFERROR(INDEX(ORGANIZACION[#All],MATCH($C43,ORGANIZACION[[#All],[ENTIDAD]],0),2),"")</f>
        <v/>
      </c>
      <c r="C43" s="622"/>
      <c r="D43" s="424" t="str">
        <f>IFERROR(INDEX(ORGANIZACION[#All],MATCH($C43,ORGANIZACION[[#All],[ENTIDAD]],0),3),"")</f>
        <v/>
      </c>
      <c r="E43" s="221"/>
      <c r="F43" s="221"/>
      <c r="G43" s="221"/>
      <c r="H43" s="221"/>
      <c r="I43" s="292"/>
      <c r="J43" s="402"/>
      <c r="K43" s="402" t="e">
        <f ca="1" xml:space="preserve"> _xll.EPMOlapMemberO("[FILA_NOTA].[PARENTH1].[11601026]","","11601026","","001")</f>
        <v>#NAME?</v>
      </c>
      <c r="L43" s="427" t="str">
        <f>IFERROR(INDEX(BPC_NOTAS2[#All],MATCH($B43&amp;"_"&amp;L$16,BPC_NOTAS2[[#All],[FILA_COLUMNA]],0),2),"")</f>
        <v/>
      </c>
      <c r="M43" s="427" t="str">
        <f>IFERROR(INDEX(BPC_NOTAS2[#All],MATCH($B43&amp;"_"&amp;M$16,BPC_NOTAS2[[#All],[FILA_COLUMNA]],0),2),"")</f>
        <v/>
      </c>
      <c r="N43" s="427" t="str">
        <f>IFERROR(INDEX(BPC_NOTAS2[#All],MATCH($B43&amp;"_"&amp;N$16,BPC_NOTAS2[[#All],[FILA_COLUMNA]],0),2),"")</f>
        <v/>
      </c>
      <c r="O43" s="427" t="str">
        <f>IFERROR(INDEX(BPC_NOTAS2[#All],MATCH($B43&amp;"_"&amp;O$16,BPC_NOTAS2[[#All],[FILA_COLUMNA]],0),2),"")</f>
        <v/>
      </c>
      <c r="P43" s="222"/>
      <c r="Q43" s="222"/>
      <c r="R43" s="222"/>
      <c r="T43" s="545" t="s">
        <v>10383</v>
      </c>
      <c r="U43" s="545" t="s">
        <v>19073</v>
      </c>
      <c r="V43" s="545" t="s">
        <v>9575</v>
      </c>
      <c r="W43" s="545">
        <v>11602025</v>
      </c>
      <c r="X43" s="545"/>
      <c r="Y43" s="545"/>
      <c r="Z43" s="19" t="str">
        <f t="shared" si="3"/>
        <v>Ok</v>
      </c>
      <c r="AA43" s="19" t="str">
        <f>+IF(C43="","OK",IF(OR(C43=$C$54,C43=$C$53,C43=$C$52,C43=$C$51,C43=$C$50,C43=$C$49,C43=$C$48,C43=$C$47,C43=$C$46,C43=$C$45,C43=$C$44,C43=$C$42,C43=$C$41,C43=$C$40,C43=$C$39,C43=$C$38,C43=$C$37,C43=$C$36,C43=$C$35,C43=$C$34,C43=$C$33,C43=$C$32,C43=$C$31,C43=$C$30,C43=$C$29,C43=$C$28,C43=$C$27,C43=$C$26,C43=$C$25,C43=$C$24,C43=$C$23,C43=$C$22,C43=$C$21,C43=$C$20,C43=$C$19),"Error","Ok"))</f>
        <v>OK</v>
      </c>
      <c r="AB43" s="597">
        <f t="shared" si="2"/>
        <v>0</v>
      </c>
      <c r="AC43" s="446"/>
      <c r="AD43" s="446"/>
      <c r="AE43" s="1"/>
      <c r="AF43" s="619" t="s">
        <v>14844</v>
      </c>
    </row>
    <row r="44" spans="1:32">
      <c r="A44" s="99">
        <f t="shared" si="0"/>
        <v>0</v>
      </c>
      <c r="B44" s="612" t="str">
        <f>IFERROR(INDEX(ORGANIZACION[#All],MATCH($C44,ORGANIZACION[[#All],[ENTIDAD]],0),2),"")</f>
        <v/>
      </c>
      <c r="C44" s="622"/>
      <c r="D44" s="424" t="str">
        <f>IFERROR(INDEX(ORGANIZACION[#All],MATCH($C44,ORGANIZACION[[#All],[ENTIDAD]],0),3),"")</f>
        <v/>
      </c>
      <c r="E44" s="221"/>
      <c r="F44" s="221"/>
      <c r="G44" s="221"/>
      <c r="H44" s="221"/>
      <c r="I44" s="292"/>
      <c r="J44" s="402"/>
      <c r="K44" s="402" t="e">
        <f ca="1" xml:space="preserve"> _xll.EPMOlapMemberO("[FILA_NOTA].[PARENTH1].[11601027]","","11601027","","001")</f>
        <v>#NAME?</v>
      </c>
      <c r="L44" s="427" t="str">
        <f>IFERROR(INDEX(BPC_NOTAS2[#All],MATCH($B44&amp;"_"&amp;L$16,BPC_NOTAS2[[#All],[FILA_COLUMNA]],0),2),"")</f>
        <v/>
      </c>
      <c r="M44" s="427" t="str">
        <f>IFERROR(INDEX(BPC_NOTAS2[#All],MATCH($B44&amp;"_"&amp;M$16,BPC_NOTAS2[[#All],[FILA_COLUMNA]],0),2),"")</f>
        <v/>
      </c>
      <c r="N44" s="427" t="str">
        <f>IFERROR(INDEX(BPC_NOTAS2[#All],MATCH($B44&amp;"_"&amp;N$16,BPC_NOTAS2[[#All],[FILA_COLUMNA]],0),2),"")</f>
        <v/>
      </c>
      <c r="O44" s="427" t="str">
        <f>IFERROR(INDEX(BPC_NOTAS2[#All],MATCH($B44&amp;"_"&amp;O$16,BPC_NOTAS2[[#All],[FILA_COLUMNA]],0),2),"")</f>
        <v/>
      </c>
      <c r="P44" s="222"/>
      <c r="Q44" s="222"/>
      <c r="R44" s="222"/>
      <c r="T44" s="545" t="s">
        <v>10383</v>
      </c>
      <c r="U44" s="545" t="s">
        <v>14324</v>
      </c>
      <c r="V44" s="545" t="s">
        <v>9576</v>
      </c>
      <c r="W44" s="545">
        <v>11602026</v>
      </c>
      <c r="X44" s="545"/>
      <c r="Y44" s="545"/>
      <c r="Z44" s="19" t="str">
        <f t="shared" si="3"/>
        <v>Ok</v>
      </c>
      <c r="AA44" s="19" t="str">
        <f>+IF(C44="","OK",IF(OR(C44=$C$54,C44=$C$53,C44=$C$52,C44=$C$51,C44=$C$50,C44=$C$49,C44=$C$48,C44=$C$47,C44=$C$46,C44=$C$45,C44=$C$43,C44=$C$42,C44=$C$41,C44=$C$40,C44=$C$39,C44=$C$38,C44=$C$37,C44=$C$36,C44=$C$35,C44=$C$34,C44=$C$33,C44=$C$32,C44=$C$31,C44=$C$30,C44=$C$29,C44=$C$28,C44=$C$27,C44=$C$26,C44=$C$25,C44=$C$24,C44=$C$23,C44=$C$22,C44=$C$21,C44=$C$20,C44=$C$19),"Error","Ok"))</f>
        <v>OK</v>
      </c>
      <c r="AB44" s="597">
        <f t="shared" si="2"/>
        <v>0</v>
      </c>
      <c r="AC44" s="446"/>
      <c r="AD44" s="446"/>
      <c r="AE44" s="1"/>
      <c r="AF44" s="620" t="s">
        <v>14845</v>
      </c>
    </row>
    <row r="45" spans="1:32">
      <c r="A45" s="99">
        <f t="shared" si="0"/>
        <v>0</v>
      </c>
      <c r="B45" s="612" t="str">
        <f>IFERROR(INDEX(ORGANIZACION[#All],MATCH($C45,ORGANIZACION[[#All],[ENTIDAD]],0),2),"")</f>
        <v/>
      </c>
      <c r="C45" s="622"/>
      <c r="D45" s="424" t="str">
        <f>IFERROR(INDEX(ORGANIZACION[#All],MATCH($C45,ORGANIZACION[[#All],[ENTIDAD]],0),3),"")</f>
        <v/>
      </c>
      <c r="E45" s="221"/>
      <c r="F45" s="221"/>
      <c r="G45" s="221"/>
      <c r="H45" s="221"/>
      <c r="I45" s="292"/>
      <c r="J45" s="402"/>
      <c r="K45" s="402" t="e">
        <f ca="1" xml:space="preserve"> _xll.EPMOlapMemberO("[FILA_NOTA].[PARENTH1].[11601028]","","11601028","","001")</f>
        <v>#NAME?</v>
      </c>
      <c r="L45" s="427" t="str">
        <f>IFERROR(INDEX(BPC_NOTAS2[#All],MATCH($B45&amp;"_"&amp;L$16,BPC_NOTAS2[[#All],[FILA_COLUMNA]],0),2),"")</f>
        <v/>
      </c>
      <c r="M45" s="427" t="str">
        <f>IFERROR(INDEX(BPC_NOTAS2[#All],MATCH($B45&amp;"_"&amp;M$16,BPC_NOTAS2[[#All],[FILA_COLUMNA]],0),2),"")</f>
        <v/>
      </c>
      <c r="N45" s="427" t="str">
        <f>IFERROR(INDEX(BPC_NOTAS2[#All],MATCH($B45&amp;"_"&amp;N$16,BPC_NOTAS2[[#All],[FILA_COLUMNA]],0),2),"")</f>
        <v/>
      </c>
      <c r="O45" s="427" t="str">
        <f>IFERROR(INDEX(BPC_NOTAS2[#All],MATCH($B45&amp;"_"&amp;O$16,BPC_NOTAS2[[#All],[FILA_COLUMNA]],0),2),"")</f>
        <v/>
      </c>
      <c r="P45" s="222"/>
      <c r="Q45" s="222"/>
      <c r="R45" s="222"/>
      <c r="T45" s="545" t="s">
        <v>10383</v>
      </c>
      <c r="U45" s="545" t="s">
        <v>14313</v>
      </c>
      <c r="V45" s="545" t="s">
        <v>9577</v>
      </c>
      <c r="W45" s="545">
        <v>11602027</v>
      </c>
      <c r="X45" s="545"/>
      <c r="Y45" s="545"/>
      <c r="Z45" s="19" t="str">
        <f t="shared" si="3"/>
        <v>Ok</v>
      </c>
      <c r="AA45" s="19" t="str">
        <f>+IF(C45="","OK",IF(OR(C45=$C$54,C45=$C$53,C45=$C$52,C45=$C$51,C45=$C$50,C45=$C$49,C45=$C$48,C45=$C$47,C45=$C$46,C45=$C$44,C45=$C$43,C45=$C$42,C45=$C$41,C45=$C$40,C45=$C$39,C45=$C$38,C45=$C$37,C45=$C$36,C45=$C$35,C45=$C$34,C45=$C$33,C45=$C$32,C45=$C$31,C45=$C$30,C45=$C$29,C45=$C$28,C45=$C$27,C45=$C$26,C45=$C$25,C45=$C$24,C45=$C$23,C45=$C$22,C45=$C$21,C45=$C$20,C45=$C$19),"Error","Ok"))</f>
        <v>OK</v>
      </c>
      <c r="AB45" s="597">
        <f t="shared" si="2"/>
        <v>0</v>
      </c>
      <c r="AC45" s="446"/>
      <c r="AD45" s="446"/>
      <c r="AE45" s="1"/>
      <c r="AF45" s="619" t="s">
        <v>14846</v>
      </c>
    </row>
    <row r="46" spans="1:32">
      <c r="A46" s="99">
        <f t="shared" si="0"/>
        <v>0</v>
      </c>
      <c r="B46" s="612" t="str">
        <f>IFERROR(INDEX(ORGANIZACION[#All],MATCH($C46,ORGANIZACION[[#All],[ENTIDAD]],0),2),"")</f>
        <v/>
      </c>
      <c r="C46" s="622"/>
      <c r="D46" s="424" t="str">
        <f>IFERROR(INDEX(ORGANIZACION[#All],MATCH($C46,ORGANIZACION[[#All],[ENTIDAD]],0),3),"")</f>
        <v/>
      </c>
      <c r="E46" s="221"/>
      <c r="F46" s="221"/>
      <c r="G46" s="221"/>
      <c r="H46" s="221"/>
      <c r="I46" s="292"/>
      <c r="J46" s="402"/>
      <c r="K46" s="402" t="e">
        <f ca="1" xml:space="preserve"> _xll.EPMOlapMemberO("[FILA_NOTA].[PARENTH1].[11601079]","","11601079","","001")</f>
        <v>#NAME?</v>
      </c>
      <c r="L46" s="427" t="str">
        <f>IFERROR(INDEX(BPC_NOTAS2[#All],MATCH($B46&amp;"_"&amp;L$16,BPC_NOTAS2[[#All],[FILA_COLUMNA]],0),2),"")</f>
        <v/>
      </c>
      <c r="M46" s="427" t="str">
        <f>IFERROR(INDEX(BPC_NOTAS2[#All],MATCH($B46&amp;"_"&amp;M$16,BPC_NOTAS2[[#All],[FILA_COLUMNA]],0),2),"")</f>
        <v/>
      </c>
      <c r="N46" s="427" t="str">
        <f>IFERROR(INDEX(BPC_NOTAS2[#All],MATCH($B46&amp;"_"&amp;N$16,BPC_NOTAS2[[#All],[FILA_COLUMNA]],0),2),"")</f>
        <v/>
      </c>
      <c r="O46" s="427" t="str">
        <f>IFERROR(INDEX(BPC_NOTAS2[#All],MATCH($B46&amp;"_"&amp;O$16,BPC_NOTAS2[[#All],[FILA_COLUMNA]],0),2),"")</f>
        <v/>
      </c>
      <c r="P46" s="222"/>
      <c r="Q46" s="222"/>
      <c r="R46" s="222"/>
      <c r="T46" s="545" t="s">
        <v>19148</v>
      </c>
      <c r="U46" s="545" t="s">
        <v>14349</v>
      </c>
      <c r="V46" s="545" t="s">
        <v>9628</v>
      </c>
      <c r="W46" s="545">
        <v>11602028</v>
      </c>
      <c r="X46" s="545"/>
      <c r="Y46" s="545"/>
      <c r="Z46" s="19" t="str">
        <f t="shared" si="3"/>
        <v>Ok</v>
      </c>
      <c r="AA46" s="19" t="str">
        <f>+IF(C46="","OK",IF(OR(C46=$C$54,C46=$C$53,C46=$C$52,C46=$C$51,C46=$C$50,C46=$C$49,C46=$C$48,C46=$C$47,C46=$C$45,C46=$C$44,C46=$C$43,C46=$C$42,C46=$C$41,C46=$C$40,C46=$C$39,C46=$C$38,C46=$C$37,C46=$C$36,C46=$C$35,C46=$C$34,C46=$C$33,C46=$C$32,C46=$C$31,C46=$C$30,C46=$C$29,C46=$C$28,C46=$C$27,C46=$C$26,C46=$C$25,C46=$C$24,C46=$C$23,C46=$C$22,C46=$C$21,C46=$C$20,C46=$C$19),"Error","Ok"))</f>
        <v>OK</v>
      </c>
      <c r="AB46" s="597">
        <f t="shared" si="2"/>
        <v>0</v>
      </c>
      <c r="AC46" s="446"/>
      <c r="AD46" s="446"/>
      <c r="AE46" s="1"/>
      <c r="AF46" s="620" t="s">
        <v>14847</v>
      </c>
    </row>
    <row r="47" spans="1:32">
      <c r="A47" s="99">
        <f t="shared" si="0"/>
        <v>0</v>
      </c>
      <c r="B47" s="612" t="str">
        <f>IFERROR(INDEX(ORGANIZACION[#All],MATCH($C47,ORGANIZACION[[#All],[ENTIDAD]],0),2),"")</f>
        <v/>
      </c>
      <c r="C47" s="622"/>
      <c r="D47" s="424" t="str">
        <f>IFERROR(INDEX(ORGANIZACION[#All],MATCH($C47,ORGANIZACION[[#All],[ENTIDAD]],0),3),"")</f>
        <v/>
      </c>
      <c r="E47" s="221"/>
      <c r="F47" s="221"/>
      <c r="G47" s="221"/>
      <c r="H47" s="221"/>
      <c r="I47" s="292"/>
      <c r="J47" s="402"/>
      <c r="K47" s="402" t="e">
        <f ca="1" xml:space="preserve"> _xll.EPMOlapMemberO("[FILA_NOTA].[PARENTH1].[11601029]","","11601029","","001")</f>
        <v>#NAME?</v>
      </c>
      <c r="L47" s="427" t="str">
        <f>IFERROR(INDEX(BPC_NOTAS2[#All],MATCH($B47&amp;"_"&amp;L$16,BPC_NOTAS2[[#All],[FILA_COLUMNA]],0),2),"")</f>
        <v/>
      </c>
      <c r="M47" s="427" t="str">
        <f>IFERROR(INDEX(BPC_NOTAS2[#All],MATCH($B47&amp;"_"&amp;M$16,BPC_NOTAS2[[#All],[FILA_COLUMNA]],0),2),"")</f>
        <v/>
      </c>
      <c r="N47" s="427" t="str">
        <f>IFERROR(INDEX(BPC_NOTAS2[#All],MATCH($B47&amp;"_"&amp;N$16,BPC_NOTAS2[[#All],[FILA_COLUMNA]],0),2),"")</f>
        <v/>
      </c>
      <c r="O47" s="427" t="str">
        <f>IFERROR(INDEX(BPC_NOTAS2[#All],MATCH($B47&amp;"_"&amp;O$16,BPC_NOTAS2[[#All],[FILA_COLUMNA]],0),2),"")</f>
        <v/>
      </c>
      <c r="P47" s="222"/>
      <c r="Q47" s="222"/>
      <c r="R47" s="222"/>
      <c r="T47" s="545" t="s">
        <v>10383</v>
      </c>
      <c r="U47" s="545" t="s">
        <v>19074</v>
      </c>
      <c r="V47" s="545" t="s">
        <v>9578</v>
      </c>
      <c r="W47" s="545">
        <v>11602029</v>
      </c>
      <c r="X47" s="545"/>
      <c r="Y47" s="545"/>
      <c r="Z47" s="19" t="str">
        <f t="shared" si="3"/>
        <v>Ok</v>
      </c>
      <c r="AA47" s="19" t="str">
        <f>+IF(C47="","OK",IF(OR(C47=$C$54,C47=$C$53,C47=$C$52,C47=$C$51,C47=$C$50,C47=$C$49,C47=$C$48,C47=$C$46,C47=$C$45,C47=$C$44,C47=$C$43,C47=$C$42,C47=$C$41,C47=$C$40,C47=$C$39,C47=$C$38,C47=$C$37,C47=$C$36,C47=$C$35,C47=$C$34,C47=$C$33,C47=$C$32,C47=$C$31,C47=$C$30,C47=$C$29,C47=$C$28,C47=$C$27,C47=$C$26,C47=$C$25,C47=$C$24,C47=$C$23,C47=$C$22,C47=$C$21,C47=$C$20,C47=$C$19),"Error","Ok"))</f>
        <v>OK</v>
      </c>
      <c r="AB47" s="597">
        <f t="shared" si="2"/>
        <v>0</v>
      </c>
      <c r="AC47" s="446"/>
      <c r="AD47" s="446"/>
      <c r="AE47" s="1"/>
      <c r="AF47" s="619" t="s">
        <v>14848</v>
      </c>
    </row>
    <row r="48" spans="1:32">
      <c r="A48" s="99">
        <f t="shared" si="0"/>
        <v>0</v>
      </c>
      <c r="B48" s="612" t="str">
        <f>IFERROR(INDEX(ORGANIZACION[#All],MATCH($C48,ORGANIZACION[[#All],[ENTIDAD]],0),2),"")</f>
        <v/>
      </c>
      <c r="C48" s="622"/>
      <c r="D48" s="424" t="str">
        <f>IFERROR(INDEX(ORGANIZACION[#All],MATCH($C48,ORGANIZACION[[#All],[ENTIDAD]],0),3),"")</f>
        <v/>
      </c>
      <c r="E48" s="221"/>
      <c r="F48" s="221"/>
      <c r="G48" s="221"/>
      <c r="H48" s="221"/>
      <c r="I48" s="292"/>
      <c r="J48" s="402"/>
      <c r="K48" s="402" t="e">
        <f ca="1" xml:space="preserve"> _xll.EPMOlapMemberO("[FILA_NOTA].[PARENTH1].[11601030]","","11601030","","001")</f>
        <v>#NAME?</v>
      </c>
      <c r="L48" s="427" t="str">
        <f>IFERROR(INDEX(BPC_NOTAS2[#All],MATCH($B48&amp;"_"&amp;L$16,BPC_NOTAS2[[#All],[FILA_COLUMNA]],0),2),"")</f>
        <v/>
      </c>
      <c r="M48" s="427" t="str">
        <f>IFERROR(INDEX(BPC_NOTAS2[#All],MATCH($B48&amp;"_"&amp;M$16,BPC_NOTAS2[[#All],[FILA_COLUMNA]],0),2),"")</f>
        <v/>
      </c>
      <c r="N48" s="427" t="str">
        <f>IFERROR(INDEX(BPC_NOTAS2[#All],MATCH($B48&amp;"_"&amp;N$16,BPC_NOTAS2[[#All],[FILA_COLUMNA]],0),2),"")</f>
        <v/>
      </c>
      <c r="O48" s="427" t="str">
        <f>IFERROR(INDEX(BPC_NOTAS2[#All],MATCH($B48&amp;"_"&amp;O$16,BPC_NOTAS2[[#All],[FILA_COLUMNA]],0),2),"")</f>
        <v/>
      </c>
      <c r="P48" s="222"/>
      <c r="Q48" s="222"/>
      <c r="R48" s="222"/>
      <c r="T48" s="545" t="s">
        <v>10383</v>
      </c>
      <c r="U48" s="545" t="s">
        <v>19109</v>
      </c>
      <c r="V48" s="545" t="s">
        <v>9579</v>
      </c>
      <c r="W48" s="545">
        <v>11602030</v>
      </c>
      <c r="X48" s="545"/>
      <c r="Y48" s="545"/>
      <c r="Z48" s="19" t="str">
        <f t="shared" si="3"/>
        <v>Ok</v>
      </c>
      <c r="AA48" s="19" t="str">
        <f>+IF(C48="","OK",IF(OR(C48=$C$54,C48=$C$53,C48=$C$52,C48=$C$51,C48=$C$50,C48=$C$49,C48=$C$47,C48=$C$46,C48=$C$45,C48=$C$44,C48=$C$43,C48=$C$42,C48=$C$41,C48=$C$40,C48=$C$39,C48=$C$38,C48=$C$37,C48=$C$36,C48=$C$35,C48=$C$34,C48=$C$33,C48=$C$32,C48=$C$31,C48=$C$30,C48=$C$29,C48=$C$28,C48=$C$27,C48=$C$26,C48=$C$25,C48=$C$24,C48=$C$23,C48=$C$22,C48=$C$21,C48=$C$20,C48=$C$19),"Error","Ok"))</f>
        <v>OK</v>
      </c>
      <c r="AB48" s="597">
        <f t="shared" si="2"/>
        <v>0</v>
      </c>
      <c r="AC48" s="446"/>
      <c r="AD48" s="446"/>
      <c r="AE48" s="1"/>
      <c r="AF48" s="620" t="s">
        <v>14849</v>
      </c>
    </row>
    <row r="49" spans="1:32">
      <c r="A49" s="99">
        <f t="shared" si="0"/>
        <v>0</v>
      </c>
      <c r="B49" s="612" t="str">
        <f>IFERROR(INDEX(ORGANIZACION[#All],MATCH($C49,ORGANIZACION[[#All],[ENTIDAD]],0),2),"")</f>
        <v/>
      </c>
      <c r="C49" s="622"/>
      <c r="D49" s="424" t="str">
        <f>IFERROR(INDEX(ORGANIZACION[#All],MATCH($C49,ORGANIZACION[[#All],[ENTIDAD]],0),3),"")</f>
        <v/>
      </c>
      <c r="E49" s="221"/>
      <c r="F49" s="221"/>
      <c r="G49" s="221"/>
      <c r="H49" s="221"/>
      <c r="I49" s="292"/>
      <c r="J49" s="402"/>
      <c r="K49" s="402" t="e">
        <f ca="1" xml:space="preserve"> _xll.EPMOlapMemberO("[FILA_NOTA].[PARENTH1].[11601031]","","11601031","","001")</f>
        <v>#NAME?</v>
      </c>
      <c r="L49" s="427" t="str">
        <f>IFERROR(INDEX(BPC_NOTAS2[#All],MATCH($B49&amp;"_"&amp;L$16,BPC_NOTAS2[[#All],[FILA_COLUMNA]],0),2),"")</f>
        <v/>
      </c>
      <c r="M49" s="427" t="str">
        <f>IFERROR(INDEX(BPC_NOTAS2[#All],MATCH($B49&amp;"_"&amp;M$16,BPC_NOTAS2[[#All],[FILA_COLUMNA]],0),2),"")</f>
        <v/>
      </c>
      <c r="N49" s="427" t="str">
        <f>IFERROR(INDEX(BPC_NOTAS2[#All],MATCH($B49&amp;"_"&amp;N$16,BPC_NOTAS2[[#All],[FILA_COLUMNA]],0),2),"")</f>
        <v/>
      </c>
      <c r="O49" s="427" t="str">
        <f>IFERROR(INDEX(BPC_NOTAS2[#All],MATCH($B49&amp;"_"&amp;O$16,BPC_NOTAS2[[#All],[FILA_COLUMNA]],0),2),"")</f>
        <v/>
      </c>
      <c r="P49" s="222"/>
      <c r="Q49" s="222"/>
      <c r="R49" s="222"/>
      <c r="T49" s="545" t="s">
        <v>10383</v>
      </c>
      <c r="U49" s="545" t="s">
        <v>19108</v>
      </c>
      <c r="V49" s="545" t="s">
        <v>9580</v>
      </c>
      <c r="W49" s="545">
        <v>11602031</v>
      </c>
      <c r="X49" s="545"/>
      <c r="Y49" s="545"/>
      <c r="Z49" s="19" t="str">
        <f t="shared" si="3"/>
        <v>Ok</v>
      </c>
      <c r="AA49" s="19" t="str">
        <f>+IF(C49="","OK",IF(OR(C49=$C$54,C49=$C$53,C49=$C$52,C49=$C$51,C49=$C$50,C49=$C$48,C49=$C$47,C49=$C$46,C49=$C$45,C49=$C$44,C49=$C$43,C49=$C$42,C49=$C$41,C49=$C$40,C49=$C$39,C49=$C$38,C49=$C$37,C49=$C$36,C49=$C$35,C49=$C$34,C49=$C$33,C49=$C$32,C49=$C$31,C49=$C$30,C49=$C$29,C49=$C$28,C49=$C$27,C49=$C$26,C49=$C$25,C49=$C$24,C49=$C$23,C49=$C$22,C49=$C$21,C49=$C$20,C49=$C$19),"Error","Ok"))</f>
        <v>OK</v>
      </c>
      <c r="AB49" s="597">
        <f t="shared" si="2"/>
        <v>0</v>
      </c>
      <c r="AC49" s="446"/>
      <c r="AD49" s="446"/>
      <c r="AE49" s="1"/>
      <c r="AF49" s="619" t="s">
        <v>14850</v>
      </c>
    </row>
    <row r="50" spans="1:32">
      <c r="A50" s="99">
        <f t="shared" si="0"/>
        <v>0</v>
      </c>
      <c r="B50" s="612" t="str">
        <f>IFERROR(INDEX(ORGANIZACION[#All],MATCH($C50,ORGANIZACION[[#All],[ENTIDAD]],0),2),"")</f>
        <v/>
      </c>
      <c r="C50" s="622"/>
      <c r="D50" s="424" t="str">
        <f>IFERROR(INDEX(ORGANIZACION[#All],MATCH($C50,ORGANIZACION[[#All],[ENTIDAD]],0),3),"")</f>
        <v/>
      </c>
      <c r="E50" s="221"/>
      <c r="F50" s="221"/>
      <c r="G50" s="221"/>
      <c r="H50" s="221"/>
      <c r="I50" s="292"/>
      <c r="J50" s="402"/>
      <c r="K50" s="402" t="e">
        <f ca="1" xml:space="preserve"> _xll.EPMOlapMemberO("[FILA_NOTA].[PARENTH1].[11601032]","","11601032","","001")</f>
        <v>#NAME?</v>
      </c>
      <c r="L50" s="427" t="str">
        <f>IFERROR(INDEX(BPC_NOTAS2[#All],MATCH($B50&amp;"_"&amp;L$16,BPC_NOTAS2[[#All],[FILA_COLUMNA]],0),2),"")</f>
        <v/>
      </c>
      <c r="M50" s="427" t="str">
        <f>IFERROR(INDEX(BPC_NOTAS2[#All],MATCH($B50&amp;"_"&amp;M$16,BPC_NOTAS2[[#All],[FILA_COLUMNA]],0),2),"")</f>
        <v/>
      </c>
      <c r="N50" s="427" t="str">
        <f>IFERROR(INDEX(BPC_NOTAS2[#All],MATCH($B50&amp;"_"&amp;N$16,BPC_NOTAS2[[#All],[FILA_COLUMNA]],0),2),"")</f>
        <v/>
      </c>
      <c r="O50" s="427" t="str">
        <f>IFERROR(INDEX(BPC_NOTAS2[#All],MATCH($B50&amp;"_"&amp;O$16,BPC_NOTAS2[[#All],[FILA_COLUMNA]],0),2),"")</f>
        <v/>
      </c>
      <c r="P50" s="222"/>
      <c r="Q50" s="222"/>
      <c r="R50" s="222"/>
      <c r="T50" s="545" t="s">
        <v>10383</v>
      </c>
      <c r="U50" s="545" t="s">
        <v>14314</v>
      </c>
      <c r="V50" s="545" t="s">
        <v>9581</v>
      </c>
      <c r="W50" s="545">
        <v>11602032</v>
      </c>
      <c r="X50" s="545"/>
      <c r="Y50" s="545"/>
      <c r="Z50" s="19" t="str">
        <f t="shared" si="3"/>
        <v>Ok</v>
      </c>
      <c r="AA50" s="19" t="str">
        <f>+IF(C50="","OK",IF(OR(C50=$C$54,C50=$C$53,C50=$C$52,C50=$C$51,C50=$C$49,C50=$C$48,C50=$C$47,C50=$C$46,C50=$C$45,C50=$C$44,C50=$C$43,C50=$C$42,C50=$C$41,C50=$C$40,C50=$C$39,C50=$C$38,C50=$C$37,C50=$C$36,C50=$C$35,C50=$C$34,C50=$C$33,C50=$C$32,C50=$C$31,C50=$C$30,C50=$C$29,C50=$C$28,C50=$C$27,C50=$C$26,C50=$C$25,C50=$C$24,C50=$C$23,C50=$C$22,C50=$C$21,C50=$C$20,C50=$C$19),"Error","Ok"))</f>
        <v>OK</v>
      </c>
      <c r="AB50" s="597">
        <f t="shared" si="2"/>
        <v>0</v>
      </c>
      <c r="AC50" s="446"/>
      <c r="AD50" s="446"/>
      <c r="AE50" s="1"/>
      <c r="AF50" s="620" t="s">
        <v>14851</v>
      </c>
    </row>
    <row r="51" spans="1:32">
      <c r="A51" s="99">
        <f t="shared" ref="A51:A83" si="4">IF(Z51="Error",1,0)</f>
        <v>0</v>
      </c>
      <c r="B51" s="612" t="str">
        <f>IFERROR(INDEX(ORGANIZACION[#All],MATCH($C51,ORGANIZACION[[#All],[ENTIDAD]],0),2),"")</f>
        <v/>
      </c>
      <c r="C51" s="622"/>
      <c r="D51" s="424" t="str">
        <f>IFERROR(INDEX(ORGANIZACION[#All],MATCH($C51,ORGANIZACION[[#All],[ENTIDAD]],0),3),"")</f>
        <v/>
      </c>
      <c r="E51" s="221"/>
      <c r="F51" s="221"/>
      <c r="G51" s="221"/>
      <c r="H51" s="221"/>
      <c r="I51" s="292"/>
      <c r="J51" s="402"/>
      <c r="K51" s="402" t="e">
        <f ca="1" xml:space="preserve"> _xll.EPMOlapMemberO("[FILA_NOTA].[PARENTH1].[11601033]","","11601033","","001")</f>
        <v>#NAME?</v>
      </c>
      <c r="L51" s="427" t="str">
        <f>IFERROR(INDEX(BPC_NOTAS2[#All],MATCH($B51&amp;"_"&amp;L$16,BPC_NOTAS2[[#All],[FILA_COLUMNA]],0),2),"")</f>
        <v/>
      </c>
      <c r="M51" s="427" t="str">
        <f>IFERROR(INDEX(BPC_NOTAS2[#All],MATCH($B51&amp;"_"&amp;M$16,BPC_NOTAS2[[#All],[FILA_COLUMNA]],0),2),"")</f>
        <v/>
      </c>
      <c r="N51" s="427" t="str">
        <f>IFERROR(INDEX(BPC_NOTAS2[#All],MATCH($B51&amp;"_"&amp;N$16,BPC_NOTAS2[[#All],[FILA_COLUMNA]],0),2),"")</f>
        <v/>
      </c>
      <c r="O51" s="427" t="str">
        <f>IFERROR(INDEX(BPC_NOTAS2[#All],MATCH($B51&amp;"_"&amp;O$16,BPC_NOTAS2[[#All],[FILA_COLUMNA]],0),2),"")</f>
        <v/>
      </c>
      <c r="P51" s="222"/>
      <c r="Q51" s="222"/>
      <c r="R51" s="222"/>
      <c r="T51" s="545" t="s">
        <v>10383</v>
      </c>
      <c r="U51" s="545" t="s">
        <v>19110</v>
      </c>
      <c r="V51" s="545" t="s">
        <v>9582</v>
      </c>
      <c r="W51" s="545">
        <v>11602033</v>
      </c>
      <c r="X51" s="545"/>
      <c r="Y51" s="545"/>
      <c r="Z51" s="19" t="str">
        <f t="shared" si="3"/>
        <v>Ok</v>
      </c>
      <c r="AA51" s="19" t="str">
        <f>+IF(C51="","OK",IF(OR(C51=$C$54,C51=$C$53,C51=$C$52,C51=$C$50,C51=$C$49,C51=$C$48,C51=$C$47,C51=$C$46,C51=$C$45,C51=$C$44,C51=$C$43,C51=$C$42,C51=$C$41,C51=$C$40,C51=$C$39,C51=$C$38,C51=$C$37,C51=$C$36,C51=$C$35,C51=$C$34,C51=$C$33,C51=$C$32,C51=$C$31,C51=$C$30,C51=$C$29,C51=$C$28,C51=$C$27,C51=$C$26,C51=$C$25,C51=$C$24,C51=$C$23,C51=$C$22,C51=$C$21,C51=$C$20,C51=$C$19),"Error","Ok"))</f>
        <v>OK</v>
      </c>
      <c r="AB51" s="597">
        <f t="shared" si="2"/>
        <v>0</v>
      </c>
      <c r="AC51" s="446"/>
      <c r="AD51" s="446"/>
      <c r="AE51" s="1"/>
    </row>
    <row r="52" spans="1:32">
      <c r="A52" s="99">
        <f t="shared" si="4"/>
        <v>0</v>
      </c>
      <c r="B52" s="612" t="str">
        <f>IFERROR(INDEX(ORGANIZACION[#All],MATCH($C52,ORGANIZACION[[#All],[ENTIDAD]],0),2),"")</f>
        <v/>
      </c>
      <c r="C52" s="622"/>
      <c r="D52" s="424" t="str">
        <f>IFERROR(INDEX(ORGANIZACION[#All],MATCH($C52,ORGANIZACION[[#All],[ENTIDAD]],0),3),"")</f>
        <v/>
      </c>
      <c r="E52" s="221"/>
      <c r="F52" s="221"/>
      <c r="G52" s="221"/>
      <c r="H52" s="221"/>
      <c r="I52" s="292"/>
      <c r="J52" s="402"/>
      <c r="K52" s="402" t="e">
        <f ca="1" xml:space="preserve"> _xll.EPMOlapMemberO("[FILA_NOTA].[PARENTH1].[11601034]","","11601034","","001")</f>
        <v>#NAME?</v>
      </c>
      <c r="L52" s="427" t="str">
        <f>IFERROR(INDEX(BPC_NOTAS2[#All],MATCH($B52&amp;"_"&amp;L$16,BPC_NOTAS2[[#All],[FILA_COLUMNA]],0),2),"")</f>
        <v/>
      </c>
      <c r="M52" s="427" t="str">
        <f>IFERROR(INDEX(BPC_NOTAS2[#All],MATCH($B52&amp;"_"&amp;M$16,BPC_NOTAS2[[#All],[FILA_COLUMNA]],0),2),"")</f>
        <v/>
      </c>
      <c r="N52" s="427" t="str">
        <f>IFERROR(INDEX(BPC_NOTAS2[#All],MATCH($B52&amp;"_"&amp;N$16,BPC_NOTAS2[[#All],[FILA_COLUMNA]],0),2),"")</f>
        <v/>
      </c>
      <c r="O52" s="427" t="str">
        <f>IFERROR(INDEX(BPC_NOTAS2[#All],MATCH($B52&amp;"_"&amp;O$16,BPC_NOTAS2[[#All],[FILA_COLUMNA]],0),2),"")</f>
        <v/>
      </c>
      <c r="P52" s="222"/>
      <c r="Q52" s="222"/>
      <c r="R52" s="222"/>
      <c r="T52" s="545" t="s">
        <v>10383</v>
      </c>
      <c r="U52" s="545" t="s">
        <v>19111</v>
      </c>
      <c r="V52" s="545" t="s">
        <v>9583</v>
      </c>
      <c r="W52" s="545">
        <v>11602034</v>
      </c>
      <c r="X52" s="545"/>
      <c r="Y52" s="545"/>
      <c r="Z52" s="19" t="str">
        <f t="shared" si="3"/>
        <v>Ok</v>
      </c>
      <c r="AA52" s="19" t="str">
        <f>+IF(C52="","OK",IF(OR(C52=$C$54,C52=$C$53,C52=$C$51,C52=$C$50,C52=$C$49,C52=$C$48,C52=$C$47,C52=$C$46,C52=$C$45,C52=$C$44,C52=$C$43,C52=$C$42,C52=$C$41,C52=$C$40,C52=$C$39,C52=$C$38,C52=$C$37,C52=$C$36,C52=$C$35,C52=$C$34,C52=$C$33,C52=$C$32,C52=$C$31,C52=$C$30,C52=$C$29,C52=$C$28,C52=$C$27,C52=$C$26,C52=$C$25,C52=$C$24,C52=$C$23,C52=$C$22,C52=$C$21,C52=$C$20,C52=$C$19),"Error","Ok"))</f>
        <v>OK</v>
      </c>
      <c r="AB52" s="597">
        <f t="shared" si="2"/>
        <v>0</v>
      </c>
      <c r="AC52" s="446"/>
      <c r="AD52" s="446"/>
      <c r="AE52" s="1"/>
    </row>
    <row r="53" spans="1:32">
      <c r="A53" s="99">
        <f t="shared" si="4"/>
        <v>0</v>
      </c>
      <c r="B53" s="612" t="str">
        <f>IFERROR(INDEX(ORGANIZACION[#All],MATCH($C53,ORGANIZACION[[#All],[ENTIDAD]],0),2),"")</f>
        <v/>
      </c>
      <c r="C53" s="622"/>
      <c r="D53" s="424" t="str">
        <f>IFERROR(INDEX(ORGANIZACION[#All],MATCH($C53,ORGANIZACION[[#All],[ENTIDAD]],0),3),"")</f>
        <v/>
      </c>
      <c r="E53" s="221"/>
      <c r="F53" s="221"/>
      <c r="G53" s="221"/>
      <c r="H53" s="221"/>
      <c r="I53" s="292"/>
      <c r="J53" s="402"/>
      <c r="K53" s="402" t="e">
        <f ca="1" xml:space="preserve"> _xll.EPMOlapMemberO("[FILA_NOTA].[PARENTH1].[11601035]","","11601035","","001")</f>
        <v>#NAME?</v>
      </c>
      <c r="L53" s="427" t="str">
        <f>IFERROR(INDEX(BPC_NOTAS2[#All],MATCH($B53&amp;"_"&amp;L$16,BPC_NOTAS2[[#All],[FILA_COLUMNA]],0),2),"")</f>
        <v/>
      </c>
      <c r="M53" s="427" t="str">
        <f>IFERROR(INDEX(BPC_NOTAS2[#All],MATCH($B53&amp;"_"&amp;M$16,BPC_NOTAS2[[#All],[FILA_COLUMNA]],0),2),"")</f>
        <v/>
      </c>
      <c r="N53" s="427" t="str">
        <f>IFERROR(INDEX(BPC_NOTAS2[#All],MATCH($B53&amp;"_"&amp;N$16,BPC_NOTAS2[[#All],[FILA_COLUMNA]],0),2),"")</f>
        <v/>
      </c>
      <c r="O53" s="427" t="str">
        <f>IFERROR(INDEX(BPC_NOTAS2[#All],MATCH($B53&amp;"_"&amp;O$16,BPC_NOTAS2[[#All],[FILA_COLUMNA]],0),2),"")</f>
        <v/>
      </c>
      <c r="P53" s="222"/>
      <c r="Q53" s="222"/>
      <c r="R53" s="222"/>
      <c r="T53" s="545" t="s">
        <v>10383</v>
      </c>
      <c r="U53" s="545" t="s">
        <v>19112</v>
      </c>
      <c r="V53" s="545" t="s">
        <v>9584</v>
      </c>
      <c r="W53" s="545">
        <v>11602035</v>
      </c>
      <c r="X53" s="545"/>
      <c r="Y53" s="545"/>
      <c r="Z53" s="19" t="str">
        <f t="shared" si="3"/>
        <v>Ok</v>
      </c>
      <c r="AA53" s="19" t="str">
        <f>+IF(C53="","OK",IF(OR(C53=$C$54,C53=$C$52,C53=$C$51,C53=$C$50,C53=$C$49,C53=$C$48,C53=$C$47,C53=$C$46,C53=$C$45,C53=$C$44,C53=$C$43,C53=$C$42,C53=$C$41,C53=$C$40,C53=$C$39,C53=$C$38,C53=$C$37,C53=$C$36,C53=$C$35,C53=$C$34,C53=$C$33,C53=$C$32,C53=$C$31,C53=$C$30,C53=$C$29,C53=$C$28,C53=$C$27,C53=$C$26,C53=$C$25,C53=$C$24,C53=$C$23,C53=$C$22,C53=$C$21,C53=$C$20,C53=$C$19),"Error","Ok"))</f>
        <v>OK</v>
      </c>
      <c r="AB53" s="597">
        <f t="shared" si="2"/>
        <v>0</v>
      </c>
      <c r="AC53" s="446"/>
      <c r="AD53" s="446"/>
      <c r="AE53" s="1"/>
    </row>
    <row r="54" spans="1:32">
      <c r="A54" s="99">
        <f t="shared" si="4"/>
        <v>0</v>
      </c>
      <c r="B54" s="612" t="str">
        <f>IFERROR(INDEX(ORGANIZACION[#All],MATCH($C54,ORGANIZACION[[#All],[ENTIDAD]],0),2),"")</f>
        <v/>
      </c>
      <c r="C54" s="622"/>
      <c r="D54" s="424" t="str">
        <f>IFERROR(INDEX(ORGANIZACION[#All],MATCH($C54,ORGANIZACION[[#All],[ENTIDAD]],0),3),"")</f>
        <v/>
      </c>
      <c r="E54" s="221"/>
      <c r="F54" s="221"/>
      <c r="G54" s="221"/>
      <c r="H54" s="221"/>
      <c r="I54" s="278"/>
      <c r="J54" s="402"/>
      <c r="K54" s="402" t="e">
        <f ca="1" xml:space="preserve"> _xll.EPMOlapMemberO("[FILA_NOTA].[PARENTH1].[11601036]","","11601036","","001")</f>
        <v>#NAME?</v>
      </c>
      <c r="L54" s="427" t="str">
        <f>IFERROR(INDEX(BPC_NOTAS2[#All],MATCH($B54&amp;"_"&amp;L$16,BPC_NOTAS2[[#All],[FILA_COLUMNA]],0),2),"")</f>
        <v/>
      </c>
      <c r="M54" s="427" t="str">
        <f>IFERROR(INDEX(BPC_NOTAS2[#All],MATCH($B54&amp;"_"&amp;M$16,BPC_NOTAS2[[#All],[FILA_COLUMNA]],0),2),"")</f>
        <v/>
      </c>
      <c r="N54" s="427" t="str">
        <f>IFERROR(INDEX(BPC_NOTAS2[#All],MATCH($B54&amp;"_"&amp;N$16,BPC_NOTAS2[[#All],[FILA_COLUMNA]],0),2),"")</f>
        <v/>
      </c>
      <c r="O54" s="427" t="str">
        <f>IFERROR(INDEX(BPC_NOTAS2[#All],MATCH($B54&amp;"_"&amp;O$16,BPC_NOTAS2[[#All],[FILA_COLUMNA]],0),2),"")</f>
        <v/>
      </c>
      <c r="P54" s="222"/>
      <c r="Q54" s="222"/>
      <c r="R54" s="222"/>
      <c r="T54" s="545" t="s">
        <v>10383</v>
      </c>
      <c r="U54" s="545" t="s">
        <v>14330</v>
      </c>
      <c r="V54" s="545" t="s">
        <v>9585</v>
      </c>
      <c r="W54" s="545">
        <v>11602036</v>
      </c>
      <c r="X54" s="545"/>
      <c r="Y54" s="545"/>
      <c r="Z54" s="19" t="str">
        <f t="shared" si="3"/>
        <v>Ok</v>
      </c>
      <c r="AA54" s="19" t="str">
        <f>+IF(C54="","OK",IF(OR(C54=$C$53,C54=$C$52,C54=$C$51,C54=$C$50,C54=$C$49,C54=$C$48,C54=$C$47,C54=$C$46,C54=$C$45,C54=$C$44,C54=$C$43,C54=$C$42,C54=$C$41,C54=$C$40,C54=$C$39,C54=$C$38,C54=$C$37,C54=$C$36,C54=$C$35,C54=$C$34,C54=$C$33,C54=$C$32,C54=$C$31,C54=$C$30,C54=$C$29,C54=$C$28,C54=$C$27,C54=$C$26,C54=$C$25,C54=$C$24,C54=$C$23,C54=$C$22,C54=$C$21,C54=$C$20,C54=$C$19),"Error","Ok"))</f>
        <v>OK</v>
      </c>
      <c r="AB54" s="597">
        <f t="shared" si="2"/>
        <v>0</v>
      </c>
      <c r="AC54" s="446"/>
      <c r="AD54" s="446"/>
      <c r="AE54" s="1"/>
    </row>
    <row r="55" spans="1:32">
      <c r="A55" s="99">
        <f t="shared" si="4"/>
        <v>0</v>
      </c>
      <c r="B55" s="612" t="s">
        <v>1491</v>
      </c>
      <c r="C55" s="430" t="str">
        <f t="shared" ref="C55:C82" si="5">IF(U55=0," ",U55)</f>
        <v>Otras Compañías del Grupo Colinsa</v>
      </c>
      <c r="D55" s="430" t="str">
        <f t="shared" ref="D55:D82" si="6">T55</f>
        <v/>
      </c>
      <c r="E55" s="520">
        <v>0</v>
      </c>
      <c r="F55" s="520">
        <v>0</v>
      </c>
      <c r="G55" s="520">
        <v>0</v>
      </c>
      <c r="H55" s="520">
        <v>0</v>
      </c>
      <c r="I55" s="292"/>
      <c r="J55" s="402"/>
      <c r="K55" s="402" t="e">
        <f ca="1" xml:space="preserve"> _xll.EPMOlapMemberO("[FILA_NOTA].[PARENTH1].[11601037]","","11601037","","001")</f>
        <v>#NAME?</v>
      </c>
      <c r="L55" s="427">
        <v>0</v>
      </c>
      <c r="M55" s="427">
        <v>0</v>
      </c>
      <c r="N55" s="427">
        <v>0</v>
      </c>
      <c r="O55" s="427">
        <v>0</v>
      </c>
      <c r="P55" s="608"/>
      <c r="Q55" s="608"/>
      <c r="R55" s="608"/>
      <c r="T55" s="545" t="s">
        <v>68</v>
      </c>
      <c r="U55" s="545" t="s">
        <v>19140</v>
      </c>
      <c r="V55" s="545" t="s">
        <v>9586</v>
      </c>
      <c r="W55" s="545">
        <v>11602037</v>
      </c>
      <c r="X55" s="545"/>
      <c r="Y55" s="545"/>
      <c r="Z55" s="1"/>
      <c r="AA55" s="280"/>
      <c r="AB55" s="597"/>
      <c r="AC55" s="446"/>
      <c r="AD55" s="446"/>
      <c r="AE55" s="1"/>
    </row>
    <row r="56" spans="1:32">
      <c r="A56" s="99">
        <f t="shared" si="4"/>
        <v>0</v>
      </c>
      <c r="B56" s="612" t="str">
        <f>IFERROR(INDEX(ORGANIZACION[#All],MATCH($C56,ORGANIZACION[[#All],[ENTIDAD]],0),2),"")</f>
        <v/>
      </c>
      <c r="C56" s="622"/>
      <c r="D56" s="424" t="str">
        <f>IFERROR(INDEX(ORGANIZACION[#All],MATCH($C56,ORGANIZACION[[#All],[ENTIDAD]],0),3),"")</f>
        <v/>
      </c>
      <c r="E56" s="221"/>
      <c r="F56" s="221"/>
      <c r="G56" s="221"/>
      <c r="H56" s="221"/>
      <c r="I56" s="292"/>
      <c r="J56" s="402"/>
      <c r="K56" s="402" t="e">
        <f ca="1" xml:space="preserve"> _xll.EPMOlapMemberO("[FILA_NOTA].[PARENTH1].[11601038]","","11601038","","001")</f>
        <v>#NAME?</v>
      </c>
      <c r="L56" s="427" t="str">
        <f>IFERROR(INDEX(BPC_NOTAS2[#All],MATCH($B56&amp;"_"&amp;L$16,BPC_NOTAS2[[#All],[FILA_COLUMNA]],0),2),"")</f>
        <v/>
      </c>
      <c r="M56" s="427" t="str">
        <f>IFERROR(INDEX(BPC_NOTAS2[#All],MATCH($B56&amp;"_"&amp;M$16,BPC_NOTAS2[[#All],[FILA_COLUMNA]],0),2),"")</f>
        <v/>
      </c>
      <c r="N56" s="427" t="str">
        <f>IFERROR(INDEX(BPC_NOTAS2[#All],MATCH($B56&amp;"_"&amp;N$16,BPC_NOTAS2[[#All],[FILA_COLUMNA]],0),2),"")</f>
        <v/>
      </c>
      <c r="O56" s="427" t="str">
        <f>IFERROR(INDEX(BPC_NOTAS2[#All],MATCH($B56&amp;"_"&amp;O$16,BPC_NOTAS2[[#All],[FILA_COLUMNA]],0),2),"")</f>
        <v/>
      </c>
      <c r="P56" s="222"/>
      <c r="Q56" s="222"/>
      <c r="R56" s="222"/>
      <c r="T56" s="545" t="s">
        <v>10394</v>
      </c>
      <c r="U56" s="545" t="s">
        <v>14332</v>
      </c>
      <c r="V56" s="545" t="s">
        <v>9587</v>
      </c>
      <c r="W56" s="545">
        <v>11602038</v>
      </c>
      <c r="X56" s="545"/>
      <c r="Y56" s="545"/>
      <c r="Z56" s="19" t="str">
        <f t="shared" si="3"/>
        <v>Ok</v>
      </c>
      <c r="AA56" s="19" t="str">
        <f>+IF(C56="","OK",IF(OR(C56=$C$61,C56=$C$63,C56=$C$62,C56=$C$64,C56=$C$65,C56=$C$60,C56=$C$59,C56=$C$58,C56=$C$57,C56=$C$66),"Error","Ok"))</f>
        <v>OK</v>
      </c>
      <c r="AB56" s="597">
        <f t="shared" si="2"/>
        <v>0</v>
      </c>
      <c r="AC56" s="446"/>
      <c r="AD56" s="446"/>
      <c r="AE56" s="1"/>
    </row>
    <row r="57" spans="1:32">
      <c r="A57" s="99">
        <f t="shared" si="4"/>
        <v>0</v>
      </c>
      <c r="B57" s="612" t="str">
        <f>IFERROR(INDEX(ORGANIZACION[#All],MATCH($C57,ORGANIZACION[[#All],[ENTIDAD]],0),2),"")</f>
        <v/>
      </c>
      <c r="C57" s="622"/>
      <c r="D57" s="424" t="str">
        <f>IFERROR(INDEX(ORGANIZACION[#All],MATCH($C57,ORGANIZACION[[#All],[ENTIDAD]],0),3),"")</f>
        <v/>
      </c>
      <c r="E57" s="221"/>
      <c r="F57" s="221"/>
      <c r="G57" s="221"/>
      <c r="H57" s="221"/>
      <c r="I57" s="292"/>
      <c r="J57" s="402"/>
      <c r="K57" s="402" t="e">
        <f ca="1" xml:space="preserve"> _xll.EPMOlapMemberO("[FILA_NOTA].[PARENTH1].[11601039]","","11601039","","001")</f>
        <v>#NAME?</v>
      </c>
      <c r="L57" s="427" t="str">
        <f>IFERROR(INDEX(BPC_NOTAS2[#All],MATCH($B57&amp;"_"&amp;L$16,BPC_NOTAS2[[#All],[FILA_COLUMNA]],0),2),"")</f>
        <v/>
      </c>
      <c r="M57" s="427" t="str">
        <f>IFERROR(INDEX(BPC_NOTAS2[#All],MATCH($B57&amp;"_"&amp;M$16,BPC_NOTAS2[[#All],[FILA_COLUMNA]],0),2),"")</f>
        <v/>
      </c>
      <c r="N57" s="427" t="str">
        <f>IFERROR(INDEX(BPC_NOTAS2[#All],MATCH($B57&amp;"_"&amp;N$16,BPC_NOTAS2[[#All],[FILA_COLUMNA]],0),2),"")</f>
        <v/>
      </c>
      <c r="O57" s="427" t="str">
        <f>IFERROR(INDEX(BPC_NOTAS2[#All],MATCH($B57&amp;"_"&amp;O$16,BPC_NOTAS2[[#All],[FILA_COLUMNA]],0),2),"")</f>
        <v/>
      </c>
      <c r="P57" s="222"/>
      <c r="Q57" s="222"/>
      <c r="R57" s="222"/>
      <c r="T57" s="545" t="s">
        <v>10394</v>
      </c>
      <c r="U57" s="545" t="s">
        <v>14333</v>
      </c>
      <c r="V57" s="545" t="s">
        <v>9588</v>
      </c>
      <c r="W57" s="545">
        <v>11602039</v>
      </c>
      <c r="X57" s="545"/>
      <c r="Y57" s="545"/>
      <c r="Z57" s="19" t="str">
        <f t="shared" si="3"/>
        <v>Ok</v>
      </c>
      <c r="AA57" s="19" t="str">
        <f>+IF(C57="","OK",IF(OR(C57=$C$61,C57=$C$63,C57=$C$62,C57=$C$64,C57=$C$65,C57=$C$60,C57=$C$59,C57=$C$58,C57=$C$56,C57=$C$66),"Error","Ok"))</f>
        <v>OK</v>
      </c>
      <c r="AB57" s="597">
        <f t="shared" si="2"/>
        <v>0</v>
      </c>
      <c r="AC57" s="446"/>
      <c r="AD57" s="446"/>
      <c r="AE57" s="1"/>
    </row>
    <row r="58" spans="1:32">
      <c r="A58" s="99">
        <f t="shared" si="4"/>
        <v>0</v>
      </c>
      <c r="B58" s="612" t="str">
        <f>IFERROR(INDEX(ORGANIZACION[#All],MATCH($C58,ORGANIZACION[[#All],[ENTIDAD]],0),2),"")</f>
        <v/>
      </c>
      <c r="C58" s="622"/>
      <c r="D58" s="424" t="str">
        <f>IFERROR(INDEX(ORGANIZACION[#All],MATCH($C58,ORGANIZACION[[#All],[ENTIDAD]],0),3),"")</f>
        <v/>
      </c>
      <c r="E58" s="221"/>
      <c r="F58" s="221"/>
      <c r="G58" s="221"/>
      <c r="H58" s="221"/>
      <c r="I58" s="292"/>
      <c r="J58" s="402"/>
      <c r="K58" s="402" t="e">
        <f ca="1" xml:space="preserve"> _xll.EPMOlapMemberO("[FILA_NOTA].[PARENTH1].[11601040]","","11601040","","001")</f>
        <v>#NAME?</v>
      </c>
      <c r="L58" s="427" t="str">
        <f>IFERROR(INDEX(BPC_NOTAS2[#All],MATCH($B58&amp;"_"&amp;L$16,BPC_NOTAS2[[#All],[FILA_COLUMNA]],0),2),"")</f>
        <v/>
      </c>
      <c r="M58" s="427" t="str">
        <f>IFERROR(INDEX(BPC_NOTAS2[#All],MATCH($B58&amp;"_"&amp;M$16,BPC_NOTAS2[[#All],[FILA_COLUMNA]],0),2),"")</f>
        <v/>
      </c>
      <c r="N58" s="427" t="str">
        <f>IFERROR(INDEX(BPC_NOTAS2[#All],MATCH($B58&amp;"_"&amp;N$16,BPC_NOTAS2[[#All],[FILA_COLUMNA]],0),2),"")</f>
        <v/>
      </c>
      <c r="O58" s="427" t="str">
        <f>IFERROR(INDEX(BPC_NOTAS2[#All],MATCH($B58&amp;"_"&amp;O$16,BPC_NOTAS2[[#All],[FILA_COLUMNA]],0),2),"")</f>
        <v/>
      </c>
      <c r="P58" s="222"/>
      <c r="Q58" s="222"/>
      <c r="R58" s="222"/>
      <c r="T58" s="545" t="s">
        <v>10394</v>
      </c>
      <c r="U58" s="545" t="s">
        <v>14334</v>
      </c>
      <c r="V58" s="545" t="s">
        <v>9589</v>
      </c>
      <c r="W58" s="545">
        <v>11602040</v>
      </c>
      <c r="X58" s="545"/>
      <c r="Y58" s="545"/>
      <c r="Z58" s="19" t="str">
        <f t="shared" si="3"/>
        <v>Ok</v>
      </c>
      <c r="AA58" s="19" t="str">
        <f>+IF(C58="","OK",IF(OR(C58=$C$61,C58=$C$63,C58=$C$62,C58=$C$64,C58=$C$65,C58=$C$60,C58=$C$59,C58=$C$57,C58=$C$56,C58=$C$66),"Error","Ok"))</f>
        <v>OK</v>
      </c>
      <c r="AB58" s="597">
        <f t="shared" si="2"/>
        <v>0</v>
      </c>
      <c r="AC58" s="446"/>
      <c r="AD58" s="446"/>
      <c r="AE58" s="1"/>
    </row>
    <row r="59" spans="1:32">
      <c r="A59" s="99">
        <f t="shared" si="4"/>
        <v>0</v>
      </c>
      <c r="B59" s="612" t="str">
        <f>IFERROR(INDEX(ORGANIZACION[#All],MATCH($C59,ORGANIZACION[[#All],[ENTIDAD]],0),2),"")</f>
        <v/>
      </c>
      <c r="C59" s="622"/>
      <c r="D59" s="424" t="str">
        <f>IFERROR(INDEX(ORGANIZACION[#All],MATCH($C59,ORGANIZACION[[#All],[ENTIDAD]],0),3),"")</f>
        <v/>
      </c>
      <c r="E59" s="221"/>
      <c r="F59" s="221"/>
      <c r="G59" s="221"/>
      <c r="H59" s="221"/>
      <c r="I59" s="292"/>
      <c r="J59" s="402"/>
      <c r="K59" s="402" t="e">
        <f ca="1" xml:space="preserve"> _xll.EPMOlapMemberO("[FILA_NOTA].[PARENTH1].[11601041]","","11601041","","001")</f>
        <v>#NAME?</v>
      </c>
      <c r="L59" s="427" t="str">
        <f>IFERROR(INDEX(BPC_NOTAS2[#All],MATCH($B59&amp;"_"&amp;L$16,BPC_NOTAS2[[#All],[FILA_COLUMNA]],0),2),"")</f>
        <v/>
      </c>
      <c r="M59" s="427" t="str">
        <f>IFERROR(INDEX(BPC_NOTAS2[#All],MATCH($B59&amp;"_"&amp;M$16,BPC_NOTAS2[[#All],[FILA_COLUMNA]],0),2),"")</f>
        <v/>
      </c>
      <c r="N59" s="427" t="str">
        <f>IFERROR(INDEX(BPC_NOTAS2[#All],MATCH($B59&amp;"_"&amp;N$16,BPC_NOTAS2[[#All],[FILA_COLUMNA]],0),2),"")</f>
        <v/>
      </c>
      <c r="O59" s="427" t="str">
        <f>IFERROR(INDEX(BPC_NOTAS2[#All],MATCH($B59&amp;"_"&amp;O$16,BPC_NOTAS2[[#All],[FILA_COLUMNA]],0),2),"")</f>
        <v/>
      </c>
      <c r="P59" s="222"/>
      <c r="Q59" s="222"/>
      <c r="R59" s="222"/>
      <c r="T59" s="545" t="s">
        <v>10394</v>
      </c>
      <c r="U59" s="545" t="s">
        <v>14335</v>
      </c>
      <c r="V59" s="545" t="s">
        <v>9590</v>
      </c>
      <c r="W59" s="545">
        <v>11602041</v>
      </c>
      <c r="X59" s="545"/>
      <c r="Y59" s="545"/>
      <c r="Z59" s="19" t="str">
        <f t="shared" si="3"/>
        <v>Ok</v>
      </c>
      <c r="AA59" s="19" t="str">
        <f>+IF(C59="","OK",IF(OR(C59=$C$61,C59=$C$63,C59=$C$62,C59=$C$64,C59=$C$65,C59=$C$60,C59=$C$58,C59=$C$57,C59=$C$56,C59=$C$66),"Error","Ok"))</f>
        <v>OK</v>
      </c>
      <c r="AB59" s="597">
        <f t="shared" si="2"/>
        <v>0</v>
      </c>
      <c r="AC59" s="446"/>
      <c r="AD59" s="446"/>
      <c r="AE59" s="1"/>
    </row>
    <row r="60" spans="1:32">
      <c r="A60" s="99">
        <f t="shared" si="4"/>
        <v>0</v>
      </c>
      <c r="B60" s="612" t="str">
        <f>IFERROR(INDEX(ORGANIZACION[#All],MATCH($C60,ORGANIZACION[[#All],[ENTIDAD]],0),2),"")</f>
        <v/>
      </c>
      <c r="C60" s="622"/>
      <c r="D60" s="424" t="str">
        <f>IFERROR(INDEX(ORGANIZACION[#All],MATCH($C60,ORGANIZACION[[#All],[ENTIDAD]],0),3),"")</f>
        <v/>
      </c>
      <c r="E60" s="221"/>
      <c r="F60" s="221"/>
      <c r="G60" s="221"/>
      <c r="H60" s="221"/>
      <c r="I60" s="292"/>
      <c r="J60" s="402"/>
      <c r="K60" s="402" t="e">
        <f ca="1" xml:space="preserve"> _xll.EPMOlapMemberO("[FILA_NOTA].[PARENTH1].[11601042]","","11601042","","001")</f>
        <v>#NAME?</v>
      </c>
      <c r="L60" s="427" t="str">
        <f>IFERROR(INDEX(BPC_NOTAS2[#All],MATCH($B60&amp;"_"&amp;L$16,BPC_NOTAS2[[#All],[FILA_COLUMNA]],0),2),"")</f>
        <v/>
      </c>
      <c r="M60" s="427" t="str">
        <f>IFERROR(INDEX(BPC_NOTAS2[#All],MATCH($B60&amp;"_"&amp;M$16,BPC_NOTAS2[[#All],[FILA_COLUMNA]],0),2),"")</f>
        <v/>
      </c>
      <c r="N60" s="427" t="str">
        <f>IFERROR(INDEX(BPC_NOTAS2[#All],MATCH($B60&amp;"_"&amp;N$16,BPC_NOTAS2[[#All],[FILA_COLUMNA]],0),2),"")</f>
        <v/>
      </c>
      <c r="O60" s="427" t="str">
        <f>IFERROR(INDEX(BPC_NOTAS2[#All],MATCH($B60&amp;"_"&amp;O$16,BPC_NOTAS2[[#All],[FILA_COLUMNA]],0),2),"")</f>
        <v/>
      </c>
      <c r="P60" s="222"/>
      <c r="Q60" s="222"/>
      <c r="R60" s="222"/>
      <c r="T60" s="545" t="s">
        <v>10383</v>
      </c>
      <c r="U60" s="545" t="s">
        <v>19115</v>
      </c>
      <c r="V60" s="545" t="s">
        <v>9591</v>
      </c>
      <c r="W60" s="545">
        <v>11602042</v>
      </c>
      <c r="X60" s="545"/>
      <c r="Y60" s="545"/>
      <c r="Z60" s="19" t="str">
        <f t="shared" si="3"/>
        <v>Ok</v>
      </c>
      <c r="AA60" s="19" t="str">
        <f>+IF(C60="","OK",IF(OR(C60=$C$61,C60=$C$63,C60=$C$62,C60=$C$64,C60=$C$65,C60=$C$59,C60=$C$58,C60=$C$57,C60=$C$56,C60=$C$66),"Error","Ok"))</f>
        <v>OK</v>
      </c>
      <c r="AB60" s="597">
        <f t="shared" si="2"/>
        <v>0</v>
      </c>
      <c r="AC60" s="446"/>
      <c r="AD60" s="446"/>
      <c r="AE60" s="1"/>
    </row>
    <row r="61" spans="1:32">
      <c r="A61" s="99">
        <f t="shared" si="4"/>
        <v>0</v>
      </c>
      <c r="B61" s="612" t="str">
        <f>IFERROR(INDEX(ORGANIZACION[#All],MATCH($C61,ORGANIZACION[[#All],[ENTIDAD]],0),2),"")</f>
        <v/>
      </c>
      <c r="C61" s="622"/>
      <c r="D61" s="424" t="str">
        <f>IFERROR(INDEX(ORGANIZACION[#All],MATCH($C61,ORGANIZACION[[#All],[ENTIDAD]],0),3),"")</f>
        <v/>
      </c>
      <c r="E61" s="221"/>
      <c r="F61" s="221"/>
      <c r="G61" s="221"/>
      <c r="H61" s="221"/>
      <c r="I61" s="292"/>
      <c r="J61" s="402"/>
      <c r="K61" s="402" t="e">
        <f ca="1" xml:space="preserve"> _xll.EPMOlapMemberO("[FILA_NOTA].[PARENTH1].[11601043]","","11601043","","001")</f>
        <v>#NAME?</v>
      </c>
      <c r="L61" s="427" t="str">
        <f>IFERROR(INDEX(BPC_NOTAS2[#All],MATCH($B61&amp;"_"&amp;L$16,BPC_NOTAS2[[#All],[FILA_COLUMNA]],0),2),"")</f>
        <v/>
      </c>
      <c r="M61" s="427" t="str">
        <f>IFERROR(INDEX(BPC_NOTAS2[#All],MATCH($B61&amp;"_"&amp;M$16,BPC_NOTAS2[[#All],[FILA_COLUMNA]],0),2),"")</f>
        <v/>
      </c>
      <c r="N61" s="427" t="str">
        <f>IFERROR(INDEX(BPC_NOTAS2[#All],MATCH($B61&amp;"_"&amp;N$16,BPC_NOTAS2[[#All],[FILA_COLUMNA]],0),2),"")</f>
        <v/>
      </c>
      <c r="O61" s="427" t="str">
        <f>IFERROR(INDEX(BPC_NOTAS2[#All],MATCH($B61&amp;"_"&amp;O$16,BPC_NOTAS2[[#All],[FILA_COLUMNA]],0),2),"")</f>
        <v/>
      </c>
      <c r="P61" s="222"/>
      <c r="Q61" s="222"/>
      <c r="R61" s="222"/>
      <c r="T61" s="545" t="s">
        <v>10394</v>
      </c>
      <c r="U61" s="545" t="s">
        <v>14338</v>
      </c>
      <c r="V61" s="545" t="s">
        <v>9592</v>
      </c>
      <c r="W61" s="545">
        <v>11602043</v>
      </c>
      <c r="X61" s="545"/>
      <c r="Y61" s="545"/>
      <c r="Z61" s="19" t="str">
        <f t="shared" si="3"/>
        <v>Ok</v>
      </c>
      <c r="AA61" s="19" t="str">
        <f>+IF(C61="","OK",IF(OR(C61=$C$63,C61=$C$62,C61=$C$64,C61=$C$65,C61=$C$60,C61=$C$59,C61=$C$58,C61=$C$57,C61=$C$56,C61=$C$66),"Error","Ok"))</f>
        <v>OK</v>
      </c>
      <c r="AB61" s="597">
        <f t="shared" si="2"/>
        <v>0</v>
      </c>
      <c r="AC61" s="446"/>
      <c r="AD61" s="446"/>
      <c r="AE61" s="1"/>
    </row>
    <row r="62" spans="1:32">
      <c r="A62" s="99">
        <f t="shared" si="4"/>
        <v>0</v>
      </c>
      <c r="B62" s="612" t="str">
        <f>IFERROR(INDEX(ORGANIZACION[#All],MATCH($C62,ORGANIZACION[[#All],[ENTIDAD]],0),2),"")</f>
        <v/>
      </c>
      <c r="C62" s="622"/>
      <c r="D62" s="424" t="str">
        <f>IFERROR(INDEX(ORGANIZACION[#All],MATCH($C62,ORGANIZACION[[#All],[ENTIDAD]],0),3),"")</f>
        <v/>
      </c>
      <c r="E62" s="221"/>
      <c r="F62" s="221"/>
      <c r="G62" s="221"/>
      <c r="H62" s="221"/>
      <c r="I62" s="292"/>
      <c r="J62" s="402"/>
      <c r="K62" s="402" t="e">
        <f ca="1" xml:space="preserve"> _xll.EPMOlapMemberO("[FILA_NOTA].[PARENTH1].[11601044]","","11601044","","001")</f>
        <v>#NAME?</v>
      </c>
      <c r="L62" s="427" t="str">
        <f>IFERROR(INDEX(BPC_NOTAS2[#All],MATCH($B62&amp;"_"&amp;L$16,BPC_NOTAS2[[#All],[FILA_COLUMNA]],0),2),"")</f>
        <v/>
      </c>
      <c r="M62" s="427" t="str">
        <f>IFERROR(INDEX(BPC_NOTAS2[#All],MATCH($B62&amp;"_"&amp;M$16,BPC_NOTAS2[[#All],[FILA_COLUMNA]],0),2),"")</f>
        <v/>
      </c>
      <c r="N62" s="427" t="str">
        <f>IFERROR(INDEX(BPC_NOTAS2[#All],MATCH($B62&amp;"_"&amp;N$16,BPC_NOTAS2[[#All],[FILA_COLUMNA]],0),2),"")</f>
        <v/>
      </c>
      <c r="O62" s="427" t="str">
        <f>IFERROR(INDEX(BPC_NOTAS2[#All],MATCH($B62&amp;"_"&amp;O$16,BPC_NOTAS2[[#All],[FILA_COLUMNA]],0),2),"")</f>
        <v/>
      </c>
      <c r="P62" s="222"/>
      <c r="Q62" s="222"/>
      <c r="R62" s="222"/>
      <c r="T62" s="545" t="s">
        <v>10394</v>
      </c>
      <c r="U62" s="545" t="s">
        <v>14339</v>
      </c>
      <c r="V62" s="545" t="s">
        <v>9593</v>
      </c>
      <c r="W62" s="545">
        <v>11602044</v>
      </c>
      <c r="X62" s="545"/>
      <c r="Y62" s="545"/>
      <c r="Z62" s="19" t="str">
        <f t="shared" si="3"/>
        <v>Ok</v>
      </c>
      <c r="AA62" s="19" t="str">
        <f>+IF(C62="","OK",IF(OR(C62=$C$61,C62=$C$63,C62=$C$64,C62=$C$65,C62=$C$60,C62=$C$59,C62=$C$58,C62=$C$57,C62=$C$56,C62=$C$66),"Error","Ok"))</f>
        <v>OK</v>
      </c>
      <c r="AB62" s="597">
        <f t="shared" si="2"/>
        <v>0</v>
      </c>
      <c r="AC62" s="446"/>
      <c r="AD62" s="446"/>
      <c r="AE62" s="1"/>
    </row>
    <row r="63" spans="1:32">
      <c r="A63" s="99">
        <f t="shared" si="4"/>
        <v>0</v>
      </c>
      <c r="B63" s="612" t="str">
        <f>IFERROR(INDEX(ORGANIZACION[#All],MATCH($C63,ORGANIZACION[[#All],[ENTIDAD]],0),2),"")</f>
        <v/>
      </c>
      <c r="C63" s="622"/>
      <c r="D63" s="424" t="str">
        <f>IFERROR(INDEX(ORGANIZACION[#All],MATCH($C63,ORGANIZACION[[#All],[ENTIDAD]],0),3),"")</f>
        <v/>
      </c>
      <c r="E63" s="221"/>
      <c r="F63" s="221"/>
      <c r="G63" s="221"/>
      <c r="H63" s="221"/>
      <c r="I63" s="292"/>
      <c r="J63" s="402"/>
      <c r="K63" s="402" t="e">
        <f ca="1" xml:space="preserve"> _xll.EPMOlapMemberO("[FILA_NOTA].[PARENTH1].[11601045]","","11601045","","001")</f>
        <v>#NAME?</v>
      </c>
      <c r="L63" s="427" t="str">
        <f>IFERROR(INDEX(BPC_NOTAS2[#All],MATCH($B63&amp;"_"&amp;L$16,BPC_NOTAS2[[#All],[FILA_COLUMNA]],0),2),"")</f>
        <v/>
      </c>
      <c r="M63" s="427" t="str">
        <f>IFERROR(INDEX(BPC_NOTAS2[#All],MATCH($B63&amp;"_"&amp;M$16,BPC_NOTAS2[[#All],[FILA_COLUMNA]],0),2),"")</f>
        <v/>
      </c>
      <c r="N63" s="427" t="str">
        <f>IFERROR(INDEX(BPC_NOTAS2[#All],MATCH($B63&amp;"_"&amp;N$16,BPC_NOTAS2[[#All],[FILA_COLUMNA]],0),2),"")</f>
        <v/>
      </c>
      <c r="O63" s="427" t="str">
        <f>IFERROR(INDEX(BPC_NOTAS2[#All],MATCH($B63&amp;"_"&amp;O$16,BPC_NOTAS2[[#All],[FILA_COLUMNA]],0),2),"")</f>
        <v/>
      </c>
      <c r="P63" s="222"/>
      <c r="Q63" s="222"/>
      <c r="R63" s="222"/>
      <c r="T63" s="545" t="s">
        <v>10394</v>
      </c>
      <c r="U63" s="545" t="s">
        <v>14340</v>
      </c>
      <c r="V63" s="545" t="s">
        <v>9594</v>
      </c>
      <c r="W63" s="545">
        <v>11602045</v>
      </c>
      <c r="X63" s="545"/>
      <c r="Y63" s="545"/>
      <c r="Z63" s="19" t="str">
        <f t="shared" si="3"/>
        <v>Ok</v>
      </c>
      <c r="AA63" s="19" t="str">
        <f>+IF(C63="","OK",IF(OR(C63=$C$61,C63=$C$62,C63=$C$64,C63=$C$65,C63=$C$60,C63=$C$59,C63=$C$58,C63=$C$57,C63=$C$56,C63=$C$66),"Error","Ok"))</f>
        <v>OK</v>
      </c>
      <c r="AB63" s="597">
        <f t="shared" si="2"/>
        <v>0</v>
      </c>
      <c r="AC63" s="446"/>
      <c r="AD63" s="446"/>
      <c r="AE63" s="1"/>
    </row>
    <row r="64" spans="1:32">
      <c r="A64" s="99">
        <f t="shared" si="4"/>
        <v>0</v>
      </c>
      <c r="B64" s="612" t="str">
        <f>IFERROR(INDEX(ORGANIZACION[#All],MATCH($C64,ORGANIZACION[[#All],[ENTIDAD]],0),2),"")</f>
        <v/>
      </c>
      <c r="C64" s="622"/>
      <c r="D64" s="424" t="str">
        <f>IFERROR(INDEX(ORGANIZACION[#All],MATCH($C64,ORGANIZACION[[#All],[ENTIDAD]],0),3),"")</f>
        <v/>
      </c>
      <c r="E64" s="221"/>
      <c r="F64" s="221"/>
      <c r="G64" s="221"/>
      <c r="H64" s="221"/>
      <c r="I64" s="292"/>
      <c r="J64" s="402"/>
      <c r="K64" s="402" t="e">
        <f ca="1" xml:space="preserve"> _xll.EPMOlapMemberO("[FILA_NOTA].[PARENTH1].[11601046]","","11601046","","001")</f>
        <v>#NAME?</v>
      </c>
      <c r="L64" s="427" t="str">
        <f>IFERROR(INDEX(BPC_NOTAS2[#All],MATCH($B64&amp;"_"&amp;L$16,BPC_NOTAS2[[#All],[FILA_COLUMNA]],0),2),"")</f>
        <v/>
      </c>
      <c r="M64" s="427" t="str">
        <f>IFERROR(INDEX(BPC_NOTAS2[#All],MATCH($B64&amp;"_"&amp;M$16,BPC_NOTAS2[[#All],[FILA_COLUMNA]],0),2),"")</f>
        <v/>
      </c>
      <c r="N64" s="427" t="str">
        <f>IFERROR(INDEX(BPC_NOTAS2[#All],MATCH($B64&amp;"_"&amp;N$16,BPC_NOTAS2[[#All],[FILA_COLUMNA]],0),2),"")</f>
        <v/>
      </c>
      <c r="O64" s="427" t="str">
        <f>IFERROR(INDEX(BPC_NOTAS2[#All],MATCH($B64&amp;"_"&amp;O$16,BPC_NOTAS2[[#All],[FILA_COLUMNA]],0),2),"")</f>
        <v/>
      </c>
      <c r="P64" s="222"/>
      <c r="Q64" s="222"/>
      <c r="R64" s="222"/>
      <c r="T64" s="545" t="s">
        <v>10394</v>
      </c>
      <c r="U64" s="545" t="s">
        <v>14341</v>
      </c>
      <c r="V64" s="545" t="s">
        <v>9595</v>
      </c>
      <c r="W64" s="545">
        <v>11602046</v>
      </c>
      <c r="X64" s="545"/>
      <c r="Y64" s="545"/>
      <c r="Z64" s="19" t="str">
        <f t="shared" si="3"/>
        <v>Ok</v>
      </c>
      <c r="AA64" s="19" t="str">
        <f>+IF(C64="","OK",IF(OR(C64=$C$61,C64=$C$63,C64=$C$62,C64=$C$65,C64=$C$60,C64=$C$59,C64=$C$58,C64=$C$57,C64=$C$56,C64=$C$66),"Error","Ok"))</f>
        <v>OK</v>
      </c>
      <c r="AB64" s="597">
        <f t="shared" si="2"/>
        <v>0</v>
      </c>
      <c r="AC64" s="446"/>
      <c r="AD64" s="446"/>
      <c r="AE64" s="1"/>
    </row>
    <row r="65" spans="1:31">
      <c r="A65" s="99">
        <f t="shared" si="4"/>
        <v>0</v>
      </c>
      <c r="B65" s="612" t="str">
        <f>IFERROR(INDEX(ORGANIZACION[#All],MATCH($C65,ORGANIZACION[[#All],[ENTIDAD]],0),2),"")</f>
        <v/>
      </c>
      <c r="C65" s="622"/>
      <c r="D65" s="424" t="str">
        <f>IFERROR(INDEX(ORGANIZACION[#All],MATCH($C65,ORGANIZACION[[#All],[ENTIDAD]],0),3),"")</f>
        <v/>
      </c>
      <c r="E65" s="221"/>
      <c r="F65" s="221"/>
      <c r="G65" s="221"/>
      <c r="H65" s="221"/>
      <c r="I65" s="292"/>
      <c r="J65" s="402"/>
      <c r="K65" s="402" t="e">
        <f ca="1" xml:space="preserve"> _xll.EPMOlapMemberO("[FILA_NOTA].[PARENTH1].[11601047]","","11601047","","001")</f>
        <v>#NAME?</v>
      </c>
      <c r="L65" s="427" t="str">
        <f>IFERROR(INDEX(BPC_NOTAS2[#All],MATCH($B65&amp;"_"&amp;L$16,BPC_NOTAS2[[#All],[FILA_COLUMNA]],0),2),"")</f>
        <v/>
      </c>
      <c r="M65" s="427" t="str">
        <f>IFERROR(INDEX(BPC_NOTAS2[#All],MATCH($B65&amp;"_"&amp;M$16,BPC_NOTAS2[[#All],[FILA_COLUMNA]],0),2),"")</f>
        <v/>
      </c>
      <c r="N65" s="427" t="str">
        <f>IFERROR(INDEX(BPC_NOTAS2[#All],MATCH($B65&amp;"_"&amp;N$16,BPC_NOTAS2[[#All],[FILA_COLUMNA]],0),2),"")</f>
        <v/>
      </c>
      <c r="O65" s="427" t="str">
        <f>IFERROR(INDEX(BPC_NOTAS2[#All],MATCH($B65&amp;"_"&amp;O$16,BPC_NOTAS2[[#All],[FILA_COLUMNA]],0),2),"")</f>
        <v/>
      </c>
      <c r="P65" s="222"/>
      <c r="Q65" s="222"/>
      <c r="R65" s="222"/>
      <c r="T65" s="545" t="s">
        <v>19114</v>
      </c>
      <c r="U65" s="545" t="s">
        <v>14336</v>
      </c>
      <c r="V65" s="545" t="s">
        <v>9596</v>
      </c>
      <c r="W65" s="545">
        <v>11602047</v>
      </c>
      <c r="X65" s="545"/>
      <c r="Y65" s="545"/>
      <c r="Z65" s="19" t="str">
        <f t="shared" si="3"/>
        <v>Ok</v>
      </c>
      <c r="AA65" s="19" t="str">
        <f>+IF(C65="","OK",IF(OR(C65=$C$61,C65=$C$63,C65=$C$62,C65=$C$64,C65=$C$60,C65=$C$59,C65=$C$58,C65=$C$57,C65=$C$56,C65=$C$66),"Error","Ok"))</f>
        <v>OK</v>
      </c>
      <c r="AB65" s="597">
        <f t="shared" si="2"/>
        <v>0</v>
      </c>
      <c r="AC65" s="446"/>
      <c r="AD65" s="446"/>
      <c r="AE65" s="1"/>
    </row>
    <row r="66" spans="1:31">
      <c r="A66" s="99">
        <f t="shared" si="4"/>
        <v>0</v>
      </c>
      <c r="B66" s="612" t="str">
        <f>IFERROR(INDEX(ORGANIZACION[#All],MATCH($C66,ORGANIZACION[[#All],[ENTIDAD]],0),2),"")</f>
        <v/>
      </c>
      <c r="C66" s="622"/>
      <c r="D66" s="424" t="str">
        <f>IFERROR(INDEX(ORGANIZACION[#All],MATCH($C66,ORGANIZACION[[#All],[ENTIDAD]],0),3),"")</f>
        <v/>
      </c>
      <c r="E66" s="221"/>
      <c r="F66" s="221"/>
      <c r="G66" s="221"/>
      <c r="H66" s="221"/>
      <c r="I66" s="278"/>
      <c r="J66" s="402"/>
      <c r="K66" s="402" t="e">
        <f ca="1" xml:space="preserve"> _xll.EPMOlapMemberO("[FILA_NOTA].[PARENTH1].[11601048]","","11601048","","001")</f>
        <v>#NAME?</v>
      </c>
      <c r="L66" s="427" t="str">
        <f>IFERROR(INDEX(BPC_NOTAS2[#All],MATCH($B66&amp;"_"&amp;L$16,BPC_NOTAS2[[#All],[FILA_COLUMNA]],0),2),"")</f>
        <v/>
      </c>
      <c r="M66" s="427" t="str">
        <f>IFERROR(INDEX(BPC_NOTAS2[#All],MATCH($B66&amp;"_"&amp;M$16,BPC_NOTAS2[[#All],[FILA_COLUMNA]],0),2),"")</f>
        <v/>
      </c>
      <c r="N66" s="427" t="str">
        <f>IFERROR(INDEX(BPC_NOTAS2[#All],MATCH($B66&amp;"_"&amp;N$16,BPC_NOTAS2[[#All],[FILA_COLUMNA]],0),2),"")</f>
        <v/>
      </c>
      <c r="O66" s="427" t="str">
        <f>IFERROR(INDEX(BPC_NOTAS2[#All],MATCH($B66&amp;"_"&amp;O$16,BPC_NOTAS2[[#All],[FILA_COLUMNA]],0),2),"")</f>
        <v/>
      </c>
      <c r="P66" s="222"/>
      <c r="Q66" s="222"/>
      <c r="R66" s="222"/>
      <c r="T66" s="545" t="s">
        <v>19114</v>
      </c>
      <c r="U66" s="545" t="s">
        <v>14337</v>
      </c>
      <c r="V66" s="545" t="s">
        <v>9597</v>
      </c>
      <c r="W66" s="545">
        <v>11602048</v>
      </c>
      <c r="X66" s="545"/>
      <c r="Y66" s="545"/>
      <c r="Z66" s="19" t="str">
        <f t="shared" si="3"/>
        <v>Ok</v>
      </c>
      <c r="AA66" s="19" t="str">
        <f>+IF(C66="","OK",IF(OR(C66=$C$61,C66=$C$63,C66=$C$62,C66=$C$64,C66=$C$65,C66=$C$60,C66=$C$59,C66=$C$58,C66=$C$57,C66=$C$56),"Error","Ok"))</f>
        <v>OK</v>
      </c>
      <c r="AB66" s="597">
        <f t="shared" si="2"/>
        <v>0</v>
      </c>
      <c r="AC66" s="446"/>
      <c r="AD66" s="446"/>
      <c r="AE66" s="1"/>
    </row>
    <row r="67" spans="1:31">
      <c r="A67" s="99">
        <f t="shared" si="4"/>
        <v>0</v>
      </c>
      <c r="B67" s="612" t="s">
        <v>1497</v>
      </c>
      <c r="C67" s="423" t="str">
        <f t="shared" si="5"/>
        <v>Subtotal miembos del mismo grupo (Consolidan)</v>
      </c>
      <c r="D67" s="424" t="str">
        <f t="shared" si="6"/>
        <v/>
      </c>
      <c r="E67" s="429">
        <f>SUM(E19:E66)</f>
        <v>0</v>
      </c>
      <c r="F67" s="429">
        <f>SUM(F19:F66)</f>
        <v>0</v>
      </c>
      <c r="G67" s="429">
        <f>SUM(G19:G66)</f>
        <v>0</v>
      </c>
      <c r="H67" s="429">
        <f>SUM(H19:H66)</f>
        <v>0</v>
      </c>
      <c r="I67" s="292"/>
      <c r="J67" s="402"/>
      <c r="K67" s="402" t="e">
        <f ca="1" xml:space="preserve"> _xll.EPMOlapMemberO("[FILA_NOTA].[PARENTH1].[11601049]","","11601049","","001")</f>
        <v>#NAME?</v>
      </c>
      <c r="L67" s="427">
        <f>SUM(L19:L66)</f>
        <v>0</v>
      </c>
      <c r="M67" s="427">
        <f>SUM(M19:M66)</f>
        <v>0</v>
      </c>
      <c r="N67" s="427">
        <f>SUM(N19:N66)</f>
        <v>0</v>
      </c>
      <c r="O67" s="427">
        <f>SUM(O19:O66)</f>
        <v>0</v>
      </c>
      <c r="P67" s="222"/>
      <c r="Q67" s="222"/>
      <c r="R67" s="222"/>
      <c r="T67" s="545" t="s">
        <v>68</v>
      </c>
      <c r="U67" s="545" t="s">
        <v>19141</v>
      </c>
      <c r="V67" s="545" t="s">
        <v>9598</v>
      </c>
      <c r="W67" s="545">
        <v>11602049</v>
      </c>
      <c r="X67" s="545"/>
      <c r="Y67" s="545"/>
      <c r="Z67" s="27"/>
      <c r="AA67" s="280"/>
      <c r="AB67" s="597"/>
      <c r="AC67" s="446"/>
      <c r="AD67" s="446"/>
      <c r="AE67" s="1"/>
    </row>
    <row r="68" spans="1:31">
      <c r="A68" s="99">
        <f t="shared" si="4"/>
        <v>0</v>
      </c>
      <c r="B68" s="612" t="str">
        <f>IFERROR(INDEX(ORGANIZACION[#All],MATCH($C68,ORGANIZACION[[#All],[ENTIDAD]],0),2),"")</f>
        <v/>
      </c>
      <c r="C68" s="622"/>
      <c r="D68" s="424" t="str">
        <f>IFERROR(INDEX(ORGANIZACION[#All],MATCH($C68,ORGANIZACION[[#All],[ENTIDAD]],0),3),"")</f>
        <v/>
      </c>
      <c r="E68" s="221"/>
      <c r="F68" s="221"/>
      <c r="G68" s="221"/>
      <c r="H68" s="221"/>
      <c r="I68" s="292"/>
      <c r="J68" s="402"/>
      <c r="K68" s="402" t="e">
        <f ca="1" xml:space="preserve"> _xll.EPMOlapMemberO("[FILA_NOTA].[PARENTH1].[11601050]","","11601050","","001")</f>
        <v>#NAME?</v>
      </c>
      <c r="L68" s="427" t="str">
        <f>IFERROR(INDEX(BPC_NOTAS2[#All],MATCH($B68&amp;"_"&amp;L$16,BPC_NOTAS2[[#All],[FILA_COLUMNA]],0),2),"")</f>
        <v/>
      </c>
      <c r="M68" s="427" t="str">
        <f>IFERROR(INDEX(BPC_NOTAS2[#All],MATCH($B68&amp;"_"&amp;M$16,BPC_NOTAS2[[#All],[FILA_COLUMNA]],0),2),"")</f>
        <v/>
      </c>
      <c r="N68" s="427" t="str">
        <f>IFERROR(INDEX(BPC_NOTAS2[#All],MATCH($B68&amp;"_"&amp;N$16,BPC_NOTAS2[[#All],[FILA_COLUMNA]],0),2),"")</f>
        <v/>
      </c>
      <c r="O68" s="427" t="str">
        <f>IFERROR(INDEX(BPC_NOTAS2[#All],MATCH($B68&amp;"_"&amp;O$16,BPC_NOTAS2[[#All],[FILA_COLUMNA]],0),2),"")</f>
        <v/>
      </c>
      <c r="P68" s="222"/>
      <c r="Q68" s="222"/>
      <c r="R68" s="222"/>
      <c r="T68" s="545" t="s">
        <v>19114</v>
      </c>
      <c r="U68" s="545" t="s">
        <v>19116</v>
      </c>
      <c r="V68" s="545" t="s">
        <v>9599</v>
      </c>
      <c r="W68" s="545">
        <v>11602050</v>
      </c>
      <c r="X68" s="545"/>
      <c r="Y68" s="545"/>
      <c r="Z68" s="19" t="str">
        <f t="shared" si="3"/>
        <v>Ok</v>
      </c>
      <c r="AA68" s="19" t="str">
        <f>+IF(C68="","OK",IF(OR(C68=C70,C68=C72,C68=C71,C68=C73,C68=C74,C68=C69),"Error","Ok"))</f>
        <v>OK</v>
      </c>
      <c r="AB68" s="597">
        <f t="shared" si="2"/>
        <v>0</v>
      </c>
      <c r="AC68" s="446"/>
      <c r="AD68" s="446"/>
      <c r="AE68" s="1"/>
    </row>
    <row r="69" spans="1:31">
      <c r="A69" s="99">
        <f t="shared" si="4"/>
        <v>0</v>
      </c>
      <c r="B69" s="612" t="str">
        <f>IFERROR(INDEX(ORGANIZACION[#All],MATCH($C69,ORGANIZACION[[#All],[ENTIDAD]],0),2),"")</f>
        <v/>
      </c>
      <c r="C69" s="622"/>
      <c r="D69" s="424" t="str">
        <f>IFERROR(INDEX(ORGANIZACION[#All],MATCH($C69,ORGANIZACION[[#All],[ENTIDAD]],0),3),"")</f>
        <v/>
      </c>
      <c r="E69" s="221"/>
      <c r="F69" s="221"/>
      <c r="G69" s="221"/>
      <c r="H69" s="221"/>
      <c r="I69" s="292"/>
      <c r="J69" s="402"/>
      <c r="K69" s="402" t="e">
        <f ca="1" xml:space="preserve"> _xll.EPMOlapMemberO("[FILA_NOTA].[PARENTH1].[11601051]","","11601051","","001")</f>
        <v>#NAME?</v>
      </c>
      <c r="L69" s="427" t="str">
        <f>IFERROR(INDEX(BPC_NOTAS2[#All],MATCH($B69&amp;"_"&amp;L$16,BPC_NOTAS2[[#All],[FILA_COLUMNA]],0),2),"")</f>
        <v/>
      </c>
      <c r="M69" s="427" t="str">
        <f>IFERROR(INDEX(BPC_NOTAS2[#All],MATCH($B69&amp;"_"&amp;M$16,BPC_NOTAS2[[#All],[FILA_COLUMNA]],0),2),"")</f>
        <v/>
      </c>
      <c r="N69" s="427" t="str">
        <f>IFERROR(INDEX(BPC_NOTAS2[#All],MATCH($B69&amp;"_"&amp;N$16,BPC_NOTAS2[[#All],[FILA_COLUMNA]],0),2),"")</f>
        <v/>
      </c>
      <c r="O69" s="427" t="str">
        <f>IFERROR(INDEX(BPC_NOTAS2[#All],MATCH($B69&amp;"_"&amp;O$16,BPC_NOTAS2[[#All],[FILA_COLUMNA]],0),2),"")</f>
        <v/>
      </c>
      <c r="P69" s="222"/>
      <c r="Q69" s="222"/>
      <c r="R69" s="222"/>
      <c r="T69" s="545" t="s">
        <v>10388</v>
      </c>
      <c r="U69" s="545" t="s">
        <v>19117</v>
      </c>
      <c r="V69" s="545" t="s">
        <v>9600</v>
      </c>
      <c r="W69" s="545">
        <v>11602051</v>
      </c>
      <c r="X69" s="545"/>
      <c r="Y69" s="545"/>
      <c r="Z69" s="19" t="str">
        <f t="shared" si="3"/>
        <v>Ok</v>
      </c>
      <c r="AA69" s="19" t="str">
        <f>+IF(C69="","OK",IF(OR(C69=C74,C69=C72,C69=C73,C69=C71,C69=C70,C69=C68),"Error","Ok"))</f>
        <v>OK</v>
      </c>
      <c r="AB69" s="597">
        <f t="shared" si="2"/>
        <v>0</v>
      </c>
      <c r="AC69" s="446"/>
      <c r="AD69" s="446"/>
      <c r="AE69" s="1"/>
    </row>
    <row r="70" spans="1:31">
      <c r="A70" s="99">
        <f t="shared" si="4"/>
        <v>0</v>
      </c>
      <c r="B70" s="612" t="str">
        <f>IFERROR(INDEX(ORGANIZACION[#All],MATCH($C70,ORGANIZACION[[#All],[ENTIDAD]],0),2),"")</f>
        <v/>
      </c>
      <c r="C70" s="622"/>
      <c r="D70" s="424" t="str">
        <f>IFERROR(INDEX(ORGANIZACION[#All],MATCH($C70,ORGANIZACION[[#All],[ENTIDAD]],0),3),"")</f>
        <v/>
      </c>
      <c r="E70" s="221"/>
      <c r="F70" s="221"/>
      <c r="G70" s="221"/>
      <c r="H70" s="221"/>
      <c r="I70" s="292"/>
      <c r="J70" s="402"/>
      <c r="K70" s="402" t="e">
        <f ca="1" xml:space="preserve"> _xll.EPMOlapMemberO("[FILA_NOTA].[PARENTH1].[11601052]","","11601052","","001")</f>
        <v>#NAME?</v>
      </c>
      <c r="L70" s="427" t="str">
        <f>IFERROR(INDEX(BPC_NOTAS2[#All],MATCH($B70&amp;"_"&amp;L$16,BPC_NOTAS2[[#All],[FILA_COLUMNA]],0),2),"")</f>
        <v/>
      </c>
      <c r="M70" s="427" t="str">
        <f>IFERROR(INDEX(BPC_NOTAS2[#All],MATCH($B70&amp;"_"&amp;M$16,BPC_NOTAS2[[#All],[FILA_COLUMNA]],0),2),"")</f>
        <v/>
      </c>
      <c r="N70" s="427" t="str">
        <f>IFERROR(INDEX(BPC_NOTAS2[#All],MATCH($B70&amp;"_"&amp;N$16,BPC_NOTAS2[[#All],[FILA_COLUMNA]],0),2),"")</f>
        <v/>
      </c>
      <c r="O70" s="427" t="str">
        <f>IFERROR(INDEX(BPC_NOTAS2[#All],MATCH($B70&amp;"_"&amp;O$16,BPC_NOTAS2[[#All],[FILA_COLUMNA]],0),2),"")</f>
        <v/>
      </c>
      <c r="P70" s="222"/>
      <c r="Q70" s="222"/>
      <c r="R70" s="222"/>
      <c r="T70" s="545" t="s">
        <v>10383</v>
      </c>
      <c r="U70" s="545" t="s">
        <v>19119</v>
      </c>
      <c r="V70" s="545" t="s">
        <v>9601</v>
      </c>
      <c r="W70" s="545">
        <v>11602052</v>
      </c>
      <c r="X70" s="545"/>
      <c r="Y70" s="545"/>
      <c r="Z70" s="19" t="str">
        <f t="shared" si="3"/>
        <v>Ok</v>
      </c>
      <c r="AA70" s="19" t="str">
        <f>+IF(C70="","OK",IF(OR(C70=C68,C70=C73,C70=C74,C70=C72,C70=C71,C70=C69),"Error","Ok"))</f>
        <v>OK</v>
      </c>
      <c r="AB70" s="597">
        <f t="shared" si="2"/>
        <v>0</v>
      </c>
      <c r="AC70" s="446"/>
      <c r="AD70" s="446"/>
      <c r="AE70" s="1"/>
    </row>
    <row r="71" spans="1:31">
      <c r="A71" s="99">
        <f t="shared" si="4"/>
        <v>0</v>
      </c>
      <c r="B71" s="612" t="str">
        <f>IFERROR(INDEX(ORGANIZACION[#All],MATCH($C71,ORGANIZACION[[#All],[ENTIDAD]],0),2),"")</f>
        <v/>
      </c>
      <c r="C71" s="622"/>
      <c r="D71" s="424" t="str">
        <f>IFERROR(INDEX(ORGANIZACION[#All],MATCH($C71,ORGANIZACION[[#All],[ENTIDAD]],0),3),"")</f>
        <v/>
      </c>
      <c r="E71" s="221"/>
      <c r="F71" s="221"/>
      <c r="G71" s="221"/>
      <c r="H71" s="221"/>
      <c r="I71" s="292"/>
      <c r="J71" s="402"/>
      <c r="K71" s="402" t="e">
        <f ca="1" xml:space="preserve"> _xll.EPMOlapMemberO("[FILA_NOTA].[PARENTH1].[11601053]","","11601053","","001")</f>
        <v>#NAME?</v>
      </c>
      <c r="L71" s="427" t="str">
        <f>IFERROR(INDEX(BPC_NOTAS2[#All],MATCH($B71&amp;"_"&amp;L$16,BPC_NOTAS2[[#All],[FILA_COLUMNA]],0),2),"")</f>
        <v/>
      </c>
      <c r="M71" s="427" t="str">
        <f>IFERROR(INDEX(BPC_NOTAS2[#All],MATCH($B71&amp;"_"&amp;M$16,BPC_NOTAS2[[#All],[FILA_COLUMNA]],0),2),"")</f>
        <v/>
      </c>
      <c r="N71" s="427" t="str">
        <f>IFERROR(INDEX(BPC_NOTAS2[#All],MATCH($B71&amp;"_"&amp;N$16,BPC_NOTAS2[[#All],[FILA_COLUMNA]],0),2),"")</f>
        <v/>
      </c>
      <c r="O71" s="427" t="str">
        <f>IFERROR(INDEX(BPC_NOTAS2[#All],MATCH($B71&amp;"_"&amp;O$16,BPC_NOTAS2[[#All],[FILA_COLUMNA]],0),2),"")</f>
        <v/>
      </c>
      <c r="P71" s="222"/>
      <c r="Q71" s="222"/>
      <c r="R71" s="222"/>
      <c r="T71" s="545" t="s">
        <v>10383</v>
      </c>
      <c r="U71" s="545" t="s">
        <v>19120</v>
      </c>
      <c r="V71" s="545" t="s">
        <v>9602</v>
      </c>
      <c r="W71" s="545">
        <v>11602053</v>
      </c>
      <c r="X71" s="545"/>
      <c r="Y71" s="545"/>
      <c r="Z71" s="19" t="str">
        <f t="shared" si="3"/>
        <v>Ok</v>
      </c>
      <c r="AA71" s="19" t="str">
        <f>+IF(C71="","OK",IF(OR(C71=C69,C71=C67,C71=C68,C71=C66,C71=C65,C71=C70),"Error","Ok"))</f>
        <v>OK</v>
      </c>
      <c r="AB71" s="597">
        <f t="shared" si="2"/>
        <v>0</v>
      </c>
      <c r="AC71" s="446"/>
      <c r="AD71" s="446"/>
      <c r="AE71" s="1"/>
    </row>
    <row r="72" spans="1:31">
      <c r="A72" s="99">
        <f t="shared" si="4"/>
        <v>0</v>
      </c>
      <c r="B72" s="612" t="str">
        <f>IFERROR(INDEX(ORGANIZACION[#All],MATCH($C72,ORGANIZACION[[#All],[ENTIDAD]],0),2),"")</f>
        <v/>
      </c>
      <c r="C72" s="622"/>
      <c r="D72" s="424" t="str">
        <f>IFERROR(INDEX(ORGANIZACION[#All],MATCH($C72,ORGANIZACION[[#All],[ENTIDAD]],0),3),"")</f>
        <v/>
      </c>
      <c r="E72" s="221"/>
      <c r="F72" s="221"/>
      <c r="G72" s="221"/>
      <c r="H72" s="221"/>
      <c r="I72" s="292"/>
      <c r="J72" s="402"/>
      <c r="K72" s="402" t="e">
        <f ca="1" xml:space="preserve"> _xll.EPMOlapMemberO("[FILA_NOTA].[PARENTH1].[11601054]","","11601054","","001")</f>
        <v>#NAME?</v>
      </c>
      <c r="L72" s="427" t="str">
        <f>IFERROR(INDEX(BPC_NOTAS2[#All],MATCH($B72&amp;"_"&amp;L$16,BPC_NOTAS2[[#All],[FILA_COLUMNA]],0),2),"")</f>
        <v/>
      </c>
      <c r="M72" s="427" t="str">
        <f>IFERROR(INDEX(BPC_NOTAS2[#All],MATCH($B72&amp;"_"&amp;M$16,BPC_NOTAS2[[#All],[FILA_COLUMNA]],0),2),"")</f>
        <v/>
      </c>
      <c r="N72" s="427" t="str">
        <f>IFERROR(INDEX(BPC_NOTAS2[#All],MATCH($B72&amp;"_"&amp;N$16,BPC_NOTAS2[[#All],[FILA_COLUMNA]],0),2),"")</f>
        <v/>
      </c>
      <c r="O72" s="427" t="str">
        <f>IFERROR(INDEX(BPC_NOTAS2[#All],MATCH($B72&amp;"_"&amp;O$16,BPC_NOTAS2[[#All],[FILA_COLUMNA]],0),2),"")</f>
        <v/>
      </c>
      <c r="P72" s="222"/>
      <c r="Q72" s="222"/>
      <c r="R72" s="222"/>
      <c r="T72" s="545" t="s">
        <v>10394</v>
      </c>
      <c r="U72" s="545" t="s">
        <v>19121</v>
      </c>
      <c r="V72" s="545" t="s">
        <v>9603</v>
      </c>
      <c r="W72" s="545">
        <v>11602054</v>
      </c>
      <c r="X72" s="545"/>
      <c r="Y72" s="545"/>
      <c r="Z72" s="19" t="str">
        <f t="shared" si="3"/>
        <v>Ok</v>
      </c>
      <c r="AA72" s="19" t="str">
        <f>+IF(C72="","OK",IF(OR(C72=C70,C72=C68,C72=C69,C72=C74,C72=C73,C72=C71),"Error","Ok"))</f>
        <v>OK</v>
      </c>
      <c r="AB72" s="597">
        <f t="shared" si="2"/>
        <v>0</v>
      </c>
      <c r="AC72" s="446"/>
      <c r="AD72" s="446"/>
      <c r="AE72" s="1"/>
    </row>
    <row r="73" spans="1:31">
      <c r="A73" s="99">
        <f t="shared" si="4"/>
        <v>0</v>
      </c>
      <c r="B73" s="612" t="str">
        <f>IFERROR(INDEX(ORGANIZACION[#All],MATCH($C73,ORGANIZACION[[#All],[ENTIDAD]],0),2),"")</f>
        <v/>
      </c>
      <c r="C73" s="622"/>
      <c r="D73" s="424" t="str">
        <f>IFERROR(INDEX(ORGANIZACION[#All],MATCH($C73,ORGANIZACION[[#All],[ENTIDAD]],0),3),"")</f>
        <v/>
      </c>
      <c r="E73" s="221"/>
      <c r="F73" s="221"/>
      <c r="G73" s="221"/>
      <c r="H73" s="221"/>
      <c r="I73" s="292"/>
      <c r="J73" s="402"/>
      <c r="K73" s="402" t="e">
        <f ca="1" xml:space="preserve"> _xll.EPMOlapMemberO("[FILA_NOTA].[PARENTH1].[11601056]","","11601056","","001")</f>
        <v>#NAME?</v>
      </c>
      <c r="L73" s="427" t="str">
        <f>IFERROR(INDEX(BPC_NOTAS2[#All],MATCH($B73&amp;"_"&amp;L$16,BPC_NOTAS2[[#All],[FILA_COLUMNA]],0),2),"")</f>
        <v/>
      </c>
      <c r="M73" s="427" t="str">
        <f>IFERROR(INDEX(BPC_NOTAS2[#All],MATCH($B73&amp;"_"&amp;M$16,BPC_NOTAS2[[#All],[FILA_COLUMNA]],0),2),"")</f>
        <v/>
      </c>
      <c r="N73" s="427" t="str">
        <f>IFERROR(INDEX(BPC_NOTAS2[#All],MATCH($B73&amp;"_"&amp;N$16,BPC_NOTAS2[[#All],[FILA_COLUMNA]],0),2),"")</f>
        <v/>
      </c>
      <c r="O73" s="427" t="str">
        <f>IFERROR(INDEX(BPC_NOTAS2[#All],MATCH($B73&amp;"_"&amp;O$16,BPC_NOTAS2[[#All],[FILA_COLUMNA]],0),2),"")</f>
        <v/>
      </c>
      <c r="P73" s="222"/>
      <c r="Q73" s="222"/>
      <c r="R73" s="222"/>
      <c r="T73" s="545" t="s">
        <v>19114</v>
      </c>
      <c r="U73" s="545" t="s">
        <v>19122</v>
      </c>
      <c r="V73" s="545" t="s">
        <v>9606</v>
      </c>
      <c r="W73" s="545">
        <v>11602055</v>
      </c>
      <c r="X73" s="545"/>
      <c r="Y73" s="545"/>
      <c r="Z73" s="19" t="str">
        <f t="shared" si="3"/>
        <v>Ok</v>
      </c>
      <c r="AA73" s="19" t="str">
        <f>+IF(C73="","OK",IF(OR(C73=C71,C73=C69,C73=C70,C73=C68,C73=C74,C73=C72),"Error","Ok"))</f>
        <v>OK</v>
      </c>
      <c r="AB73" s="597">
        <f t="shared" si="2"/>
        <v>0</v>
      </c>
      <c r="AC73" s="446"/>
      <c r="AD73" s="446"/>
      <c r="AE73" s="1"/>
    </row>
    <row r="74" spans="1:31">
      <c r="A74" s="99">
        <f t="shared" si="4"/>
        <v>0</v>
      </c>
      <c r="B74" s="612" t="str">
        <f>IFERROR(INDEX(ORGANIZACION[#All],MATCH($C74,ORGANIZACION[[#All],[ENTIDAD]],0),2),"")</f>
        <v/>
      </c>
      <c r="C74" s="622"/>
      <c r="D74" s="424" t="str">
        <f>IFERROR(INDEX(ORGANIZACION[#All],MATCH($C74,ORGANIZACION[[#All],[ENTIDAD]],0),3),"")</f>
        <v/>
      </c>
      <c r="E74" s="221"/>
      <c r="F74" s="221"/>
      <c r="G74" s="221"/>
      <c r="H74" s="221"/>
      <c r="I74" s="278"/>
      <c r="J74" s="402"/>
      <c r="K74" s="402" t="e">
        <f ca="1" xml:space="preserve"> _xll.EPMOlapMemberO("[FILA_NOTA].[PARENTH1].[11601090]","","11601090","","001")</f>
        <v>#NAME?</v>
      </c>
      <c r="L74" s="427" t="str">
        <f>IFERROR(INDEX(BPC_NOTAS2[#All],MATCH($B74&amp;"_"&amp;L$16,BPC_NOTAS2[[#All],[FILA_COLUMNA]],0),2),"")</f>
        <v/>
      </c>
      <c r="M74" s="427" t="str">
        <f>IFERROR(INDEX(BPC_NOTAS2[#All],MATCH($B74&amp;"_"&amp;M$16,BPC_NOTAS2[[#All],[FILA_COLUMNA]],0),2),"")</f>
        <v/>
      </c>
      <c r="N74" s="427" t="str">
        <f>IFERROR(INDEX(BPC_NOTAS2[#All],MATCH($B74&amp;"_"&amp;N$16,BPC_NOTAS2[[#All],[FILA_COLUMNA]],0),2),"")</f>
        <v/>
      </c>
      <c r="O74" s="427" t="str">
        <f>IFERROR(INDEX(BPC_NOTAS2[#All],MATCH($B74&amp;"_"&amp;O$16,BPC_NOTAS2[[#All],[FILA_COLUMNA]],0),2),"")</f>
        <v/>
      </c>
      <c r="P74" s="222"/>
      <c r="Q74" s="222"/>
      <c r="R74" s="222"/>
      <c r="T74" s="545" t="s">
        <v>10383</v>
      </c>
      <c r="U74" s="545" t="s">
        <v>19118</v>
      </c>
      <c r="V74" s="545" t="s">
        <v>9629</v>
      </c>
      <c r="W74" s="545">
        <v>11602056</v>
      </c>
      <c r="X74" s="545"/>
      <c r="Y74" s="545"/>
      <c r="Z74" s="19" t="str">
        <f t="shared" si="3"/>
        <v>Ok</v>
      </c>
      <c r="AA74" s="19" t="str">
        <f>+IF(C74="","OK",IF(OR(C74=C72,C74=C70,C74=C71,C74=C69,C74=C68,C74=C73),"Error","Ok"))</f>
        <v>OK</v>
      </c>
      <c r="AB74" s="597">
        <f t="shared" si="2"/>
        <v>0</v>
      </c>
      <c r="AC74" s="446"/>
      <c r="AD74" s="446"/>
      <c r="AE74" s="1"/>
    </row>
    <row r="75" spans="1:31">
      <c r="A75" s="99">
        <f t="shared" si="4"/>
        <v>0</v>
      </c>
      <c r="B75" s="612" t="s">
        <v>1505</v>
      </c>
      <c r="C75" s="423" t="str">
        <f t="shared" si="5"/>
        <v>Subtotal accionistas</v>
      </c>
      <c r="D75" s="424" t="str">
        <f t="shared" si="6"/>
        <v/>
      </c>
      <c r="E75" s="429">
        <f>SUM(E68:E74)</f>
        <v>0</v>
      </c>
      <c r="F75" s="429">
        <f>SUM(F68:F74)</f>
        <v>0</v>
      </c>
      <c r="G75" s="429">
        <f>SUM(G68:G74)</f>
        <v>0</v>
      </c>
      <c r="H75" s="429">
        <f>SUM(H68:H74)</f>
        <v>0</v>
      </c>
      <c r="I75" s="292"/>
      <c r="J75" s="402"/>
      <c r="K75" s="402" t="e">
        <f ca="1" xml:space="preserve"> _xll.EPMOlapMemberO("[FILA_NOTA].[PARENTH1].[11601057]","","11601057","","001")</f>
        <v>#NAME?</v>
      </c>
      <c r="L75" s="427">
        <f>SUM(L68:L74)</f>
        <v>0</v>
      </c>
      <c r="M75" s="427">
        <f>SUM(M68:M74)</f>
        <v>0</v>
      </c>
      <c r="N75" s="427">
        <f>SUM(N68:N74)</f>
        <v>0</v>
      </c>
      <c r="O75" s="427">
        <f>SUM(O68:O74)</f>
        <v>0</v>
      </c>
      <c r="P75" s="222"/>
      <c r="Q75" s="222"/>
      <c r="R75" s="222"/>
      <c r="T75" s="545" t="s">
        <v>68</v>
      </c>
      <c r="U75" s="545" t="s">
        <v>19142</v>
      </c>
      <c r="V75" s="545" t="s">
        <v>9607</v>
      </c>
      <c r="W75" s="545">
        <v>11602057</v>
      </c>
      <c r="X75" s="545"/>
      <c r="Y75" s="545"/>
      <c r="Z75" s="20"/>
      <c r="AA75" s="280"/>
      <c r="AB75" s="597"/>
      <c r="AC75" s="446"/>
      <c r="AD75" s="446"/>
      <c r="AE75" s="1"/>
    </row>
    <row r="76" spans="1:31">
      <c r="A76" s="99">
        <f t="shared" si="4"/>
        <v>0</v>
      </c>
      <c r="B76" s="612" t="str">
        <f>IFERROR(INDEX(ORGANIZACION[#All],MATCH($C76,ORGANIZACION[[#All],[ENTIDAD]],0),2),"")</f>
        <v/>
      </c>
      <c r="C76" s="622"/>
      <c r="D76" s="424" t="str">
        <f>IFERROR(INDEX(ORGANIZACION[#All],MATCH($C76,ORGANIZACION[[#All],[ENTIDAD]],0),3),"")</f>
        <v/>
      </c>
      <c r="E76" s="221"/>
      <c r="F76" s="221"/>
      <c r="G76" s="221"/>
      <c r="H76" s="221"/>
      <c r="I76" s="292"/>
      <c r="J76" s="402"/>
      <c r="K76" s="402" t="e">
        <f ca="1" xml:space="preserve"> _xll.EPMOlapMemberO("[FILA_NOTA].[PARENTH1].[11601058]","","11601058","","001")</f>
        <v>#NAME?</v>
      </c>
      <c r="L76" s="427" t="str">
        <f>IFERROR(INDEX(BPC_NOTAS2[#All],MATCH($B76&amp;"_"&amp;L$16,BPC_NOTAS2[[#All],[FILA_COLUMNA]],0),2),"")</f>
        <v/>
      </c>
      <c r="M76" s="427" t="str">
        <f>IFERROR(INDEX(BPC_NOTAS2[#All],MATCH($B76&amp;"_"&amp;M$16,BPC_NOTAS2[[#All],[FILA_COLUMNA]],0),2),"")</f>
        <v/>
      </c>
      <c r="N76" s="427" t="str">
        <f>IFERROR(INDEX(BPC_NOTAS2[#All],MATCH($B76&amp;"_"&amp;N$16,BPC_NOTAS2[[#All],[FILA_COLUMNA]],0),2),"")</f>
        <v/>
      </c>
      <c r="O76" s="427" t="str">
        <f>IFERROR(INDEX(BPC_NOTAS2[#All],MATCH($B76&amp;"_"&amp;O$16,BPC_NOTAS2[[#All],[FILA_COLUMNA]],0),2),"")</f>
        <v/>
      </c>
      <c r="P76" s="222"/>
      <c r="Q76" s="222"/>
      <c r="R76" s="222"/>
      <c r="T76" s="545" t="s">
        <v>10383</v>
      </c>
      <c r="U76" s="545" t="s">
        <v>19123</v>
      </c>
      <c r="V76" s="545" t="s">
        <v>9608</v>
      </c>
      <c r="W76" s="545">
        <v>11602058</v>
      </c>
      <c r="X76" s="545"/>
      <c r="Y76" s="545"/>
      <c r="Z76" s="19" t="str">
        <f t="shared" si="3"/>
        <v>Ok</v>
      </c>
      <c r="AA76" s="19" t="str">
        <f>+IF(C76="","OK",IF(OR(C76=C77,C76=C79,C76=C78,C76=C80,C76=C81),"Error","Ok"))</f>
        <v>OK</v>
      </c>
      <c r="AB76" s="597">
        <f t="shared" si="2"/>
        <v>0</v>
      </c>
      <c r="AC76" s="446"/>
      <c r="AD76" s="446"/>
      <c r="AE76" s="1"/>
    </row>
    <row r="77" spans="1:31">
      <c r="A77" s="99">
        <f t="shared" si="4"/>
        <v>0</v>
      </c>
      <c r="B77" s="612" t="str">
        <f>IFERROR(INDEX(ORGANIZACION[#All],MATCH($C77,ORGANIZACION[[#All],[ENTIDAD]],0),2),"")</f>
        <v/>
      </c>
      <c r="C77" s="622"/>
      <c r="D77" s="424" t="str">
        <f>IFERROR(INDEX(ORGANIZACION[#All],MATCH($C77,ORGANIZACION[[#All],[ENTIDAD]],0),3),"")</f>
        <v/>
      </c>
      <c r="E77" s="221"/>
      <c r="F77" s="221"/>
      <c r="G77" s="221"/>
      <c r="H77" s="221"/>
      <c r="I77" s="292"/>
      <c r="J77" s="402"/>
      <c r="K77" s="402" t="e">
        <f ca="1" xml:space="preserve"> _xll.EPMOlapMemberO("[FILA_NOTA].[PARENTH1].[11601059]","","11601059","","001")</f>
        <v>#NAME?</v>
      </c>
      <c r="L77" s="427" t="str">
        <f>IFERROR(INDEX(BPC_NOTAS2[#All],MATCH($B77&amp;"_"&amp;L$16,BPC_NOTAS2[[#All],[FILA_COLUMNA]],0),2),"")</f>
        <v/>
      </c>
      <c r="M77" s="427" t="str">
        <f>IFERROR(INDEX(BPC_NOTAS2[#All],MATCH($B77&amp;"_"&amp;M$16,BPC_NOTAS2[[#All],[FILA_COLUMNA]],0),2),"")</f>
        <v/>
      </c>
      <c r="N77" s="427" t="str">
        <f>IFERROR(INDEX(BPC_NOTAS2[#All],MATCH($B77&amp;"_"&amp;N$16,BPC_NOTAS2[[#All],[FILA_COLUMNA]],0),2),"")</f>
        <v/>
      </c>
      <c r="O77" s="427" t="str">
        <f>IFERROR(INDEX(BPC_NOTAS2[#All],MATCH($B77&amp;"_"&amp;O$16,BPC_NOTAS2[[#All],[FILA_COLUMNA]],0),2),"")</f>
        <v/>
      </c>
      <c r="P77" s="222"/>
      <c r="Q77" s="222"/>
      <c r="R77" s="222"/>
      <c r="T77" s="545" t="s">
        <v>10383</v>
      </c>
      <c r="U77" s="545" t="s">
        <v>19124</v>
      </c>
      <c r="V77" s="545" t="s">
        <v>9609</v>
      </c>
      <c r="W77" s="545">
        <v>11602059</v>
      </c>
      <c r="X77" s="545"/>
      <c r="Y77" s="545"/>
      <c r="Z77" s="19" t="str">
        <f t="shared" si="3"/>
        <v>Ok</v>
      </c>
      <c r="AA77" s="19" t="str">
        <f>+IF(C77="","OK",IF(OR(C77=C80,C77=C79,C77=C81,C77=C79,C77=C78),"Error","Ok"))</f>
        <v>OK</v>
      </c>
      <c r="AB77" s="597">
        <f t="shared" si="2"/>
        <v>0</v>
      </c>
      <c r="AC77" s="446"/>
      <c r="AD77" s="446"/>
      <c r="AE77" s="1"/>
    </row>
    <row r="78" spans="1:31">
      <c r="A78" s="99">
        <f t="shared" si="4"/>
        <v>0</v>
      </c>
      <c r="B78" s="612" t="str">
        <f>IFERROR(INDEX(ORGANIZACION[#All],MATCH($C78,ORGANIZACION[[#All],[ENTIDAD]],0),2),"")</f>
        <v/>
      </c>
      <c r="C78" s="622"/>
      <c r="D78" s="424" t="str">
        <f>IFERROR(INDEX(ORGANIZACION[#All],MATCH($C78,ORGANIZACION[[#All],[ENTIDAD]],0),3),"")</f>
        <v/>
      </c>
      <c r="E78" s="221"/>
      <c r="F78" s="221"/>
      <c r="G78" s="221"/>
      <c r="H78" s="221"/>
      <c r="I78" s="292"/>
      <c r="J78" s="402"/>
      <c r="K78" s="402" t="e">
        <f ca="1" xml:space="preserve"> _xll.EPMOlapMemberO("[FILA_NOTA].[PARENTH1].[11601060]","","11601060","","001")</f>
        <v>#NAME?</v>
      </c>
      <c r="L78" s="427" t="str">
        <f>IFERROR(INDEX(BPC_NOTAS2[#All],MATCH($B78&amp;"_"&amp;L$16,BPC_NOTAS2[[#All],[FILA_COLUMNA]],0),2),"")</f>
        <v/>
      </c>
      <c r="M78" s="427" t="str">
        <f>IFERROR(INDEX(BPC_NOTAS2[#All],MATCH($B78&amp;"_"&amp;M$16,BPC_NOTAS2[[#All],[FILA_COLUMNA]],0),2),"")</f>
        <v/>
      </c>
      <c r="N78" s="427" t="str">
        <f>IFERROR(INDEX(BPC_NOTAS2[#All],MATCH($B78&amp;"_"&amp;N$16,BPC_NOTAS2[[#All],[FILA_COLUMNA]],0),2),"")</f>
        <v/>
      </c>
      <c r="O78" s="427" t="str">
        <f>IFERROR(INDEX(BPC_NOTAS2[#All],MATCH($B78&amp;"_"&amp;O$16,BPC_NOTAS2[[#All],[FILA_COLUMNA]],0),2),"")</f>
        <v/>
      </c>
      <c r="P78" s="222"/>
      <c r="Q78" s="222"/>
      <c r="R78" s="222"/>
      <c r="T78" s="545" t="s">
        <v>10383</v>
      </c>
      <c r="U78" s="545" t="s">
        <v>19125</v>
      </c>
      <c r="V78" s="545" t="s">
        <v>9610</v>
      </c>
      <c r="W78" s="545">
        <v>11602060</v>
      </c>
      <c r="X78" s="545"/>
      <c r="Y78" s="545"/>
      <c r="Z78" s="19" t="str">
        <f t="shared" si="3"/>
        <v>Ok</v>
      </c>
      <c r="AA78" s="19" t="str">
        <f>+IF(C78="","OK",IF(OR(C78=C76,C78=C77,C78=C79,C78=C80,C78=C81),"Error","Ok"))</f>
        <v>OK</v>
      </c>
      <c r="AB78" s="597">
        <f t="shared" si="2"/>
        <v>0</v>
      </c>
      <c r="AC78" s="446"/>
      <c r="AD78" s="446"/>
      <c r="AE78" s="1"/>
    </row>
    <row r="79" spans="1:31">
      <c r="A79" s="99">
        <f t="shared" si="4"/>
        <v>0</v>
      </c>
      <c r="B79" s="612" t="str">
        <f>IFERROR(INDEX(ORGANIZACION[#All],MATCH($C79,ORGANIZACION[[#All],[ENTIDAD]],0),2),"")</f>
        <v/>
      </c>
      <c r="C79" s="622"/>
      <c r="D79" s="424" t="str">
        <f>IFERROR(INDEX(ORGANIZACION[#All],MATCH($C79,ORGANIZACION[[#All],[ENTIDAD]],0),3),"")</f>
        <v/>
      </c>
      <c r="E79" s="221"/>
      <c r="F79" s="221"/>
      <c r="G79" s="221"/>
      <c r="H79" s="221"/>
      <c r="I79" s="292"/>
      <c r="J79" s="402"/>
      <c r="K79" s="402" t="e">
        <f ca="1" xml:space="preserve"> _xll.EPMOlapMemberO("[FILA_NOTA].[PARENTH1].[11601061]","","11601061","","001")</f>
        <v>#NAME?</v>
      </c>
      <c r="L79" s="427" t="str">
        <f>IFERROR(INDEX(BPC_NOTAS2[#All],MATCH($B79&amp;"_"&amp;L$16,BPC_NOTAS2[[#All],[FILA_COLUMNA]],0),2),"")</f>
        <v/>
      </c>
      <c r="M79" s="427" t="str">
        <f>IFERROR(INDEX(BPC_NOTAS2[#All],MATCH($B79&amp;"_"&amp;M$16,BPC_NOTAS2[[#All],[FILA_COLUMNA]],0),2),"")</f>
        <v/>
      </c>
      <c r="N79" s="427" t="str">
        <f>IFERROR(INDEX(BPC_NOTAS2[#All],MATCH($B79&amp;"_"&amp;N$16,BPC_NOTAS2[[#All],[FILA_COLUMNA]],0),2),"")</f>
        <v/>
      </c>
      <c r="O79" s="427" t="str">
        <f>IFERROR(INDEX(BPC_NOTAS2[#All],MATCH($B79&amp;"_"&amp;O$16,BPC_NOTAS2[[#All],[FILA_COLUMNA]],0),2),"")</f>
        <v/>
      </c>
      <c r="P79" s="222"/>
      <c r="Q79" s="222"/>
      <c r="R79" s="222"/>
      <c r="T79" s="545" t="s">
        <v>10383</v>
      </c>
      <c r="U79" s="545" t="s">
        <v>9997</v>
      </c>
      <c r="V79" s="545" t="s">
        <v>9611</v>
      </c>
      <c r="W79" s="545">
        <v>11602061</v>
      </c>
      <c r="X79" s="545"/>
      <c r="Y79" s="545"/>
      <c r="Z79" s="19" t="str">
        <f t="shared" si="3"/>
        <v>Ok</v>
      </c>
      <c r="AA79" s="19" t="str">
        <f>+IF(C79="","OK",IF(OR(C79=C77,C79=C78,C79=C76,C79=C80,C79=C81),"Error","Ok"))</f>
        <v>OK</v>
      </c>
      <c r="AB79" s="597">
        <f t="shared" si="2"/>
        <v>0</v>
      </c>
      <c r="AC79" s="446"/>
      <c r="AD79" s="446"/>
      <c r="AE79" s="1"/>
    </row>
    <row r="80" spans="1:31">
      <c r="A80" s="99">
        <f t="shared" si="4"/>
        <v>0</v>
      </c>
      <c r="B80" s="612" t="str">
        <f>IFERROR(INDEX(ORGANIZACION[#All],MATCH($C80,ORGANIZACION[[#All],[ENTIDAD]],0),2),"")</f>
        <v/>
      </c>
      <c r="C80" s="622"/>
      <c r="D80" s="424" t="str">
        <f>IFERROR(INDEX(ORGANIZACION[#All],MATCH($C80,ORGANIZACION[[#All],[ENTIDAD]],0),3),"")</f>
        <v/>
      </c>
      <c r="E80" s="221"/>
      <c r="F80" s="221"/>
      <c r="G80" s="221"/>
      <c r="H80" s="221"/>
      <c r="I80" s="292"/>
      <c r="J80" s="402"/>
      <c r="K80" s="402" t="e">
        <f ca="1" xml:space="preserve"> _xll.EPMOlapMemberO("[FILA_NOTA].[PARENTH1].[11601062]","","11601062","","001")</f>
        <v>#NAME?</v>
      </c>
      <c r="L80" s="427" t="str">
        <f>IFERROR(INDEX(BPC_NOTAS2[#All],MATCH($B80&amp;"_"&amp;L$16,BPC_NOTAS2[[#All],[FILA_COLUMNA]],0),2),"")</f>
        <v/>
      </c>
      <c r="M80" s="427" t="str">
        <f>IFERROR(INDEX(BPC_NOTAS2[#All],MATCH($B80&amp;"_"&amp;M$16,BPC_NOTAS2[[#All],[FILA_COLUMNA]],0),2),"")</f>
        <v/>
      </c>
      <c r="N80" s="427" t="str">
        <f>IFERROR(INDEX(BPC_NOTAS2[#All],MATCH($B80&amp;"_"&amp;N$16,BPC_NOTAS2[[#All],[FILA_COLUMNA]],0),2),"")</f>
        <v/>
      </c>
      <c r="O80" s="427" t="str">
        <f>IFERROR(INDEX(BPC_NOTAS2[#All],MATCH($B80&amp;"_"&amp;O$16,BPC_NOTAS2[[#All],[FILA_COLUMNA]],0),2),"")</f>
        <v/>
      </c>
      <c r="P80" s="222"/>
      <c r="Q80" s="222"/>
      <c r="R80" s="222"/>
      <c r="T80" s="545" t="s">
        <v>10383</v>
      </c>
      <c r="U80" s="545" t="s">
        <v>19126</v>
      </c>
      <c r="V80" s="545" t="s">
        <v>9612</v>
      </c>
      <c r="W80" s="545">
        <v>11602062</v>
      </c>
      <c r="X80" s="545"/>
      <c r="Y80" s="545"/>
      <c r="Z80" s="19" t="str">
        <f t="shared" si="3"/>
        <v>Ok</v>
      </c>
      <c r="AA80" s="19" t="str">
        <f>+IF(C80="","OK",IF(OR(C80=C78,C80=C79,C80=C77,C80=C76,C80=C81),"Error","Ok"))</f>
        <v>OK</v>
      </c>
      <c r="AB80" s="597">
        <f t="shared" si="2"/>
        <v>0</v>
      </c>
      <c r="AC80" s="446"/>
      <c r="AD80" s="446"/>
      <c r="AE80" s="1"/>
    </row>
    <row r="81" spans="1:33">
      <c r="A81" s="99">
        <f t="shared" si="4"/>
        <v>0</v>
      </c>
      <c r="B81" s="612" t="str">
        <f>IFERROR(INDEX(ORGANIZACION[#All],MATCH($C81,ORGANIZACION[[#All],[ENTIDAD]],0),2),"")</f>
        <v/>
      </c>
      <c r="C81" s="622"/>
      <c r="D81" s="424" t="str">
        <f>IFERROR(INDEX(ORGANIZACION[#All],MATCH($C81,ORGANIZACION[[#All],[ENTIDAD]],0),3),"")</f>
        <v/>
      </c>
      <c r="E81" s="221"/>
      <c r="F81" s="221"/>
      <c r="G81" s="221"/>
      <c r="H81" s="221"/>
      <c r="I81" s="278"/>
      <c r="J81" s="402"/>
      <c r="K81" s="402" t="e">
        <f ca="1" xml:space="preserve"> _xll.EPMOlapMemberO("[FILA_NOTA].[PARENTH1].[11601063]","","11601063","","001")</f>
        <v>#NAME?</v>
      </c>
      <c r="L81" s="427" t="str">
        <f>IFERROR(INDEX(BPC_NOTAS2[#All],MATCH($B81&amp;"_"&amp;L$16,BPC_NOTAS2[[#All],[FILA_COLUMNA]],0),2),"")</f>
        <v/>
      </c>
      <c r="M81" s="427" t="str">
        <f>IFERROR(INDEX(BPC_NOTAS2[#All],MATCH($B81&amp;"_"&amp;M$16,BPC_NOTAS2[[#All],[FILA_COLUMNA]],0),2),"")</f>
        <v/>
      </c>
      <c r="N81" s="427" t="str">
        <f>IFERROR(INDEX(BPC_NOTAS2[#All],MATCH($B81&amp;"_"&amp;N$16,BPC_NOTAS2[[#All],[FILA_COLUMNA]],0),2),"")</f>
        <v/>
      </c>
      <c r="O81" s="427" t="str">
        <f>IFERROR(INDEX(BPC_NOTAS2[#All],MATCH($B81&amp;"_"&amp;O$16,BPC_NOTAS2[[#All],[FILA_COLUMNA]],0),2),"")</f>
        <v/>
      </c>
      <c r="P81" s="222"/>
      <c r="Q81" s="222"/>
      <c r="R81" s="222"/>
      <c r="T81" s="545" t="s">
        <v>10383</v>
      </c>
      <c r="U81" s="545" t="s">
        <v>19127</v>
      </c>
      <c r="V81" s="545" t="s">
        <v>9605</v>
      </c>
      <c r="W81" s="545">
        <v>11602063</v>
      </c>
      <c r="X81" s="545"/>
      <c r="Y81" s="545"/>
      <c r="Z81" s="19" t="str">
        <f t="shared" si="3"/>
        <v>Ok</v>
      </c>
      <c r="AA81" s="19" t="str">
        <f>+IF(C81="","OK",IF(OR(C81=C79,C81=C80,C81=C78,C81=C77,C81=C76),"Error","Ok"))</f>
        <v>OK</v>
      </c>
      <c r="AB81" s="597">
        <f t="shared" si="2"/>
        <v>0</v>
      </c>
      <c r="AC81" s="446"/>
      <c r="AD81" s="446"/>
      <c r="AE81" s="1"/>
    </row>
    <row r="82" spans="1:33">
      <c r="A82" s="99">
        <f t="shared" si="4"/>
        <v>0</v>
      </c>
      <c r="B82" s="612" t="s">
        <v>1512</v>
      </c>
      <c r="C82" s="423" t="str">
        <f t="shared" si="5"/>
        <v>Subtotal asociadas</v>
      </c>
      <c r="D82" s="424" t="str">
        <f t="shared" si="6"/>
        <v/>
      </c>
      <c r="E82" s="429">
        <f>SUM(E76:E81)</f>
        <v>0</v>
      </c>
      <c r="F82" s="429">
        <f>SUM(F76:F81)</f>
        <v>0</v>
      </c>
      <c r="G82" s="429">
        <f>SUM(G76:G81)</f>
        <v>0</v>
      </c>
      <c r="H82" s="429">
        <f>SUM(H76:H81)</f>
        <v>0</v>
      </c>
      <c r="I82" s="292"/>
      <c r="J82" s="402"/>
      <c r="K82" s="402" t="e">
        <f ca="1" xml:space="preserve"> _xll.EPMOlapMemberO("[FILA_NOTA].[PARENTH1].[11601064]","","11601064","","001")</f>
        <v>#NAME?</v>
      </c>
      <c r="L82" s="427">
        <f>SUM(L76:L81)</f>
        <v>0</v>
      </c>
      <c r="M82" s="427">
        <f>SUM(M76:M81)</f>
        <v>0</v>
      </c>
      <c r="N82" s="427">
        <f>SUM(N76:N81)</f>
        <v>0</v>
      </c>
      <c r="O82" s="427">
        <f>SUM(O76:O81)</f>
        <v>0</v>
      </c>
      <c r="P82" s="222"/>
      <c r="Q82" s="222"/>
      <c r="R82" s="222"/>
      <c r="T82" s="545" t="s">
        <v>68</v>
      </c>
      <c r="U82" s="545" t="s">
        <v>19143</v>
      </c>
      <c r="V82" s="545" t="s">
        <v>9613</v>
      </c>
      <c r="W82" s="545">
        <v>11602064</v>
      </c>
      <c r="X82" s="545"/>
      <c r="Y82" s="545"/>
      <c r="Z82" s="27"/>
      <c r="AA82" s="280"/>
      <c r="AB82" s="597"/>
      <c r="AC82" s="446"/>
      <c r="AD82" s="446"/>
      <c r="AE82" s="1"/>
    </row>
    <row r="83" spans="1:33">
      <c r="A83" s="99">
        <f t="shared" si="4"/>
        <v>0</v>
      </c>
      <c r="B83" s="612" t="str">
        <f>IFERROR(INDEX(ORGANIZACION[#All],MATCH($C83,ORGANIZACION[[#All],[ENTIDAD]],0),2),"")</f>
        <v/>
      </c>
      <c r="C83" s="622"/>
      <c r="D83" s="424" t="str">
        <f>IFERROR(INDEX(ORGANIZACION[#All],MATCH($C83,ORGANIZACION[[#All],[ENTIDAD]],0),3),"")</f>
        <v/>
      </c>
      <c r="E83" s="221"/>
      <c r="F83" s="221"/>
      <c r="G83" s="221"/>
      <c r="H83" s="221"/>
      <c r="I83" s="278"/>
      <c r="J83" s="402"/>
      <c r="K83" s="402" t="e">
        <f ca="1" xml:space="preserve"> _xll.EPMOlapMemberO("[FILA_NOTA].[PARENTH1].[11601065]","","11601065","","001")</f>
        <v>#NAME?</v>
      </c>
      <c r="L83" s="427" t="str">
        <f>IFERROR(INDEX(BPC_NOTAS2[#All],MATCH($B83&amp;"_"&amp;L$16,BPC_NOTAS2[[#All],[FILA_COLUMNA]],0),2),"")</f>
        <v/>
      </c>
      <c r="M83" s="427" t="str">
        <f>IFERROR(INDEX(BPC_NOTAS2[#All],MATCH($B83&amp;"_"&amp;M$16,BPC_NOTAS2[[#All],[FILA_COLUMNA]],0),2),"")</f>
        <v/>
      </c>
      <c r="N83" s="427" t="str">
        <f>IFERROR(INDEX(BPC_NOTAS2[#All],MATCH($B83&amp;"_"&amp;N$16,BPC_NOTAS2[[#All],[FILA_COLUMNA]],0),2),"")</f>
        <v/>
      </c>
      <c r="O83" s="427" t="str">
        <f>IFERROR(INDEX(BPC_NOTAS2[#All],MATCH($B83&amp;"_"&amp;O$16,BPC_NOTAS2[[#All],[FILA_COLUMNA]],0),2),"")</f>
        <v/>
      </c>
      <c r="P83" s="222"/>
      <c r="Q83" s="222"/>
      <c r="R83" s="222"/>
      <c r="T83" s="545" t="s">
        <v>10383</v>
      </c>
      <c r="U83" s="545" t="s">
        <v>460</v>
      </c>
      <c r="V83" s="545" t="s">
        <v>9614</v>
      </c>
      <c r="W83" s="545">
        <v>11602065</v>
      </c>
      <c r="X83" s="545"/>
      <c r="Y83" s="545"/>
      <c r="Z83" s="19" t="str">
        <f t="shared" si="3"/>
        <v>Ok</v>
      </c>
      <c r="AA83" s="19" t="str">
        <f>+IF(C83="","OK",IF(OR(C83=C84,C83=C85),"Error","Ok"))</f>
        <v>OK</v>
      </c>
      <c r="AB83" s="597">
        <f t="shared" si="2"/>
        <v>0</v>
      </c>
      <c r="AC83" s="446"/>
      <c r="AD83" s="446"/>
      <c r="AE83" s="1"/>
    </row>
    <row r="84" spans="1:33">
      <c r="A84" s="99">
        <f t="shared" ref="A84:A85" si="7">IF(Z84="Error",1,0)</f>
        <v>0</v>
      </c>
      <c r="B84" s="612" t="str">
        <f>IFERROR(INDEX(ORGANIZACION[#All],MATCH($C84,ORGANIZACION[[#All],[ENTIDAD]],0),2),"")</f>
        <v/>
      </c>
      <c r="C84" s="623"/>
      <c r="D84" s="613" t="str">
        <f>IFERROR(INDEX(ORGANIZACION[#All],MATCH($C84,ORGANIZACION[[#All],[ENTIDAD]],0),3),"")</f>
        <v/>
      </c>
      <c r="E84" s="614"/>
      <c r="F84" s="614"/>
      <c r="G84" s="614"/>
      <c r="H84" s="614"/>
      <c r="I84" s="615"/>
      <c r="J84" s="402"/>
      <c r="K84" s="402"/>
      <c r="L84" s="616" t="str">
        <f>IFERROR(INDEX(BPC_NOTAS2[#All],MATCH($B84&amp;"_"&amp;L$16,BPC_NOTAS2[[#All],[FILA_COLUMNA]],0),2),"")</f>
        <v/>
      </c>
      <c r="M84" s="616" t="str">
        <f>IFERROR(INDEX(BPC_NOTAS2[#All],MATCH($B84&amp;"_"&amp;M$16,BPC_NOTAS2[[#All],[FILA_COLUMNA]],0),2),"")</f>
        <v/>
      </c>
      <c r="N84" s="616" t="str">
        <f>IFERROR(INDEX(BPC_NOTAS2[#All],MATCH($B84&amp;"_"&amp;N$16,BPC_NOTAS2[[#All],[FILA_COLUMNA]],0),2),"")</f>
        <v/>
      </c>
      <c r="O84" s="616" t="str">
        <f>IFERROR(INDEX(BPC_NOTAS2[#All],MATCH($B84&amp;"_"&amp;O$16,BPC_NOTAS2[[#All],[FILA_COLUMNA]],0),2),"")</f>
        <v/>
      </c>
      <c r="P84" s="617"/>
      <c r="Q84" s="617"/>
      <c r="R84" s="617"/>
      <c r="T84" s="545"/>
      <c r="U84" s="545"/>
      <c r="V84" s="545"/>
      <c r="W84" s="545">
        <v>11602066</v>
      </c>
      <c r="X84" s="545"/>
      <c r="Y84" s="545"/>
      <c r="Z84" s="618" t="str">
        <f t="shared" si="3"/>
        <v>Ok</v>
      </c>
      <c r="AA84" s="19" t="str">
        <f>+IF(C84="","OK",IF(OR(C84=C85,C84=C83),"Error","Ok"))</f>
        <v>OK</v>
      </c>
      <c r="AB84" s="597">
        <f t="shared" ref="AB84:AB98" si="8">+IF(AA84="Ok",0,1)</f>
        <v>0</v>
      </c>
      <c r="AC84" s="446"/>
      <c r="AD84" s="446"/>
      <c r="AE84" s="1"/>
    </row>
    <row r="85" spans="1:33">
      <c r="A85" s="99">
        <f t="shared" si="7"/>
        <v>0</v>
      </c>
      <c r="B85" s="612" t="str">
        <f>IFERROR(INDEX(ORGANIZACION[#All],MATCH($C85,ORGANIZACION[[#All],[ENTIDAD]],0),2),"")</f>
        <v/>
      </c>
      <c r="C85" s="623"/>
      <c r="D85" s="613" t="str">
        <f>IFERROR(INDEX(ORGANIZACION[#All],MATCH($C85,ORGANIZACION[[#All],[ENTIDAD]],0),3),"")</f>
        <v/>
      </c>
      <c r="E85" s="614"/>
      <c r="F85" s="614"/>
      <c r="G85" s="614"/>
      <c r="H85" s="614"/>
      <c r="I85" s="615"/>
      <c r="J85" s="402"/>
      <c r="K85" s="402"/>
      <c r="L85" s="616" t="str">
        <f>IFERROR(INDEX(BPC_NOTAS2[#All],MATCH($B85&amp;"_"&amp;L$16,BPC_NOTAS2[[#All],[FILA_COLUMNA]],0),2),"")</f>
        <v/>
      </c>
      <c r="M85" s="616" t="str">
        <f>IFERROR(INDEX(BPC_NOTAS2[#All],MATCH($B85&amp;"_"&amp;M$16,BPC_NOTAS2[[#All],[FILA_COLUMNA]],0),2),"")</f>
        <v/>
      </c>
      <c r="N85" s="616" t="str">
        <f>IFERROR(INDEX(BPC_NOTAS2[#All],MATCH($B85&amp;"_"&amp;N$16,BPC_NOTAS2[[#All],[FILA_COLUMNA]],0),2),"")</f>
        <v/>
      </c>
      <c r="O85" s="616" t="str">
        <f>IFERROR(INDEX(BPC_NOTAS2[#All],MATCH($B85&amp;"_"&amp;O$16,BPC_NOTAS2[[#All],[FILA_COLUMNA]],0),2),"")</f>
        <v/>
      </c>
      <c r="P85" s="617"/>
      <c r="Q85" s="617"/>
      <c r="R85" s="617"/>
      <c r="T85" s="545"/>
      <c r="U85" s="545"/>
      <c r="V85" s="545"/>
      <c r="W85" s="545">
        <v>11602067</v>
      </c>
      <c r="X85" s="545"/>
      <c r="Y85" s="545"/>
      <c r="Z85" s="618" t="str">
        <f t="shared" si="3"/>
        <v>Ok</v>
      </c>
      <c r="AA85" s="19" t="str">
        <f>+IF(C85="","OK",IF(OR(C85=C83,C85=C84),"Error","Ok"))</f>
        <v>OK</v>
      </c>
      <c r="AB85" s="597">
        <f t="shared" si="8"/>
        <v>0</v>
      </c>
      <c r="AC85" s="446"/>
      <c r="AD85" s="446"/>
      <c r="AE85" s="1"/>
    </row>
    <row r="86" spans="1:33">
      <c r="A86" s="99">
        <f t="shared" ref="A86:A93" si="9">IF(Z86="Error",1,0)</f>
        <v>0</v>
      </c>
      <c r="B86" s="612" t="s">
        <v>1513</v>
      </c>
      <c r="C86" s="423" t="str">
        <f t="shared" ref="C86:C100" si="10">IF(U86=0," ",U86)</f>
        <v>Subtotal miembros de Junta Directiva</v>
      </c>
      <c r="D86" s="424" t="str">
        <f t="shared" ref="D86:D94" si="11">T86</f>
        <v/>
      </c>
      <c r="E86" s="429">
        <f>SUM(E83:E85)</f>
        <v>0</v>
      </c>
      <c r="F86" s="429">
        <f t="shared" ref="F86:H86" si="12">SUM(F83:F85)</f>
        <v>0</v>
      </c>
      <c r="G86" s="429">
        <f t="shared" si="12"/>
        <v>0</v>
      </c>
      <c r="H86" s="429">
        <f t="shared" si="12"/>
        <v>0</v>
      </c>
      <c r="I86" s="292"/>
      <c r="J86" s="402"/>
      <c r="K86" s="402" t="e">
        <f ca="1" xml:space="preserve"> _xll.EPMOlapMemberO("[FILA_NOTA].[PARENTH1].[11601066]","","11601066","","001")</f>
        <v>#NAME?</v>
      </c>
      <c r="L86" s="427">
        <f t="shared" ref="L86" si="13">SUM(L83:L85)</f>
        <v>0</v>
      </c>
      <c r="M86" s="427">
        <f t="shared" ref="M86" si="14">SUM(M83:M85)</f>
        <v>0</v>
      </c>
      <c r="N86" s="427">
        <f t="shared" ref="N86" si="15">SUM(N83:N85)</f>
        <v>0</v>
      </c>
      <c r="O86" s="427">
        <f t="shared" ref="O86" si="16">SUM(O83:O85)</f>
        <v>0</v>
      </c>
      <c r="P86" s="222"/>
      <c r="Q86" s="222"/>
      <c r="R86" s="222"/>
      <c r="T86" s="545" t="s">
        <v>68</v>
      </c>
      <c r="U86" s="545" t="s">
        <v>19144</v>
      </c>
      <c r="V86" s="545" t="s">
        <v>9615</v>
      </c>
      <c r="W86" s="545">
        <v>11602068</v>
      </c>
      <c r="X86" s="545"/>
      <c r="Y86" s="545"/>
      <c r="Z86" s="27"/>
      <c r="AA86" s="280"/>
      <c r="AB86" s="597"/>
      <c r="AC86" s="446"/>
      <c r="AD86" s="446"/>
      <c r="AE86" s="1"/>
    </row>
    <row r="87" spans="1:33">
      <c r="A87" s="99">
        <f t="shared" si="9"/>
        <v>0</v>
      </c>
      <c r="B87" s="612" t="str">
        <f>IFERROR(INDEX(ORGANIZACION[#All],MATCH($C87,ORGANIZACION[[#All],[ENTIDAD]],0),2),"")</f>
        <v/>
      </c>
      <c r="C87" s="622"/>
      <c r="D87" s="424" t="str">
        <f>IFERROR(INDEX(ORGANIZACION[#All],MATCH($C87,ORGANIZACION[[#All],[ENTIDAD]],0),3),"")</f>
        <v/>
      </c>
      <c r="E87" s="221"/>
      <c r="F87" s="221"/>
      <c r="G87" s="221"/>
      <c r="H87" s="221"/>
      <c r="I87" s="292"/>
      <c r="J87" s="402"/>
      <c r="K87" s="402" t="e">
        <f ca="1" xml:space="preserve"> _xll.EPMOlapMemberO("[FILA_NOTA].[PARENTH1].[11601067]","","11601067","","001")</f>
        <v>#NAME?</v>
      </c>
      <c r="L87" s="427" t="str">
        <f>IFERROR(INDEX(BPC_NOTAS2[#All],MATCH($B87&amp;"_"&amp;L$16,BPC_NOTAS2[[#All],[FILA_COLUMNA]],0),2),"")</f>
        <v/>
      </c>
      <c r="M87" s="427" t="str">
        <f>IFERROR(INDEX(BPC_NOTAS2[#All],MATCH($B87&amp;"_"&amp;M$16,BPC_NOTAS2[[#All],[FILA_COLUMNA]],0),2),"")</f>
        <v/>
      </c>
      <c r="N87" s="427" t="str">
        <f>IFERROR(INDEX(BPC_NOTAS2[#All],MATCH($B87&amp;"_"&amp;N$16,BPC_NOTAS2[[#All],[FILA_COLUMNA]],0),2),"")</f>
        <v/>
      </c>
      <c r="O87" s="427" t="str">
        <f>IFERROR(INDEX(BPC_NOTAS2[#All],MATCH($B87&amp;"_"&amp;O$16,BPC_NOTAS2[[#All],[FILA_COLUMNA]],0),2),"")</f>
        <v/>
      </c>
      <c r="P87" s="222"/>
      <c r="Q87" s="222"/>
      <c r="R87" s="222"/>
      <c r="T87" s="545" t="s">
        <v>10383</v>
      </c>
      <c r="U87" s="545" t="s">
        <v>19129</v>
      </c>
      <c r="V87" s="545" t="s">
        <v>9616</v>
      </c>
      <c r="W87" s="545">
        <v>11602069</v>
      </c>
      <c r="X87" s="545"/>
      <c r="Y87" s="545"/>
      <c r="Z87" s="19" t="str">
        <f t="shared" si="3"/>
        <v>Ok</v>
      </c>
      <c r="AA87" s="19" t="str">
        <f>+IF(C87="","OK",IF(OR(C87=C88,C87=C89),"Error","Ok"))</f>
        <v>OK</v>
      </c>
      <c r="AB87" s="597">
        <f t="shared" si="8"/>
        <v>0</v>
      </c>
      <c r="AC87" s="446"/>
      <c r="AD87" s="446"/>
      <c r="AE87" s="1"/>
    </row>
    <row r="88" spans="1:33">
      <c r="A88" s="99">
        <f t="shared" si="9"/>
        <v>0</v>
      </c>
      <c r="B88" s="612" t="str">
        <f>IFERROR(INDEX(ORGANIZACION[#All],MATCH($C88,ORGANIZACION[[#All],[ENTIDAD]],0),2),"")</f>
        <v/>
      </c>
      <c r="C88" s="622"/>
      <c r="D88" s="424" t="str">
        <f>IFERROR(INDEX(ORGANIZACION[#All],MATCH($C88,ORGANIZACION[[#All],[ENTIDAD]],0),3),"")</f>
        <v/>
      </c>
      <c r="E88" s="221"/>
      <c r="F88" s="221"/>
      <c r="G88" s="221"/>
      <c r="H88" s="221"/>
      <c r="I88" s="278"/>
      <c r="J88" s="402"/>
      <c r="K88" s="402" t="e">
        <f ca="1" xml:space="preserve"> _xll.EPMOlapMemberO("[FILA_NOTA].[PARENTH1].[11601068]","","11601068","","001")</f>
        <v>#NAME?</v>
      </c>
      <c r="L88" s="427" t="str">
        <f>IFERROR(INDEX(BPC_NOTAS2[#All],MATCH($B88&amp;"_"&amp;L$16,BPC_NOTAS2[[#All],[FILA_COLUMNA]],0),2),"")</f>
        <v/>
      </c>
      <c r="M88" s="427" t="str">
        <f>IFERROR(INDEX(BPC_NOTAS2[#All],MATCH($B88&amp;"_"&amp;M$16,BPC_NOTAS2[[#All],[FILA_COLUMNA]],0),2),"")</f>
        <v/>
      </c>
      <c r="N88" s="427" t="str">
        <f>IFERROR(INDEX(BPC_NOTAS2[#All],MATCH($B88&amp;"_"&amp;N$16,BPC_NOTAS2[[#All],[FILA_COLUMNA]],0),2),"")</f>
        <v/>
      </c>
      <c r="O88" s="427" t="str">
        <f>IFERROR(INDEX(BPC_NOTAS2[#All],MATCH($B88&amp;"_"&amp;O$16,BPC_NOTAS2[[#All],[FILA_COLUMNA]],0),2),"")</f>
        <v/>
      </c>
      <c r="P88" s="222"/>
      <c r="Q88" s="222"/>
      <c r="R88" s="222"/>
      <c r="T88" s="545" t="s">
        <v>10383</v>
      </c>
      <c r="U88" s="545" t="s">
        <v>19131</v>
      </c>
      <c r="V88" s="545" t="s">
        <v>9617</v>
      </c>
      <c r="W88" s="545">
        <v>11602070</v>
      </c>
      <c r="X88" s="545"/>
      <c r="Y88" s="545"/>
      <c r="Z88" s="19" t="str">
        <f t="shared" ref="Z88:Z89" si="17">IF(P88="",IF(OR(E88&lt;&gt;0,F88&lt;&gt;0,G88&lt;&gt;0,H88&lt;&gt;0,Q88&lt;&gt;"",R88&lt;&gt;""),"Error","Ok"),IF(OR(AND(OR(E88&lt;&gt;0,F88&lt;&gt;0,G88&lt;&gt;0,H88&lt;&gt;0),OR(Q88="",R88="")),AND(OR(E88&lt;&gt;0,F88&lt;&gt;0,G88&lt;&gt;0,H88&lt;&gt;0),OR(Q88="N/A"))),"Error","Ok"))</f>
        <v>Ok</v>
      </c>
      <c r="AA88" s="19" t="str">
        <f>+IF(C88="","OK",IF(OR(C88=C89,C88=C87),"Error","Ok"))</f>
        <v>OK</v>
      </c>
      <c r="AB88" s="597">
        <f t="shared" si="8"/>
        <v>0</v>
      </c>
      <c r="AC88" s="446"/>
      <c r="AD88" s="446"/>
      <c r="AE88" s="1"/>
    </row>
    <row r="89" spans="1:33">
      <c r="A89" s="99">
        <f t="shared" si="9"/>
        <v>0</v>
      </c>
      <c r="B89" s="612" t="str">
        <f>IFERROR(INDEX(ORGANIZACION[#All],MATCH($C89,ORGANIZACION[[#All],[ENTIDAD]],0),2),"")</f>
        <v/>
      </c>
      <c r="C89" s="623"/>
      <c r="D89" s="613" t="str">
        <f>IFERROR(INDEX(ORGANIZACION[#All],MATCH($C89,ORGANIZACION[[#All],[ENTIDAD]],0),3),"")</f>
        <v/>
      </c>
      <c r="E89" s="614"/>
      <c r="F89" s="614"/>
      <c r="G89" s="614"/>
      <c r="H89" s="614"/>
      <c r="I89" s="615"/>
      <c r="J89" s="402"/>
      <c r="K89" s="402"/>
      <c r="L89" s="616" t="str">
        <f>IFERROR(INDEX(BPC_NOTAS2[#All],MATCH($B89&amp;"_"&amp;L$16,BPC_NOTAS2[[#All],[FILA_COLUMNA]],0),2),"")</f>
        <v/>
      </c>
      <c r="M89" s="616" t="str">
        <f>IFERROR(INDEX(BPC_NOTAS2[#All],MATCH($B89&amp;"_"&amp;M$16,BPC_NOTAS2[[#All],[FILA_COLUMNA]],0),2),"")</f>
        <v/>
      </c>
      <c r="N89" s="616" t="str">
        <f>IFERROR(INDEX(BPC_NOTAS2[#All],MATCH($B89&amp;"_"&amp;N$16,BPC_NOTAS2[[#All],[FILA_COLUMNA]],0),2),"")</f>
        <v/>
      </c>
      <c r="O89" s="616" t="str">
        <f>IFERROR(INDEX(BPC_NOTAS2[#All],MATCH($B89&amp;"_"&amp;O$16,BPC_NOTAS2[[#All],[FILA_COLUMNA]],0),2),"")</f>
        <v/>
      </c>
      <c r="P89" s="617"/>
      <c r="Q89" s="617"/>
      <c r="R89" s="617"/>
      <c r="T89" s="545"/>
      <c r="U89" s="545"/>
      <c r="V89" s="545"/>
      <c r="W89" s="545">
        <v>11602071</v>
      </c>
      <c r="X89" s="545"/>
      <c r="Y89" s="545"/>
      <c r="Z89" s="618" t="str">
        <f t="shared" si="17"/>
        <v>Ok</v>
      </c>
      <c r="AA89" s="19" t="str">
        <f>+IF(C89="","OK",IF(OR(C89=C87,C89=C88),"Error","Ok"))</f>
        <v>OK</v>
      </c>
      <c r="AB89" s="597">
        <f t="shared" si="8"/>
        <v>0</v>
      </c>
      <c r="AC89" s="446"/>
      <c r="AD89" s="446"/>
      <c r="AE89" s="1"/>
    </row>
    <row r="90" spans="1:33">
      <c r="A90" s="99">
        <f t="shared" si="9"/>
        <v>0</v>
      </c>
      <c r="B90" s="612" t="s">
        <v>1516</v>
      </c>
      <c r="C90" s="423" t="str">
        <f t="shared" si="10"/>
        <v>Subtotal miembos del mismo grupo (No consolidan)</v>
      </c>
      <c r="D90" s="424" t="str">
        <f t="shared" si="11"/>
        <v/>
      </c>
      <c r="E90" s="429">
        <f>SUM(E87:E89)</f>
        <v>0</v>
      </c>
      <c r="F90" s="429">
        <f t="shared" ref="F90:H90" si="18">SUM(F87:F89)</f>
        <v>0</v>
      </c>
      <c r="G90" s="429">
        <f t="shared" si="18"/>
        <v>0</v>
      </c>
      <c r="H90" s="429">
        <f t="shared" si="18"/>
        <v>0</v>
      </c>
      <c r="I90" s="292"/>
      <c r="J90" s="402"/>
      <c r="K90" s="402" t="e">
        <f ca="1" xml:space="preserve"> _xll.EPMOlapMemberO("[FILA_NOTA].[PARENTH1].[11601069]","","11601069","","001")</f>
        <v>#NAME?</v>
      </c>
      <c r="L90" s="427">
        <f t="shared" ref="L90" si="19">SUM(L87:L89)</f>
        <v>0</v>
      </c>
      <c r="M90" s="427">
        <f t="shared" ref="M90" si="20">SUM(M87:M89)</f>
        <v>0</v>
      </c>
      <c r="N90" s="427">
        <f t="shared" ref="N90" si="21">SUM(N87:N89)</f>
        <v>0</v>
      </c>
      <c r="O90" s="427">
        <f t="shared" ref="O90" si="22">SUM(O87:O89)</f>
        <v>0</v>
      </c>
      <c r="P90" s="222"/>
      <c r="Q90" s="222"/>
      <c r="R90" s="222"/>
      <c r="T90" s="545" t="s">
        <v>68</v>
      </c>
      <c r="U90" s="545" t="s">
        <v>19145</v>
      </c>
      <c r="V90" s="545" t="s">
        <v>9618</v>
      </c>
      <c r="W90" s="545">
        <v>11602072</v>
      </c>
      <c r="X90" s="545"/>
      <c r="Y90" s="545"/>
      <c r="Z90" s="27"/>
      <c r="AA90" s="280"/>
      <c r="AB90" s="597"/>
      <c r="AC90" s="446"/>
      <c r="AD90" s="446"/>
      <c r="AE90" s="1"/>
    </row>
    <row r="91" spans="1:33">
      <c r="A91" s="99">
        <f t="shared" si="9"/>
        <v>0</v>
      </c>
      <c r="B91" s="612" t="str">
        <f>IFERROR(INDEX(ORGANIZACION[#All],MATCH($C91,ORGANIZACION[[#All],[ENTIDAD]],0),2),"")</f>
        <v/>
      </c>
      <c r="C91" s="622"/>
      <c r="D91" s="424" t="str">
        <f>IFERROR(INDEX(ORGANIZACION[#All],MATCH($C91,ORGANIZACION[[#All],[ENTIDAD]],0),3),"")</f>
        <v/>
      </c>
      <c r="E91" s="221"/>
      <c r="F91" s="221"/>
      <c r="G91" s="221"/>
      <c r="H91" s="221"/>
      <c r="I91" s="292"/>
      <c r="J91" s="402"/>
      <c r="K91" s="402" t="e">
        <f ca="1" xml:space="preserve"> _xll.EPMOlapMemberO("[FILA_NOTA].[PARENTH1].[11601070]","","11601070","","001")</f>
        <v>#NAME?</v>
      </c>
      <c r="L91" s="427" t="str">
        <f>IFERROR(INDEX(BPC_NOTAS2[#All],MATCH($B91&amp;"_"&amp;L$16,BPC_NOTAS2[[#All],[FILA_COLUMNA]],0),2),"")</f>
        <v/>
      </c>
      <c r="M91" s="427" t="str">
        <f>IFERROR(INDEX(BPC_NOTAS2[#All],MATCH($B91&amp;"_"&amp;M$16,BPC_NOTAS2[[#All],[FILA_COLUMNA]],0),2),"")</f>
        <v/>
      </c>
      <c r="N91" s="427" t="str">
        <f>IFERROR(INDEX(BPC_NOTAS2[#All],MATCH($B91&amp;"_"&amp;N$16,BPC_NOTAS2[[#All],[FILA_COLUMNA]],0),2),"")</f>
        <v/>
      </c>
      <c r="O91" s="427" t="str">
        <f>IFERROR(INDEX(BPC_NOTAS2[#All],MATCH($B91&amp;"_"&amp;O$16,BPC_NOTAS2[[#All],[FILA_COLUMNA]],0),2),"")</f>
        <v/>
      </c>
      <c r="P91" s="222"/>
      <c r="Q91" s="222"/>
      <c r="R91" s="222"/>
      <c r="T91" s="545" t="s">
        <v>10383</v>
      </c>
      <c r="U91" s="545" t="s">
        <v>19133</v>
      </c>
      <c r="V91" s="545" t="s">
        <v>9619</v>
      </c>
      <c r="W91" s="545">
        <v>11602073</v>
      </c>
      <c r="X91" s="545"/>
      <c r="Y91" s="545"/>
      <c r="Z91" s="19" t="str">
        <f t="shared" ref="Z91:Z93" si="23">IF(P91="",IF(OR(E91&lt;&gt;0,F91&lt;&gt;0,G91&lt;&gt;0,H91&lt;&gt;0,Q91&lt;&gt;"",R91&lt;&gt;""),"Error","Ok"),IF(OR(AND(OR(E91&lt;&gt;0,F91&lt;&gt;0,G91&lt;&gt;0,H91&lt;&gt;0),OR(Q91="",R91="")),AND(OR(E91&lt;&gt;0,F91&lt;&gt;0,G91&lt;&gt;0,H91&lt;&gt;0),OR(Q91="N/A"))),"Error","Ok"))</f>
        <v>Ok</v>
      </c>
      <c r="AA91" s="19" t="str">
        <f>+IF(C91="","OK",IF(OR(C91=C92,C91=C93),"Error","Ok"))</f>
        <v>OK</v>
      </c>
      <c r="AB91" s="597">
        <f t="shared" si="8"/>
        <v>0</v>
      </c>
      <c r="AC91" s="446"/>
      <c r="AD91" s="446"/>
      <c r="AE91" s="1"/>
    </row>
    <row r="92" spans="1:33">
      <c r="A92" s="99">
        <f t="shared" si="9"/>
        <v>0</v>
      </c>
      <c r="B92" s="612" t="str">
        <f>IFERROR(INDEX(ORGANIZACION[#All],MATCH($C92,ORGANIZACION[[#All],[ENTIDAD]],0),2),"")</f>
        <v/>
      </c>
      <c r="C92" s="622"/>
      <c r="D92" s="424" t="str">
        <f>IFERROR(INDEX(ORGANIZACION[#All],MATCH($C92,ORGANIZACION[[#All],[ENTIDAD]],0),3),"")</f>
        <v/>
      </c>
      <c r="E92" s="221"/>
      <c r="F92" s="221"/>
      <c r="G92" s="221"/>
      <c r="H92" s="221"/>
      <c r="I92" s="292"/>
      <c r="J92" s="402"/>
      <c r="K92" s="402" t="e">
        <f ca="1" xml:space="preserve"> _xll.EPMOlapMemberO("[FILA_NOTA].[PARENTH1].[11601071]","","11601071","","001")</f>
        <v>#NAME?</v>
      </c>
      <c r="L92" s="427" t="str">
        <f>IFERROR(INDEX(BPC_NOTAS2[#All],MATCH($B92&amp;"_"&amp;L$16,BPC_NOTAS2[[#All],[FILA_COLUMNA]],0),2),"")</f>
        <v/>
      </c>
      <c r="M92" s="427" t="str">
        <f>IFERROR(INDEX(BPC_NOTAS2[#All],MATCH($B92&amp;"_"&amp;M$16,BPC_NOTAS2[[#All],[FILA_COLUMNA]],0),2),"")</f>
        <v/>
      </c>
      <c r="N92" s="427" t="str">
        <f>IFERROR(INDEX(BPC_NOTAS2[#All],MATCH($B92&amp;"_"&amp;N$16,BPC_NOTAS2[[#All],[FILA_COLUMNA]],0),2),"")</f>
        <v/>
      </c>
      <c r="O92" s="427" t="str">
        <f>IFERROR(INDEX(BPC_NOTAS2[#All],MATCH($B92&amp;"_"&amp;O$16,BPC_NOTAS2[[#All],[FILA_COLUMNA]],0),2),"")</f>
        <v/>
      </c>
      <c r="P92" s="222"/>
      <c r="Q92" s="222"/>
      <c r="R92" s="222"/>
      <c r="T92" s="545" t="s">
        <v>10383</v>
      </c>
      <c r="U92" s="545" t="s">
        <v>19132</v>
      </c>
      <c r="V92" s="545" t="s">
        <v>9620</v>
      </c>
      <c r="W92" s="545">
        <v>11602074</v>
      </c>
      <c r="X92" s="545"/>
      <c r="Y92" s="545"/>
      <c r="Z92" s="19" t="str">
        <f t="shared" si="23"/>
        <v>Ok</v>
      </c>
      <c r="AA92" s="19" t="str">
        <f>+IF(C92="","OK",IF(OR(C92=C91,C92=C93),"Error","Ok"))</f>
        <v>OK</v>
      </c>
      <c r="AB92" s="597">
        <f t="shared" si="8"/>
        <v>0</v>
      </c>
      <c r="AC92" s="446"/>
      <c r="AD92" s="446"/>
      <c r="AE92" s="1"/>
    </row>
    <row r="93" spans="1:33">
      <c r="A93" s="99">
        <f t="shared" si="9"/>
        <v>0</v>
      </c>
      <c r="B93" s="612" t="str">
        <f>IFERROR(INDEX(ORGANIZACION[#All],MATCH($C93,ORGANIZACION[[#All],[ENTIDAD]],0),2),"")</f>
        <v/>
      </c>
      <c r="C93" s="622"/>
      <c r="D93" s="424" t="str">
        <f>IFERROR(INDEX(ORGANIZACION[#All],MATCH($C93,ORGANIZACION[[#All],[ENTIDAD]],0),3),"")</f>
        <v/>
      </c>
      <c r="E93" s="221"/>
      <c r="F93" s="221"/>
      <c r="G93" s="221"/>
      <c r="H93" s="221"/>
      <c r="I93" s="278"/>
      <c r="J93" s="402"/>
      <c r="K93" s="402" t="e">
        <f ca="1" xml:space="preserve"> _xll.EPMOlapMemberO("[FILA_NOTA].[PARENTH1].[11601072]","","11601072","","001")</f>
        <v>#NAME?</v>
      </c>
      <c r="L93" s="427" t="str">
        <f>IFERROR(INDEX(BPC_NOTAS2[#All],MATCH($B93&amp;"_"&amp;L$16,BPC_NOTAS2[[#All],[FILA_COLUMNA]],0),2),"")</f>
        <v/>
      </c>
      <c r="M93" s="427" t="str">
        <f>IFERROR(INDEX(BPC_NOTAS2[#All],MATCH($B93&amp;"_"&amp;M$16,BPC_NOTAS2[[#All],[FILA_COLUMNA]],0),2),"")</f>
        <v/>
      </c>
      <c r="N93" s="427" t="str">
        <f>IFERROR(INDEX(BPC_NOTAS2[#All],MATCH($B93&amp;"_"&amp;N$16,BPC_NOTAS2[[#All],[FILA_COLUMNA]],0),2),"")</f>
        <v/>
      </c>
      <c r="O93" s="427" t="str">
        <f>IFERROR(INDEX(BPC_NOTAS2[#All],MATCH($B93&amp;"_"&amp;O$16,BPC_NOTAS2[[#All],[FILA_COLUMNA]],0),2),"")</f>
        <v/>
      </c>
      <c r="P93" s="222"/>
      <c r="Q93" s="222"/>
      <c r="R93" s="222"/>
      <c r="T93" s="545" t="s">
        <v>10383</v>
      </c>
      <c r="U93" s="545" t="s">
        <v>19134</v>
      </c>
      <c r="V93" s="545" t="s">
        <v>9621</v>
      </c>
      <c r="W93" s="545">
        <v>11602075</v>
      </c>
      <c r="X93" s="545"/>
      <c r="Y93" s="545"/>
      <c r="Z93" s="19" t="str">
        <f t="shared" si="23"/>
        <v>Ok</v>
      </c>
      <c r="AA93" s="19" t="str">
        <f>+IF(C93="","OK",IF(OR(C93=C92,C93=C91),"Error","Ok"))</f>
        <v>OK</v>
      </c>
      <c r="AB93" s="597">
        <f t="shared" si="8"/>
        <v>0</v>
      </c>
      <c r="AC93" s="446"/>
      <c r="AD93" s="446"/>
      <c r="AE93" s="1"/>
    </row>
    <row r="94" spans="1:33">
      <c r="A94" s="99">
        <f t="shared" ref="A94:A106" si="24">IF(AB94="Error",1,0)</f>
        <v>0</v>
      </c>
      <c r="B94" s="612" t="s">
        <v>1520</v>
      </c>
      <c r="C94" s="423" t="str">
        <f t="shared" si="10"/>
        <v>Subtotal negocios conjuntos</v>
      </c>
      <c r="D94" s="424" t="str">
        <f t="shared" si="11"/>
        <v/>
      </c>
      <c r="E94" s="429">
        <f>SUM(E91:E93)</f>
        <v>0</v>
      </c>
      <c r="F94" s="429">
        <f>SUM(F91:F93)</f>
        <v>0</v>
      </c>
      <c r="G94" s="429">
        <f>SUM(G91:G93)</f>
        <v>0</v>
      </c>
      <c r="H94" s="429">
        <f>SUM(H91:H93)</f>
        <v>0</v>
      </c>
      <c r="I94" s="292"/>
      <c r="J94" s="402"/>
      <c r="K94" s="402" t="e">
        <f ca="1" xml:space="preserve"> _xll.EPMOlapMemberO("[FILA_NOTA].[PARENTH1].[11601073]","","11601073","","001")</f>
        <v>#NAME?</v>
      </c>
      <c r="L94" s="427">
        <f>SUM(L91:L93)</f>
        <v>0</v>
      </c>
      <c r="M94" s="427">
        <f>SUM(M91:M93)</f>
        <v>0</v>
      </c>
      <c r="N94" s="427">
        <f>SUM(N91:N93)</f>
        <v>0</v>
      </c>
      <c r="O94" s="427">
        <f>SUM(O91:O93)</f>
        <v>0</v>
      </c>
      <c r="P94" s="222"/>
      <c r="Q94" s="222"/>
      <c r="R94" s="222"/>
      <c r="T94" s="545" t="s">
        <v>68</v>
      </c>
      <c r="U94" s="545" t="s">
        <v>19146</v>
      </c>
      <c r="V94" s="545" t="s">
        <v>9622</v>
      </c>
      <c r="W94" s="545">
        <v>11602076</v>
      </c>
      <c r="X94" s="545"/>
      <c r="Y94" s="545"/>
      <c r="Z94" s="545"/>
      <c r="AA94" s="280"/>
      <c r="AB94" s="597"/>
      <c r="AC94" s="1"/>
      <c r="AD94" s="446"/>
      <c r="AE94" s="446"/>
      <c r="AF94" s="446"/>
      <c r="AG94" s="1"/>
    </row>
    <row r="95" spans="1:33" s="117" customFormat="1">
      <c r="A95" s="99">
        <f>IF(Z95="Error",1,0)</f>
        <v>0</v>
      </c>
      <c r="B95" s="612" t="str">
        <f>IFERROR(INDEX(ORGANIZACION[#All],MATCH($C95,ORGANIZACION[[#All],[ENTIDAD]],0),2),"")</f>
        <v/>
      </c>
      <c r="C95" s="622"/>
      <c r="D95" s="424" t="str">
        <f>IFERROR(INDEX(ORGANIZACION[#All],MATCH($C95,ORGANIZACION[[#All],[ENTIDAD]],0),3),"")</f>
        <v/>
      </c>
      <c r="E95" s="221"/>
      <c r="F95" s="221"/>
      <c r="G95" s="221"/>
      <c r="H95" s="221"/>
      <c r="I95" s="292"/>
      <c r="J95" s="402"/>
      <c r="K95" s="402" t="e">
        <f ca="1" xml:space="preserve"> _xll.EPMOlapMemberO("[FILA_NOTA].[PARENTH1].[11601074]","","11601074","","001")</f>
        <v>#NAME?</v>
      </c>
      <c r="L95" s="427" t="str">
        <f>IFERROR(INDEX(BPC_NOTAS2[#All],MATCH($B95&amp;"_"&amp;L$16,BPC_NOTAS2[[#All],[FILA_COLUMNA]],0),2),"")</f>
        <v/>
      </c>
      <c r="M95" s="427" t="str">
        <f>IFERROR(INDEX(BPC_NOTAS2[#All],MATCH($B95&amp;"_"&amp;M$16,BPC_NOTAS2[[#All],[FILA_COLUMNA]],0),2),"")</f>
        <v/>
      </c>
      <c r="N95" s="427" t="str">
        <f>IFERROR(INDEX(BPC_NOTAS2[#All],MATCH($B95&amp;"_"&amp;N$16,BPC_NOTAS2[[#All],[FILA_COLUMNA]],0),2),"")</f>
        <v/>
      </c>
      <c r="O95" s="427" t="str">
        <f>IFERROR(INDEX(BPC_NOTAS2[#All],MATCH($B95&amp;"_"&amp;O$16,BPC_NOTAS2[[#All],[FILA_COLUMNA]],0),2),"")</f>
        <v/>
      </c>
      <c r="P95" s="222"/>
      <c r="Q95" s="222"/>
      <c r="R95" s="222"/>
      <c r="T95" s="545" t="s">
        <v>10383</v>
      </c>
      <c r="U95" s="545" t="s">
        <v>19135</v>
      </c>
      <c r="V95" s="545" t="s">
        <v>9623</v>
      </c>
      <c r="W95" s="545">
        <v>11602077</v>
      </c>
      <c r="X95" s="545"/>
      <c r="Y95" s="545"/>
      <c r="Z95" s="19" t="str">
        <f t="shared" ref="Z95:Z98" si="25">IF(P95="",IF(OR(E95&lt;&gt;0,F95&lt;&gt;0,G95&lt;&gt;0,H95&lt;&gt;0,Q95&lt;&gt;"",R95&lt;&gt;""),"Error","Ok"),IF(OR(AND(OR(E95&lt;&gt;0,F95&lt;&gt;0,G95&lt;&gt;0,H95&lt;&gt;0),OR(Q95="",R95="")),AND(OR(E95&lt;&gt;0,F95&lt;&gt;0,G95&lt;&gt;0,H95&lt;&gt;0),OR(Q95="N/A"))),"Error","Ok"))</f>
        <v>Ok</v>
      </c>
      <c r="AA95" s="19" t="str">
        <f>+IF(C95="","OK",IF(OR(C95=C98,C95=C97,C95=C96),"Error","Ok"))</f>
        <v>OK</v>
      </c>
      <c r="AB95" s="597">
        <f t="shared" si="8"/>
        <v>0</v>
      </c>
      <c r="AC95" s="33"/>
      <c r="AD95" s="446"/>
      <c r="AE95" s="446"/>
      <c r="AF95" s="446"/>
      <c r="AG95" s="33"/>
    </row>
    <row r="96" spans="1:33" s="117" customFormat="1">
      <c r="A96" s="99">
        <f>IF(Z96="Error",1,0)</f>
        <v>0</v>
      </c>
      <c r="B96" s="612" t="str">
        <f>IFERROR(INDEX(ORGANIZACION[#All],MATCH($C96,ORGANIZACION[[#All],[ENTIDAD]],0),2),"")</f>
        <v/>
      </c>
      <c r="C96" s="622"/>
      <c r="D96" s="424" t="str">
        <f>IFERROR(INDEX(ORGANIZACION[#All],MATCH($C96,ORGANIZACION[[#All],[ENTIDAD]],0),3),"")</f>
        <v/>
      </c>
      <c r="E96" s="221"/>
      <c r="F96" s="221"/>
      <c r="G96" s="221"/>
      <c r="H96" s="221"/>
      <c r="I96" s="292"/>
      <c r="J96" s="402"/>
      <c r="K96" s="402" t="e">
        <f ca="1" xml:space="preserve"> _xll.EPMOlapMemberO("[FILA_NOTA].[PARENTH1].[11601075]","","11601075","","001")</f>
        <v>#NAME?</v>
      </c>
      <c r="L96" s="427" t="str">
        <f>IFERROR(INDEX(BPC_NOTAS2[#All],MATCH($B96&amp;"_"&amp;L$16,BPC_NOTAS2[[#All],[FILA_COLUMNA]],0),2),"")</f>
        <v/>
      </c>
      <c r="M96" s="427" t="str">
        <f>IFERROR(INDEX(BPC_NOTAS2[#All],MATCH($B96&amp;"_"&amp;M$16,BPC_NOTAS2[[#All],[FILA_COLUMNA]],0),2),"")</f>
        <v/>
      </c>
      <c r="N96" s="427" t="str">
        <f>IFERROR(INDEX(BPC_NOTAS2[#All],MATCH($B96&amp;"_"&amp;N$16,BPC_NOTAS2[[#All],[FILA_COLUMNA]],0),2),"")</f>
        <v/>
      </c>
      <c r="O96" s="427" t="str">
        <f>IFERROR(INDEX(BPC_NOTAS2[#All],MATCH($B96&amp;"_"&amp;O$16,BPC_NOTAS2[[#All],[FILA_COLUMNA]],0),2),"")</f>
        <v/>
      </c>
      <c r="P96" s="222"/>
      <c r="Q96" s="222"/>
      <c r="R96" s="222"/>
      <c r="T96" s="545" t="s">
        <v>10383</v>
      </c>
      <c r="U96" s="545" t="s">
        <v>19138</v>
      </c>
      <c r="V96" s="545" t="s">
        <v>9624</v>
      </c>
      <c r="W96" s="545">
        <v>11602078</v>
      </c>
      <c r="X96" s="545"/>
      <c r="Y96" s="545"/>
      <c r="Z96" s="19" t="str">
        <f t="shared" si="25"/>
        <v>Ok</v>
      </c>
      <c r="AA96" s="19" t="str">
        <f>+IF(C96="","OK",IF(OR(C96=C95,C96=C98,C96=C97),"Error","Ok"))</f>
        <v>OK</v>
      </c>
      <c r="AB96" s="597">
        <f t="shared" si="8"/>
        <v>0</v>
      </c>
      <c r="AC96" s="33"/>
      <c r="AD96" s="446"/>
      <c r="AE96" s="446"/>
      <c r="AF96" s="446"/>
      <c r="AG96" s="33"/>
    </row>
    <row r="97" spans="1:33" s="117" customFormat="1">
      <c r="A97" s="99">
        <f>IF(Z97="Error",1,0)</f>
        <v>0</v>
      </c>
      <c r="B97" s="612" t="str">
        <f>IFERROR(INDEX(ORGANIZACION[#All],MATCH($C97,ORGANIZACION[[#All],[ENTIDAD]],0),2),"")</f>
        <v/>
      </c>
      <c r="C97" s="622"/>
      <c r="D97" s="424" t="str">
        <f>IFERROR(INDEX(ORGANIZACION[#All],MATCH($C97,ORGANIZACION[[#All],[ENTIDAD]],0),3),"")</f>
        <v/>
      </c>
      <c r="E97" s="221"/>
      <c r="F97" s="221"/>
      <c r="G97" s="221"/>
      <c r="H97" s="221"/>
      <c r="I97" s="292"/>
      <c r="J97" s="402"/>
      <c r="K97" s="402" t="e">
        <f ca="1" xml:space="preserve"> _xll.EPMOlapMemberO("[FILA_NOTA].[PARENTH1].[11601076]","","11601076","","001")</f>
        <v>#NAME?</v>
      </c>
      <c r="L97" s="427" t="str">
        <f>IFERROR(INDEX(BPC_NOTAS2[#All],MATCH($B97&amp;"_"&amp;L$16,BPC_NOTAS2[[#All],[FILA_COLUMNA]],0),2),"")</f>
        <v/>
      </c>
      <c r="M97" s="427" t="str">
        <f>IFERROR(INDEX(BPC_NOTAS2[#All],MATCH($B97&amp;"_"&amp;M$16,BPC_NOTAS2[[#All],[FILA_COLUMNA]],0),2),"")</f>
        <v/>
      </c>
      <c r="N97" s="427" t="str">
        <f>IFERROR(INDEX(BPC_NOTAS2[#All],MATCH($B97&amp;"_"&amp;N$16,BPC_NOTAS2[[#All],[FILA_COLUMNA]],0),2),"")</f>
        <v/>
      </c>
      <c r="O97" s="427" t="str">
        <f>IFERROR(INDEX(BPC_NOTAS2[#All],MATCH($B97&amp;"_"&amp;O$16,BPC_NOTAS2[[#All],[FILA_COLUMNA]],0),2),"")</f>
        <v/>
      </c>
      <c r="P97" s="222"/>
      <c r="Q97" s="222"/>
      <c r="R97" s="222"/>
      <c r="T97" s="545" t="s">
        <v>10383</v>
      </c>
      <c r="U97" s="545" t="s">
        <v>19139</v>
      </c>
      <c r="V97" s="545" t="s">
        <v>9625</v>
      </c>
      <c r="W97" s="545">
        <v>11602079</v>
      </c>
      <c r="X97" s="545"/>
      <c r="Y97" s="545"/>
      <c r="Z97" s="19" t="str">
        <f t="shared" si="25"/>
        <v>Ok</v>
      </c>
      <c r="AA97" s="19" t="str">
        <f>+IF(C97="","OK",IF(OR(C97=C96,C97=C95,C97=C98),"Error","Ok"))</f>
        <v>OK</v>
      </c>
      <c r="AB97" s="597">
        <f t="shared" si="8"/>
        <v>0</v>
      </c>
      <c r="AC97" s="446"/>
      <c r="AD97" s="446"/>
      <c r="AE97" s="446"/>
      <c r="AF97" s="446"/>
      <c r="AG97" s="33"/>
    </row>
    <row r="98" spans="1:33" s="117" customFormat="1">
      <c r="A98" s="99">
        <f>IF(Z98="Error",1,0)</f>
        <v>0</v>
      </c>
      <c r="B98" s="612" t="str">
        <f>IFERROR(INDEX(ORGANIZACION[#All],MATCH($C98,ORGANIZACION[[#All],[ENTIDAD]],0),2),"")</f>
        <v/>
      </c>
      <c r="C98" s="622"/>
      <c r="D98" s="424" t="str">
        <f>IFERROR(INDEX(ORGANIZACION[#All],MATCH($C98,ORGANIZACION[[#All],[ENTIDAD]],0),3),"")</f>
        <v/>
      </c>
      <c r="E98" s="221"/>
      <c r="F98" s="221"/>
      <c r="G98" s="221"/>
      <c r="H98" s="221"/>
      <c r="I98" s="278"/>
      <c r="J98" s="402"/>
      <c r="K98" s="402" t="e">
        <f ca="1" xml:space="preserve"> _xll.EPMOlapMemberO("[FILA_NOTA].[PARENTH1].[11601077]","","11601077","","001")</f>
        <v>#NAME?</v>
      </c>
      <c r="L98" s="427" t="str">
        <f>IFERROR(INDEX(BPC_NOTAS2[#All],MATCH($B98&amp;"_"&amp;L$16,BPC_NOTAS2[[#All],[FILA_COLUMNA]],0),2),"")</f>
        <v/>
      </c>
      <c r="M98" s="427" t="str">
        <f>IFERROR(INDEX(BPC_NOTAS2[#All],MATCH($B98&amp;"_"&amp;M$16,BPC_NOTAS2[[#All],[FILA_COLUMNA]],0),2),"")</f>
        <v/>
      </c>
      <c r="N98" s="427" t="str">
        <f>IFERROR(INDEX(BPC_NOTAS2[#All],MATCH($B98&amp;"_"&amp;N$16,BPC_NOTAS2[[#All],[FILA_COLUMNA]],0),2),"")</f>
        <v/>
      </c>
      <c r="O98" s="427" t="str">
        <f>IFERROR(INDEX(BPC_NOTAS2[#All],MATCH($B98&amp;"_"&amp;O$16,BPC_NOTAS2[[#All],[FILA_COLUMNA]],0),2),"")</f>
        <v/>
      </c>
      <c r="P98" s="222"/>
      <c r="Q98" s="222"/>
      <c r="R98" s="222"/>
      <c r="T98" s="545" t="s">
        <v>10383</v>
      </c>
      <c r="U98" s="545" t="s">
        <v>19137</v>
      </c>
      <c r="V98" s="545" t="s">
        <v>9626</v>
      </c>
      <c r="W98" s="545">
        <v>11602080</v>
      </c>
      <c r="X98" s="545"/>
      <c r="Y98" s="545"/>
      <c r="Z98" s="19" t="str">
        <f t="shared" si="25"/>
        <v>Ok</v>
      </c>
      <c r="AA98" s="19" t="str">
        <f>+IF(C98="","OK",IF(OR(C98=C97,C98=C96,C98=C95),"Error","Ok"))</f>
        <v>OK</v>
      </c>
      <c r="AB98" s="597">
        <f t="shared" si="8"/>
        <v>0</v>
      </c>
      <c r="AC98" s="446"/>
      <c r="AD98" s="446"/>
      <c r="AE98" s="446"/>
      <c r="AF98" s="446"/>
      <c r="AG98" s="33"/>
    </row>
    <row r="99" spans="1:33" s="117" customFormat="1">
      <c r="A99" s="99">
        <f t="shared" si="24"/>
        <v>0</v>
      </c>
      <c r="B99" s="612" t="s">
        <v>1525</v>
      </c>
      <c r="C99" s="423" t="str">
        <f t="shared" si="10"/>
        <v>Subtotal operaciones conjuntas</v>
      </c>
      <c r="D99" s="424" t="str">
        <f>T99</f>
        <v/>
      </c>
      <c r="E99" s="429">
        <f>SUM(E95:E98)</f>
        <v>0</v>
      </c>
      <c r="F99" s="429">
        <f>SUM(F95:F98)</f>
        <v>0</v>
      </c>
      <c r="G99" s="429">
        <f>SUM(G95:G98)</f>
        <v>0</v>
      </c>
      <c r="H99" s="429">
        <f>SUM(H95:H98)</f>
        <v>0</v>
      </c>
      <c r="I99" s="459"/>
      <c r="J99" s="402"/>
      <c r="K99" s="402" t="e">
        <f ca="1" xml:space="preserve"> _xll.EPMOlapMemberO("[FILA_NOTA].[PARENTH1].[11601078]","","11601078","","001")</f>
        <v>#NAME?</v>
      </c>
      <c r="L99" s="427">
        <f>SUM(L95:L98)</f>
        <v>0</v>
      </c>
      <c r="M99" s="427">
        <f>SUM(M95:M98)</f>
        <v>0</v>
      </c>
      <c r="N99" s="427">
        <f>SUM(N95:N98)</f>
        <v>0</v>
      </c>
      <c r="O99" s="427">
        <f>SUM(O95:O98)</f>
        <v>0</v>
      </c>
      <c r="P99" s="222"/>
      <c r="Q99" s="222"/>
      <c r="R99" s="222"/>
      <c r="S99" s="446"/>
      <c r="T99" s="545" t="s">
        <v>68</v>
      </c>
      <c r="U99" s="545" t="s">
        <v>19147</v>
      </c>
      <c r="V99" s="545" t="s">
        <v>9627</v>
      </c>
      <c r="W99" s="545">
        <v>11602081</v>
      </c>
      <c r="X99" s="545"/>
      <c r="Y99" s="545"/>
      <c r="Z99" s="545"/>
      <c r="AA99" s="545"/>
      <c r="AB99" s="597"/>
      <c r="AC99" s="446"/>
      <c r="AD99" s="446"/>
      <c r="AE99" s="446"/>
      <c r="AF99" s="446"/>
      <c r="AG99" s="33"/>
    </row>
    <row r="100" spans="1:33" s="117" customFormat="1">
      <c r="A100" s="99">
        <f t="shared" si="24"/>
        <v>0</v>
      </c>
      <c r="B100" s="612" t="s">
        <v>1526</v>
      </c>
      <c r="C100" s="423" t="str">
        <f t="shared" si="10"/>
        <v>Gran total</v>
      </c>
      <c r="D100" s="424" t="str">
        <f>T100</f>
        <v/>
      </c>
      <c r="E100" s="429">
        <f>SUM(E67,E75,E82,E86,E90,E94,E99)</f>
        <v>0</v>
      </c>
      <c r="F100" s="429">
        <f>SUM(F67,F75,F82,F86,F90,F94,F99)</f>
        <v>0</v>
      </c>
      <c r="G100" s="429">
        <f>SUM(G67,G75,G82,G86,G90,G94,G99)</f>
        <v>0</v>
      </c>
      <c r="H100" s="429">
        <f>SUM(H67,H75,H82,H86,H90,H94,H99)</f>
        <v>0</v>
      </c>
      <c r="I100" s="446"/>
      <c r="J100" s="402"/>
      <c r="K100" s="402" t="e">
        <f ca="1" xml:space="preserve"> _xll.EPMOlapMemberO("[FILA_NOTA].[PARENTH1].[11601001]","","11601001","","001")</f>
        <v>#NAME?</v>
      </c>
      <c r="L100" s="270">
        <f>SUM(L67,L75,L82,L86,L90,L94,L99)</f>
        <v>0</v>
      </c>
      <c r="M100" s="270">
        <f>SUM(M67,M75,M82,M86,M90,M94,M99)</f>
        <v>0</v>
      </c>
      <c r="N100" s="270">
        <f>SUM(N67,N75,N82,N86,N90,N94,N99)</f>
        <v>0</v>
      </c>
      <c r="O100" s="270">
        <f>SUM(O67,O75,O82,O86,O90,O94,O99)</f>
        <v>0</v>
      </c>
      <c r="P100" s="222"/>
      <c r="Q100" s="222"/>
      <c r="R100" s="222"/>
      <c r="S100" s="446"/>
      <c r="T100" s="545" t="s">
        <v>68</v>
      </c>
      <c r="U100" s="545" t="s">
        <v>9545</v>
      </c>
      <c r="V100" s="545" t="s">
        <v>9545</v>
      </c>
      <c r="W100" s="545">
        <v>11602082</v>
      </c>
      <c r="X100" s="545"/>
      <c r="Y100" s="545"/>
      <c r="Z100" s="545"/>
      <c r="AA100" s="545"/>
      <c r="AB100" s="597"/>
      <c r="AC100" s="446"/>
      <c r="AD100" s="446"/>
      <c r="AE100" s="446"/>
      <c r="AF100" s="446"/>
      <c r="AG100" s="33"/>
    </row>
    <row r="101" spans="1:33" s="117" customFormat="1">
      <c r="A101" s="99">
        <f t="shared" si="24"/>
        <v>0</v>
      </c>
      <c r="B101" s="20"/>
      <c r="G101" s="446"/>
      <c r="H101" s="446"/>
      <c r="I101" s="446"/>
      <c r="J101" s="446"/>
      <c r="K101" s="446"/>
      <c r="L101" s="446"/>
      <c r="M101" s="446"/>
      <c r="N101" s="446"/>
      <c r="O101" s="446"/>
      <c r="P101" s="446"/>
      <c r="Q101" s="446"/>
      <c r="R101" s="446"/>
      <c r="S101" s="446"/>
      <c r="T101" s="546"/>
      <c r="U101" s="546"/>
      <c r="V101" s="546"/>
      <c r="W101" s="546"/>
      <c r="X101" s="546"/>
      <c r="Y101" s="546"/>
      <c r="Z101" s="546"/>
      <c r="AA101" s="546"/>
      <c r="AB101" s="597"/>
      <c r="AC101" s="446"/>
      <c r="AD101" s="446"/>
      <c r="AE101" s="446"/>
      <c r="AF101" s="446"/>
      <c r="AG101" s="33"/>
    </row>
    <row r="102" spans="1:33" s="117" customFormat="1">
      <c r="A102" s="99">
        <f t="shared" si="24"/>
        <v>0</v>
      </c>
      <c r="B102" s="1"/>
      <c r="G102" s="446"/>
      <c r="H102" s="446"/>
      <c r="I102" s="446"/>
      <c r="J102" s="446"/>
      <c r="K102" s="446"/>
      <c r="L102" s="446"/>
      <c r="M102" s="446"/>
      <c r="N102" s="446"/>
      <c r="O102" s="446"/>
      <c r="P102" s="446"/>
      <c r="Q102" s="446"/>
      <c r="R102" s="446"/>
      <c r="S102" s="446"/>
      <c r="T102" s="366"/>
      <c r="U102" s="366"/>
      <c r="V102" s="366"/>
      <c r="W102" s="366"/>
      <c r="X102" s="366"/>
      <c r="Y102" s="366"/>
      <c r="Z102" s="366"/>
      <c r="AA102" s="366"/>
      <c r="AB102" s="597"/>
      <c r="AC102" s="446"/>
      <c r="AD102" s="446"/>
      <c r="AE102" s="446"/>
      <c r="AF102" s="446"/>
      <c r="AG102" s="33"/>
    </row>
    <row r="103" spans="1:33" s="108" customFormat="1">
      <c r="A103" s="99">
        <f t="shared" si="24"/>
        <v>0</v>
      </c>
      <c r="B103" s="32"/>
      <c r="G103" s="446"/>
      <c r="H103" s="446"/>
      <c r="I103" s="446"/>
      <c r="J103" s="446"/>
      <c r="K103" s="446"/>
      <c r="L103" s="446"/>
      <c r="M103" s="446"/>
      <c r="N103" s="446"/>
      <c r="O103" s="446"/>
      <c r="P103" s="446"/>
      <c r="Q103" s="446"/>
      <c r="R103" s="446"/>
      <c r="S103" s="446"/>
      <c r="T103" s="366"/>
      <c r="U103" s="366"/>
      <c r="V103" s="366"/>
      <c r="W103" s="366"/>
      <c r="X103" s="366"/>
      <c r="Y103" s="366"/>
      <c r="Z103" s="366"/>
      <c r="AA103" s="366"/>
      <c r="AB103" s="597"/>
      <c r="AC103" s="446"/>
      <c r="AD103" s="446"/>
      <c r="AE103" s="446"/>
      <c r="AF103" s="446"/>
      <c r="AG103" s="32"/>
    </row>
    <row r="104" spans="1:33" s="108" customFormat="1">
      <c r="A104" s="99">
        <f t="shared" si="24"/>
        <v>0</v>
      </c>
      <c r="B104" s="32"/>
      <c r="G104" s="446"/>
      <c r="H104" s="446"/>
      <c r="I104" s="446"/>
      <c r="J104" s="446"/>
      <c r="K104" s="446"/>
      <c r="L104" s="446"/>
      <c r="M104" s="446"/>
      <c r="N104" s="446"/>
      <c r="O104" s="446"/>
      <c r="P104" s="446"/>
      <c r="Q104" s="446"/>
      <c r="R104" s="446"/>
      <c r="S104" s="446"/>
      <c r="T104" s="366"/>
      <c r="U104" s="366"/>
      <c r="V104" s="366"/>
      <c r="W104" s="366"/>
      <c r="X104" s="366"/>
      <c r="Y104" s="366"/>
      <c r="Z104" s="366"/>
      <c r="AA104" s="366"/>
      <c r="AB104" s="597"/>
      <c r="AC104" s="446"/>
      <c r="AD104" s="446"/>
      <c r="AE104" s="446"/>
      <c r="AF104" s="446"/>
      <c r="AG104" s="32"/>
    </row>
    <row r="105" spans="1:33" s="108" customFormat="1">
      <c r="A105" s="99">
        <f t="shared" si="24"/>
        <v>0</v>
      </c>
      <c r="G105" s="446"/>
      <c r="H105" s="446"/>
      <c r="I105" s="446"/>
      <c r="J105" s="446"/>
      <c r="K105" s="446"/>
      <c r="L105" s="446"/>
      <c r="M105" s="446"/>
      <c r="N105" s="446"/>
      <c r="O105" s="446"/>
      <c r="P105" s="446"/>
      <c r="Q105" s="446"/>
      <c r="R105" s="446"/>
      <c r="S105" s="446"/>
      <c r="T105" s="366"/>
      <c r="U105" s="366"/>
      <c r="V105" s="366"/>
      <c r="W105" s="366"/>
      <c r="X105" s="366"/>
      <c r="Y105" s="366"/>
      <c r="Z105" s="366"/>
      <c r="AA105" s="366"/>
      <c r="AB105" s="597"/>
      <c r="AC105" s="446"/>
      <c r="AD105" s="446"/>
      <c r="AE105" s="446"/>
      <c r="AF105" s="446"/>
      <c r="AG105" s="32"/>
    </row>
    <row r="106" spans="1:33" s="108" customFormat="1">
      <c r="A106" s="99">
        <f t="shared" si="24"/>
        <v>0</v>
      </c>
      <c r="B106" s="32"/>
      <c r="C106" s="293" t="s">
        <v>636</v>
      </c>
      <c r="D106" s="20"/>
      <c r="E106" s="294" t="s">
        <v>43</v>
      </c>
      <c r="F106" s="294" t="s">
        <v>634</v>
      </c>
      <c r="G106" s="446"/>
      <c r="H106" s="446"/>
      <c r="I106" s="446"/>
      <c r="J106" s="446"/>
      <c r="K106" s="446"/>
      <c r="L106" s="446"/>
      <c r="M106" s="446"/>
      <c r="N106" s="446"/>
      <c r="O106" s="446"/>
      <c r="P106" s="446"/>
      <c r="Q106" s="446"/>
      <c r="R106" s="446"/>
      <c r="S106" s="446"/>
      <c r="T106" s="366"/>
      <c r="U106" s="366"/>
      <c r="V106" s="366"/>
      <c r="W106" s="366"/>
      <c r="X106" s="366"/>
      <c r="Y106" s="366"/>
      <c r="Z106" s="366"/>
      <c r="AA106" s="366"/>
      <c r="AB106" s="597"/>
      <c r="AC106" s="446"/>
      <c r="AD106" s="446"/>
      <c r="AE106" s="446"/>
      <c r="AF106" s="446"/>
      <c r="AG106" s="32"/>
    </row>
    <row r="107" spans="1:33" s="446" customFormat="1">
      <c r="A107" s="592"/>
      <c r="C107" s="1"/>
      <c r="D107" s="1"/>
      <c r="E107" s="294" t="s">
        <v>44</v>
      </c>
      <c r="F107" s="294" t="s">
        <v>635</v>
      </c>
      <c r="T107" s="484"/>
      <c r="U107" s="484"/>
      <c r="V107" s="484"/>
      <c r="W107" s="484"/>
      <c r="X107" s="484"/>
      <c r="Y107" s="484"/>
      <c r="Z107" s="484"/>
      <c r="AA107" s="484"/>
      <c r="AB107" s="597"/>
    </row>
    <row r="108" spans="1:33" s="446" customFormat="1">
      <c r="A108" s="593">
        <f>IF(F109="Error",1,0)</f>
        <v>1</v>
      </c>
      <c r="C108" s="32"/>
      <c r="D108" s="32"/>
      <c r="E108" s="340">
        <f>IFERROR(INDEX(BPC_NOTAS[#All],MATCH(E106,BPC_NOTAS[[#All],[FILA_COLUMNA]],0),2),0)+IFERROR(INDEX(BPC_NOTAS[#All],MATCH(E107,BPC_NOTAS[[#All],[FILA_COLUMNA]],0),2),0)</f>
        <v>2937147</v>
      </c>
      <c r="F108" s="340">
        <f>IFERROR(INDEX(BPC_NOTAS[#All],MATCH(F106,BPC_NOTAS[[#All],[FILA_COLUMNA]],0),2),0)+IFERROR(INDEX(BPC_NOTAS[#All],MATCH(F107,BPC_NOTAS[[#All],[FILA_COLUMNA]],0),2),0)</f>
        <v>10174703</v>
      </c>
      <c r="T108" s="484"/>
      <c r="U108" s="484"/>
      <c r="V108" s="484"/>
      <c r="W108" s="484"/>
      <c r="X108" s="484"/>
      <c r="Y108" s="484"/>
      <c r="Z108" s="484"/>
      <c r="AA108" s="484"/>
      <c r="AB108" s="597"/>
    </row>
    <row r="109" spans="1:33" s="446" customFormat="1">
      <c r="A109" s="593">
        <f>IF(E109="Error",1,0)</f>
        <v>1</v>
      </c>
      <c r="C109" s="32"/>
      <c r="D109" s="32"/>
      <c r="E109" s="158" t="str">
        <f>IFERROR(IF(E108-E100=0,"Ok","Error"),"Error")</f>
        <v>Error</v>
      </c>
      <c r="F109" s="158" t="str">
        <f>IFERROR(IF(F108-F100=0,"Ok","Error"),"Error")</f>
        <v>Error</v>
      </c>
      <c r="T109" s="484"/>
      <c r="U109" s="484"/>
      <c r="V109" s="484"/>
      <c r="W109" s="484"/>
      <c r="X109" s="484"/>
      <c r="Y109" s="484"/>
      <c r="Z109" s="484"/>
      <c r="AA109" s="484"/>
      <c r="AB109" s="597"/>
    </row>
    <row r="110" spans="1:33" s="446" customFormat="1">
      <c r="A110" s="592"/>
      <c r="C110" s="295" t="s">
        <v>20747</v>
      </c>
      <c r="D110" s="108"/>
      <c r="E110" s="108"/>
      <c r="F110" s="108"/>
      <c r="T110" s="484"/>
      <c r="U110" s="484"/>
      <c r="V110" s="484"/>
      <c r="W110" s="484"/>
      <c r="X110" s="484"/>
      <c r="Y110" s="484"/>
      <c r="Z110" s="484"/>
      <c r="AA110" s="484"/>
      <c r="AB110" s="597"/>
    </row>
    <row r="111" spans="1:33" s="446" customFormat="1">
      <c r="A111" s="592"/>
      <c r="T111" s="484"/>
      <c r="U111" s="484"/>
      <c r="V111" s="484"/>
      <c r="W111" s="484"/>
      <c r="X111" s="484"/>
      <c r="Y111" s="484"/>
      <c r="Z111" s="484"/>
      <c r="AA111" s="484"/>
      <c r="AB111" s="597"/>
    </row>
    <row r="112" spans="1:33" s="446" customFormat="1">
      <c r="A112" s="463"/>
      <c r="T112" s="484"/>
      <c r="U112" s="484"/>
      <c r="V112" s="484"/>
      <c r="W112" s="484"/>
      <c r="X112" s="484"/>
      <c r="Y112" s="484"/>
      <c r="Z112" s="484"/>
      <c r="AA112" s="484"/>
      <c r="AB112" s="597"/>
    </row>
    <row r="113" spans="1:28" s="446" customFormat="1">
      <c r="A113" s="463"/>
      <c r="T113" s="484"/>
      <c r="U113" s="484"/>
      <c r="V113" s="484"/>
      <c r="W113" s="484"/>
      <c r="X113" s="484"/>
      <c r="Y113" s="484"/>
      <c r="Z113" s="484"/>
      <c r="AA113" s="484"/>
      <c r="AB113" s="597"/>
    </row>
    <row r="114" spans="1:28" s="446" customFormat="1">
      <c r="A114" s="463"/>
      <c r="T114" s="484"/>
      <c r="U114" s="484"/>
      <c r="V114" s="484"/>
      <c r="W114" s="484"/>
      <c r="X114" s="484"/>
      <c r="Y114" s="484"/>
      <c r="Z114" s="484"/>
      <c r="AA114" s="484"/>
      <c r="AB114" s="597"/>
    </row>
    <row r="115" spans="1:28" s="446" customFormat="1">
      <c r="A115" s="463"/>
      <c r="T115" s="484"/>
      <c r="U115" s="484"/>
      <c r="V115" s="484"/>
      <c r="W115" s="484"/>
      <c r="X115" s="484"/>
      <c r="Y115" s="484"/>
      <c r="Z115" s="484"/>
      <c r="AA115" s="484"/>
      <c r="AB115" s="597"/>
    </row>
    <row r="116" spans="1:28" s="446" customFormat="1">
      <c r="A116" s="463"/>
      <c r="T116" s="484"/>
      <c r="U116" s="484"/>
      <c r="V116" s="484"/>
      <c r="W116" s="484"/>
      <c r="X116" s="484"/>
      <c r="Y116" s="484"/>
      <c r="Z116" s="484"/>
      <c r="AA116" s="484"/>
      <c r="AB116" s="597"/>
    </row>
    <row r="117" spans="1:28" s="446" customFormat="1">
      <c r="A117" s="463"/>
      <c r="T117" s="484"/>
      <c r="U117" s="484"/>
      <c r="V117" s="484"/>
      <c r="W117" s="484"/>
      <c r="X117" s="484"/>
      <c r="Y117" s="484"/>
      <c r="Z117" s="484"/>
      <c r="AA117" s="484"/>
      <c r="AB117" s="597"/>
    </row>
    <row r="118" spans="1:28" s="446" customFormat="1">
      <c r="A118" s="463"/>
      <c r="T118" s="484"/>
      <c r="U118" s="484"/>
      <c r="V118" s="484"/>
      <c r="W118" s="484"/>
      <c r="X118" s="484"/>
      <c r="Y118" s="484"/>
      <c r="Z118" s="484"/>
      <c r="AA118" s="484"/>
      <c r="AB118" s="597"/>
    </row>
    <row r="119" spans="1:28" s="446" customFormat="1">
      <c r="A119" s="463"/>
      <c r="T119" s="484"/>
      <c r="U119" s="484"/>
      <c r="V119" s="484"/>
      <c r="W119" s="484"/>
      <c r="X119" s="484"/>
      <c r="Y119" s="484"/>
      <c r="Z119" s="484"/>
      <c r="AA119" s="484"/>
      <c r="AB119" s="597"/>
    </row>
    <row r="120" spans="1:28" s="446" customFormat="1">
      <c r="A120" s="463"/>
      <c r="T120" s="484"/>
      <c r="U120" s="484"/>
      <c r="V120" s="484"/>
      <c r="W120" s="484"/>
      <c r="X120" s="484"/>
      <c r="Y120" s="484"/>
      <c r="Z120" s="484"/>
      <c r="AA120" s="484"/>
      <c r="AB120" s="597"/>
    </row>
    <row r="121" spans="1:28" s="446" customFormat="1">
      <c r="A121" s="463"/>
      <c r="T121" s="484"/>
      <c r="U121" s="484"/>
      <c r="V121" s="484"/>
      <c r="W121" s="484"/>
      <c r="X121" s="484"/>
      <c r="Y121" s="484"/>
      <c r="Z121" s="484"/>
      <c r="AA121" s="484"/>
      <c r="AB121" s="597"/>
    </row>
    <row r="122" spans="1:28" s="446" customFormat="1">
      <c r="A122" s="463"/>
      <c r="T122" s="484"/>
      <c r="U122" s="484"/>
      <c r="V122" s="484"/>
      <c r="W122" s="484"/>
      <c r="X122" s="484"/>
      <c r="Y122" s="484"/>
      <c r="Z122" s="484"/>
      <c r="AA122" s="484"/>
      <c r="AB122" s="597"/>
    </row>
    <row r="123" spans="1:28" s="446" customFormat="1">
      <c r="A123" s="463"/>
      <c r="T123" s="484"/>
      <c r="U123" s="484"/>
      <c r="V123" s="484"/>
      <c r="W123" s="484"/>
      <c r="X123" s="484"/>
      <c r="Y123" s="484"/>
      <c r="Z123" s="484"/>
      <c r="AA123" s="484"/>
      <c r="AB123" s="597"/>
    </row>
    <row r="124" spans="1:28" s="446" customFormat="1">
      <c r="A124" s="463"/>
      <c r="T124" s="484"/>
      <c r="U124" s="484"/>
      <c r="V124" s="484"/>
      <c r="W124" s="484"/>
      <c r="X124" s="484"/>
      <c r="Y124" s="484"/>
      <c r="Z124" s="484"/>
      <c r="AA124" s="484"/>
      <c r="AB124" s="597"/>
    </row>
    <row r="125" spans="1:28" s="446" customFormat="1">
      <c r="A125" s="463"/>
      <c r="T125" s="484"/>
      <c r="U125" s="484"/>
      <c r="V125" s="484"/>
      <c r="W125" s="484"/>
      <c r="X125" s="484"/>
      <c r="Y125" s="484"/>
      <c r="Z125" s="484"/>
      <c r="AA125" s="484"/>
      <c r="AB125" s="597"/>
    </row>
    <row r="126" spans="1:28" s="446" customFormat="1">
      <c r="A126" s="463"/>
      <c r="T126" s="484"/>
      <c r="U126" s="484"/>
      <c r="V126" s="484"/>
      <c r="W126" s="484"/>
      <c r="X126" s="484"/>
      <c r="Y126" s="484"/>
      <c r="Z126" s="484"/>
      <c r="AA126" s="484"/>
      <c r="AB126" s="597"/>
    </row>
    <row r="127" spans="1:28" s="446" customFormat="1">
      <c r="A127" s="463"/>
      <c r="T127" s="484"/>
      <c r="U127" s="484"/>
      <c r="V127" s="484"/>
      <c r="W127" s="484"/>
      <c r="X127" s="484"/>
      <c r="Y127" s="484"/>
      <c r="Z127" s="484"/>
      <c r="AA127" s="484"/>
      <c r="AB127" s="597"/>
    </row>
    <row r="128" spans="1:28" s="446" customFormat="1">
      <c r="A128" s="463"/>
      <c r="T128" s="484"/>
      <c r="U128" s="484"/>
      <c r="V128" s="484"/>
      <c r="W128" s="484"/>
      <c r="X128" s="484"/>
      <c r="Y128" s="484"/>
      <c r="Z128" s="484"/>
      <c r="AA128" s="484"/>
      <c r="AB128" s="597"/>
    </row>
    <row r="129" spans="1:28" s="446" customFormat="1">
      <c r="A129" s="463"/>
      <c r="T129" s="484"/>
      <c r="U129" s="484"/>
      <c r="V129" s="484"/>
      <c r="W129" s="484"/>
      <c r="X129" s="484"/>
      <c r="Y129" s="484"/>
      <c r="Z129" s="484"/>
      <c r="AA129" s="484"/>
      <c r="AB129" s="597"/>
    </row>
    <row r="130" spans="1:28" s="446" customFormat="1">
      <c r="A130" s="463"/>
      <c r="T130" s="484"/>
      <c r="U130" s="484"/>
      <c r="V130" s="484"/>
      <c r="W130" s="484"/>
      <c r="X130" s="484"/>
      <c r="Y130" s="484"/>
      <c r="Z130" s="484"/>
      <c r="AA130" s="484"/>
      <c r="AB130" s="597"/>
    </row>
    <row r="131" spans="1:28" s="446" customFormat="1">
      <c r="A131" s="463"/>
      <c r="T131" s="484"/>
      <c r="U131" s="484"/>
      <c r="V131" s="484"/>
      <c r="W131" s="484"/>
      <c r="X131" s="484"/>
      <c r="Y131" s="484"/>
      <c r="Z131" s="484"/>
      <c r="AA131" s="484"/>
      <c r="AB131" s="597"/>
    </row>
    <row r="132" spans="1:28" s="446" customFormat="1">
      <c r="A132" s="463"/>
      <c r="T132" s="484"/>
      <c r="U132" s="484"/>
      <c r="V132" s="484"/>
      <c r="W132" s="484"/>
      <c r="X132" s="484"/>
      <c r="Y132" s="484"/>
      <c r="Z132" s="484"/>
      <c r="AA132" s="484"/>
      <c r="AB132" s="597"/>
    </row>
    <row r="133" spans="1:28" s="446" customFormat="1">
      <c r="A133" s="463"/>
      <c r="T133" s="484"/>
      <c r="U133" s="484"/>
      <c r="V133" s="484"/>
      <c r="W133" s="484"/>
      <c r="X133" s="484"/>
      <c r="Y133" s="484"/>
      <c r="Z133" s="484"/>
      <c r="AA133" s="484"/>
      <c r="AB133" s="597"/>
    </row>
    <row r="134" spans="1:28" s="446" customFormat="1">
      <c r="A134" s="463"/>
      <c r="T134" s="484"/>
      <c r="U134" s="484"/>
      <c r="V134" s="484"/>
      <c r="W134" s="484"/>
      <c r="X134" s="484"/>
      <c r="Y134" s="484"/>
      <c r="Z134" s="484"/>
      <c r="AA134" s="484"/>
      <c r="AB134" s="597"/>
    </row>
    <row r="135" spans="1:28" s="446" customFormat="1">
      <c r="A135" s="463"/>
      <c r="T135" s="484"/>
      <c r="U135" s="484"/>
      <c r="V135" s="484"/>
      <c r="W135" s="484"/>
      <c r="X135" s="484"/>
      <c r="Y135" s="484"/>
      <c r="Z135" s="484"/>
      <c r="AA135" s="484"/>
      <c r="AB135" s="597"/>
    </row>
    <row r="136" spans="1:28" s="446" customFormat="1">
      <c r="A136" s="463"/>
      <c r="T136" s="484"/>
      <c r="U136" s="484"/>
      <c r="V136" s="484"/>
      <c r="W136" s="484"/>
      <c r="X136" s="484"/>
      <c r="Y136" s="484"/>
      <c r="Z136" s="484"/>
      <c r="AA136" s="484"/>
      <c r="AB136" s="597"/>
    </row>
    <row r="137" spans="1:28" s="446" customFormat="1">
      <c r="A137" s="463"/>
      <c r="T137" s="484"/>
      <c r="U137" s="484"/>
      <c r="V137" s="484"/>
      <c r="W137" s="484"/>
      <c r="X137" s="484"/>
      <c r="Y137" s="484"/>
      <c r="Z137" s="484"/>
      <c r="AA137" s="484"/>
      <c r="AB137" s="597"/>
    </row>
    <row r="138" spans="1:28" s="446" customFormat="1">
      <c r="A138" s="463"/>
      <c r="T138" s="484"/>
      <c r="U138" s="484"/>
      <c r="V138" s="484"/>
      <c r="W138" s="484"/>
      <c r="X138" s="484"/>
      <c r="Y138" s="484"/>
      <c r="Z138" s="484"/>
      <c r="AA138" s="484"/>
      <c r="AB138" s="597"/>
    </row>
    <row r="139" spans="1:28" s="446" customFormat="1">
      <c r="A139" s="463"/>
      <c r="T139" s="484"/>
      <c r="U139" s="484"/>
      <c r="V139" s="484"/>
      <c r="W139" s="484"/>
      <c r="X139" s="484"/>
      <c r="Y139" s="484"/>
      <c r="Z139" s="484"/>
      <c r="AA139" s="484"/>
      <c r="AB139" s="597"/>
    </row>
    <row r="140" spans="1:28" s="446" customFormat="1">
      <c r="A140" s="463"/>
      <c r="T140" s="484"/>
      <c r="U140" s="484"/>
      <c r="V140" s="484"/>
      <c r="W140" s="484"/>
      <c r="X140" s="484"/>
      <c r="Y140" s="484"/>
      <c r="Z140" s="484"/>
      <c r="AA140" s="484"/>
      <c r="AB140" s="597"/>
    </row>
    <row r="141" spans="1:28" s="446" customFormat="1">
      <c r="A141" s="463"/>
      <c r="T141" s="484"/>
      <c r="U141" s="484"/>
      <c r="V141" s="484"/>
      <c r="W141" s="484"/>
      <c r="X141" s="484"/>
      <c r="Y141" s="484"/>
      <c r="Z141" s="484"/>
      <c r="AA141" s="484"/>
      <c r="AB141" s="597"/>
    </row>
    <row r="142" spans="1:28" s="446" customFormat="1">
      <c r="A142" s="463"/>
      <c r="T142" s="484"/>
      <c r="U142" s="484"/>
      <c r="V142" s="484"/>
      <c r="W142" s="484"/>
      <c r="X142" s="484"/>
      <c r="Y142" s="484"/>
      <c r="Z142" s="484"/>
      <c r="AA142" s="484"/>
      <c r="AB142" s="597"/>
    </row>
    <row r="143" spans="1:28" s="446" customFormat="1">
      <c r="A143" s="463"/>
      <c r="T143" s="484"/>
      <c r="U143" s="484"/>
      <c r="V143" s="484"/>
      <c r="W143" s="484"/>
      <c r="X143" s="484"/>
      <c r="Y143" s="484"/>
      <c r="Z143" s="484"/>
      <c r="AA143" s="484"/>
      <c r="AB143" s="597"/>
    </row>
    <row r="144" spans="1:28" s="446" customFormat="1">
      <c r="A144" s="463"/>
      <c r="T144" s="484"/>
      <c r="U144" s="484"/>
      <c r="V144" s="484"/>
      <c r="W144" s="484"/>
      <c r="X144" s="484"/>
      <c r="Y144" s="484"/>
      <c r="Z144" s="484"/>
      <c r="AA144" s="484"/>
      <c r="AB144" s="597"/>
    </row>
    <row r="145" spans="1:28" s="446" customFormat="1">
      <c r="A145" s="463"/>
      <c r="T145" s="484"/>
      <c r="U145" s="484"/>
      <c r="V145" s="484"/>
      <c r="W145" s="484"/>
      <c r="X145" s="484"/>
      <c r="Y145" s="484"/>
      <c r="Z145" s="484"/>
      <c r="AA145" s="484"/>
      <c r="AB145" s="597"/>
    </row>
    <row r="146" spans="1:28" s="446" customFormat="1">
      <c r="A146" s="463"/>
      <c r="T146" s="484"/>
      <c r="U146" s="484"/>
      <c r="V146" s="484"/>
      <c r="W146" s="484"/>
      <c r="X146" s="484"/>
      <c r="Y146" s="484"/>
      <c r="Z146" s="484"/>
      <c r="AA146" s="484"/>
      <c r="AB146" s="597"/>
    </row>
    <row r="147" spans="1:28" s="446" customFormat="1">
      <c r="A147" s="463"/>
      <c r="T147" s="484"/>
      <c r="U147" s="484"/>
      <c r="V147" s="484"/>
      <c r="W147" s="484"/>
      <c r="X147" s="484"/>
      <c r="Y147" s="484"/>
      <c r="Z147" s="484"/>
      <c r="AA147" s="484"/>
      <c r="AB147" s="597"/>
    </row>
    <row r="148" spans="1:28" s="446" customFormat="1">
      <c r="A148" s="463"/>
      <c r="T148" s="484"/>
      <c r="U148" s="484"/>
      <c r="V148" s="484"/>
      <c r="W148" s="484"/>
      <c r="X148" s="484"/>
      <c r="Y148" s="484"/>
      <c r="Z148" s="484"/>
      <c r="AA148" s="484"/>
      <c r="AB148" s="597"/>
    </row>
    <row r="149" spans="1:28" s="446" customFormat="1">
      <c r="A149" s="463"/>
      <c r="T149" s="484"/>
      <c r="U149" s="484"/>
      <c r="V149" s="484"/>
      <c r="W149" s="484"/>
      <c r="X149" s="484"/>
      <c r="Y149" s="484"/>
      <c r="Z149" s="484"/>
      <c r="AA149" s="484"/>
      <c r="AB149" s="597"/>
    </row>
    <row r="150" spans="1:28" s="446" customFormat="1">
      <c r="A150" s="463"/>
      <c r="T150" s="484"/>
      <c r="U150" s="484"/>
      <c r="V150" s="484"/>
      <c r="W150" s="484"/>
      <c r="X150" s="484"/>
      <c r="Y150" s="484"/>
      <c r="Z150" s="484"/>
      <c r="AA150" s="484"/>
      <c r="AB150" s="597"/>
    </row>
    <row r="151" spans="1:28" s="446" customFormat="1">
      <c r="A151" s="463"/>
      <c r="T151" s="484"/>
      <c r="U151" s="484"/>
      <c r="V151" s="484"/>
      <c r="W151" s="484"/>
      <c r="X151" s="484"/>
      <c r="Y151" s="484"/>
      <c r="Z151" s="484"/>
      <c r="AA151" s="484"/>
      <c r="AB151" s="597"/>
    </row>
    <row r="152" spans="1:28" s="446" customFormat="1">
      <c r="A152" s="463"/>
      <c r="T152" s="484"/>
      <c r="U152" s="484"/>
      <c r="V152" s="484"/>
      <c r="W152" s="484"/>
      <c r="X152" s="484"/>
      <c r="Y152" s="484"/>
      <c r="Z152" s="484"/>
      <c r="AA152" s="484"/>
      <c r="AB152" s="597"/>
    </row>
    <row r="153" spans="1:28" s="446" customFormat="1">
      <c r="A153" s="463"/>
      <c r="T153" s="484"/>
      <c r="U153" s="484"/>
      <c r="V153" s="484"/>
      <c r="W153" s="484"/>
      <c r="X153" s="484"/>
      <c r="Y153" s="484"/>
      <c r="Z153" s="484"/>
      <c r="AA153" s="484"/>
      <c r="AB153" s="597"/>
    </row>
    <row r="154" spans="1:28" s="446" customFormat="1">
      <c r="A154" s="463"/>
      <c r="T154" s="484"/>
      <c r="U154" s="484"/>
      <c r="V154" s="484"/>
      <c r="W154" s="484"/>
      <c r="X154" s="484"/>
      <c r="Y154" s="484"/>
      <c r="Z154" s="484"/>
      <c r="AA154" s="484"/>
      <c r="AB154" s="597"/>
    </row>
    <row r="155" spans="1:28" s="446" customFormat="1">
      <c r="A155" s="463"/>
      <c r="T155" s="484"/>
      <c r="U155" s="484"/>
      <c r="V155" s="484"/>
      <c r="W155" s="484"/>
      <c r="X155" s="484"/>
      <c r="Y155" s="484"/>
      <c r="Z155" s="484"/>
      <c r="AA155" s="484"/>
      <c r="AB155" s="597"/>
    </row>
    <row r="156" spans="1:28" s="446" customFormat="1">
      <c r="A156" s="463"/>
      <c r="T156" s="484"/>
      <c r="U156" s="484"/>
      <c r="V156" s="484"/>
      <c r="W156" s="484"/>
      <c r="X156" s="484"/>
      <c r="Y156" s="484"/>
      <c r="Z156" s="484"/>
      <c r="AA156" s="484"/>
      <c r="AB156" s="597"/>
    </row>
    <row r="157" spans="1:28" s="446" customFormat="1">
      <c r="A157" s="463"/>
      <c r="T157" s="484"/>
      <c r="U157" s="484"/>
      <c r="V157" s="484"/>
      <c r="W157" s="484"/>
      <c r="X157" s="484"/>
      <c r="Y157" s="484"/>
      <c r="Z157" s="484"/>
      <c r="AA157" s="484"/>
      <c r="AB157" s="597"/>
    </row>
    <row r="158" spans="1:28" s="446" customFormat="1">
      <c r="A158" s="463"/>
      <c r="T158" s="484"/>
      <c r="U158" s="484"/>
      <c r="V158" s="484"/>
      <c r="W158" s="484"/>
      <c r="X158" s="484"/>
      <c r="Y158" s="484"/>
      <c r="Z158" s="484"/>
      <c r="AA158" s="484"/>
      <c r="AB158" s="597"/>
    </row>
    <row r="159" spans="1:28" s="446" customFormat="1">
      <c r="A159" s="463"/>
      <c r="T159" s="484"/>
      <c r="U159" s="484"/>
      <c r="V159" s="484"/>
      <c r="W159" s="484"/>
      <c r="X159" s="484"/>
      <c r="Y159" s="484"/>
      <c r="Z159" s="484"/>
      <c r="AA159" s="484"/>
      <c r="AB159" s="597"/>
    </row>
    <row r="160" spans="1:28" s="446" customFormat="1">
      <c r="A160" s="463"/>
      <c r="T160" s="484"/>
      <c r="U160" s="484"/>
      <c r="V160" s="484"/>
      <c r="W160" s="484"/>
      <c r="X160" s="484"/>
      <c r="Y160" s="484"/>
      <c r="Z160" s="484"/>
      <c r="AA160" s="484"/>
      <c r="AB160" s="597"/>
    </row>
    <row r="161" spans="1:28" s="446" customFormat="1">
      <c r="A161" s="463"/>
      <c r="T161" s="484"/>
      <c r="U161" s="484"/>
      <c r="V161" s="484"/>
      <c r="W161" s="484"/>
      <c r="X161" s="484"/>
      <c r="Y161" s="484"/>
      <c r="Z161" s="484"/>
      <c r="AA161" s="484"/>
      <c r="AB161" s="597"/>
    </row>
    <row r="162" spans="1:28" s="446" customFormat="1">
      <c r="A162" s="463"/>
      <c r="T162" s="484"/>
      <c r="U162" s="484"/>
      <c r="V162" s="484"/>
      <c r="W162" s="484"/>
      <c r="X162" s="484"/>
      <c r="Y162" s="484"/>
      <c r="Z162" s="484"/>
      <c r="AA162" s="484"/>
      <c r="AB162" s="597"/>
    </row>
    <row r="163" spans="1:28" s="446" customFormat="1">
      <c r="A163" s="463"/>
      <c r="T163" s="484"/>
      <c r="U163" s="484"/>
      <c r="V163" s="484"/>
      <c r="W163" s="484"/>
      <c r="X163" s="484"/>
      <c r="Y163" s="484"/>
      <c r="Z163" s="484"/>
      <c r="AA163" s="484"/>
      <c r="AB163" s="597"/>
    </row>
    <row r="164" spans="1:28" s="446" customFormat="1">
      <c r="A164" s="463"/>
      <c r="T164" s="484"/>
      <c r="U164" s="484"/>
      <c r="V164" s="484"/>
      <c r="W164" s="484"/>
      <c r="X164" s="484"/>
      <c r="Y164" s="484"/>
      <c r="Z164" s="484"/>
      <c r="AA164" s="484"/>
      <c r="AB164" s="597"/>
    </row>
    <row r="165" spans="1:28" s="446" customFormat="1">
      <c r="A165" s="463"/>
      <c r="T165" s="484"/>
      <c r="U165" s="484"/>
      <c r="V165" s="484"/>
      <c r="W165" s="484"/>
      <c r="X165" s="484"/>
      <c r="Y165" s="484"/>
      <c r="Z165" s="484"/>
      <c r="AA165" s="484"/>
      <c r="AB165" s="597"/>
    </row>
    <row r="166" spans="1:28" s="446" customFormat="1">
      <c r="A166" s="463"/>
      <c r="T166" s="484"/>
      <c r="U166" s="484"/>
      <c r="V166" s="484"/>
      <c r="W166" s="484"/>
      <c r="X166" s="484"/>
      <c r="Y166" s="484"/>
      <c r="Z166" s="484"/>
      <c r="AA166" s="484"/>
      <c r="AB166" s="597"/>
    </row>
    <row r="167" spans="1:28" s="446" customFormat="1">
      <c r="A167" s="463"/>
      <c r="T167" s="484"/>
      <c r="U167" s="484"/>
      <c r="V167" s="484"/>
      <c r="W167" s="484"/>
      <c r="X167" s="484"/>
      <c r="Y167" s="484"/>
      <c r="Z167" s="484"/>
      <c r="AA167" s="484"/>
      <c r="AB167" s="597"/>
    </row>
    <row r="168" spans="1:28" s="446" customFormat="1">
      <c r="A168" s="463"/>
      <c r="T168" s="484"/>
      <c r="U168" s="484"/>
      <c r="V168" s="484"/>
      <c r="W168" s="484"/>
      <c r="X168" s="484"/>
      <c r="Y168" s="484"/>
      <c r="Z168" s="484"/>
      <c r="AA168" s="484"/>
      <c r="AB168" s="597"/>
    </row>
    <row r="169" spans="1:28" s="446" customFormat="1">
      <c r="A169" s="463"/>
      <c r="T169" s="484"/>
      <c r="U169" s="484"/>
      <c r="V169" s="484"/>
      <c r="W169" s="484"/>
      <c r="X169" s="484"/>
      <c r="Y169" s="484"/>
      <c r="Z169" s="484"/>
      <c r="AA169" s="484"/>
      <c r="AB169" s="597"/>
    </row>
    <row r="170" spans="1:28" s="446" customFormat="1">
      <c r="A170" s="463"/>
      <c r="T170" s="484"/>
      <c r="U170" s="484"/>
      <c r="V170" s="484"/>
      <c r="W170" s="484"/>
      <c r="X170" s="484"/>
      <c r="Y170" s="484"/>
      <c r="Z170" s="484"/>
      <c r="AA170" s="484"/>
      <c r="AB170" s="597"/>
    </row>
    <row r="171" spans="1:28" s="446" customFormat="1">
      <c r="A171" s="463"/>
      <c r="T171" s="484"/>
      <c r="U171" s="484"/>
      <c r="V171" s="484"/>
      <c r="W171" s="484"/>
      <c r="X171" s="484"/>
      <c r="Y171" s="484"/>
      <c r="Z171" s="484"/>
      <c r="AA171" s="484"/>
      <c r="AB171" s="597"/>
    </row>
    <row r="172" spans="1:28" s="446" customFormat="1">
      <c r="A172" s="463"/>
      <c r="T172" s="484"/>
      <c r="U172" s="484"/>
      <c r="V172" s="484"/>
      <c r="W172" s="484"/>
      <c r="X172" s="484"/>
      <c r="Y172" s="484"/>
      <c r="Z172" s="484"/>
      <c r="AA172" s="484"/>
      <c r="AB172" s="597"/>
    </row>
    <row r="173" spans="1:28" s="446" customFormat="1">
      <c r="A173" s="463"/>
      <c r="T173" s="484"/>
      <c r="U173" s="484"/>
      <c r="V173" s="484"/>
      <c r="W173" s="484"/>
      <c r="X173" s="484"/>
      <c r="Y173" s="484"/>
      <c r="Z173" s="484"/>
      <c r="AA173" s="484"/>
      <c r="AB173" s="597"/>
    </row>
    <row r="174" spans="1:28" s="446" customFormat="1">
      <c r="A174" s="463"/>
      <c r="T174" s="484"/>
      <c r="U174" s="484"/>
      <c r="V174" s="484"/>
      <c r="W174" s="484"/>
      <c r="X174" s="484"/>
      <c r="Y174" s="484"/>
      <c r="Z174" s="484"/>
      <c r="AA174" s="484"/>
      <c r="AB174" s="597"/>
    </row>
    <row r="175" spans="1:28" s="446" customFormat="1">
      <c r="A175" s="463"/>
      <c r="T175" s="484"/>
      <c r="U175" s="484"/>
      <c r="V175" s="484"/>
      <c r="W175" s="484"/>
      <c r="X175" s="484"/>
      <c r="Y175" s="484"/>
      <c r="Z175" s="484"/>
      <c r="AA175" s="484"/>
      <c r="AB175" s="597"/>
    </row>
    <row r="176" spans="1:28" s="446" customFormat="1">
      <c r="A176" s="463"/>
      <c r="T176" s="484"/>
      <c r="U176" s="484"/>
      <c r="V176" s="484"/>
      <c r="W176" s="484"/>
      <c r="X176" s="484"/>
      <c r="Y176" s="484"/>
      <c r="Z176" s="484"/>
      <c r="AA176" s="484"/>
      <c r="AB176" s="597"/>
    </row>
    <row r="177" spans="1:28" s="446" customFormat="1">
      <c r="A177" s="463"/>
      <c r="T177" s="484"/>
      <c r="U177" s="484"/>
      <c r="V177" s="484"/>
      <c r="W177" s="484"/>
      <c r="X177" s="484"/>
      <c r="Y177" s="484"/>
      <c r="Z177" s="484"/>
      <c r="AA177" s="484"/>
      <c r="AB177" s="597"/>
    </row>
    <row r="178" spans="1:28" s="446" customFormat="1">
      <c r="A178" s="463"/>
      <c r="T178" s="484"/>
      <c r="U178" s="484"/>
      <c r="V178" s="484"/>
      <c r="W178" s="484"/>
      <c r="X178" s="484"/>
      <c r="Y178" s="484"/>
      <c r="Z178" s="484"/>
      <c r="AA178" s="484"/>
      <c r="AB178" s="597"/>
    </row>
    <row r="179" spans="1:28" s="446" customFormat="1">
      <c r="A179" s="463"/>
      <c r="T179" s="484"/>
      <c r="U179" s="484"/>
      <c r="V179" s="484"/>
      <c r="W179" s="484"/>
      <c r="X179" s="484"/>
      <c r="Y179" s="484"/>
      <c r="Z179" s="484"/>
      <c r="AA179" s="484"/>
      <c r="AB179" s="597"/>
    </row>
    <row r="180" spans="1:28" s="446" customFormat="1">
      <c r="A180" s="463"/>
      <c r="T180" s="484"/>
      <c r="U180" s="484"/>
      <c r="V180" s="484"/>
      <c r="W180" s="484"/>
      <c r="X180" s="484"/>
      <c r="Y180" s="484"/>
      <c r="Z180" s="484"/>
      <c r="AA180" s="484"/>
      <c r="AB180" s="597"/>
    </row>
    <row r="181" spans="1:28" s="446" customFormat="1">
      <c r="A181" s="463"/>
      <c r="T181" s="484"/>
      <c r="U181" s="484"/>
      <c r="V181" s="484"/>
      <c r="W181" s="484"/>
      <c r="X181" s="484"/>
      <c r="Y181" s="484"/>
      <c r="Z181" s="484"/>
      <c r="AA181" s="484"/>
      <c r="AB181" s="597"/>
    </row>
    <row r="182" spans="1:28" s="446" customFormat="1">
      <c r="A182" s="463"/>
      <c r="T182" s="484"/>
      <c r="U182" s="484"/>
      <c r="V182" s="484"/>
      <c r="W182" s="484"/>
      <c r="X182" s="484"/>
      <c r="Y182" s="484"/>
      <c r="Z182" s="484"/>
      <c r="AA182" s="484"/>
      <c r="AB182" s="597"/>
    </row>
    <row r="183" spans="1:28" s="446" customFormat="1">
      <c r="A183" s="463"/>
      <c r="T183" s="484"/>
      <c r="U183" s="484"/>
      <c r="V183" s="484"/>
      <c r="W183" s="484"/>
      <c r="X183" s="484"/>
      <c r="Y183" s="484"/>
      <c r="Z183" s="484"/>
      <c r="AA183" s="484"/>
      <c r="AB183" s="597"/>
    </row>
    <row r="184" spans="1:28" s="446" customFormat="1">
      <c r="A184" s="463"/>
      <c r="T184" s="484"/>
      <c r="U184" s="484"/>
      <c r="V184" s="484"/>
      <c r="W184" s="484"/>
      <c r="X184" s="484"/>
      <c r="Y184" s="484"/>
      <c r="Z184" s="484"/>
      <c r="AA184" s="484"/>
      <c r="AB184" s="597"/>
    </row>
    <row r="185" spans="1:28" s="446" customFormat="1">
      <c r="A185" s="463"/>
      <c r="T185" s="484"/>
      <c r="U185" s="484"/>
      <c r="V185" s="484"/>
      <c r="W185" s="484"/>
      <c r="X185" s="484"/>
      <c r="Y185" s="484"/>
      <c r="Z185" s="484"/>
      <c r="AA185" s="484"/>
      <c r="AB185" s="597"/>
    </row>
    <row r="186" spans="1:28" s="446" customFormat="1">
      <c r="A186" s="463"/>
      <c r="T186" s="484"/>
      <c r="U186" s="484"/>
      <c r="V186" s="484"/>
      <c r="W186" s="484"/>
      <c r="X186" s="484"/>
      <c r="Y186" s="484"/>
      <c r="Z186" s="484"/>
      <c r="AA186" s="484"/>
      <c r="AB186" s="597"/>
    </row>
    <row r="187" spans="1:28" s="446" customFormat="1">
      <c r="A187" s="463"/>
      <c r="T187" s="484"/>
      <c r="U187" s="484"/>
      <c r="V187" s="484"/>
      <c r="W187" s="484"/>
      <c r="X187" s="484"/>
      <c r="Y187" s="484"/>
      <c r="Z187" s="484"/>
      <c r="AA187" s="484"/>
      <c r="AB187" s="597"/>
    </row>
    <row r="188" spans="1:28" s="446" customFormat="1">
      <c r="A188" s="463"/>
      <c r="T188" s="484"/>
      <c r="U188" s="484"/>
      <c r="V188" s="484"/>
      <c r="W188" s="484"/>
      <c r="X188" s="484"/>
      <c r="Y188" s="484"/>
      <c r="Z188" s="484"/>
      <c r="AA188" s="484"/>
      <c r="AB188" s="597"/>
    </row>
    <row r="189" spans="1:28" s="446" customFormat="1">
      <c r="A189" s="463"/>
      <c r="T189" s="484"/>
      <c r="U189" s="484"/>
      <c r="V189" s="484"/>
      <c r="W189" s="484"/>
      <c r="X189" s="484"/>
      <c r="Y189" s="484"/>
      <c r="Z189" s="484"/>
      <c r="AA189" s="484"/>
      <c r="AB189" s="597"/>
    </row>
    <row r="190" spans="1:28" s="446" customFormat="1">
      <c r="A190" s="463"/>
      <c r="T190" s="484"/>
      <c r="U190" s="484"/>
      <c r="V190" s="484"/>
      <c r="W190" s="484"/>
      <c r="X190" s="484"/>
      <c r="Y190" s="484"/>
      <c r="Z190" s="484"/>
      <c r="AA190" s="484"/>
      <c r="AB190" s="597"/>
    </row>
    <row r="191" spans="1:28" s="446" customFormat="1">
      <c r="A191" s="463"/>
      <c r="T191" s="484"/>
      <c r="U191" s="484"/>
      <c r="V191" s="484"/>
      <c r="W191" s="484"/>
      <c r="X191" s="484"/>
      <c r="Y191" s="484"/>
      <c r="Z191" s="484"/>
      <c r="AA191" s="484"/>
      <c r="AB191" s="597"/>
    </row>
    <row r="192" spans="1:28" s="446" customFormat="1">
      <c r="A192" s="463"/>
      <c r="T192" s="484"/>
      <c r="U192" s="484"/>
      <c r="V192" s="484"/>
      <c r="W192" s="484"/>
      <c r="X192" s="484"/>
      <c r="Y192" s="484"/>
      <c r="Z192" s="484"/>
      <c r="AA192" s="484"/>
      <c r="AB192" s="597"/>
    </row>
    <row r="193" spans="1:28" s="446" customFormat="1">
      <c r="A193" s="463"/>
      <c r="T193" s="484"/>
      <c r="U193" s="484"/>
      <c r="V193" s="484"/>
      <c r="W193" s="484"/>
      <c r="X193" s="484"/>
      <c r="Y193" s="484"/>
      <c r="Z193" s="484"/>
      <c r="AA193" s="484"/>
      <c r="AB193" s="597"/>
    </row>
    <row r="194" spans="1:28" s="446" customFormat="1">
      <c r="A194" s="463"/>
      <c r="T194" s="484"/>
      <c r="U194" s="484"/>
      <c r="V194" s="484"/>
      <c r="W194" s="484"/>
      <c r="X194" s="484"/>
      <c r="Y194" s="484"/>
      <c r="Z194" s="484"/>
      <c r="AA194" s="484"/>
      <c r="AB194" s="597"/>
    </row>
    <row r="195" spans="1:28" s="446" customFormat="1">
      <c r="A195" s="463"/>
      <c r="T195" s="484"/>
      <c r="U195" s="484"/>
      <c r="V195" s="484"/>
      <c r="W195" s="484"/>
      <c r="X195" s="484"/>
      <c r="Y195" s="484"/>
      <c r="Z195" s="484"/>
      <c r="AA195" s="484"/>
      <c r="AB195" s="597"/>
    </row>
    <row r="196" spans="1:28" s="446" customFormat="1">
      <c r="A196" s="463"/>
      <c r="T196" s="484"/>
      <c r="U196" s="484"/>
      <c r="V196" s="484"/>
      <c r="W196" s="484"/>
      <c r="X196" s="484"/>
      <c r="Y196" s="484"/>
      <c r="Z196" s="484"/>
      <c r="AA196" s="484"/>
      <c r="AB196" s="597"/>
    </row>
    <row r="197" spans="1:28" s="446" customFormat="1">
      <c r="A197" s="463"/>
      <c r="T197" s="484"/>
      <c r="U197" s="484"/>
      <c r="V197" s="484"/>
      <c r="W197" s="484"/>
      <c r="X197" s="484"/>
      <c r="Y197" s="484"/>
      <c r="Z197" s="484"/>
      <c r="AA197" s="484"/>
      <c r="AB197" s="597"/>
    </row>
    <row r="198" spans="1:28" s="446" customFormat="1">
      <c r="A198" s="463"/>
      <c r="T198" s="484"/>
      <c r="U198" s="484"/>
      <c r="V198" s="484"/>
      <c r="W198" s="484"/>
      <c r="X198" s="484"/>
      <c r="Y198" s="484"/>
      <c r="Z198" s="484"/>
      <c r="AA198" s="484"/>
      <c r="AB198" s="597"/>
    </row>
    <row r="199" spans="1:28" s="446" customFormat="1">
      <c r="A199" s="463"/>
      <c r="T199" s="484"/>
      <c r="U199" s="484"/>
      <c r="V199" s="484"/>
      <c r="W199" s="484"/>
      <c r="X199" s="484"/>
      <c r="Y199" s="484"/>
      <c r="Z199" s="484"/>
      <c r="AA199" s="484"/>
      <c r="AB199" s="597"/>
    </row>
    <row r="200" spans="1:28" s="446" customFormat="1">
      <c r="A200" s="463"/>
      <c r="T200" s="484"/>
      <c r="U200" s="484"/>
      <c r="V200" s="484"/>
      <c r="W200" s="484"/>
      <c r="X200" s="484"/>
      <c r="Y200" s="484"/>
      <c r="Z200" s="484"/>
      <c r="AA200" s="484"/>
      <c r="AB200" s="597"/>
    </row>
    <row r="201" spans="1:28" s="446" customFormat="1">
      <c r="A201" s="463"/>
      <c r="T201" s="484"/>
      <c r="U201" s="484"/>
      <c r="V201" s="484"/>
      <c r="W201" s="484"/>
      <c r="X201" s="484"/>
      <c r="Y201" s="484"/>
      <c r="Z201" s="484"/>
      <c r="AA201" s="484"/>
      <c r="AB201" s="597"/>
    </row>
    <row r="202" spans="1:28" s="446" customFormat="1">
      <c r="A202" s="463"/>
      <c r="T202" s="484"/>
      <c r="U202" s="484"/>
      <c r="V202" s="484"/>
      <c r="W202" s="484"/>
      <c r="X202" s="484"/>
      <c r="Y202" s="484"/>
      <c r="Z202" s="484"/>
      <c r="AA202" s="484"/>
      <c r="AB202" s="597"/>
    </row>
    <row r="203" spans="1:28" s="446" customFormat="1">
      <c r="A203" s="463"/>
      <c r="T203" s="484"/>
      <c r="U203" s="484"/>
      <c r="V203" s="484"/>
      <c r="W203" s="484"/>
      <c r="X203" s="484"/>
      <c r="Y203" s="484"/>
      <c r="Z203" s="484"/>
      <c r="AA203" s="484"/>
      <c r="AB203" s="597"/>
    </row>
    <row r="204" spans="1:28" s="446" customFormat="1">
      <c r="A204" s="463"/>
      <c r="T204" s="484"/>
      <c r="U204" s="484"/>
      <c r="V204" s="484"/>
      <c r="W204" s="484"/>
      <c r="X204" s="484"/>
      <c r="Y204" s="484"/>
      <c r="Z204" s="484"/>
      <c r="AA204" s="484"/>
      <c r="AB204" s="597"/>
    </row>
    <row r="205" spans="1:28" s="446" customFormat="1">
      <c r="A205" s="463"/>
      <c r="T205" s="484"/>
      <c r="U205" s="484"/>
      <c r="V205" s="484"/>
      <c r="W205" s="484"/>
      <c r="X205" s="484"/>
      <c r="Y205" s="484"/>
      <c r="Z205" s="484"/>
      <c r="AA205" s="484"/>
      <c r="AB205" s="597"/>
    </row>
  </sheetData>
  <sheetProtection password="C07B" sheet="1" objects="1" scenarios="1"/>
  <mergeCells count="3">
    <mergeCell ref="E17:H17"/>
    <mergeCell ref="L17:O17"/>
    <mergeCell ref="T17:Z17"/>
  </mergeCells>
  <conditionalFormatting sqref="AL37">
    <cfRule type="containsText" dxfId="169" priority="229" operator="containsText" text="OK">
      <formula>NOT(ISERROR(SEARCH("OK",AL37)))</formula>
    </cfRule>
    <cfRule type="cellIs" dxfId="168" priority="230" stopIfTrue="1" operator="equal">
      <formula>"ERROR"</formula>
    </cfRule>
  </conditionalFormatting>
  <conditionalFormatting sqref="AO27 AN24:AN26">
    <cfRule type="cellIs" dxfId="167" priority="228" operator="notEqual">
      <formula>""</formula>
    </cfRule>
  </conditionalFormatting>
  <conditionalFormatting sqref="AP27 AO24:AO26">
    <cfRule type="cellIs" dxfId="166" priority="227" operator="notEqual">
      <formula>""</formula>
    </cfRule>
  </conditionalFormatting>
  <conditionalFormatting sqref="AN27 AM24:AM26">
    <cfRule type="cellIs" dxfId="165" priority="225" operator="equal">
      <formula>"ERROR"</formula>
    </cfRule>
    <cfRule type="cellIs" dxfId="164" priority="226" operator="equal">
      <formula>"OK"</formula>
    </cfRule>
  </conditionalFormatting>
  <conditionalFormatting sqref="I54">
    <cfRule type="cellIs" dxfId="163" priority="221" operator="lessThan">
      <formula>0</formula>
    </cfRule>
  </conditionalFormatting>
  <conditionalFormatting sqref="Z56:Z65 Z67:Z72 Z19:Z53">
    <cfRule type="containsText" dxfId="162" priority="204" operator="containsText" text="OK">
      <formula>NOT(ISERROR(SEARCH("OK",Z19)))</formula>
    </cfRule>
    <cfRule type="containsText" dxfId="161" priority="205" operator="containsText" text="ERROR">
      <formula>NOT(ISERROR(SEARCH("ERROR",Z19)))</formula>
    </cfRule>
    <cfRule type="expression" dxfId="160" priority="206">
      <formula>"ERROR"</formula>
    </cfRule>
    <cfRule type="colorScale" priority="207">
      <colorScale>
        <cfvo type="min"/>
        <cfvo type="max"/>
        <color rgb="FFFF0000"/>
        <color rgb="FFFFEF9C"/>
      </colorScale>
    </cfRule>
  </conditionalFormatting>
  <conditionalFormatting sqref="I66">
    <cfRule type="cellIs" dxfId="159" priority="203" operator="lessThan">
      <formula>0</formula>
    </cfRule>
  </conditionalFormatting>
  <conditionalFormatting sqref="I74">
    <cfRule type="cellIs" dxfId="158" priority="202" operator="lessThan">
      <formula>0</formula>
    </cfRule>
  </conditionalFormatting>
  <conditionalFormatting sqref="I81">
    <cfRule type="cellIs" dxfId="157" priority="201" operator="lessThan">
      <formula>0</formula>
    </cfRule>
  </conditionalFormatting>
  <conditionalFormatting sqref="I83:I85">
    <cfRule type="cellIs" dxfId="156" priority="200" operator="lessThan">
      <formula>0</formula>
    </cfRule>
  </conditionalFormatting>
  <conditionalFormatting sqref="I88:I89">
    <cfRule type="cellIs" dxfId="155" priority="199" operator="lessThan">
      <formula>0</formula>
    </cfRule>
  </conditionalFormatting>
  <conditionalFormatting sqref="I93">
    <cfRule type="cellIs" dxfId="154" priority="198" operator="lessThan">
      <formula>0</formula>
    </cfRule>
  </conditionalFormatting>
  <conditionalFormatting sqref="I98:I99">
    <cfRule type="cellIs" dxfId="153" priority="197" operator="lessThan">
      <formula>0</formula>
    </cfRule>
  </conditionalFormatting>
  <conditionalFormatting sqref="E109">
    <cfRule type="containsText" dxfId="152" priority="193" operator="containsText" text="OK">
      <formula>NOT(ISERROR(SEARCH("OK",E109)))</formula>
    </cfRule>
    <cfRule type="containsText" dxfId="151" priority="194" operator="containsText" text="ERROR">
      <formula>NOT(ISERROR(SEARCH("ERROR",E109)))</formula>
    </cfRule>
    <cfRule type="expression" dxfId="150" priority="195">
      <formula>"ERROR"</formula>
    </cfRule>
    <cfRule type="colorScale" priority="196">
      <colorScale>
        <cfvo type="min"/>
        <cfvo type="max"/>
        <color rgb="FFFF0000"/>
        <color rgb="FFFFEF9C"/>
      </colorScale>
    </cfRule>
  </conditionalFormatting>
  <conditionalFormatting sqref="F109">
    <cfRule type="containsText" dxfId="149" priority="189" operator="containsText" text="OK">
      <formula>NOT(ISERROR(SEARCH("OK",F109)))</formula>
    </cfRule>
    <cfRule type="containsText" dxfId="148" priority="190" operator="containsText" text="ERROR">
      <formula>NOT(ISERROR(SEARCH("ERROR",F109)))</formula>
    </cfRule>
    <cfRule type="expression" dxfId="147" priority="191">
      <formula>"ERROR"</formula>
    </cfRule>
    <cfRule type="colorScale" priority="192">
      <colorScale>
        <cfvo type="min"/>
        <cfvo type="max"/>
        <color rgb="FFFF0000"/>
        <color rgb="FFFFEF9C"/>
      </colorScale>
    </cfRule>
  </conditionalFormatting>
  <conditionalFormatting sqref="Z73">
    <cfRule type="containsText" dxfId="146" priority="129" operator="containsText" text="OK">
      <formula>NOT(ISERROR(SEARCH("OK",Z73)))</formula>
    </cfRule>
    <cfRule type="containsText" dxfId="145" priority="130" operator="containsText" text="ERROR">
      <formula>NOT(ISERROR(SEARCH("ERROR",Z73)))</formula>
    </cfRule>
    <cfRule type="expression" dxfId="144" priority="131">
      <formula>"ERROR"</formula>
    </cfRule>
    <cfRule type="colorScale" priority="132">
      <colorScale>
        <cfvo type="min"/>
        <cfvo type="max"/>
        <color rgb="FFFF0000"/>
        <color rgb="FFFFEF9C"/>
      </colorScale>
    </cfRule>
  </conditionalFormatting>
  <conditionalFormatting sqref="Z75:Z80">
    <cfRule type="containsText" dxfId="143" priority="125" operator="containsText" text="OK">
      <formula>NOT(ISERROR(SEARCH("OK",Z75)))</formula>
    </cfRule>
    <cfRule type="containsText" dxfId="142" priority="126" operator="containsText" text="ERROR">
      <formula>NOT(ISERROR(SEARCH("ERROR",Z75)))</formula>
    </cfRule>
    <cfRule type="expression" dxfId="141" priority="127">
      <formula>"ERROR"</formula>
    </cfRule>
    <cfRule type="colorScale" priority="128">
      <colorScale>
        <cfvo type="min"/>
        <cfvo type="max"/>
        <color rgb="FFFF0000"/>
        <color rgb="FFFFEF9C"/>
      </colorScale>
    </cfRule>
  </conditionalFormatting>
  <conditionalFormatting sqref="Z82">
    <cfRule type="containsText" dxfId="140" priority="121" operator="containsText" text="OK">
      <formula>NOT(ISERROR(SEARCH("OK",Z82)))</formula>
    </cfRule>
    <cfRule type="containsText" dxfId="139" priority="122" operator="containsText" text="ERROR">
      <formula>NOT(ISERROR(SEARCH("ERROR",Z82)))</formula>
    </cfRule>
    <cfRule type="expression" dxfId="138" priority="123">
      <formula>"ERROR"</formula>
    </cfRule>
    <cfRule type="colorScale" priority="124">
      <colorScale>
        <cfvo type="min"/>
        <cfvo type="max"/>
        <color rgb="FFFF0000"/>
        <color rgb="FFFFEF9C"/>
      </colorScale>
    </cfRule>
  </conditionalFormatting>
  <conditionalFormatting sqref="Z87">
    <cfRule type="containsText" dxfId="137" priority="113" operator="containsText" text="OK">
      <formula>NOT(ISERROR(SEARCH("OK",Z87)))</formula>
    </cfRule>
    <cfRule type="containsText" dxfId="136" priority="114" operator="containsText" text="ERROR">
      <formula>NOT(ISERROR(SEARCH("ERROR",Z87)))</formula>
    </cfRule>
    <cfRule type="expression" dxfId="135" priority="115">
      <formula>"ERROR"</formula>
    </cfRule>
    <cfRule type="colorScale" priority="116">
      <colorScale>
        <cfvo type="min"/>
        <cfvo type="max"/>
        <color rgb="FFFF0000"/>
        <color rgb="FFFFEF9C"/>
      </colorScale>
    </cfRule>
  </conditionalFormatting>
  <conditionalFormatting sqref="Z90">
    <cfRule type="containsText" dxfId="134" priority="109" operator="containsText" text="OK">
      <formula>NOT(ISERROR(SEARCH("OK",Z90)))</formula>
    </cfRule>
    <cfRule type="containsText" dxfId="133" priority="110" operator="containsText" text="ERROR">
      <formula>NOT(ISERROR(SEARCH("ERROR",Z90)))</formula>
    </cfRule>
    <cfRule type="expression" dxfId="132" priority="111">
      <formula>"ERROR"</formula>
    </cfRule>
    <cfRule type="colorScale" priority="112">
      <colorScale>
        <cfvo type="min"/>
        <cfvo type="max"/>
        <color rgb="FFFF0000"/>
        <color rgb="FFFFEF9C"/>
      </colorScale>
    </cfRule>
  </conditionalFormatting>
  <conditionalFormatting sqref="Z91">
    <cfRule type="containsText" dxfId="131" priority="105" operator="containsText" text="OK">
      <formula>NOT(ISERROR(SEARCH("OK",Z91)))</formula>
    </cfRule>
    <cfRule type="containsText" dxfId="130" priority="106" operator="containsText" text="ERROR">
      <formula>NOT(ISERROR(SEARCH("ERROR",Z91)))</formula>
    </cfRule>
    <cfRule type="expression" dxfId="129" priority="107">
      <formula>"ERROR"</formula>
    </cfRule>
    <cfRule type="colorScale" priority="108">
      <colorScale>
        <cfvo type="min"/>
        <cfvo type="max"/>
        <color rgb="FFFF0000"/>
        <color rgb="FFFFEF9C"/>
      </colorScale>
    </cfRule>
  </conditionalFormatting>
  <conditionalFormatting sqref="Z92">
    <cfRule type="containsText" dxfId="128" priority="101" operator="containsText" text="OK">
      <formula>NOT(ISERROR(SEARCH("OK",Z92)))</formula>
    </cfRule>
    <cfRule type="containsText" dxfId="127" priority="102" operator="containsText" text="ERROR">
      <formula>NOT(ISERROR(SEARCH("ERROR",Z92)))</formula>
    </cfRule>
    <cfRule type="expression" dxfId="126" priority="103">
      <formula>"ERROR"</formula>
    </cfRule>
    <cfRule type="colorScale" priority="104">
      <colorScale>
        <cfvo type="min"/>
        <cfvo type="max"/>
        <color rgb="FFFF0000"/>
        <color rgb="FFFFEF9C"/>
      </colorScale>
    </cfRule>
  </conditionalFormatting>
  <conditionalFormatting sqref="Z95">
    <cfRule type="containsText" dxfId="125" priority="93" operator="containsText" text="OK">
      <formula>NOT(ISERROR(SEARCH("OK",Z95)))</formula>
    </cfRule>
    <cfRule type="containsText" dxfId="124" priority="94" operator="containsText" text="ERROR">
      <formula>NOT(ISERROR(SEARCH("ERROR",Z95)))</formula>
    </cfRule>
    <cfRule type="expression" dxfId="123" priority="95">
      <formula>"ERROR"</formula>
    </cfRule>
    <cfRule type="colorScale" priority="96">
      <colorScale>
        <cfvo type="min"/>
        <cfvo type="max"/>
        <color rgb="FFFF0000"/>
        <color rgb="FFFFEF9C"/>
      </colorScale>
    </cfRule>
  </conditionalFormatting>
  <conditionalFormatting sqref="Z96">
    <cfRule type="containsText" dxfId="122" priority="89" operator="containsText" text="OK">
      <formula>NOT(ISERROR(SEARCH("OK",Z96)))</formula>
    </cfRule>
    <cfRule type="containsText" dxfId="121" priority="90" operator="containsText" text="ERROR">
      <formula>NOT(ISERROR(SEARCH("ERROR",Z96)))</formula>
    </cfRule>
    <cfRule type="expression" dxfId="120" priority="91">
      <formula>"ERROR"</formula>
    </cfRule>
    <cfRule type="colorScale" priority="92">
      <colorScale>
        <cfvo type="min"/>
        <cfvo type="max"/>
        <color rgb="FFFF0000"/>
        <color rgb="FFFFEF9C"/>
      </colorScale>
    </cfRule>
  </conditionalFormatting>
  <conditionalFormatting sqref="Z97">
    <cfRule type="containsText" dxfId="119" priority="85" operator="containsText" text="OK">
      <formula>NOT(ISERROR(SEARCH("OK",Z97)))</formula>
    </cfRule>
    <cfRule type="containsText" dxfId="118" priority="86" operator="containsText" text="ERROR">
      <formula>NOT(ISERROR(SEARCH("ERROR",Z97)))</formula>
    </cfRule>
    <cfRule type="expression" dxfId="117" priority="87">
      <formula>"ERROR"</formula>
    </cfRule>
    <cfRule type="colorScale" priority="88">
      <colorScale>
        <cfvo type="min"/>
        <cfvo type="max"/>
        <color rgb="FFFF0000"/>
        <color rgb="FFFFEF9C"/>
      </colorScale>
    </cfRule>
  </conditionalFormatting>
  <conditionalFormatting sqref="Z98">
    <cfRule type="containsText" dxfId="116" priority="81" operator="containsText" text="OK">
      <formula>NOT(ISERROR(SEARCH("OK",Z98)))</formula>
    </cfRule>
    <cfRule type="containsText" dxfId="115" priority="82" operator="containsText" text="ERROR">
      <formula>NOT(ISERROR(SEARCH("ERROR",Z98)))</formula>
    </cfRule>
    <cfRule type="expression" dxfId="114" priority="83">
      <formula>"ERROR"</formula>
    </cfRule>
    <cfRule type="colorScale" priority="84">
      <colorScale>
        <cfvo type="min"/>
        <cfvo type="max"/>
        <color rgb="FFFF0000"/>
        <color rgb="FFFFEF9C"/>
      </colorScale>
    </cfRule>
  </conditionalFormatting>
  <conditionalFormatting sqref="Z54">
    <cfRule type="containsText" dxfId="113" priority="73" operator="containsText" text="OK">
      <formula>NOT(ISERROR(SEARCH("OK",Z54)))</formula>
    </cfRule>
    <cfRule type="containsText" dxfId="112" priority="74" operator="containsText" text="ERROR">
      <formula>NOT(ISERROR(SEARCH("ERROR",Z54)))</formula>
    </cfRule>
    <cfRule type="expression" dxfId="111" priority="75">
      <formula>"ERROR"</formula>
    </cfRule>
    <cfRule type="colorScale" priority="76">
      <colorScale>
        <cfvo type="min"/>
        <cfvo type="max"/>
        <color rgb="FFFF0000"/>
        <color rgb="FFFFEF9C"/>
      </colorScale>
    </cfRule>
  </conditionalFormatting>
  <conditionalFormatting sqref="Z66">
    <cfRule type="containsText" dxfId="110" priority="69" operator="containsText" text="OK">
      <formula>NOT(ISERROR(SEARCH("OK",Z66)))</formula>
    </cfRule>
    <cfRule type="containsText" dxfId="109" priority="70" operator="containsText" text="ERROR">
      <formula>NOT(ISERROR(SEARCH("ERROR",Z66)))</formula>
    </cfRule>
    <cfRule type="expression" dxfId="108" priority="71">
      <formula>"ERROR"</formula>
    </cfRule>
    <cfRule type="colorScale" priority="72">
      <colorScale>
        <cfvo type="min"/>
        <cfvo type="max"/>
        <color rgb="FFFF0000"/>
        <color rgb="FFFFEF9C"/>
      </colorScale>
    </cfRule>
  </conditionalFormatting>
  <conditionalFormatting sqref="Z74">
    <cfRule type="containsText" dxfId="107" priority="65" operator="containsText" text="OK">
      <formula>NOT(ISERROR(SEARCH("OK",Z74)))</formula>
    </cfRule>
    <cfRule type="containsText" dxfId="106" priority="66" operator="containsText" text="ERROR">
      <formula>NOT(ISERROR(SEARCH("ERROR",Z74)))</formula>
    </cfRule>
    <cfRule type="expression" dxfId="105" priority="67">
      <formula>"ERROR"</formula>
    </cfRule>
    <cfRule type="colorScale" priority="68">
      <colorScale>
        <cfvo type="min"/>
        <cfvo type="max"/>
        <color rgb="FFFF0000"/>
        <color rgb="FFFFEF9C"/>
      </colorScale>
    </cfRule>
  </conditionalFormatting>
  <conditionalFormatting sqref="Z81">
    <cfRule type="containsText" dxfId="104" priority="61" operator="containsText" text="OK">
      <formula>NOT(ISERROR(SEARCH("OK",Z81)))</formula>
    </cfRule>
    <cfRule type="containsText" dxfId="103" priority="62" operator="containsText" text="ERROR">
      <formula>NOT(ISERROR(SEARCH("ERROR",Z81)))</formula>
    </cfRule>
    <cfRule type="expression" dxfId="102" priority="63">
      <formula>"ERROR"</formula>
    </cfRule>
    <cfRule type="colorScale" priority="64">
      <colorScale>
        <cfvo type="min"/>
        <cfvo type="max"/>
        <color rgb="FFFF0000"/>
        <color rgb="FFFFEF9C"/>
      </colorScale>
    </cfRule>
  </conditionalFormatting>
  <conditionalFormatting sqref="Z83:Z85">
    <cfRule type="containsText" dxfId="101" priority="57" operator="containsText" text="OK">
      <formula>NOT(ISERROR(SEARCH("OK",Z83)))</formula>
    </cfRule>
    <cfRule type="containsText" dxfId="100" priority="58" operator="containsText" text="ERROR">
      <formula>NOT(ISERROR(SEARCH("ERROR",Z83)))</formula>
    </cfRule>
    <cfRule type="expression" dxfId="99" priority="59">
      <formula>"ERROR"</formula>
    </cfRule>
    <cfRule type="colorScale" priority="60">
      <colorScale>
        <cfvo type="min"/>
        <cfvo type="max"/>
        <color rgb="FFFF0000"/>
        <color rgb="FFFFEF9C"/>
      </colorScale>
    </cfRule>
  </conditionalFormatting>
  <conditionalFormatting sqref="Z86">
    <cfRule type="containsText" dxfId="98" priority="53" operator="containsText" text="OK">
      <formula>NOT(ISERROR(SEARCH("OK",Z86)))</formula>
    </cfRule>
    <cfRule type="containsText" dxfId="97" priority="54" operator="containsText" text="ERROR">
      <formula>NOT(ISERROR(SEARCH("ERROR",Z86)))</formula>
    </cfRule>
    <cfRule type="expression" dxfId="96" priority="55">
      <formula>"ERROR"</formula>
    </cfRule>
    <cfRule type="colorScale" priority="56">
      <colorScale>
        <cfvo type="min"/>
        <cfvo type="max"/>
        <color rgb="FFFF0000"/>
        <color rgb="FFFFEF9C"/>
      </colorScale>
    </cfRule>
  </conditionalFormatting>
  <conditionalFormatting sqref="Z88:Z89">
    <cfRule type="containsText" dxfId="95" priority="49" operator="containsText" text="OK">
      <formula>NOT(ISERROR(SEARCH("OK",Z88)))</formula>
    </cfRule>
    <cfRule type="containsText" dxfId="94" priority="50" operator="containsText" text="ERROR">
      <formula>NOT(ISERROR(SEARCH("ERROR",Z88)))</formula>
    </cfRule>
    <cfRule type="expression" dxfId="93" priority="51">
      <formula>"ERROR"</formula>
    </cfRule>
    <cfRule type="colorScale" priority="52">
      <colorScale>
        <cfvo type="min"/>
        <cfvo type="max"/>
        <color rgb="FFFF0000"/>
        <color rgb="FFFFEF9C"/>
      </colorScale>
    </cfRule>
  </conditionalFormatting>
  <conditionalFormatting sqref="Z93">
    <cfRule type="containsText" dxfId="92" priority="45" operator="containsText" text="OK">
      <formula>NOT(ISERROR(SEARCH("OK",Z93)))</formula>
    </cfRule>
    <cfRule type="containsText" dxfId="91" priority="46" operator="containsText" text="ERROR">
      <formula>NOT(ISERROR(SEARCH("ERROR",Z93)))</formula>
    </cfRule>
    <cfRule type="expression" dxfId="90" priority="47">
      <formula>"ERROR"</formula>
    </cfRule>
    <cfRule type="colorScale" priority="48">
      <colorScale>
        <cfvo type="min"/>
        <cfvo type="max"/>
        <color rgb="FFFF0000"/>
        <color rgb="FFFFEF9C"/>
      </colorScale>
    </cfRule>
  </conditionalFormatting>
  <conditionalFormatting sqref="AA19:AA54">
    <cfRule type="containsText" dxfId="89" priority="33" operator="containsText" text="OK">
      <formula>NOT(ISERROR(SEARCH("OK",AA19)))</formula>
    </cfRule>
    <cfRule type="containsText" dxfId="88" priority="34" operator="containsText" text="ERROR">
      <formula>NOT(ISERROR(SEARCH("ERROR",AA19)))</formula>
    </cfRule>
    <cfRule type="expression" dxfId="87" priority="35">
      <formula>"ERROR"</formula>
    </cfRule>
    <cfRule type="colorScale" priority="36">
      <colorScale>
        <cfvo type="min"/>
        <cfvo type="max"/>
        <color rgb="FFFF0000"/>
        <color rgb="FFFFEF9C"/>
      </colorScale>
    </cfRule>
  </conditionalFormatting>
  <conditionalFormatting sqref="AA56:AA66">
    <cfRule type="containsText" dxfId="86" priority="29" operator="containsText" text="OK">
      <formula>NOT(ISERROR(SEARCH("OK",AA56)))</formula>
    </cfRule>
    <cfRule type="containsText" dxfId="85" priority="30" operator="containsText" text="ERROR">
      <formula>NOT(ISERROR(SEARCH("ERROR",AA56)))</formula>
    </cfRule>
    <cfRule type="expression" dxfId="84" priority="31">
      <formula>"ERROR"</formula>
    </cfRule>
    <cfRule type="colorScale" priority="32">
      <colorScale>
        <cfvo type="min"/>
        <cfvo type="max"/>
        <color rgb="FFFF0000"/>
        <color rgb="FFFFEF9C"/>
      </colorScale>
    </cfRule>
  </conditionalFormatting>
  <conditionalFormatting sqref="AA68:AA74">
    <cfRule type="containsText" dxfId="83" priority="25" operator="containsText" text="OK">
      <formula>NOT(ISERROR(SEARCH("OK",AA68)))</formula>
    </cfRule>
    <cfRule type="containsText" dxfId="82" priority="26" operator="containsText" text="ERROR">
      <formula>NOT(ISERROR(SEARCH("ERROR",AA68)))</formula>
    </cfRule>
    <cfRule type="expression" dxfId="81" priority="27">
      <formula>"ERROR"</formula>
    </cfRule>
    <cfRule type="colorScale" priority="28">
      <colorScale>
        <cfvo type="min"/>
        <cfvo type="max"/>
        <color rgb="FFFF0000"/>
        <color rgb="FFFFEF9C"/>
      </colorScale>
    </cfRule>
  </conditionalFormatting>
  <conditionalFormatting sqref="AA76:AA81">
    <cfRule type="containsText" dxfId="80" priority="21" operator="containsText" text="OK">
      <formula>NOT(ISERROR(SEARCH("OK",AA76)))</formula>
    </cfRule>
    <cfRule type="containsText" dxfId="79" priority="22" operator="containsText" text="ERROR">
      <formula>NOT(ISERROR(SEARCH("ERROR",AA76)))</formula>
    </cfRule>
    <cfRule type="expression" dxfId="78" priority="23">
      <formula>"ERROR"</formula>
    </cfRule>
    <cfRule type="colorScale" priority="24">
      <colorScale>
        <cfvo type="min"/>
        <cfvo type="max"/>
        <color rgb="FFFF0000"/>
        <color rgb="FFFFEF9C"/>
      </colorScale>
    </cfRule>
  </conditionalFormatting>
  <conditionalFormatting sqref="AA83:AA85">
    <cfRule type="containsText" dxfId="77" priority="17" operator="containsText" text="OK">
      <formula>NOT(ISERROR(SEARCH("OK",AA83)))</formula>
    </cfRule>
    <cfRule type="containsText" dxfId="76" priority="18" operator="containsText" text="ERROR">
      <formula>NOT(ISERROR(SEARCH("ERROR",AA83)))</formula>
    </cfRule>
    <cfRule type="expression" dxfId="75" priority="19">
      <formula>"ERROR"</formula>
    </cfRule>
    <cfRule type="colorScale" priority="20">
      <colorScale>
        <cfvo type="min"/>
        <cfvo type="max"/>
        <color rgb="FFFF0000"/>
        <color rgb="FFFFEF9C"/>
      </colorScale>
    </cfRule>
  </conditionalFormatting>
  <conditionalFormatting sqref="AA87:AA89">
    <cfRule type="containsText" dxfId="74" priority="13" operator="containsText" text="OK">
      <formula>NOT(ISERROR(SEARCH("OK",AA87)))</formula>
    </cfRule>
    <cfRule type="containsText" dxfId="73" priority="14" operator="containsText" text="ERROR">
      <formula>NOT(ISERROR(SEARCH("ERROR",AA87)))</formula>
    </cfRule>
    <cfRule type="expression" dxfId="72" priority="15">
      <formula>"ERROR"</formula>
    </cfRule>
    <cfRule type="colorScale" priority="16">
      <colorScale>
        <cfvo type="min"/>
        <cfvo type="max"/>
        <color rgb="FFFF0000"/>
        <color rgb="FFFFEF9C"/>
      </colorScale>
    </cfRule>
  </conditionalFormatting>
  <conditionalFormatting sqref="AA91:AA93">
    <cfRule type="containsText" dxfId="71" priority="9" operator="containsText" text="OK">
      <formula>NOT(ISERROR(SEARCH("OK",AA91)))</formula>
    </cfRule>
    <cfRule type="containsText" dxfId="70" priority="10" operator="containsText" text="ERROR">
      <formula>NOT(ISERROR(SEARCH("ERROR",AA91)))</formula>
    </cfRule>
    <cfRule type="expression" dxfId="69" priority="11">
      <formula>"ERROR"</formula>
    </cfRule>
    <cfRule type="colorScale" priority="12">
      <colorScale>
        <cfvo type="min"/>
        <cfvo type="max"/>
        <color rgb="FFFF0000"/>
        <color rgb="FFFFEF9C"/>
      </colorScale>
    </cfRule>
  </conditionalFormatting>
  <conditionalFormatting sqref="AA95:AA98">
    <cfRule type="containsText" dxfId="68" priority="5" operator="containsText" text="OK">
      <formula>NOT(ISERROR(SEARCH("OK",AA95)))</formula>
    </cfRule>
    <cfRule type="containsText" dxfId="67" priority="6" operator="containsText" text="ERROR">
      <formula>NOT(ISERROR(SEARCH("ERROR",AA95)))</formula>
    </cfRule>
    <cfRule type="expression" dxfId="66" priority="7">
      <formula>"ERROR"</formula>
    </cfRule>
    <cfRule type="colorScale" priority="8">
      <colorScale>
        <cfvo type="min"/>
        <cfvo type="max"/>
        <color rgb="FFFF0000"/>
        <color rgb="FFFFEF9C"/>
      </colorScale>
    </cfRule>
  </conditionalFormatting>
  <pageMargins left="0.7" right="0.7" top="0.75" bottom="0.75" header="0.3" footer="0.3"/>
  <pageSetup scale="10" orientation="portrait" r:id="rId1"/>
  <customProperties>
    <customPr name="CofConfiguration" r:id="rId2"/>
    <customPr name="CofWorksheetType" r:id="rId3"/>
    <customPr name="EpmWorksheetKeyString_GUID" r:id="rId4"/>
    <customPr name="FPMExcelClientCellBasedFunctionStatus" r:id="rId5"/>
    <customPr name="FPMExcelClientRefreshTime" r:id="rId6"/>
  </customProperties>
  <drawing r:id="rId7"/>
  <legacyDrawing r:id="rId8"/>
  <controls>
    <mc:AlternateContent xmlns:mc="http://schemas.openxmlformats.org/markup-compatibility/2006">
      <mc:Choice Requires="x14">
        <control shapeId="334854" r:id="rId9" name="ReportSubmitControl_1tb1">
          <controlPr defaultSize="0" autoLine="0" r:id="rId10">
            <anchor moveWithCells="1" sizeWithCells="1">
              <from>
                <xdr:col>0</xdr:col>
                <xdr:colOff>0</xdr:colOff>
                <xdr:row>0</xdr:row>
                <xdr:rowOff>0</xdr:rowOff>
              </from>
              <to>
                <xdr:col>0</xdr:col>
                <xdr:colOff>0</xdr:colOff>
                <xdr:row>0</xdr:row>
                <xdr:rowOff>0</xdr:rowOff>
              </to>
            </anchor>
          </controlPr>
        </control>
      </mc:Choice>
      <mc:Fallback>
        <control shapeId="334854" r:id="rId9" name="ReportSubmitControl_1tb1"/>
      </mc:Fallback>
    </mc:AlternateContent>
    <mc:AlternateContent xmlns:mc="http://schemas.openxmlformats.org/markup-compatibility/2006">
      <mc:Choice Requires="x14">
        <control shapeId="334853" r:id="rId11" name="ReportSubmitManagerControltb1">
          <controlPr defaultSize="0" autoLine="0" r:id="rId12">
            <anchor moveWithCells="1" sizeWithCells="1">
              <from>
                <xdr:col>0</xdr:col>
                <xdr:colOff>0</xdr:colOff>
                <xdr:row>0</xdr:row>
                <xdr:rowOff>0</xdr:rowOff>
              </from>
              <to>
                <xdr:col>0</xdr:col>
                <xdr:colOff>0</xdr:colOff>
                <xdr:row>0</xdr:row>
                <xdr:rowOff>0</xdr:rowOff>
              </to>
            </anchor>
          </controlPr>
        </control>
      </mc:Choice>
      <mc:Fallback>
        <control shapeId="334853" r:id="rId11" name="ReportSubmitManagerControltb1"/>
      </mc:Fallback>
    </mc:AlternateContent>
    <mc:AlternateContent xmlns:mc="http://schemas.openxmlformats.org/markup-compatibility/2006">
      <mc:Choice Requires="x14">
        <control shapeId="334852" r:id="rId13" name="AnalyzerDynReport000tb1">
          <controlPr defaultSize="0" autoLine="0" r:id="rId14">
            <anchor moveWithCells="1" sizeWithCells="1">
              <from>
                <xdr:col>0</xdr:col>
                <xdr:colOff>0</xdr:colOff>
                <xdr:row>0</xdr:row>
                <xdr:rowOff>0</xdr:rowOff>
              </from>
              <to>
                <xdr:col>0</xdr:col>
                <xdr:colOff>0</xdr:colOff>
                <xdr:row>0</xdr:row>
                <xdr:rowOff>0</xdr:rowOff>
              </to>
            </anchor>
          </controlPr>
        </control>
      </mc:Choice>
      <mc:Fallback>
        <control shapeId="334852" r:id="rId13" name="AnalyzerDynReport000tb1"/>
      </mc:Fallback>
    </mc:AlternateContent>
    <mc:AlternateContent xmlns:mc="http://schemas.openxmlformats.org/markup-compatibility/2006">
      <mc:Choice Requires="x14">
        <control shapeId="334851" r:id="rId15" name="MultipleReportManagerInfotb1">
          <controlPr defaultSize="0" autoLine="0" r:id="rId16">
            <anchor moveWithCells="1" sizeWithCells="1">
              <from>
                <xdr:col>0</xdr:col>
                <xdr:colOff>0</xdr:colOff>
                <xdr:row>0</xdr:row>
                <xdr:rowOff>0</xdr:rowOff>
              </from>
              <to>
                <xdr:col>0</xdr:col>
                <xdr:colOff>0</xdr:colOff>
                <xdr:row>0</xdr:row>
                <xdr:rowOff>0</xdr:rowOff>
              </to>
            </anchor>
          </controlPr>
        </control>
      </mc:Choice>
      <mc:Fallback>
        <control shapeId="334851" r:id="rId15" name="MultipleReportManagerInfotb1"/>
      </mc:Fallback>
    </mc:AlternateContent>
    <mc:AlternateContent xmlns:mc="http://schemas.openxmlformats.org/markup-compatibility/2006">
      <mc:Choice Requires="x14">
        <control shapeId="334850" r:id="rId17" name="ConnectionDescriptorsInfotb1">
          <controlPr defaultSize="0" autoLine="0" r:id="rId18">
            <anchor moveWithCells="1" sizeWithCells="1">
              <from>
                <xdr:col>0</xdr:col>
                <xdr:colOff>0</xdr:colOff>
                <xdr:row>0</xdr:row>
                <xdr:rowOff>0</xdr:rowOff>
              </from>
              <to>
                <xdr:col>0</xdr:col>
                <xdr:colOff>0</xdr:colOff>
                <xdr:row>0</xdr:row>
                <xdr:rowOff>0</xdr:rowOff>
              </to>
            </anchor>
          </controlPr>
        </control>
      </mc:Choice>
      <mc:Fallback>
        <control shapeId="334850" r:id="rId17" name="ConnectionDescriptorsInfotb1"/>
      </mc:Fallback>
    </mc:AlternateContent>
    <mc:AlternateContent xmlns:mc="http://schemas.openxmlformats.org/markup-compatibility/2006">
      <mc:Choice Requires="x14">
        <control shapeId="334849" r:id="rId19" name="FPMExcelClientSheetOptionstb1">
          <controlPr defaultSize="0" autoLine="0" r:id="rId20">
            <anchor moveWithCells="1" sizeWithCells="1">
              <from>
                <xdr:col>0</xdr:col>
                <xdr:colOff>0</xdr:colOff>
                <xdr:row>0</xdr:row>
                <xdr:rowOff>0</xdr:rowOff>
              </from>
              <to>
                <xdr:col>0</xdr:col>
                <xdr:colOff>0</xdr:colOff>
                <xdr:row>0</xdr:row>
                <xdr:rowOff>0</xdr:rowOff>
              </to>
            </anchor>
          </controlPr>
        </control>
      </mc:Choice>
      <mc:Fallback>
        <control shapeId="334849" r:id="rId19" name="FPMExcelClientSheetOptionstb1"/>
      </mc:Fallback>
    </mc:AlternateContent>
    <mc:AlternateContent xmlns:mc="http://schemas.openxmlformats.org/markup-compatibility/2006">
      <mc:Choice Requires="x14">
        <control shapeId="334859" r:id="rId21" name="AnalyzerDynReport001tb1">
          <controlPr defaultSize="0" autoLine="0" r:id="rId22">
            <anchor moveWithCells="1" sizeWithCells="1">
              <from>
                <xdr:col>0</xdr:col>
                <xdr:colOff>0</xdr:colOff>
                <xdr:row>0</xdr:row>
                <xdr:rowOff>0</xdr:rowOff>
              </from>
              <to>
                <xdr:col>0</xdr:col>
                <xdr:colOff>0</xdr:colOff>
                <xdr:row>0</xdr:row>
                <xdr:rowOff>9525</xdr:rowOff>
              </to>
            </anchor>
          </controlPr>
        </control>
      </mc:Choice>
      <mc:Fallback>
        <control shapeId="334859" r:id="rId21" name="AnalyzerDynReport001tb1"/>
      </mc:Fallback>
    </mc:AlternateContent>
    <mc:AlternateContent xmlns:mc="http://schemas.openxmlformats.org/markup-compatibility/2006">
      <mc:Choice Requires="x14">
        <control shapeId="334861" r:id="rId23" name="Button 13">
          <controlPr defaultSize="0" print="0" autoFill="0" autoPict="0" macro="[0]!CONSULTAR_INFORMACION">
            <anchor moveWithCells="1" sizeWithCells="1">
              <from>
                <xdr:col>3</xdr:col>
                <xdr:colOff>323850</xdr:colOff>
                <xdr:row>1</xdr:row>
                <xdr:rowOff>171450</xdr:rowOff>
              </from>
              <to>
                <xdr:col>4</xdr:col>
                <xdr:colOff>1304925</xdr:colOff>
                <xdr:row>2</xdr:row>
                <xdr:rowOff>180975</xdr:rowOff>
              </to>
            </anchor>
          </controlPr>
        </control>
      </mc:Choice>
    </mc:AlternateContent>
    <mc:AlternateContent xmlns:mc="http://schemas.openxmlformats.org/markup-compatibility/2006">
      <mc:Choice Requires="x14">
        <control shapeId="334867" r:id="rId24" name="Button 19">
          <controlPr defaultSize="0" print="0" autoFill="0" autoPict="0" macro="[0]!GUARDAR_INFORMACION">
            <anchor moveWithCells="1" sizeWithCells="1">
              <from>
                <xdr:col>4</xdr:col>
                <xdr:colOff>485775</xdr:colOff>
                <xdr:row>0</xdr:row>
                <xdr:rowOff>142875</xdr:rowOff>
              </from>
              <to>
                <xdr:col>6</xdr:col>
                <xdr:colOff>85725</xdr:colOff>
                <xdr:row>0</xdr:row>
                <xdr:rowOff>342900</xdr:rowOff>
              </to>
            </anchor>
          </controlPr>
        </control>
      </mc:Choice>
    </mc:AlternateContent>
    <mc:AlternateContent xmlns:mc="http://schemas.openxmlformats.org/markup-compatibility/2006">
      <mc:Choice Requires="x14">
        <control shapeId="334869" r:id="rId25" name="Button 21">
          <controlPr defaultSize="0" print="0" autoFill="0" autoPict="0" macro="[0]!datos_dinamicos">
            <anchor moveWithCells="1" sizeWithCells="1">
              <from>
                <xdr:col>2</xdr:col>
                <xdr:colOff>0</xdr:colOff>
                <xdr:row>15</xdr:row>
                <xdr:rowOff>171450</xdr:rowOff>
              </from>
              <to>
                <xdr:col>2</xdr:col>
                <xdr:colOff>2419350</xdr:colOff>
                <xdr:row>16</xdr:row>
                <xdr:rowOff>180975</xdr:rowOff>
              </to>
            </anchor>
          </controlPr>
        </control>
      </mc:Choice>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error="Por favor, elegir una fecha correcta. ">
          <x14:formula1>
            <xm:f>Resultados!$BG$6:$BG$37</xm:f>
          </x14:formula1>
          <xm:sqref>C4:C5</xm:sqref>
        </x14:dataValidation>
        <x14:dataValidation type="list" allowBlank="1" showErrorMessage="1" error="Por favor seleccione un tipo de relacion de la lista">
          <x14:formula1>
            <xm:f>Resultados!$A$77:$A$84</xm:f>
          </x14:formula1>
          <xm:sqref>P19:P100</xm:sqref>
        </x14:dataValidation>
        <x14:dataValidation type="list" allowBlank="1" showInputMessage="1" showErrorMessage="1">
          <x14:formula1>
            <xm:f>BPC_DINAMICO!$A$2:$A$37</xm:f>
          </x14:formula1>
          <xm:sqref>C19:C54</xm:sqref>
        </x14:dataValidation>
        <x14:dataValidation type="list" allowBlank="1" showInputMessage="1" showErrorMessage="1">
          <x14:formula1>
            <xm:f>BPC_DINAMICO!$F$2:$F$12</xm:f>
          </x14:formula1>
          <xm:sqref>C56:C66</xm:sqref>
        </x14:dataValidation>
        <x14:dataValidation type="list" allowBlank="1" showInputMessage="1" showErrorMessage="1">
          <x14:formula1>
            <xm:f>BPC_DINAMICO!$K$2:$K$8</xm:f>
          </x14:formula1>
          <xm:sqref>C68:C74</xm:sqref>
        </x14:dataValidation>
        <x14:dataValidation type="list" allowBlank="1" showInputMessage="1" showErrorMessage="1">
          <x14:formula1>
            <xm:f>BPC_DINAMICO!$P$2:$P$7</xm:f>
          </x14:formula1>
          <xm:sqref>C76:C77 C79:C81</xm:sqref>
        </x14:dataValidation>
        <x14:dataValidation type="list" allowBlank="1" showInputMessage="1" showErrorMessage="1">
          <x14:formula1>
            <xm:f>BPC_DINAMICO!$U$2</xm:f>
          </x14:formula1>
          <xm:sqref>C83:C85 C78</xm:sqref>
        </x14:dataValidation>
        <x14:dataValidation type="list" allowBlank="1" showInputMessage="1" showErrorMessage="1">
          <x14:formula1>
            <xm:f>BPC_DINAMICO!$Z$2:$Z$3</xm:f>
          </x14:formula1>
          <xm:sqref>C87:C89</xm:sqref>
        </x14:dataValidation>
        <x14:dataValidation type="list" allowBlank="1" showInputMessage="1" showErrorMessage="1">
          <x14:formula1>
            <xm:f>BPC_DINAMICO!$AE$2:$AE$4</xm:f>
          </x14:formula1>
          <xm:sqref>C91:C93</xm:sqref>
        </x14:dataValidation>
        <x14:dataValidation type="list" allowBlank="1" showInputMessage="1" showErrorMessage="1">
          <x14:formula1>
            <xm:f>BPC_DINAMICO!$AJ$2:$AJ$5</xm:f>
          </x14:formula1>
          <xm:sqref>C95:C98</xm:sqref>
        </x14:dataValidation>
        <x14:dataValidation type="list" allowBlank="1" showInputMessage="1" showErrorMessage="1" error="Por favor, Elegir una Entidad valida">
          <x14:formula1>
            <xm:f>Resultados!$BA$6:$BA$77</xm:f>
          </x14:formula1>
          <xm:sqref>C3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AJ202"/>
  <sheetViews>
    <sheetView showGridLines="0" topLeftCell="A14" zoomScale="90" zoomScaleNormal="90" workbookViewId="0">
      <selection activeCell="C23" sqref="C23:E23"/>
    </sheetView>
  </sheetViews>
  <sheetFormatPr baseColWidth="10" defaultColWidth="11.42578125" defaultRowHeight="15"/>
  <cols>
    <col min="1" max="1" width="4.42578125" style="119" customWidth="1"/>
    <col min="2" max="2" width="14.28515625" style="20" customWidth="1"/>
    <col min="3" max="3" width="60.7109375" style="20" customWidth="1"/>
    <col min="4" max="4" width="18.7109375" style="20" customWidth="1"/>
    <col min="5" max="5" width="60.7109375" style="20" customWidth="1"/>
    <col min="6" max="6" width="9.5703125" style="20" customWidth="1"/>
    <col min="7" max="8" width="18.7109375" style="20" hidden="1" customWidth="1"/>
    <col min="9" max="9" width="15" style="20" customWidth="1"/>
    <col min="10" max="10" width="10.5703125" style="20" customWidth="1"/>
    <col min="11" max="11" width="60.7109375" style="20" customWidth="1"/>
    <col min="12" max="12" width="18.7109375" style="20" customWidth="1"/>
    <col min="13" max="13" width="60.7109375" style="20" customWidth="1"/>
    <col min="14" max="24" width="18.7109375" style="20" customWidth="1"/>
    <col min="25" max="26" width="18.7109375" style="20" hidden="1" customWidth="1"/>
    <col min="27" max="29" width="18.7109375" style="20" customWidth="1"/>
    <col min="30" max="30" width="2.7109375" style="20" customWidth="1"/>
    <col min="31" max="31" width="7.42578125" style="20" bestFit="1" customWidth="1"/>
    <col min="32" max="32" width="18.7109375" style="20" customWidth="1"/>
    <col min="33" max="33" width="7" style="20" bestFit="1" customWidth="1"/>
    <col min="34" max="34" width="19.42578125" style="20" bestFit="1" customWidth="1"/>
    <col min="35" max="58" width="18.7109375" style="20" customWidth="1"/>
    <col min="59" max="16384" width="11.42578125" style="20"/>
  </cols>
  <sheetData>
    <row r="1" spans="1:34" s="207" customFormat="1" ht="101.25" customHeight="1">
      <c r="A1" s="208" t="s">
        <v>25</v>
      </c>
      <c r="B1" s="457" t="s">
        <v>657</v>
      </c>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row>
    <row r="2" spans="1:34">
      <c r="A2" s="99" t="str">
        <f>IF(A10&gt;0,"Error","Ok")</f>
        <v>Error</v>
      </c>
      <c r="B2" s="5"/>
      <c r="C2" s="5"/>
      <c r="D2" s="29"/>
      <c r="E2" s="29"/>
      <c r="F2" s="29"/>
      <c r="G2" s="29"/>
      <c r="H2" s="29"/>
      <c r="I2" s="29"/>
      <c r="J2" s="29"/>
      <c r="K2" s="29"/>
      <c r="L2" s="29"/>
      <c r="M2" s="29"/>
      <c r="N2" s="29"/>
      <c r="O2" s="29"/>
      <c r="P2" s="29"/>
      <c r="Q2" s="29"/>
      <c r="R2" s="29"/>
      <c r="S2" s="29"/>
      <c r="T2" s="29"/>
      <c r="U2" s="29"/>
      <c r="V2" s="29"/>
      <c r="W2" s="29"/>
      <c r="X2" s="29"/>
      <c r="Y2" s="29"/>
      <c r="Z2" s="29"/>
      <c r="AA2" s="29"/>
      <c r="AB2" s="29"/>
      <c r="AD2" s="100"/>
    </row>
    <row r="3" spans="1:34">
      <c r="A3" s="21">
        <f>IF(A2="Error",0,1)</f>
        <v>0</v>
      </c>
      <c r="B3" s="226" t="str">
        <f>tblParam[[#This Row],[FILTROS]]</f>
        <v>ENTIDAD</v>
      </c>
      <c r="C3" s="229"/>
      <c r="D3" s="29"/>
      <c r="E3" s="29"/>
      <c r="F3" s="29"/>
      <c r="G3" s="29"/>
      <c r="H3" s="29"/>
      <c r="I3" s="29"/>
      <c r="J3" s="29"/>
      <c r="K3" s="29"/>
      <c r="L3" s="29"/>
      <c r="M3" s="29"/>
      <c r="N3" s="29"/>
      <c r="O3" s="29"/>
      <c r="P3" s="29"/>
      <c r="Q3" s="29"/>
      <c r="R3" s="29"/>
      <c r="S3" s="29"/>
      <c r="T3" s="29"/>
      <c r="U3" s="29"/>
      <c r="V3" s="29"/>
      <c r="W3" s="29"/>
      <c r="X3" s="29"/>
      <c r="Y3" s="29"/>
      <c r="Z3" s="29"/>
      <c r="AA3" s="29"/>
      <c r="AB3" s="29"/>
      <c r="AD3" s="100"/>
    </row>
    <row r="4" spans="1:34">
      <c r="A4" s="21" t="e">
        <f ca="1">_xll.EPMMemberOffset(,C4,-12)</f>
        <v>#NAME?</v>
      </c>
      <c r="B4" s="226" t="str">
        <f>tblParam[[#This Row],[FILTROS]]</f>
        <v>PERIODO1</v>
      </c>
      <c r="C4" s="229"/>
      <c r="AD4" s="100"/>
    </row>
    <row r="5" spans="1:34">
      <c r="A5" s="21" t="str">
        <f>MID(Resultados!K5,1,4)</f>
        <v/>
      </c>
      <c r="B5" s="226" t="str">
        <f>tblParam[[#This Row],[FILTROS]]</f>
        <v>PERIODO2</v>
      </c>
      <c r="C5" s="229"/>
      <c r="AD5" s="100"/>
    </row>
    <row r="6" spans="1:34" hidden="1">
      <c r="A6" s="21" t="str">
        <f>MID(Resultados!K4,1,4)</f>
        <v/>
      </c>
      <c r="B6" s="226" t="str">
        <f>tblParam[[#This Row],[FILTROS]]</f>
        <v>VERSION</v>
      </c>
      <c r="C6" s="227">
        <f>tblParam[[#This Row],[VALOR]]</f>
        <v>0</v>
      </c>
      <c r="D6" s="133"/>
      <c r="E6" s="186" t="e">
        <f ca="1">_xll.EPMMemberProperty("ANEXO_NOTAS_XBRL", C3, "CURRENCY")</f>
        <v>#NAME?</v>
      </c>
    </row>
    <row r="7" spans="1:34" hidden="1">
      <c r="A7" s="21"/>
      <c r="B7" s="226" t="str">
        <f>tblParam[[#This Row],[FILTROS]]</f>
        <v>GRUPO</v>
      </c>
      <c r="C7" s="229" t="str">
        <f>Resultados!$C$13</f>
        <v>GRUPO EMPRESARIAL INVERNAC</v>
      </c>
    </row>
    <row r="8" spans="1:34">
      <c r="A8" s="21"/>
      <c r="B8" s="226" t="e">
        <f>CONCATENATE("TRM A LA FECHA DE REPORTE: ",IF(INDEX(ENTIDADES[#All],MATCH($C$3,ENTIDADES[[#All],[Concatenacion]],0),3)&lt;&gt;"COP",INDEX(BPC_TASAS[#All],MATCH(INDEX(ENTIDADES[#All],MATCH($C$3,ENTIDADES[[#All],[Concatenacion]],0),3)&amp;"_"&amp;Resultados!$K$4,BPC_TASAS[[#All],[Concatenacion]],0),3),INDEX(BPC_TASAS[#All],MATCH("USD"&amp;"_"&amp;Resultados!$K$4,BPC_TASAS[[#All],[Concatenacion]],0),3)))</f>
        <v>#N/A</v>
      </c>
      <c r="C8" s="229"/>
    </row>
    <row r="9" spans="1:34">
      <c r="A9" s="21"/>
      <c r="B9" s="226" t="e">
        <f>CONCATENATE("MONEDA DE PRESENTACION: ",INDEX(ENTIDADES[#All],MATCH($C$3,ENTIDADES[[#All],[Concatenacion]],0),2),IF(INDEX(ENTIDADES[#All],MATCH($C$3,ENTIDADES[[#All],[Concatenacion]],0),3) = "COP"," (Sin decimales)"," (Con decimales)"))</f>
        <v>#N/A</v>
      </c>
      <c r="C9" s="229"/>
    </row>
    <row r="10" spans="1:34">
      <c r="A10" s="21">
        <f>SUM(A21:A30)</f>
        <v>1</v>
      </c>
      <c r="B10" s="30">
        <v>1</v>
      </c>
      <c r="C10" s="79" t="s">
        <v>153</v>
      </c>
    </row>
    <row r="11" spans="1:34">
      <c r="A11" s="21"/>
      <c r="B11" s="130"/>
      <c r="C11" s="862" t="s">
        <v>637</v>
      </c>
      <c r="D11" s="862"/>
      <c r="E11" s="862"/>
      <c r="F11" s="862"/>
      <c r="G11" s="862"/>
      <c r="H11" s="862"/>
      <c r="I11" s="862"/>
    </row>
    <row r="12" spans="1:34">
      <c r="A12" s="21"/>
      <c r="B12" s="130"/>
      <c r="C12" s="862"/>
      <c r="D12" s="862"/>
      <c r="E12" s="862"/>
      <c r="F12" s="862"/>
      <c r="G12" s="862"/>
      <c r="H12" s="862"/>
      <c r="I12" s="862"/>
      <c r="N12" s="1"/>
    </row>
    <row r="13" spans="1:34">
      <c r="A13" s="21"/>
      <c r="B13" s="130"/>
      <c r="C13" s="31"/>
      <c r="N13" s="1"/>
    </row>
    <row r="14" spans="1:34">
      <c r="A14" s="99"/>
      <c r="B14" s="853" t="s">
        <v>154</v>
      </c>
      <c r="C14" s="856" t="s">
        <v>155</v>
      </c>
      <c r="D14" s="856"/>
      <c r="E14" s="857"/>
      <c r="H14" s="108"/>
      <c r="I14" s="1"/>
      <c r="N14" s="1"/>
    </row>
    <row r="15" spans="1:34">
      <c r="A15" s="99"/>
      <c r="B15" s="854"/>
      <c r="C15" s="858" t="s">
        <v>156</v>
      </c>
      <c r="D15" s="858"/>
      <c r="E15" s="859"/>
      <c r="H15" s="108"/>
      <c r="I15" s="1"/>
      <c r="N15" s="1"/>
    </row>
    <row r="16" spans="1:34">
      <c r="A16" s="99"/>
      <c r="B16" s="855"/>
      <c r="C16" s="860"/>
      <c r="D16" s="860"/>
      <c r="E16" s="861"/>
      <c r="H16" s="108"/>
      <c r="I16" s="1"/>
      <c r="N16" s="1"/>
    </row>
    <row r="17" spans="1:36">
      <c r="A17" s="99"/>
      <c r="B17" s="446"/>
      <c r="C17" s="446"/>
      <c r="D17" s="446"/>
      <c r="E17" s="446"/>
      <c r="F17" s="446"/>
      <c r="G17" s="446"/>
      <c r="H17" s="446"/>
      <c r="I17" s="446"/>
      <c r="J17" s="446"/>
      <c r="N17" s="1"/>
    </row>
    <row r="18" spans="1:36">
      <c r="A18" s="99"/>
      <c r="B18" s="446"/>
      <c r="C18" s="446"/>
      <c r="D18" s="446"/>
      <c r="E18" s="446"/>
      <c r="F18" s="446"/>
      <c r="G18" s="446"/>
      <c r="H18" s="446"/>
      <c r="I18" s="446"/>
      <c r="J18" s="446"/>
      <c r="N18" s="1"/>
    </row>
    <row r="19" spans="1:36">
      <c r="A19" s="99"/>
      <c r="C19" s="842" t="str">
        <f>CONCATENATE("SALDOS A ",A6)</f>
        <v xml:space="preserve">SALDOS A </v>
      </c>
      <c r="D19" s="843"/>
      <c r="E19" s="843"/>
      <c r="F19" s="446"/>
      <c r="G19" s="446"/>
      <c r="H19" s="446"/>
      <c r="I19" s="446"/>
      <c r="J19" s="446"/>
      <c r="K19" s="842" t="str">
        <f>CONCATENATE("SALDOS AL ",A5)</f>
        <v xml:space="preserve">SALDOS AL </v>
      </c>
      <c r="L19" s="843"/>
      <c r="M19" s="843"/>
      <c r="N19" s="446"/>
      <c r="O19" s="446"/>
      <c r="P19" s="446"/>
    </row>
    <row r="20" spans="1:36">
      <c r="A20" s="99"/>
      <c r="F20" s="446"/>
      <c r="G20" s="446"/>
      <c r="H20" s="446"/>
      <c r="I20" s="434"/>
      <c r="J20" s="446"/>
      <c r="N20" s="446"/>
      <c r="O20" s="446"/>
      <c r="P20" s="446"/>
    </row>
    <row r="21" spans="1:36" s="108" customFormat="1">
      <c r="A21" s="99"/>
      <c r="B21" s="392"/>
      <c r="D21" s="108" t="s">
        <v>432</v>
      </c>
      <c r="F21" s="446"/>
      <c r="G21" s="446"/>
      <c r="H21" s="446"/>
      <c r="I21" s="434"/>
      <c r="J21" s="446"/>
      <c r="L21" s="108" t="s">
        <v>432</v>
      </c>
      <c r="N21" s="446"/>
      <c r="O21" s="446"/>
      <c r="P21" s="446"/>
    </row>
    <row r="22" spans="1:36">
      <c r="A22" s="99"/>
      <c r="B22" s="393"/>
      <c r="C22" s="844" t="s">
        <v>155</v>
      </c>
      <c r="D22" s="845"/>
      <c r="E22" s="846"/>
      <c r="F22" s="446"/>
      <c r="G22" s="446"/>
      <c r="H22" s="446"/>
      <c r="I22" s="434"/>
      <c r="J22" s="446"/>
      <c r="K22" s="850" t="s">
        <v>155</v>
      </c>
      <c r="L22" s="845"/>
      <c r="M22" s="846"/>
      <c r="N22" s="446"/>
      <c r="O22" s="446"/>
      <c r="P22" s="446"/>
    </row>
    <row r="23" spans="1:36">
      <c r="A23" s="99">
        <f>IF(I23="Error",1,0)</f>
        <v>1</v>
      </c>
      <c r="B23" s="580" t="s">
        <v>426</v>
      </c>
      <c r="C23" s="847"/>
      <c r="D23" s="848"/>
      <c r="E23" s="849"/>
      <c r="F23" s="446"/>
      <c r="G23" s="80" t="e">
        <f ca="1">_xll.EPMSaveComment(C23, "ANEXO_NOTAS_XBRL",$B23,$D$21,)</f>
        <v>#NAME?</v>
      </c>
      <c r="I23" s="394" t="str">
        <f>IF(LEN(C23)&gt;2,"ok","Error")</f>
        <v>Error</v>
      </c>
      <c r="J23" s="460" t="s">
        <v>426</v>
      </c>
      <c r="K23" s="851" t="str">
        <f>IFERROR(INDEX(BPC_COMENTARIOS2[#All],MATCH($J23&amp;"_"&amp;L$21,BPC_COMENTARIOS2[[#All],[FILA_COLUMNA]],0),2),"")</f>
        <v/>
      </c>
      <c r="L23" s="851"/>
      <c r="M23" s="852"/>
      <c r="N23" s="446"/>
      <c r="O23" s="446"/>
      <c r="P23" s="446"/>
    </row>
    <row r="24" spans="1:36" s="418" customFormat="1" ht="45">
      <c r="A24" s="594"/>
      <c r="B24" s="584" t="s">
        <v>427</v>
      </c>
      <c r="C24" s="388" t="str">
        <f>INDEX(BPC_FILA_NOTA[#All],MATCH($B24,BPC_FILA_NOTA[[#All],[ID]],0),2)</f>
        <v>Beneficios a los empleados a corto plazo</v>
      </c>
      <c r="D24" s="417"/>
      <c r="E24" s="339" t="s">
        <v>638</v>
      </c>
      <c r="F24" s="461"/>
      <c r="G24" s="419" t="s">
        <v>639</v>
      </c>
      <c r="H24" s="418" t="e">
        <f ca="1">_xll.EPMSaveData(D24,,$B24,$D$21)</f>
        <v>#NAME?</v>
      </c>
      <c r="I24" s="434"/>
      <c r="J24" s="385" t="s">
        <v>427</v>
      </c>
      <c r="K24" s="388" t="str">
        <f>INDEX(BPC_FILA_NOTA[#All],MATCH($J24,BPC_FILA_NOTA[[#All],[ID]],0),2)</f>
        <v>Beneficios a los empleados a corto plazo</v>
      </c>
      <c r="L24" s="279">
        <f>IFERROR(INDEX(BPC_NOTAS2[#All],MATCH($J24&amp;"_"&amp;L$21,BPC_NOTAS2[[#All],[FILA_COLUMNA]],0),2),"")</f>
        <v>220573490</v>
      </c>
      <c r="M24" s="132" t="s">
        <v>638</v>
      </c>
      <c r="N24" s="461"/>
      <c r="O24" s="461"/>
      <c r="P24" s="461"/>
    </row>
    <row r="25" spans="1:36" s="418" customFormat="1">
      <c r="A25" s="594"/>
      <c r="B25" s="584" t="s">
        <v>428</v>
      </c>
      <c r="C25" s="389" t="str">
        <f>INDEX(BPC_FILA_NOTA[#All],MATCH($B25,BPC_FILA_NOTA[[#All],[ID]],0),2)</f>
        <v>Beneficios post-empleo</v>
      </c>
      <c r="D25" s="417"/>
      <c r="E25" s="339" t="s">
        <v>640</v>
      </c>
      <c r="F25" s="461"/>
      <c r="G25" s="419" t="s">
        <v>642</v>
      </c>
      <c r="H25" s="418" t="e">
        <f ca="1">_xll.EPMSaveData(D25,,$B25,$D$21)</f>
        <v>#NAME?</v>
      </c>
      <c r="I25" s="434"/>
      <c r="J25" s="385" t="s">
        <v>428</v>
      </c>
      <c r="K25" s="389" t="str">
        <f>INDEX(BPC_FILA_NOTA[#All],MATCH($J25,BPC_FILA_NOTA[[#All],[ID]],0),2)</f>
        <v>Beneficios post-empleo</v>
      </c>
      <c r="L25" s="279" t="str">
        <f>IFERROR(INDEX(BPC_NOTAS2[#All],MATCH($J25&amp;"_"&amp;L$21,BPC_NOTAS2[[#All],[FILA_COLUMNA]],0),2),"")</f>
        <v/>
      </c>
      <c r="M25" s="132" t="s">
        <v>640</v>
      </c>
      <c r="N25" s="461"/>
      <c r="O25" s="461"/>
      <c r="P25" s="461"/>
    </row>
    <row r="26" spans="1:36" s="418" customFormat="1">
      <c r="A26" s="594"/>
      <c r="B26" s="584" t="s">
        <v>429</v>
      </c>
      <c r="C26" s="389" t="str">
        <f>INDEX(BPC_FILA_NOTA[#All],MATCH($B26,BPC_FILA_NOTA[[#All],[ID]],0),2)</f>
        <v>Otros beneficios a los empleados a largo plazo</v>
      </c>
      <c r="D26" s="417"/>
      <c r="E26" s="373"/>
      <c r="F26" s="461"/>
      <c r="G26" s="421" t="e">
        <f ca="1">_xll.EPMSaveComment(E26, "ANEXO_NOTAS_XBRL",$B26,$D$21,)</f>
        <v>#NAME?</v>
      </c>
      <c r="H26" s="418" t="e">
        <f ca="1">_xll.EPMSaveData(D26,,$B26,$D$21)</f>
        <v>#NAME?</v>
      </c>
      <c r="I26" s="394" t="str">
        <f>IF(AND(D26&lt;&gt;0,LEN(E26)&lt;10),"Error",IF(AND(D26=0,LEN(E26)&lt;3),"Error","Ok"))</f>
        <v>Error</v>
      </c>
      <c r="J26" s="385" t="s">
        <v>429</v>
      </c>
      <c r="K26" s="389" t="str">
        <f>INDEX(BPC_FILA_NOTA[#All],MATCH($J26,BPC_FILA_NOTA[[#All],[ID]],0),2)</f>
        <v>Otros beneficios a los empleados a largo plazo</v>
      </c>
      <c r="L26" s="279" t="str">
        <f>IFERROR(INDEX(BPC_NOTAS2[#All],MATCH($J26&amp;"_"&amp;L$21,BPC_NOTAS2[[#All],[FILA_COLUMNA]],0),2),"")</f>
        <v/>
      </c>
      <c r="M26" s="132" t="str">
        <f>IFERROR(INDEX(BPC_COMENTARIOS2[#All],MATCH($J26&amp;"_"&amp;L$21,BPC_COMENTARIOS2[[#All],[FILA_COLUMNA]],0),2),"N/A")</f>
        <v>N/A</v>
      </c>
      <c r="N26" s="461"/>
      <c r="O26" s="461"/>
      <c r="P26" s="461"/>
    </row>
    <row r="27" spans="1:36" s="418" customFormat="1" ht="22.5">
      <c r="A27" s="595"/>
      <c r="B27" s="584" t="s">
        <v>430</v>
      </c>
      <c r="C27" s="390" t="str">
        <f>INDEX(BPC_FILA_NOTA[#All],MATCH($B27,BPC_FILA_NOTA[[#All],[ID]],0),2)</f>
        <v>Beneficios por terminación de la relación laboral</v>
      </c>
      <c r="D27" s="417"/>
      <c r="E27" s="339" t="s">
        <v>641</v>
      </c>
      <c r="F27" s="461"/>
      <c r="G27" s="419" t="s">
        <v>643</v>
      </c>
      <c r="H27" s="418" t="e">
        <f ca="1">_xll.EPMSaveData(D27,,$B27,$D$21)</f>
        <v>#NAME?</v>
      </c>
      <c r="I27" s="461"/>
      <c r="J27" s="385" t="s">
        <v>430</v>
      </c>
      <c r="K27" s="390" t="str">
        <f>INDEX(BPC_FILA_NOTA[#All],MATCH($J27,BPC_FILA_NOTA[[#All],[ID]],0),2)</f>
        <v>Beneficios por terminación de la relación laboral</v>
      </c>
      <c r="L27" s="279" t="str">
        <f>IFERROR(INDEX(BPC_NOTAS2[#All],MATCH($J27&amp;"_"&amp;L$21,BPC_NOTAS2[[#All],[FILA_COLUMNA]],0),2),"")</f>
        <v/>
      </c>
      <c r="M27" s="132" t="s">
        <v>641</v>
      </c>
      <c r="N27" s="461"/>
      <c r="O27" s="461"/>
      <c r="P27" s="461"/>
    </row>
    <row r="28" spans="1:36" s="418" customFormat="1" ht="45">
      <c r="A28" s="595"/>
      <c r="B28" s="584" t="s">
        <v>431</v>
      </c>
      <c r="C28" s="389" t="str">
        <f>INDEX(BPC_FILA_NOTA[#All],MATCH($B28,BPC_FILA_NOTA[[#All],[ID]],0),2)</f>
        <v>Pagos basados en acciones</v>
      </c>
      <c r="D28" s="417"/>
      <c r="E28" s="298" t="s">
        <v>645</v>
      </c>
      <c r="F28" s="461"/>
      <c r="G28" s="419" t="s">
        <v>644</v>
      </c>
      <c r="H28" s="418" t="e">
        <f ca="1">_xll.EPMSaveData(D28,,$B28,$D$21)</f>
        <v>#NAME?</v>
      </c>
      <c r="I28" s="461"/>
      <c r="J28" s="385" t="s">
        <v>431</v>
      </c>
      <c r="K28" s="389" t="str">
        <f>INDEX(BPC_FILA_NOTA[#All],MATCH($J28,BPC_FILA_NOTA[[#All],[ID]],0),2)</f>
        <v>Pagos basados en acciones</v>
      </c>
      <c r="L28" s="279" t="str">
        <f>IFERROR(INDEX(BPC_NOTAS2[#All],MATCH($J28&amp;"_"&amp;L$21,BPC_NOTAS2[[#All],[FILA_COLUMNA]],0),2),"")</f>
        <v/>
      </c>
      <c r="M28" s="132" t="s">
        <v>20575</v>
      </c>
      <c r="N28" s="461"/>
      <c r="O28" s="461"/>
      <c r="P28" s="461"/>
    </row>
    <row r="29" spans="1:36" s="418" customFormat="1">
      <c r="A29" s="594"/>
      <c r="B29" s="584" t="s">
        <v>9633</v>
      </c>
      <c r="C29" s="391" t="str">
        <f>INDEX(BPC_FILA_NOTA[#All],MATCH($B29,BPC_FILA_NOTA[[#All],[ID]],0),2)</f>
        <v>Total Remuneración al personal clave de la gerencia</v>
      </c>
      <c r="D29" s="278">
        <f>SUM(D24:D28)</f>
        <v>0</v>
      </c>
      <c r="E29" s="841"/>
      <c r="F29" s="841"/>
      <c r="G29" s="841"/>
      <c r="I29" s="420"/>
      <c r="J29" s="584" t="s">
        <v>9633</v>
      </c>
      <c r="K29" s="129" t="str">
        <f>INDEX(BPC_FILA_NOTA[#All],MATCH($J29,BPC_FILA_NOTA[[#All],[ID]],0),2)</f>
        <v>Total Remuneración al personal clave de la gerencia</v>
      </c>
      <c r="L29" s="278">
        <f>SUM(L24:L28)</f>
        <v>220573490</v>
      </c>
      <c r="M29" s="422"/>
      <c r="N29" s="461"/>
      <c r="O29" s="461"/>
      <c r="P29" s="461"/>
    </row>
    <row r="30" spans="1:36">
      <c r="A30" s="99"/>
      <c r="B30" s="462"/>
      <c r="C30" s="446" t="str">
        <f>IF(AND(D26&lt;&gt;0,I26="Error"),"Describa los conceptos que está incluyendo en ''Otros beneficios a los empleados a largo plazo'' C23, en la celda E24","")</f>
        <v/>
      </c>
      <c r="D30" s="446"/>
      <c r="E30" s="446"/>
      <c r="F30" s="446"/>
      <c r="G30" s="446"/>
      <c r="H30" s="446"/>
      <c r="I30" s="446"/>
      <c r="J30" s="446"/>
      <c r="K30" s="446"/>
      <c r="L30" s="446"/>
      <c r="M30" s="446"/>
      <c r="N30" s="446"/>
      <c r="O30" s="446"/>
      <c r="P30" s="446"/>
      <c r="AJ30" s="116"/>
    </row>
    <row r="31" spans="1:36" s="446" customFormat="1">
      <c r="A31" s="592"/>
      <c r="B31" s="462"/>
      <c r="D31" s="449"/>
    </row>
    <row r="32" spans="1:36" s="446" customFormat="1">
      <c r="A32" s="592"/>
    </row>
    <row r="33" spans="1:26" s="446" customFormat="1">
      <c r="A33" s="592"/>
      <c r="Z33" s="481" t="e">
        <f ca="1" xml:space="preserve"> _xll.EPMOlapMemberO("[COLUMNA_NOTA].[PARENTH1].[C11701002]","","Valor","","000")</f>
        <v>#NAME?</v>
      </c>
    </row>
    <row r="34" spans="1:26" s="446" customFormat="1">
      <c r="A34" s="592"/>
      <c r="Y34" s="499" t="e">
        <f ca="1" xml:space="preserve"> _xll.EPMOlapMemberO("[FILA_NOTA].[PARENTH1].[11701002]","","11701002","","000")</f>
        <v>#NAME?</v>
      </c>
      <c r="Z34" s="271">
        <v>0</v>
      </c>
    </row>
    <row r="35" spans="1:26" s="446" customFormat="1">
      <c r="A35" s="592"/>
      <c r="Y35" s="225" t="e">
        <f ca="1" xml:space="preserve"> _xll.EPMOlapMemberO("[FILA_NOTA].[PARENTH1].[11701003]","","11701003","","000")</f>
        <v>#NAME?</v>
      </c>
      <c r="Z35">
        <v>0</v>
      </c>
    </row>
    <row r="36" spans="1:26" s="446" customFormat="1">
      <c r="A36" s="463"/>
      <c r="Y36" s="225" t="e">
        <f ca="1" xml:space="preserve"> _xll.EPMOlapMemberO("[FILA_NOTA].[PARENTH1].[11701004]","","11701004","","000")</f>
        <v>#NAME?</v>
      </c>
      <c r="Z36">
        <v>9223153617</v>
      </c>
    </row>
    <row r="37" spans="1:26" s="446" customFormat="1">
      <c r="A37" s="463"/>
      <c r="Y37" s="225" t="e">
        <f ca="1" xml:space="preserve"> _xll.EPMOlapMemberO("[FILA_NOTA].[PARENTH1].[11701005]","","11701005","","000")</f>
        <v>#NAME?</v>
      </c>
      <c r="Z37">
        <v>0</v>
      </c>
    </row>
    <row r="38" spans="1:26" s="446" customFormat="1">
      <c r="A38" s="463"/>
      <c r="Y38" s="225" t="e">
        <f ca="1" xml:space="preserve"> _xll.EPMOlapMemberO("[FILA_NOTA].[PARENTH1].[11701006]","","11701006","","000")</f>
        <v>#NAME?</v>
      </c>
      <c r="Z38">
        <v>0</v>
      </c>
    </row>
    <row r="39" spans="1:26" s="446" customFormat="1">
      <c r="A39" s="463"/>
      <c r="Y39" s="225" t="e">
        <f ca="1" xml:space="preserve"> _xll.EPMOlapMemberO("[FILA_NOTA].[PARENTH1].[11701007]","","11701007","","000")</f>
        <v>#NAME?</v>
      </c>
      <c r="Z39">
        <v>0</v>
      </c>
    </row>
    <row r="40" spans="1:26" s="446" customFormat="1">
      <c r="A40" s="463"/>
      <c r="Y40" s="499" t="e">
        <f ca="1" xml:space="preserve"> _xll.EPMOlapMemberO("[FILA_NOTA].[PARENTH1].[11701008]","","11701008","","000")</f>
        <v>#NAME?</v>
      </c>
      <c r="Z40" s="273">
        <f>SUM(Z35:Z39)</f>
        <v>9223153617</v>
      </c>
    </row>
    <row r="41" spans="1:26" s="446" customFormat="1">
      <c r="A41" s="463"/>
    </row>
    <row r="42" spans="1:26" s="446" customFormat="1">
      <c r="A42" s="463"/>
    </row>
    <row r="43" spans="1:26" s="446" customFormat="1">
      <c r="A43" s="463"/>
    </row>
    <row r="44" spans="1:26" s="446" customFormat="1">
      <c r="A44" s="463"/>
    </row>
    <row r="45" spans="1:26" s="446" customFormat="1">
      <c r="A45" s="463"/>
    </row>
    <row r="46" spans="1:26" s="446" customFormat="1">
      <c r="A46" s="463"/>
    </row>
    <row r="47" spans="1:26" s="446" customFormat="1">
      <c r="A47" s="463"/>
    </row>
    <row r="48" spans="1:26" s="446" customFormat="1">
      <c r="A48" s="463"/>
    </row>
    <row r="49" spans="1:1" s="446" customFormat="1">
      <c r="A49" s="463"/>
    </row>
    <row r="50" spans="1:1" s="446" customFormat="1">
      <c r="A50" s="463"/>
    </row>
    <row r="51" spans="1:1" s="446" customFormat="1">
      <c r="A51" s="463"/>
    </row>
    <row r="52" spans="1:1" s="446" customFormat="1">
      <c r="A52" s="463"/>
    </row>
    <row r="53" spans="1:1" s="446" customFormat="1">
      <c r="A53" s="463"/>
    </row>
    <row r="54" spans="1:1" s="446" customFormat="1">
      <c r="A54" s="463"/>
    </row>
    <row r="55" spans="1:1" s="446" customFormat="1">
      <c r="A55" s="463"/>
    </row>
    <row r="56" spans="1:1" s="446" customFormat="1">
      <c r="A56" s="463"/>
    </row>
    <row r="57" spans="1:1" s="446" customFormat="1">
      <c r="A57" s="463"/>
    </row>
    <row r="58" spans="1:1" s="446" customFormat="1">
      <c r="A58" s="463"/>
    </row>
    <row r="59" spans="1:1" s="446" customFormat="1">
      <c r="A59" s="463"/>
    </row>
    <row r="60" spans="1:1" s="446" customFormat="1">
      <c r="A60" s="463"/>
    </row>
    <row r="61" spans="1:1" s="446" customFormat="1">
      <c r="A61" s="463"/>
    </row>
    <row r="62" spans="1:1" s="446" customFormat="1">
      <c r="A62" s="463"/>
    </row>
    <row r="63" spans="1:1" s="446" customFormat="1">
      <c r="A63" s="463"/>
    </row>
    <row r="64" spans="1:1" s="446" customFormat="1">
      <c r="A64" s="463"/>
    </row>
    <row r="65" spans="1:1" s="446" customFormat="1">
      <c r="A65" s="463"/>
    </row>
    <row r="66" spans="1:1" s="446" customFormat="1">
      <c r="A66" s="463"/>
    </row>
    <row r="67" spans="1:1" s="446" customFormat="1">
      <c r="A67" s="463"/>
    </row>
    <row r="68" spans="1:1" s="446" customFormat="1">
      <c r="A68" s="463"/>
    </row>
    <row r="69" spans="1:1" s="446" customFormat="1">
      <c r="A69" s="463"/>
    </row>
    <row r="70" spans="1:1" s="446" customFormat="1">
      <c r="A70" s="463"/>
    </row>
    <row r="71" spans="1:1" s="446" customFormat="1">
      <c r="A71" s="463"/>
    </row>
    <row r="72" spans="1:1" s="446" customFormat="1">
      <c r="A72" s="463"/>
    </row>
    <row r="73" spans="1:1" s="446" customFormat="1">
      <c r="A73" s="463"/>
    </row>
    <row r="74" spans="1:1" s="446" customFormat="1">
      <c r="A74" s="463"/>
    </row>
    <row r="75" spans="1:1" s="446" customFormat="1">
      <c r="A75" s="463"/>
    </row>
    <row r="76" spans="1:1" s="446" customFormat="1">
      <c r="A76" s="463"/>
    </row>
    <row r="77" spans="1:1" s="446" customFormat="1">
      <c r="A77" s="463"/>
    </row>
    <row r="78" spans="1:1" s="446" customFormat="1">
      <c r="A78" s="463"/>
    </row>
    <row r="79" spans="1:1" s="446" customFormat="1">
      <c r="A79" s="463"/>
    </row>
    <row r="80" spans="1:1" s="446" customFormat="1">
      <c r="A80" s="463"/>
    </row>
    <row r="81" spans="1:1" s="446" customFormat="1">
      <c r="A81" s="463"/>
    </row>
    <row r="82" spans="1:1" s="446" customFormat="1">
      <c r="A82" s="463"/>
    </row>
    <row r="83" spans="1:1" s="446" customFormat="1">
      <c r="A83" s="463"/>
    </row>
    <row r="84" spans="1:1" s="446" customFormat="1">
      <c r="A84" s="463"/>
    </row>
    <row r="85" spans="1:1" s="446" customFormat="1">
      <c r="A85" s="463"/>
    </row>
    <row r="86" spans="1:1" s="446" customFormat="1">
      <c r="A86" s="463"/>
    </row>
    <row r="87" spans="1:1" s="446" customFormat="1">
      <c r="A87" s="485" t="s">
        <v>17</v>
      </c>
    </row>
    <row r="88" spans="1:1" s="446" customFormat="1">
      <c r="A88" s="463" t="s">
        <v>18</v>
      </c>
    </row>
    <row r="89" spans="1:1" s="446" customFormat="1">
      <c r="A89" s="463" t="s">
        <v>19</v>
      </c>
    </row>
    <row r="90" spans="1:1" s="446" customFormat="1">
      <c r="A90" s="463" t="str">
        <f>"FUENTE:"&amp;IF(A99="E","AJUST_HOMOGENIZADOS","TOTAL_FTES")</f>
        <v>FUENTE:TOTAL_FTES</v>
      </c>
    </row>
    <row r="91" spans="1:1" s="446" customFormat="1">
      <c r="A91" s="463" t="str">
        <f>"MONEDA:"&amp;IF(A99="E","LC","COP")</f>
        <v>MONEDA:COP</v>
      </c>
    </row>
    <row r="92" spans="1:1" s="446" customFormat="1">
      <c r="A92" s="463" t="s">
        <v>20</v>
      </c>
    </row>
    <row r="93" spans="1:1" s="446" customFormat="1">
      <c r="A93" s="463" t="s">
        <v>21</v>
      </c>
    </row>
    <row r="94" spans="1:1" s="446" customFormat="1">
      <c r="A94" s="485" t="s">
        <v>17</v>
      </c>
    </row>
    <row r="95" spans="1:1" s="446" customFormat="1">
      <c r="A95" s="463" t="s">
        <v>18</v>
      </c>
    </row>
    <row r="96" spans="1:1" s="446" customFormat="1">
      <c r="A96" s="463" t="s">
        <v>19</v>
      </c>
    </row>
    <row r="97" spans="1:1" s="446" customFormat="1">
      <c r="A97" s="463" t="str">
        <f>"FUENTE:"&amp;IF(A106="E","AJUST_HOMOGENIZADOS","TOTAL_FTES")</f>
        <v>FUENTE:TOTAL_FTES</v>
      </c>
    </row>
    <row r="98" spans="1:1" s="446" customFormat="1">
      <c r="A98" s="463" t="str">
        <f>"MONEDA:"&amp;IF(A106="E","LC","COP")</f>
        <v>MONEDA:COP</v>
      </c>
    </row>
    <row r="99" spans="1:1" s="446" customFormat="1">
      <c r="A99" s="463" t="s">
        <v>20</v>
      </c>
    </row>
    <row r="100" spans="1:1" s="446" customFormat="1">
      <c r="A100" s="463" t="s">
        <v>21</v>
      </c>
    </row>
    <row r="101" spans="1:1" s="446" customFormat="1">
      <c r="A101" s="463" t="e">
        <f ca="1">"GRUPO:"&amp;IF(A106="E","G_NONE",_xll.EPMMemberProperty("ANEXO_NOTAS_XBRL","ENTIDAD:"&amp;C3,"ID"))</f>
        <v>#NAME?</v>
      </c>
    </row>
    <row r="102" spans="1:1" s="446" customFormat="1">
      <c r="A102" s="463" t="e">
        <f ca="1">"TIEMPO:"&amp;_xll.EPMMemberOffset(,A104,-12)</f>
        <v>#NAME?</v>
      </c>
    </row>
    <row r="103" spans="1:1" s="446" customFormat="1">
      <c r="A103" s="463" t="str">
        <f>"ENTIDAD:"&amp;IF(A106="E",_xll.EPMMemberProperty("ANEXO_NOTAS_XBRL","ENTIDAD:"&amp;C3,"ID"),"CONS")</f>
        <v>ENTIDAD:CONS</v>
      </c>
    </row>
    <row r="104" spans="1:1" s="446" customFormat="1">
      <c r="A104" s="463" t="e">
        <f ca="1">"TIEMPO:"&amp;_xll.EPMMemberProperty("ANEXO_NOTAS_XBRL","TIEMPO:"&amp;$C$4,"ID")</f>
        <v>#NAME?</v>
      </c>
    </row>
    <row r="105" spans="1:1" s="446" customFormat="1">
      <c r="A105" s="463"/>
    </row>
    <row r="106" spans="1:1" s="446" customFormat="1">
      <c r="A106" s="463" t="s">
        <v>45</v>
      </c>
    </row>
    <row r="107" spans="1:1" s="446" customFormat="1">
      <c r="A107" s="463"/>
    </row>
    <row r="108" spans="1:1" s="446" customFormat="1">
      <c r="A108" s="463"/>
    </row>
    <row r="109" spans="1:1" s="446" customFormat="1">
      <c r="A109" s="463"/>
    </row>
    <row r="110" spans="1:1" s="446" customFormat="1">
      <c r="A110" s="463"/>
    </row>
    <row r="111" spans="1:1" s="446" customFormat="1">
      <c r="A111" s="463"/>
    </row>
    <row r="112" spans="1:1" s="446" customFormat="1">
      <c r="A112" s="463"/>
    </row>
    <row r="113" spans="1:1" s="446" customFormat="1">
      <c r="A113" s="463"/>
    </row>
    <row r="114" spans="1:1" s="446" customFormat="1">
      <c r="A114" s="463"/>
    </row>
    <row r="115" spans="1:1" s="446" customFormat="1">
      <c r="A115" s="463"/>
    </row>
    <row r="116" spans="1:1" s="446" customFormat="1">
      <c r="A116" s="463"/>
    </row>
    <row r="117" spans="1:1" s="446" customFormat="1">
      <c r="A117" s="463"/>
    </row>
    <row r="118" spans="1:1" s="446" customFormat="1">
      <c r="A118" s="463"/>
    </row>
    <row r="119" spans="1:1" s="446" customFormat="1">
      <c r="A119" s="463"/>
    </row>
    <row r="120" spans="1:1" s="446" customFormat="1">
      <c r="A120" s="463"/>
    </row>
    <row r="121" spans="1:1" s="446" customFormat="1">
      <c r="A121" s="463"/>
    </row>
    <row r="122" spans="1:1" s="446" customFormat="1">
      <c r="A122" s="463"/>
    </row>
    <row r="123" spans="1:1" s="446" customFormat="1">
      <c r="A123" s="463"/>
    </row>
    <row r="124" spans="1:1" s="446" customFormat="1">
      <c r="A124" s="463"/>
    </row>
    <row r="125" spans="1:1" s="446" customFormat="1">
      <c r="A125" s="463"/>
    </row>
    <row r="126" spans="1:1" s="446" customFormat="1">
      <c r="A126" s="463"/>
    </row>
    <row r="127" spans="1:1" s="446" customFormat="1">
      <c r="A127" s="463"/>
    </row>
    <row r="128" spans="1:1" s="446" customFormat="1">
      <c r="A128" s="463"/>
    </row>
    <row r="129" spans="1:1" s="446" customFormat="1">
      <c r="A129" s="463"/>
    </row>
    <row r="130" spans="1:1" s="446" customFormat="1">
      <c r="A130" s="463"/>
    </row>
    <row r="131" spans="1:1" s="446" customFormat="1">
      <c r="A131" s="463"/>
    </row>
    <row r="132" spans="1:1" s="446" customFormat="1">
      <c r="A132" s="463"/>
    </row>
    <row r="133" spans="1:1" s="446" customFormat="1">
      <c r="A133" s="463"/>
    </row>
    <row r="134" spans="1:1" s="446" customFormat="1">
      <c r="A134" s="463"/>
    </row>
    <row r="135" spans="1:1" s="446" customFormat="1">
      <c r="A135" s="463"/>
    </row>
    <row r="136" spans="1:1" s="446" customFormat="1">
      <c r="A136" s="463"/>
    </row>
    <row r="137" spans="1:1" s="446" customFormat="1">
      <c r="A137" s="463"/>
    </row>
    <row r="138" spans="1:1" s="446" customFormat="1">
      <c r="A138" s="463"/>
    </row>
    <row r="139" spans="1:1" s="446" customFormat="1">
      <c r="A139" s="463"/>
    </row>
    <row r="140" spans="1:1" s="446" customFormat="1">
      <c r="A140" s="463"/>
    </row>
    <row r="141" spans="1:1" s="446" customFormat="1">
      <c r="A141" s="463"/>
    </row>
    <row r="142" spans="1:1" s="446" customFormat="1">
      <c r="A142" s="463"/>
    </row>
    <row r="143" spans="1:1" s="446" customFormat="1">
      <c r="A143" s="463"/>
    </row>
    <row r="144" spans="1:1" s="446" customFormat="1">
      <c r="A144" s="463"/>
    </row>
    <row r="145" spans="1:1" s="446" customFormat="1">
      <c r="A145" s="463"/>
    </row>
    <row r="146" spans="1:1" s="446" customFormat="1">
      <c r="A146" s="463"/>
    </row>
    <row r="147" spans="1:1" s="446" customFormat="1">
      <c r="A147" s="463"/>
    </row>
    <row r="148" spans="1:1" s="446" customFormat="1">
      <c r="A148" s="463"/>
    </row>
    <row r="149" spans="1:1" s="446" customFormat="1">
      <c r="A149" s="463"/>
    </row>
    <row r="150" spans="1:1" s="446" customFormat="1">
      <c r="A150" s="463"/>
    </row>
    <row r="151" spans="1:1" s="446" customFormat="1">
      <c r="A151" s="463"/>
    </row>
    <row r="152" spans="1:1" s="446" customFormat="1">
      <c r="A152" s="463"/>
    </row>
    <row r="153" spans="1:1" s="446" customFormat="1">
      <c r="A153" s="463"/>
    </row>
    <row r="154" spans="1:1" s="446" customFormat="1">
      <c r="A154" s="463"/>
    </row>
    <row r="155" spans="1:1" s="446" customFormat="1">
      <c r="A155" s="463"/>
    </row>
    <row r="156" spans="1:1" s="446" customFormat="1">
      <c r="A156" s="463"/>
    </row>
    <row r="157" spans="1:1" s="446" customFormat="1">
      <c r="A157" s="463"/>
    </row>
    <row r="158" spans="1:1" s="446" customFormat="1">
      <c r="A158" s="463"/>
    </row>
    <row r="159" spans="1:1" s="446" customFormat="1">
      <c r="A159" s="463"/>
    </row>
    <row r="160" spans="1:1" s="446" customFormat="1">
      <c r="A160" s="463"/>
    </row>
    <row r="161" spans="1:1" s="446" customFormat="1">
      <c r="A161" s="463"/>
    </row>
    <row r="162" spans="1:1" s="446" customFormat="1">
      <c r="A162" s="463"/>
    </row>
    <row r="163" spans="1:1" s="446" customFormat="1">
      <c r="A163" s="463"/>
    </row>
    <row r="164" spans="1:1" s="446" customFormat="1">
      <c r="A164" s="463"/>
    </row>
    <row r="165" spans="1:1" s="446" customFormat="1">
      <c r="A165" s="463"/>
    </row>
    <row r="166" spans="1:1" s="446" customFormat="1">
      <c r="A166" s="463"/>
    </row>
    <row r="167" spans="1:1" s="446" customFormat="1">
      <c r="A167" s="463"/>
    </row>
    <row r="168" spans="1:1" s="446" customFormat="1">
      <c r="A168" s="463"/>
    </row>
    <row r="169" spans="1:1" s="446" customFormat="1">
      <c r="A169" s="463"/>
    </row>
    <row r="170" spans="1:1" s="446" customFormat="1">
      <c r="A170" s="463"/>
    </row>
    <row r="171" spans="1:1" s="446" customFormat="1">
      <c r="A171" s="463"/>
    </row>
    <row r="172" spans="1:1" s="446" customFormat="1">
      <c r="A172" s="463"/>
    </row>
    <row r="173" spans="1:1" s="446" customFormat="1">
      <c r="A173" s="463"/>
    </row>
    <row r="174" spans="1:1" s="446" customFormat="1">
      <c r="A174" s="463"/>
    </row>
    <row r="175" spans="1:1" s="446" customFormat="1">
      <c r="A175" s="463"/>
    </row>
    <row r="176" spans="1:1" s="446" customFormat="1">
      <c r="A176" s="463"/>
    </row>
    <row r="177" spans="1:1" s="446" customFormat="1">
      <c r="A177" s="463"/>
    </row>
    <row r="178" spans="1:1" s="446" customFormat="1">
      <c r="A178" s="463"/>
    </row>
    <row r="179" spans="1:1" s="446" customFormat="1">
      <c r="A179" s="463"/>
    </row>
    <row r="180" spans="1:1" s="446" customFormat="1">
      <c r="A180" s="463"/>
    </row>
    <row r="181" spans="1:1" s="446" customFormat="1">
      <c r="A181" s="463"/>
    </row>
    <row r="182" spans="1:1" s="446" customFormat="1">
      <c r="A182" s="463"/>
    </row>
    <row r="183" spans="1:1" s="446" customFormat="1">
      <c r="A183" s="463"/>
    </row>
    <row r="184" spans="1:1" s="446" customFormat="1">
      <c r="A184" s="463"/>
    </row>
    <row r="185" spans="1:1" s="446" customFormat="1">
      <c r="A185" s="463"/>
    </row>
    <row r="186" spans="1:1" s="446" customFormat="1">
      <c r="A186" s="463"/>
    </row>
    <row r="187" spans="1:1" s="446" customFormat="1">
      <c r="A187" s="463"/>
    </row>
    <row r="188" spans="1:1" s="446" customFormat="1">
      <c r="A188" s="463"/>
    </row>
    <row r="189" spans="1:1" s="446" customFormat="1">
      <c r="A189" s="463"/>
    </row>
    <row r="190" spans="1:1" s="446" customFormat="1">
      <c r="A190" s="463"/>
    </row>
    <row r="191" spans="1:1" s="446" customFormat="1">
      <c r="A191" s="463"/>
    </row>
    <row r="192" spans="1:1" s="446" customFormat="1">
      <c r="A192" s="463"/>
    </row>
    <row r="193" spans="1:1" s="446" customFormat="1">
      <c r="A193" s="463"/>
    </row>
    <row r="194" spans="1:1" s="446" customFormat="1">
      <c r="A194" s="463"/>
    </row>
    <row r="195" spans="1:1" s="446" customFormat="1">
      <c r="A195" s="463"/>
    </row>
    <row r="196" spans="1:1" s="446" customFormat="1">
      <c r="A196" s="463"/>
    </row>
    <row r="197" spans="1:1" s="446" customFormat="1">
      <c r="A197" s="463"/>
    </row>
    <row r="198" spans="1:1" s="446" customFormat="1">
      <c r="A198" s="463"/>
    </row>
    <row r="199" spans="1:1" s="446" customFormat="1">
      <c r="A199" s="463"/>
    </row>
    <row r="200" spans="1:1" s="446" customFormat="1">
      <c r="A200" s="463"/>
    </row>
    <row r="201" spans="1:1" s="446" customFormat="1">
      <c r="A201" s="463"/>
    </row>
    <row r="202" spans="1:1" s="446" customFormat="1">
      <c r="A202" s="463"/>
    </row>
  </sheetData>
  <sheetProtection password="C07B" sheet="1" objects="1" scenarios="1"/>
  <mergeCells count="12">
    <mergeCell ref="B14:B16"/>
    <mergeCell ref="C14:E14"/>
    <mergeCell ref="C15:E15"/>
    <mergeCell ref="C16:E16"/>
    <mergeCell ref="C11:I12"/>
    <mergeCell ref="E29:G29"/>
    <mergeCell ref="C19:E19"/>
    <mergeCell ref="C22:E22"/>
    <mergeCell ref="C23:E23"/>
    <mergeCell ref="K19:M19"/>
    <mergeCell ref="K22:M22"/>
    <mergeCell ref="K23:M23"/>
  </mergeCells>
  <conditionalFormatting sqref="AC40">
    <cfRule type="containsText" dxfId="65" priority="19" operator="containsText" text="OK">
      <formula>NOT(ISERROR(SEARCH("OK",AC40)))</formula>
    </cfRule>
    <cfRule type="cellIs" dxfId="64" priority="20" stopIfTrue="1" operator="equal">
      <formula>"ERROR"</formula>
    </cfRule>
  </conditionalFormatting>
  <conditionalFormatting sqref="AF30 AE27:AE29">
    <cfRule type="cellIs" dxfId="63" priority="18" operator="notEqual">
      <formula>""</formula>
    </cfRule>
  </conditionalFormatting>
  <conditionalFormatting sqref="AG30 AF27:AF29">
    <cfRule type="cellIs" dxfId="62" priority="17" operator="notEqual">
      <formula>""</formula>
    </cfRule>
  </conditionalFormatting>
  <conditionalFormatting sqref="I20:I22 AE30 AD27:AD29 I24:I25">
    <cfRule type="cellIs" dxfId="61" priority="15" operator="equal">
      <formula>"ERROR"</formula>
    </cfRule>
    <cfRule type="cellIs" dxfId="60" priority="16" operator="equal">
      <formula>"OK"</formula>
    </cfRule>
  </conditionalFormatting>
  <conditionalFormatting sqref="D29">
    <cfRule type="cellIs" dxfId="59" priority="14" operator="lessThan">
      <formula>0</formula>
    </cfRule>
  </conditionalFormatting>
  <conditionalFormatting sqref="L29">
    <cfRule type="cellIs" dxfId="58" priority="13" operator="lessThan">
      <formula>0</formula>
    </cfRule>
  </conditionalFormatting>
  <conditionalFormatting sqref="I23">
    <cfRule type="containsText" dxfId="57" priority="5" operator="containsText" text="OK">
      <formula>NOT(ISERROR(SEARCH("OK",I23)))</formula>
    </cfRule>
    <cfRule type="containsText" dxfId="56" priority="6" operator="containsText" text="ERROR">
      <formula>NOT(ISERROR(SEARCH("ERROR",I23)))</formula>
    </cfRule>
    <cfRule type="expression" dxfId="55" priority="7">
      <formula>"ERROR"</formula>
    </cfRule>
    <cfRule type="colorScale" priority="8">
      <colorScale>
        <cfvo type="min"/>
        <cfvo type="max"/>
        <color rgb="FFFF0000"/>
        <color rgb="FFFFEF9C"/>
      </colorScale>
    </cfRule>
  </conditionalFormatting>
  <conditionalFormatting sqref="I26">
    <cfRule type="containsText" dxfId="54" priority="1" operator="containsText" text="OK">
      <formula>NOT(ISERROR(SEARCH("OK",I26)))</formula>
    </cfRule>
    <cfRule type="containsText" dxfId="53" priority="2" operator="containsText" text="ERROR">
      <formula>NOT(ISERROR(SEARCH("ERROR",I26)))</formula>
    </cfRule>
    <cfRule type="expression" dxfId="52" priority="3">
      <formula>"ERROR"</formula>
    </cfRule>
    <cfRule type="colorScale" priority="4">
      <colorScale>
        <cfvo type="min"/>
        <cfvo type="max"/>
        <color rgb="FFFF0000"/>
        <color rgb="FFFFEF9C"/>
      </colorScale>
    </cfRule>
  </conditionalFormatting>
  <pageMargins left="0.7" right="0.7" top="0.75" bottom="0.75" header="0.3" footer="0.3"/>
  <pageSetup scale="10" orientation="portrait" r:id="rId1"/>
  <customProperties>
    <customPr name="CofConfiguration" r:id="rId2"/>
    <customPr name="CofWorksheetType" r:id="rId3"/>
    <customPr name="EpmWorksheetKeyString_GUID" r:id="rId4"/>
    <customPr name="FPMExcelClientCellBasedFunctionStatus" r:id="rId5"/>
    <customPr name="FPMExcelClientRefreshTime" r:id="rId6"/>
  </customProperties>
  <drawing r:id="rId7"/>
  <legacyDrawing r:id="rId8"/>
  <controls>
    <mc:AlternateContent xmlns:mc="http://schemas.openxmlformats.org/markup-compatibility/2006">
      <mc:Choice Requires="x14">
        <control shapeId="316424" r:id="rId9" name="ReportSubmitControl_2tb1">
          <controlPr defaultSize="0" autoLine="0" autoPict="0" r:id="rId10">
            <anchor moveWithCells="1" sizeWithCells="1">
              <from>
                <xdr:col>0</xdr:col>
                <xdr:colOff>0</xdr:colOff>
                <xdr:row>0</xdr:row>
                <xdr:rowOff>0</xdr:rowOff>
              </from>
              <to>
                <xdr:col>2</xdr:col>
                <xdr:colOff>57150</xdr:colOff>
                <xdr:row>0</xdr:row>
                <xdr:rowOff>0</xdr:rowOff>
              </to>
            </anchor>
          </controlPr>
        </control>
      </mc:Choice>
      <mc:Fallback>
        <control shapeId="316424" r:id="rId9" name="ReportSubmitControl_2tb1"/>
      </mc:Fallback>
    </mc:AlternateContent>
    <mc:AlternateContent xmlns:mc="http://schemas.openxmlformats.org/markup-compatibility/2006">
      <mc:Choice Requires="x14">
        <control shapeId="316422" r:id="rId11" name="ReportSubmitControl_1tb1">
          <controlPr defaultSize="0" autoLine="0" r:id="rId12">
            <anchor moveWithCells="1" sizeWithCells="1">
              <from>
                <xdr:col>0</xdr:col>
                <xdr:colOff>0</xdr:colOff>
                <xdr:row>0</xdr:row>
                <xdr:rowOff>0</xdr:rowOff>
              </from>
              <to>
                <xdr:col>0</xdr:col>
                <xdr:colOff>0</xdr:colOff>
                <xdr:row>0</xdr:row>
                <xdr:rowOff>0</xdr:rowOff>
              </to>
            </anchor>
          </controlPr>
        </control>
      </mc:Choice>
      <mc:Fallback>
        <control shapeId="316422" r:id="rId11" name="ReportSubmitControl_1tb1"/>
      </mc:Fallback>
    </mc:AlternateContent>
    <mc:AlternateContent xmlns:mc="http://schemas.openxmlformats.org/markup-compatibility/2006">
      <mc:Choice Requires="x14">
        <control shapeId="316421" r:id="rId13" name="ReportSubmitManagerControltb1">
          <controlPr defaultSize="0" autoLine="0" r:id="rId14">
            <anchor moveWithCells="1" sizeWithCells="1">
              <from>
                <xdr:col>0</xdr:col>
                <xdr:colOff>0</xdr:colOff>
                <xdr:row>0</xdr:row>
                <xdr:rowOff>0</xdr:rowOff>
              </from>
              <to>
                <xdr:col>0</xdr:col>
                <xdr:colOff>0</xdr:colOff>
                <xdr:row>0</xdr:row>
                <xdr:rowOff>0</xdr:rowOff>
              </to>
            </anchor>
          </controlPr>
        </control>
      </mc:Choice>
      <mc:Fallback>
        <control shapeId="316421" r:id="rId13" name="ReportSubmitManagerControltb1"/>
      </mc:Fallback>
    </mc:AlternateContent>
    <mc:AlternateContent xmlns:mc="http://schemas.openxmlformats.org/markup-compatibility/2006">
      <mc:Choice Requires="x14">
        <control shapeId="316420" r:id="rId15" name="AnalyzerDynReport000tb1">
          <controlPr defaultSize="0" autoLine="0" r:id="rId16">
            <anchor moveWithCells="1" sizeWithCells="1">
              <from>
                <xdr:col>0</xdr:col>
                <xdr:colOff>0</xdr:colOff>
                <xdr:row>0</xdr:row>
                <xdr:rowOff>0</xdr:rowOff>
              </from>
              <to>
                <xdr:col>0</xdr:col>
                <xdr:colOff>0</xdr:colOff>
                <xdr:row>0</xdr:row>
                <xdr:rowOff>0</xdr:rowOff>
              </to>
            </anchor>
          </controlPr>
        </control>
      </mc:Choice>
      <mc:Fallback>
        <control shapeId="316420" r:id="rId15" name="AnalyzerDynReport000tb1"/>
      </mc:Fallback>
    </mc:AlternateContent>
    <mc:AlternateContent xmlns:mc="http://schemas.openxmlformats.org/markup-compatibility/2006">
      <mc:Choice Requires="x14">
        <control shapeId="316419" r:id="rId17" name="MultipleReportManagerInfotb1">
          <controlPr defaultSize="0" autoLine="0" r:id="rId18">
            <anchor moveWithCells="1" sizeWithCells="1">
              <from>
                <xdr:col>0</xdr:col>
                <xdr:colOff>0</xdr:colOff>
                <xdr:row>0</xdr:row>
                <xdr:rowOff>0</xdr:rowOff>
              </from>
              <to>
                <xdr:col>0</xdr:col>
                <xdr:colOff>0</xdr:colOff>
                <xdr:row>0</xdr:row>
                <xdr:rowOff>0</xdr:rowOff>
              </to>
            </anchor>
          </controlPr>
        </control>
      </mc:Choice>
      <mc:Fallback>
        <control shapeId="316419" r:id="rId17" name="MultipleReportManagerInfotb1"/>
      </mc:Fallback>
    </mc:AlternateContent>
    <mc:AlternateContent xmlns:mc="http://schemas.openxmlformats.org/markup-compatibility/2006">
      <mc:Choice Requires="x14">
        <control shapeId="316418" r:id="rId19" name="ConnectionDescriptorsInfotb1">
          <controlPr defaultSize="0" autoLine="0" r:id="rId20">
            <anchor moveWithCells="1" sizeWithCells="1">
              <from>
                <xdr:col>0</xdr:col>
                <xdr:colOff>0</xdr:colOff>
                <xdr:row>0</xdr:row>
                <xdr:rowOff>0</xdr:rowOff>
              </from>
              <to>
                <xdr:col>0</xdr:col>
                <xdr:colOff>0</xdr:colOff>
                <xdr:row>0</xdr:row>
                <xdr:rowOff>0</xdr:rowOff>
              </to>
            </anchor>
          </controlPr>
        </control>
      </mc:Choice>
      <mc:Fallback>
        <control shapeId="316418" r:id="rId19" name="ConnectionDescriptorsInfotb1"/>
      </mc:Fallback>
    </mc:AlternateContent>
    <mc:AlternateContent xmlns:mc="http://schemas.openxmlformats.org/markup-compatibility/2006">
      <mc:Choice Requires="x14">
        <control shapeId="316417" r:id="rId21" name="FPMExcelClientSheetOptionstb1">
          <controlPr defaultSize="0" autoLine="0" r:id="rId22">
            <anchor moveWithCells="1" sizeWithCells="1">
              <from>
                <xdr:col>0</xdr:col>
                <xdr:colOff>0</xdr:colOff>
                <xdr:row>0</xdr:row>
                <xdr:rowOff>0</xdr:rowOff>
              </from>
              <to>
                <xdr:col>0</xdr:col>
                <xdr:colOff>0</xdr:colOff>
                <xdr:row>0</xdr:row>
                <xdr:rowOff>0</xdr:rowOff>
              </to>
            </anchor>
          </controlPr>
        </control>
      </mc:Choice>
      <mc:Fallback>
        <control shapeId="316417" r:id="rId21" name="FPMExcelClientSheetOptionstb1"/>
      </mc:Fallback>
    </mc:AlternateContent>
    <mc:AlternateContent xmlns:mc="http://schemas.openxmlformats.org/markup-compatibility/2006">
      <mc:Choice Requires="x14">
        <control shapeId="316431" r:id="rId23" name="Button 15">
          <controlPr defaultSize="0" print="0" autoFill="0" autoPict="0" macro="[0]!CONSULTAR_INFORMACION">
            <anchor moveWithCells="1" sizeWithCells="1">
              <from>
                <xdr:col>3</xdr:col>
                <xdr:colOff>257175</xdr:colOff>
                <xdr:row>1</xdr:row>
                <xdr:rowOff>171450</xdr:rowOff>
              </from>
              <to>
                <xdr:col>4</xdr:col>
                <xdr:colOff>1371600</xdr:colOff>
                <xdr:row>2</xdr:row>
                <xdr:rowOff>180975</xdr:rowOff>
              </to>
            </anchor>
          </controlPr>
        </control>
      </mc:Choice>
    </mc:AlternateContent>
    <mc:AlternateContent xmlns:mc="http://schemas.openxmlformats.org/markup-compatibility/2006">
      <mc:Choice Requires="x14">
        <control shapeId="316435" r:id="rId24" name="Button 19">
          <controlPr defaultSize="0" print="0" autoFill="0" autoPict="0" macro="[0]!GUARDAR_INFORMACION">
            <anchor moveWithCells="1" sizeWithCells="1">
              <from>
                <xdr:col>4</xdr:col>
                <xdr:colOff>3514725</xdr:colOff>
                <xdr:row>0</xdr:row>
                <xdr:rowOff>104775</xdr:rowOff>
              </from>
              <to>
                <xdr:col>9</xdr:col>
                <xdr:colOff>190500</xdr:colOff>
                <xdr:row>0</xdr:row>
                <xdr:rowOff>304800</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Resultados!$BG$6:$BG$37</xm:f>
          </x14:formula1>
          <xm:sqref>C4:C5</xm:sqref>
        </x14:dataValidation>
        <x14:dataValidation type="list" allowBlank="1" showInputMessage="1" showErrorMessage="1" error="Por favor, Elegir una Entidad valida">
          <x14:formula1>
            <xm:f>Resultados!$BA$6:$BA$77</xm:f>
          </x14:formula1>
          <xm:sqref>C3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5"/>
  <dimension ref="A1:AL202"/>
  <sheetViews>
    <sheetView showGridLines="0" topLeftCell="A35" zoomScale="90" zoomScaleNormal="90" workbookViewId="0">
      <selection activeCell="D38" sqref="D38:F38"/>
    </sheetView>
  </sheetViews>
  <sheetFormatPr baseColWidth="10" defaultColWidth="11.42578125" defaultRowHeight="15"/>
  <cols>
    <col min="1" max="1" width="11.7109375" style="99" customWidth="1"/>
    <col min="2" max="2" width="14.28515625" style="20" customWidth="1"/>
    <col min="3" max="3" width="60.7109375" style="20" customWidth="1"/>
    <col min="4" max="6" width="20.7109375" style="20" customWidth="1"/>
    <col min="7" max="7" width="60.7109375" style="20" customWidth="1"/>
    <col min="8" max="8" width="18.7109375" style="359" hidden="1" customWidth="1"/>
    <col min="9" max="9" width="15" style="359" hidden="1" customWidth="1"/>
    <col min="10" max="10" width="5.5703125" style="20" customWidth="1"/>
    <col min="11" max="11" width="20.5703125" style="20" customWidth="1"/>
    <col min="12" max="12" width="16.42578125" style="20" customWidth="1"/>
    <col min="13" max="13" width="13.42578125" style="20" customWidth="1"/>
    <col min="14" max="14" width="5.28515625" style="20" customWidth="1"/>
    <col min="15" max="15" width="10.7109375" style="20" customWidth="1"/>
    <col min="16" max="16" width="60.7109375" style="20" customWidth="1"/>
    <col min="17" max="19" width="20.7109375" style="20" customWidth="1"/>
    <col min="20" max="20" width="60.7109375" style="20" customWidth="1"/>
    <col min="21" max="22" width="18.7109375" style="1" customWidth="1"/>
    <col min="23" max="23" width="18.7109375" style="1" hidden="1" customWidth="1"/>
    <col min="24" max="27" width="18.7109375" style="20" hidden="1" customWidth="1"/>
    <col min="28" max="28" width="18.7109375" style="20" customWidth="1"/>
    <col min="29" max="30" width="18.7109375" style="20" hidden="1" customWidth="1"/>
    <col min="31" max="33" width="18.7109375" style="20" customWidth="1"/>
    <col min="34" max="34" width="2.7109375" style="20" customWidth="1"/>
    <col min="35" max="35" width="7.42578125" style="20" bestFit="1" customWidth="1"/>
    <col min="36" max="36" width="18.7109375" style="20" customWidth="1"/>
    <col min="37" max="37" width="7" style="20" bestFit="1" customWidth="1"/>
    <col min="38" max="38" width="19.42578125" style="20" bestFit="1" customWidth="1"/>
    <col min="39" max="62" width="18.7109375" style="20" customWidth="1"/>
    <col min="63" max="16384" width="11.42578125" style="20"/>
  </cols>
  <sheetData>
    <row r="1" spans="1:38" s="207" customFormat="1" ht="101.25" customHeight="1">
      <c r="A1" s="208" t="s">
        <v>25</v>
      </c>
      <c r="B1" s="209" t="s">
        <v>658</v>
      </c>
      <c r="C1" s="190"/>
      <c r="D1" s="190"/>
      <c r="E1" s="190"/>
      <c r="F1" s="190"/>
      <c r="G1" s="190"/>
      <c r="H1" s="357"/>
      <c r="I1" s="357"/>
      <c r="J1" s="190"/>
      <c r="K1" s="190"/>
      <c r="L1" s="190"/>
      <c r="M1" s="457"/>
      <c r="N1" s="457"/>
      <c r="O1" s="190"/>
      <c r="P1" s="190"/>
      <c r="Q1" s="190"/>
      <c r="R1" s="190"/>
      <c r="S1" s="190"/>
      <c r="T1" s="190"/>
      <c r="U1" s="214"/>
      <c r="V1" s="214"/>
      <c r="W1" s="214"/>
      <c r="X1" s="190"/>
      <c r="Y1" s="190"/>
      <c r="Z1" s="190"/>
      <c r="AA1" s="190"/>
      <c r="AB1" s="190"/>
      <c r="AC1" s="190"/>
      <c r="AD1" s="190"/>
      <c r="AE1" s="190"/>
      <c r="AF1" s="190"/>
      <c r="AG1" s="190"/>
      <c r="AH1" s="190"/>
      <c r="AI1" s="190"/>
      <c r="AJ1" s="190"/>
      <c r="AK1" s="190"/>
      <c r="AL1" s="190"/>
    </row>
    <row r="2" spans="1:38">
      <c r="A2" s="99" t="str">
        <f>IF(A10&gt;0,"Error","ok")</f>
        <v>Error</v>
      </c>
      <c r="B2" s="5"/>
      <c r="C2" s="5"/>
      <c r="D2" s="29"/>
      <c r="E2" s="29"/>
      <c r="F2" s="29"/>
      <c r="G2" s="29"/>
      <c r="H2" s="358"/>
      <c r="I2" s="358"/>
      <c r="J2" s="29"/>
      <c r="K2" s="29"/>
      <c r="L2" s="29"/>
      <c r="M2" s="458"/>
      <c r="N2" s="458"/>
      <c r="O2" s="29"/>
      <c r="P2" s="29"/>
      <c r="Q2" s="29"/>
      <c r="R2" s="29"/>
      <c r="S2" s="29"/>
      <c r="T2" s="29"/>
      <c r="U2" s="215"/>
      <c r="V2" s="215"/>
      <c r="W2" s="215"/>
      <c r="X2" s="29"/>
      <c r="Y2" s="29"/>
      <c r="Z2" s="29"/>
      <c r="AA2" s="29"/>
      <c r="AB2" s="29"/>
      <c r="AC2" s="29"/>
      <c r="AD2" s="29"/>
      <c r="AE2" s="29"/>
      <c r="AF2" s="29"/>
      <c r="AH2" s="100"/>
    </row>
    <row r="3" spans="1:38">
      <c r="A3" s="21">
        <f>IF(A2="Error",0,1)</f>
        <v>0</v>
      </c>
      <c r="B3" s="226" t="str">
        <f>tblParam[[#This Row],[FILTROS]]</f>
        <v>ENTIDAD</v>
      </c>
      <c r="C3" s="229"/>
      <c r="D3" s="29"/>
      <c r="E3" s="29"/>
      <c r="F3" s="29"/>
      <c r="G3" s="29"/>
      <c r="H3" s="358"/>
      <c r="I3" s="358"/>
      <c r="J3" s="29"/>
      <c r="K3" s="29"/>
      <c r="L3" s="29"/>
      <c r="M3" s="458"/>
      <c r="N3" s="458"/>
      <c r="O3" s="29"/>
      <c r="P3" s="29"/>
      <c r="Q3" s="29"/>
      <c r="R3" s="29"/>
      <c r="S3" s="29"/>
      <c r="T3" s="29"/>
      <c r="U3" s="215"/>
      <c r="V3" s="215"/>
      <c r="W3" s="215"/>
      <c r="X3" s="29"/>
      <c r="Y3" s="29"/>
      <c r="Z3" s="29"/>
      <c r="AA3" s="29"/>
      <c r="AB3" s="29"/>
      <c r="AC3" s="29"/>
      <c r="AD3" s="29"/>
      <c r="AE3" s="29"/>
      <c r="AF3" s="29"/>
      <c r="AH3" s="100"/>
    </row>
    <row r="4" spans="1:38">
      <c r="A4" s="21" t="e">
        <f ca="1">_xll.EPMMemberOffset(,C4,-12)</f>
        <v>#NAME?</v>
      </c>
      <c r="B4" s="226" t="str">
        <f>tblParam[[#This Row],[FILTROS]]</f>
        <v>PERIODO1</v>
      </c>
      <c r="C4" s="229"/>
      <c r="M4" s="446"/>
      <c r="N4" s="446"/>
      <c r="AH4" s="100"/>
    </row>
    <row r="5" spans="1:38">
      <c r="A5" s="21" t="str">
        <f>MID(Resultados!K5,1,4)</f>
        <v/>
      </c>
      <c r="B5" s="226" t="str">
        <f>tblParam[[#This Row],[FILTROS]]</f>
        <v>PERIODO2</v>
      </c>
      <c r="C5" s="229"/>
      <c r="M5" s="446"/>
      <c r="N5" s="446"/>
      <c r="AH5" s="100"/>
    </row>
    <row r="6" spans="1:38" hidden="1">
      <c r="A6" s="21" t="str">
        <f>MID(Resultados!K4,1,4)</f>
        <v/>
      </c>
      <c r="B6" s="226" t="str">
        <f>tblParam[[#This Row],[FILTROS]]</f>
        <v>VERSION</v>
      </c>
      <c r="C6" s="227">
        <f>tblParam[[#This Row],[VALOR]]</f>
        <v>0</v>
      </c>
      <c r="E6" s="186" t="e">
        <f ca="1">_xll.EPMMemberProperty("ANEXO_NOTAS_XBRL", C3, "CURRENCY")</f>
        <v>#NAME?</v>
      </c>
      <c r="M6" s="446"/>
      <c r="N6" s="446"/>
    </row>
    <row r="7" spans="1:38" hidden="1">
      <c r="A7" s="21"/>
      <c r="B7" s="226" t="str">
        <f>tblParam[[#This Row],[FILTROS]]</f>
        <v>GRUPO</v>
      </c>
      <c r="C7" s="229" t="str">
        <f>Resultados!$C$13</f>
        <v>GRUPO EMPRESARIAL INVERNAC</v>
      </c>
      <c r="D7" s="446"/>
      <c r="E7" s="446"/>
      <c r="F7" s="446"/>
      <c r="G7" s="446"/>
      <c r="M7" s="446"/>
      <c r="N7" s="446"/>
    </row>
    <row r="8" spans="1:38">
      <c r="A8" s="21"/>
      <c r="B8" s="226" t="e">
        <f>CONCATENATE("TRM A LA FECHA DE REPORTE: ",IF(INDEX(ENTIDADES[#All],MATCH($C$3,ENTIDADES[[#All],[Concatenacion]],0),3)&lt;&gt;"COP",INDEX(BPC_TASAS[#All],MATCH(INDEX(ENTIDADES[#All],MATCH($C$3,ENTIDADES[[#All],[Concatenacion]],0),3)&amp;"_"&amp;Resultados!$K$4,BPC_TASAS[[#All],[Concatenacion]],0),3),INDEX(BPC_TASAS[#All],MATCH("USD"&amp;"_"&amp;Resultados!$K$4,BPC_TASAS[[#All],[Concatenacion]],0),3)))</f>
        <v>#N/A</v>
      </c>
      <c r="C8" s="229"/>
      <c r="D8" s="446"/>
      <c r="E8" s="446"/>
      <c r="F8" s="446"/>
      <c r="G8" s="446"/>
      <c r="M8" s="446"/>
      <c r="N8" s="446"/>
    </row>
    <row r="9" spans="1:38">
      <c r="A9" s="21"/>
      <c r="B9" s="226" t="e">
        <f>CONCATENATE("MONEDA DE PRESENTACION: ",INDEX(ENTIDADES[#All],MATCH($C$3,ENTIDADES[[#All],[Concatenacion]],0),2),IF(INDEX(ENTIDADES[#All],MATCH($C$3,ENTIDADES[[#All],[Concatenacion]],0),3) = "COP"," (Sin decimales)"," (Con decimales)"))</f>
        <v>#N/A</v>
      </c>
      <c r="C9" s="229"/>
      <c r="D9" s="446"/>
      <c r="E9" s="446"/>
      <c r="F9" s="446"/>
      <c r="G9" s="446"/>
      <c r="M9" s="446"/>
      <c r="N9" s="446"/>
    </row>
    <row r="10" spans="1:38" s="117" customFormat="1">
      <c r="A10" s="108">
        <f>SUM(A15:A54)</f>
        <v>1</v>
      </c>
      <c r="B10" s="30">
        <v>1</v>
      </c>
      <c r="C10" s="464" t="s">
        <v>437</v>
      </c>
      <c r="D10" s="446"/>
      <c r="E10" s="446"/>
      <c r="F10" s="446"/>
      <c r="G10" s="446"/>
      <c r="H10" s="360"/>
      <c r="I10" s="360"/>
      <c r="M10" s="446"/>
      <c r="N10" s="446"/>
      <c r="U10" s="33"/>
      <c r="V10" s="33"/>
      <c r="W10" s="33"/>
    </row>
    <row r="11" spans="1:38" s="117" customFormat="1">
      <c r="A11" s="99"/>
      <c r="C11" s="446"/>
      <c r="D11" s="446"/>
      <c r="E11" s="446"/>
      <c r="F11" s="446"/>
      <c r="G11" s="446"/>
      <c r="H11" s="360"/>
      <c r="I11" s="360"/>
      <c r="J11" s="446"/>
      <c r="K11" s="446"/>
      <c r="L11" s="446"/>
      <c r="M11" s="446"/>
      <c r="N11" s="446"/>
      <c r="U11" s="33"/>
      <c r="V11" s="33"/>
      <c r="W11" s="33"/>
    </row>
    <row r="12" spans="1:38" s="117" customFormat="1">
      <c r="A12" s="99"/>
      <c r="B12" s="842" t="str">
        <f>CONCATENATE("SALDOS A ",A6)</f>
        <v xml:space="preserve">SALDOS A </v>
      </c>
      <c r="C12" s="842"/>
      <c r="D12" s="842"/>
      <c r="E12" s="842"/>
      <c r="F12" s="842"/>
      <c r="G12" s="842"/>
      <c r="H12" s="359"/>
      <c r="I12" s="359"/>
      <c r="J12" s="446"/>
      <c r="K12" s="446"/>
      <c r="L12" s="446"/>
      <c r="M12" s="446"/>
      <c r="N12" s="446"/>
      <c r="O12" s="842" t="str">
        <f>CONCATENATE("SALDOS A ",A5)</f>
        <v xml:space="preserve">SALDOS A </v>
      </c>
      <c r="P12" s="842"/>
      <c r="Q12" s="842"/>
      <c r="R12" s="842"/>
      <c r="S12" s="842"/>
      <c r="T12" s="842"/>
      <c r="U12" s="446"/>
      <c r="V12" s="446"/>
      <c r="W12" s="33"/>
      <c r="Y12" t="e">
        <f ca="1" xml:space="preserve"> _xll.FPMXLClient.TechnicalCategory.EPMLocalMember("","001","001")</f>
        <v>#NAME?</v>
      </c>
      <c r="Z12" t="e">
        <f ca="1" xml:space="preserve"> _xll.EPMOlapMemberO("[COLUMNA_NOTA].[PARENTH1].[C11801001]","","C11801001","","001")</f>
        <v>#NAME?</v>
      </c>
      <c r="AA12" t="e">
        <f ca="1" xml:space="preserve"> _xll.EPMOlapMemberO("[COLUMNA_NOTA].[PARENTH1].[C11801002]","","C11801002","","001")</f>
        <v>#NAME?</v>
      </c>
    </row>
    <row r="13" spans="1:38" s="108" customFormat="1">
      <c r="A13" s="99"/>
      <c r="B13" s="399"/>
      <c r="C13" s="521"/>
      <c r="D13" s="200" t="s">
        <v>438</v>
      </c>
      <c r="E13" s="200" t="s">
        <v>438</v>
      </c>
      <c r="F13" s="521"/>
      <c r="G13" s="521"/>
      <c r="H13" s="361"/>
      <c r="I13" s="361"/>
      <c r="J13" s="465"/>
      <c r="K13" s="465"/>
      <c r="L13" s="465"/>
      <c r="M13" s="465"/>
      <c r="N13" s="465"/>
      <c r="O13" s="200"/>
      <c r="P13" s="200"/>
      <c r="Q13" s="200" t="s">
        <v>438</v>
      </c>
      <c r="R13" s="200" t="s">
        <v>438</v>
      </c>
      <c r="S13" s="200"/>
      <c r="T13" s="200"/>
      <c r="U13" s="465"/>
      <c r="V13" s="465"/>
      <c r="W13" s="212"/>
      <c r="X13" s="225" t="e">
        <f ca="1" xml:space="preserve"> _xll.EPMOlapMemberO("[FILA_NOTA].[PARENTH1].[11801002]","","11801002","","001")</f>
        <v>#NAME?</v>
      </c>
      <c r="Y13" t="e">
        <f ca="1">_xll.EPMMemberProperty("ANEXO_NOTAS_XBRL", X13, "LONGDESCR")</f>
        <v>#NAME?</v>
      </c>
      <c r="Z13" s="500">
        <v>0</v>
      </c>
      <c r="AA13" s="500">
        <f>SUM(Z13)</f>
        <v>0</v>
      </c>
    </row>
    <row r="14" spans="1:38" ht="24.75" thickBot="1">
      <c r="B14" s="575" t="s">
        <v>633</v>
      </c>
      <c r="C14" s="265" t="s">
        <v>184</v>
      </c>
      <c r="D14" s="899" t="s">
        <v>185</v>
      </c>
      <c r="E14" s="900"/>
      <c r="F14" s="265" t="s">
        <v>186</v>
      </c>
      <c r="G14" s="265" t="s">
        <v>187</v>
      </c>
      <c r="H14" s="897" t="s">
        <v>157</v>
      </c>
      <c r="I14" s="898"/>
      <c r="J14" s="469"/>
      <c r="K14" s="469"/>
      <c r="L14" s="469"/>
      <c r="M14" s="469"/>
      <c r="N14" s="465"/>
      <c r="O14" s="401" t="s">
        <v>633</v>
      </c>
      <c r="P14" s="317" t="s">
        <v>184</v>
      </c>
      <c r="Q14" s="899" t="s">
        <v>185</v>
      </c>
      <c r="R14" s="900"/>
      <c r="S14" s="317" t="s">
        <v>186</v>
      </c>
      <c r="T14" s="317" t="s">
        <v>187</v>
      </c>
      <c r="U14" s="465"/>
      <c r="V14" s="465"/>
      <c r="W14" s="211"/>
      <c r="X14" s="225" t="e">
        <f ca="1" xml:space="preserve"> _xll.EPMOlapMemberO("[FILA_NOTA].[PARENTH1].[11801003]","","11801003","","001")</f>
        <v>#NAME?</v>
      </c>
      <c r="Y14" t="e">
        <f ca="1">_xll.EPMMemberProperty("ANEXO_NOTAS_XBRL", X14, "LONGDESCR")</f>
        <v>#NAME?</v>
      </c>
      <c r="Z14" s="500">
        <v>0</v>
      </c>
      <c r="AA14" s="500">
        <f t="shared" ref="AA14:AA40" si="0">SUM(Z14)</f>
        <v>0</v>
      </c>
    </row>
    <row r="15" spans="1:38" ht="36.75" thickBot="1">
      <c r="B15" s="596" t="s">
        <v>9637</v>
      </c>
      <c r="C15" s="395" t="str">
        <f>INDEX(BPC_FILA_NOTA[#All],MATCH($B15,BPC_FILA_NOTA[[#All],[ID]],0),2)</f>
        <v>1 - Inventarios al valor razonable menos los costos de venta</v>
      </c>
      <c r="D15" s="136"/>
      <c r="E15" s="136"/>
      <c r="F15" s="344"/>
      <c r="G15" s="216" t="s">
        <v>439</v>
      </c>
      <c r="H15" s="362"/>
      <c r="I15" s="362" t="e">
        <f ca="1">_xll.EPMSaveData(F15,,$B15,$E$13)</f>
        <v>#NAME?</v>
      </c>
      <c r="J15" s="465"/>
      <c r="K15" s="465"/>
      <c r="L15" s="465"/>
      <c r="M15" s="465"/>
      <c r="N15" s="465"/>
      <c r="O15" s="596" t="s">
        <v>9637</v>
      </c>
      <c r="P15" s="135" t="str">
        <f>INDEX(BPC_FILA_NOTA[#All],MATCH($O15,BPC_FILA_NOTA[[#All],[ID]],0),2)</f>
        <v>1 - Inventarios al valor razonable menos los costos de venta</v>
      </c>
      <c r="Q15" s="136"/>
      <c r="R15" s="136"/>
      <c r="S15" s="287" t="str">
        <f>IFERROR(INDEX(BPC_NOTAS2[#All],MATCH($O15&amp;"_"&amp;R$13,BPC_NOTAS2[[#All],[FILA_COLUMNA]],0),2),"")</f>
        <v/>
      </c>
      <c r="T15" s="137" t="s">
        <v>439</v>
      </c>
      <c r="U15" s="465"/>
      <c r="V15" s="465"/>
      <c r="W15" s="211"/>
      <c r="X15" s="225" t="e">
        <f ca="1" xml:space="preserve"> _xll.EPMOlapMemberO("[FILA_NOTA].[PARENTH1].[11801001]","","11801001","","001")</f>
        <v>#NAME?</v>
      </c>
      <c r="Y15" t="e">
        <f ca="1">_xll.EPMMemberProperty("ANEXO_NOTAS_XBRL", X15, "LONGDESCR")</f>
        <v>#NAME?</v>
      </c>
      <c r="Z15" s="500">
        <f>SUM(Z13:Z14)</f>
        <v>0</v>
      </c>
      <c r="AA15" s="500">
        <f t="shared" si="0"/>
        <v>0</v>
      </c>
    </row>
    <row r="16" spans="1:38" ht="36">
      <c r="B16" s="596" t="s">
        <v>9638</v>
      </c>
      <c r="C16" s="396" t="str">
        <f>INDEX(BPC_FILA_NOTA[#All],MATCH($B16,BPC_FILA_NOTA[[#All],[ID]],0),2)</f>
        <v>2 - Inventarios al costo</v>
      </c>
      <c r="D16" s="139"/>
      <c r="E16" s="139"/>
      <c r="F16" s="344"/>
      <c r="G16" s="217" t="s">
        <v>440</v>
      </c>
      <c r="H16" s="362"/>
      <c r="I16" s="362" t="e">
        <f ca="1">_xll.EPMSaveData(F16,,$B16,$E$13)</f>
        <v>#NAME?</v>
      </c>
      <c r="J16" s="465"/>
      <c r="K16" s="465"/>
      <c r="L16" s="465"/>
      <c r="M16" s="465"/>
      <c r="N16" s="465"/>
      <c r="O16" s="596" t="s">
        <v>9638</v>
      </c>
      <c r="P16" s="138" t="str">
        <f>INDEX(BPC_FILA_NOTA[#All],MATCH($O16,BPC_FILA_NOTA[[#All],[ID]],0),2)</f>
        <v>2 - Inventarios al costo</v>
      </c>
      <c r="Q16" s="139"/>
      <c r="R16" s="139"/>
      <c r="S16" s="286" t="str">
        <f>IFERROR(INDEX(BPC_NOTAS2[#All],MATCH($O16&amp;"_"&amp;R$13,BPC_NOTAS2[[#All],[FILA_COLUMNA]],0),2),"")</f>
        <v/>
      </c>
      <c r="T16" s="137" t="s">
        <v>440</v>
      </c>
      <c r="U16" s="465"/>
      <c r="V16" s="465"/>
      <c r="W16" s="211"/>
      <c r="X16" s="225" t="e">
        <f ca="1" xml:space="preserve"> _xll.EPMOlapMemberO("[FILA_NOTA].[PARENTH1].[11802001]","","11802001","","001")</f>
        <v>#NAME?</v>
      </c>
      <c r="Y16" t="e">
        <f ca="1">_xll.EPMMemberProperty("ANEXO_NOTAS_XBRL", X16, "LONGDESCR")</f>
        <v>#NAME?</v>
      </c>
      <c r="Z16" s="500">
        <v>0</v>
      </c>
      <c r="AA16" s="500">
        <f t="shared" si="0"/>
        <v>0</v>
      </c>
    </row>
    <row r="17" spans="1:27" ht="33" customHeight="1" thickBot="1">
      <c r="A17" s="99">
        <f>IF(L17="Ok",0,1)</f>
        <v>0</v>
      </c>
      <c r="B17" s="596" t="s">
        <v>444</v>
      </c>
      <c r="C17" s="397" t="s">
        <v>190</v>
      </c>
      <c r="D17" s="141"/>
      <c r="E17" s="141"/>
      <c r="F17" s="288">
        <f>SUM(F15:F16)</f>
        <v>0</v>
      </c>
      <c r="G17" s="218" t="s">
        <v>191</v>
      </c>
      <c r="H17" s="362"/>
      <c r="I17" s="362"/>
      <c r="J17" s="134"/>
      <c r="K17" s="149">
        <f>F17-(IFERROR(INDEX(BPC_NOTAS[#All],MATCH("S115_0",BPC_NOTAS[[#All],[FILA_COLUMNA]],0),2),0)+IFERROR(INDEX(BPC_NOTAS[#All],MATCH("S147_1",BPC_NOTAS[[#All],[FILA_COLUMNA]],0),2),0))</f>
        <v>0</v>
      </c>
      <c r="L17" s="19" t="str">
        <f>IFERROR(IF(K17=0,"Ok","Error"),"Error")</f>
        <v>Ok</v>
      </c>
      <c r="M17" s="446"/>
      <c r="N17" s="465"/>
      <c r="O17" s="596" t="str">
        <f t="shared" ref="O17:O54" si="1">B17</f>
        <v>11802002</v>
      </c>
      <c r="P17" s="140" t="s">
        <v>190</v>
      </c>
      <c r="Q17" s="141"/>
      <c r="R17" s="141"/>
      <c r="S17" s="288">
        <f>SUM(S15:S16)</f>
        <v>0</v>
      </c>
      <c r="T17" s="137" t="s">
        <v>191</v>
      </c>
      <c r="U17" s="465"/>
      <c r="V17" s="465"/>
      <c r="W17" s="211"/>
      <c r="X17" s="225" t="e">
        <f ca="1" xml:space="preserve"> _xll.EPMOlapMemberO("[FILA_NOTA].[PARENTH1].[11802002]","","11802002","","001")</f>
        <v>#NAME?</v>
      </c>
      <c r="Y17" t="e">
        <f ca="1">_xll.EPMMemberProperty("ANEXO_NOTAS_XBRL", X17, "LONGDESCR")</f>
        <v>#NAME?</v>
      </c>
      <c r="Z17" s="500">
        <v>0</v>
      </c>
      <c r="AA17" s="500">
        <f t="shared" si="0"/>
        <v>0</v>
      </c>
    </row>
    <row r="18" spans="1:27">
      <c r="B18" s="596">
        <v>11802000</v>
      </c>
      <c r="C18" s="865" t="s">
        <v>192</v>
      </c>
      <c r="D18" s="136" t="s">
        <v>20748</v>
      </c>
      <c r="E18" s="522" t="s">
        <v>193</v>
      </c>
      <c r="F18" s="868">
        <f>SUM(E19:E27)</f>
        <v>0</v>
      </c>
      <c r="G18" s="871" t="s">
        <v>441</v>
      </c>
      <c r="H18" s="362"/>
      <c r="I18" s="362"/>
      <c r="J18" s="210"/>
      <c r="K18" s="446"/>
      <c r="L18" s="1"/>
      <c r="M18" s="446"/>
      <c r="N18" s="465"/>
      <c r="O18" s="596">
        <f t="shared" si="1"/>
        <v>11802000</v>
      </c>
      <c r="P18" s="904" t="s">
        <v>192</v>
      </c>
      <c r="Q18" s="145" t="s">
        <v>20748</v>
      </c>
      <c r="R18" s="236" t="s">
        <v>193</v>
      </c>
      <c r="S18" s="905">
        <f>SUM(R19:R27)</f>
        <v>0</v>
      </c>
      <c r="T18" s="880" t="s">
        <v>441</v>
      </c>
      <c r="U18" s="465"/>
      <c r="V18" s="465"/>
      <c r="W18" s="211"/>
      <c r="X18" s="225" t="e">
        <f ca="1" xml:space="preserve"> _xll.EPMOlapMemberO("[FILA_NOTA].[PARENTH1].[11802003]","","11802003","","001")</f>
        <v>#NAME?</v>
      </c>
      <c r="Y18" t="e">
        <f ca="1">_xll.EPMMemberProperty("ANEXO_NOTAS_XBRL", X18, "LONGDESCR")</f>
        <v>#NAME?</v>
      </c>
      <c r="Z18" s="500">
        <v>0</v>
      </c>
      <c r="AA18" s="500">
        <f t="shared" si="0"/>
        <v>0</v>
      </c>
    </row>
    <row r="19" spans="1:27">
      <c r="B19" s="596">
        <v>11802002</v>
      </c>
      <c r="C19" s="866"/>
      <c r="D19" s="374"/>
      <c r="E19" s="523"/>
      <c r="F19" s="902"/>
      <c r="G19" s="872"/>
      <c r="H19" s="362" t="e">
        <f ca="1">_xll.EPMSaveComment(D19, ,$B19,$E$13)</f>
        <v>#NAME?</v>
      </c>
      <c r="I19" s="362" t="e">
        <f ca="1">_xll.EPMSaveData(E19,,$B19,$E$13)</f>
        <v>#NAME?</v>
      </c>
      <c r="J19" s="210"/>
      <c r="K19" s="465"/>
      <c r="L19" s="19" t="str">
        <f>IF(AND(E19&lt;&gt;0,LEN(D19)&lt;3),"Error","Ok")</f>
        <v>Ok</v>
      </c>
      <c r="M19" s="465"/>
      <c r="N19" s="465"/>
      <c r="O19" s="596">
        <f t="shared" si="1"/>
        <v>11802002</v>
      </c>
      <c r="P19" s="875"/>
      <c r="Q19" s="235" t="str">
        <f>IFERROR(INDEX(BPC_COMENTARIOS2[#All],MATCH($O19&amp;"_"&amp;Q$13,BPC_COMENTARIOS2[[#All],[FILA_COLUMNA]],0),2),"")</f>
        <v/>
      </c>
      <c r="R19" s="284" t="str">
        <f>IFERROR(INDEX(BPC_NOTAS2[#All],MATCH($O19&amp;"_"&amp;R$13,BPC_NOTAS2[[#All],[FILA_COLUMNA]],0),2),"")</f>
        <v/>
      </c>
      <c r="S19" s="906"/>
      <c r="T19" s="880"/>
      <c r="U19" s="465"/>
      <c r="V19" s="465"/>
      <c r="W19" s="211"/>
      <c r="X19" s="225" t="e">
        <f ca="1" xml:space="preserve"> _xll.EPMOlapMemberO("[FILA_NOTA].[PARENTH1].[11802004]","","11802004","","001")</f>
        <v>#NAME?</v>
      </c>
      <c r="Y19" t="e">
        <f ca="1">_xll.EPMMemberProperty("ANEXO_NOTAS_XBRL", X19, "LONGDESCR")</f>
        <v>#NAME?</v>
      </c>
      <c r="Z19" s="500">
        <v>0</v>
      </c>
      <c r="AA19" s="500">
        <f t="shared" si="0"/>
        <v>0</v>
      </c>
    </row>
    <row r="20" spans="1:27">
      <c r="B20" s="596">
        <v>11802003</v>
      </c>
      <c r="C20" s="866"/>
      <c r="D20" s="374"/>
      <c r="E20" s="523"/>
      <c r="F20" s="869"/>
      <c r="G20" s="872"/>
      <c r="H20" s="362" t="e">
        <f ca="1">_xll.EPMSaveComment(D20, ,$B20,$E$13)</f>
        <v>#NAME?</v>
      </c>
      <c r="I20" s="362" t="e">
        <f ca="1">_xll.EPMSaveData(E20,,$B20,$E$13)</f>
        <v>#NAME?</v>
      </c>
      <c r="J20" s="210"/>
      <c r="K20" s="465"/>
      <c r="L20" s="19" t="str">
        <f t="shared" ref="L20:L36" si="2">IF(AND(E20&lt;&gt;0,LEN(D20)&lt;3),"Error","Ok")</f>
        <v>Ok</v>
      </c>
      <c r="M20" s="465"/>
      <c r="N20" s="465"/>
      <c r="O20" s="596">
        <f t="shared" si="1"/>
        <v>11802003</v>
      </c>
      <c r="P20" s="875"/>
      <c r="Q20" s="235" t="str">
        <f>IFERROR(INDEX(BPC_COMENTARIOS2[#All],MATCH($O20&amp;"_"&amp;Q$13,BPC_COMENTARIOS2[[#All],[FILA_COLUMNA]],0),2),"")</f>
        <v/>
      </c>
      <c r="R20" s="284" t="str">
        <f>IFERROR(INDEX(BPC_NOTAS2[#All],MATCH($O20&amp;"_"&amp;R$13,BPC_NOTAS2[[#All],[FILA_COLUMNA]],0),2),"")</f>
        <v/>
      </c>
      <c r="S20" s="906"/>
      <c r="T20" s="880"/>
      <c r="U20" s="465"/>
      <c r="V20" s="465"/>
      <c r="W20" s="211"/>
      <c r="X20" s="225" t="e">
        <f ca="1" xml:space="preserve"> _xll.EPMOlapMemberO("[FILA_NOTA].[PARENTH1].[11802005]","","11802005","","001")</f>
        <v>#NAME?</v>
      </c>
      <c r="Y20" t="e">
        <f ca="1">_xll.EPMMemberProperty("ANEXO_NOTAS_XBRL", X20, "LONGDESCR")</f>
        <v>#NAME?</v>
      </c>
      <c r="Z20" s="500">
        <v>0</v>
      </c>
      <c r="AA20" s="500">
        <f t="shared" si="0"/>
        <v>0</v>
      </c>
    </row>
    <row r="21" spans="1:27">
      <c r="B21" s="596">
        <v>11802004</v>
      </c>
      <c r="C21" s="866"/>
      <c r="D21" s="374"/>
      <c r="E21" s="523"/>
      <c r="F21" s="869"/>
      <c r="G21" s="872"/>
      <c r="H21" s="362" t="e">
        <f ca="1">_xll.EPMSaveComment(D21, ,$B21,$E$13)</f>
        <v>#NAME?</v>
      </c>
      <c r="I21" s="362" t="e">
        <f ca="1">_xll.EPMSaveData(E21,,$B21,$E$13)</f>
        <v>#NAME?</v>
      </c>
      <c r="J21" s="210"/>
      <c r="K21" s="465"/>
      <c r="L21" s="19" t="str">
        <f t="shared" si="2"/>
        <v>Ok</v>
      </c>
      <c r="M21" s="465"/>
      <c r="N21" s="465"/>
      <c r="O21" s="596">
        <f t="shared" si="1"/>
        <v>11802004</v>
      </c>
      <c r="P21" s="875"/>
      <c r="Q21" s="235" t="str">
        <f>IFERROR(INDEX(BPC_COMENTARIOS2[#All],MATCH($O21&amp;"_"&amp;Q$13,BPC_COMENTARIOS2[[#All],[FILA_COLUMNA]],0),2),"")</f>
        <v/>
      </c>
      <c r="R21" s="284" t="str">
        <f>IFERROR(INDEX(BPC_NOTAS2[#All],MATCH($O21&amp;"_"&amp;R$13,BPC_NOTAS2[[#All],[FILA_COLUMNA]],0),2),"")</f>
        <v/>
      </c>
      <c r="S21" s="906"/>
      <c r="T21" s="880"/>
      <c r="U21" s="465"/>
      <c r="V21" s="465"/>
      <c r="W21" s="211"/>
      <c r="X21" s="225" t="e">
        <f ca="1" xml:space="preserve"> _xll.EPMOlapMemberO("[FILA_NOTA].[PARENTH1].[11802006]","","11802006","","001")</f>
        <v>#NAME?</v>
      </c>
      <c r="Y21" t="e">
        <f ca="1">_xll.EPMMemberProperty("ANEXO_NOTAS_XBRL", X21, "LONGDESCR")</f>
        <v>#NAME?</v>
      </c>
      <c r="Z21" s="500">
        <v>0</v>
      </c>
      <c r="AA21" s="500">
        <f t="shared" si="0"/>
        <v>0</v>
      </c>
    </row>
    <row r="22" spans="1:27">
      <c r="B22" s="596">
        <v>11802005</v>
      </c>
      <c r="C22" s="866"/>
      <c r="D22" s="374"/>
      <c r="E22" s="523"/>
      <c r="F22" s="869"/>
      <c r="G22" s="872"/>
      <c r="H22" s="362" t="e">
        <f ca="1">_xll.EPMSaveComment(D22, ,$B22,$E$13)</f>
        <v>#NAME?</v>
      </c>
      <c r="I22" s="362" t="e">
        <f ca="1">_xll.EPMSaveData(E22,,$B22,$E$13)</f>
        <v>#NAME?</v>
      </c>
      <c r="J22" s="210"/>
      <c r="K22" s="465"/>
      <c r="L22" s="19" t="str">
        <f t="shared" si="2"/>
        <v>Ok</v>
      </c>
      <c r="M22" s="465"/>
      <c r="N22" s="465"/>
      <c r="O22" s="596">
        <f t="shared" si="1"/>
        <v>11802005</v>
      </c>
      <c r="P22" s="875"/>
      <c r="Q22" s="235" t="str">
        <f>IFERROR(INDEX(BPC_COMENTARIOS2[#All],MATCH($O22&amp;"_"&amp;Q$13,BPC_COMENTARIOS2[[#All],[FILA_COLUMNA]],0),2),"")</f>
        <v/>
      </c>
      <c r="R22" s="284" t="str">
        <f>IFERROR(INDEX(BPC_NOTAS2[#All],MATCH($O22&amp;"_"&amp;R$13,BPC_NOTAS2[[#All],[FILA_COLUMNA]],0),2),"")</f>
        <v/>
      </c>
      <c r="S22" s="906"/>
      <c r="T22" s="880"/>
      <c r="U22" s="465"/>
      <c r="V22" s="465"/>
      <c r="W22" s="211"/>
      <c r="X22" s="225" t="e">
        <f ca="1" xml:space="preserve"> _xll.EPMOlapMemberO("[FILA_NOTA].[PARENTH1].[11802007]","","11802007","","001")</f>
        <v>#NAME?</v>
      </c>
      <c r="Y22" t="e">
        <f ca="1">_xll.EPMMemberProperty("ANEXO_NOTAS_XBRL", X22, "LONGDESCR")</f>
        <v>#NAME?</v>
      </c>
      <c r="Z22" s="500">
        <v>0</v>
      </c>
      <c r="AA22" s="500">
        <f t="shared" si="0"/>
        <v>0</v>
      </c>
    </row>
    <row r="23" spans="1:27">
      <c r="B23" s="596">
        <v>11802006</v>
      </c>
      <c r="C23" s="866"/>
      <c r="D23" s="374"/>
      <c r="E23" s="523"/>
      <c r="F23" s="869"/>
      <c r="G23" s="872"/>
      <c r="H23" s="362" t="e">
        <f ca="1">_xll.EPMSaveComment(D23, ,$B23,$E$13)</f>
        <v>#NAME?</v>
      </c>
      <c r="I23" s="362" t="e">
        <f ca="1">_xll.EPMSaveData(E23,,$B23,$E$13)</f>
        <v>#NAME?</v>
      </c>
      <c r="J23" s="210"/>
      <c r="K23" s="465"/>
      <c r="L23" s="19" t="str">
        <f t="shared" si="2"/>
        <v>Ok</v>
      </c>
      <c r="M23" s="465"/>
      <c r="N23" s="465"/>
      <c r="O23" s="596">
        <f t="shared" si="1"/>
        <v>11802006</v>
      </c>
      <c r="P23" s="875"/>
      <c r="Q23" s="235" t="str">
        <f>IFERROR(INDEX(BPC_COMENTARIOS2[#All],MATCH($O23&amp;"_"&amp;Q$13,BPC_COMENTARIOS2[[#All],[FILA_COLUMNA]],0),2),"")</f>
        <v/>
      </c>
      <c r="R23" s="284" t="str">
        <f>IFERROR(INDEX(BPC_NOTAS2[#All],MATCH($O23&amp;"_"&amp;R$13,BPC_NOTAS2[[#All],[FILA_COLUMNA]],0),2),"")</f>
        <v/>
      </c>
      <c r="S23" s="906"/>
      <c r="T23" s="880"/>
      <c r="U23" s="465"/>
      <c r="V23" s="465"/>
      <c r="W23" s="211"/>
      <c r="X23" s="225" t="e">
        <f ca="1" xml:space="preserve"> _xll.EPMOlapMemberO("[FILA_NOTA].[PARENTH1].[11802008]","","11802008","","001")</f>
        <v>#NAME?</v>
      </c>
      <c r="Y23" t="e">
        <f ca="1">_xll.EPMMemberProperty("ANEXO_NOTAS_XBRL", X23, "LONGDESCR")</f>
        <v>#NAME?</v>
      </c>
      <c r="Z23" s="500">
        <v>0</v>
      </c>
      <c r="AA23" s="500">
        <f t="shared" si="0"/>
        <v>0</v>
      </c>
    </row>
    <row r="24" spans="1:27">
      <c r="B24" s="596">
        <v>11802007</v>
      </c>
      <c r="C24" s="866"/>
      <c r="D24" s="374"/>
      <c r="E24" s="523"/>
      <c r="F24" s="869"/>
      <c r="G24" s="872"/>
      <c r="H24" s="362" t="e">
        <f ca="1">_xll.EPMSaveComment(D24, ,$B24,$E$13)</f>
        <v>#NAME?</v>
      </c>
      <c r="I24" s="362" t="e">
        <f ca="1">_xll.EPMSaveData(E24,,$B24,$E$13)</f>
        <v>#NAME?</v>
      </c>
      <c r="J24" s="210"/>
      <c r="K24" s="465"/>
      <c r="L24" s="19" t="str">
        <f t="shared" si="2"/>
        <v>Ok</v>
      </c>
      <c r="M24" s="465"/>
      <c r="N24" s="465"/>
      <c r="O24" s="596">
        <f t="shared" si="1"/>
        <v>11802007</v>
      </c>
      <c r="P24" s="875"/>
      <c r="Q24" s="235" t="str">
        <f>IFERROR(INDEX(BPC_COMENTARIOS2[#All],MATCH($O24&amp;"_"&amp;Q$13,BPC_COMENTARIOS2[[#All],[FILA_COLUMNA]],0),2),"")</f>
        <v/>
      </c>
      <c r="R24" s="284" t="str">
        <f>IFERROR(INDEX(BPC_NOTAS2[#All],MATCH($O24&amp;"_"&amp;R$13,BPC_NOTAS2[[#All],[FILA_COLUMNA]],0),2),"")</f>
        <v/>
      </c>
      <c r="S24" s="906"/>
      <c r="T24" s="880"/>
      <c r="U24" s="465"/>
      <c r="V24" s="465"/>
      <c r="W24" s="211"/>
      <c r="X24" s="225" t="e">
        <f ca="1" xml:space="preserve"> _xll.EPMOlapMemberO("[FILA_NOTA].[PARENTH1].[11802009]","","11802009","","001")</f>
        <v>#NAME?</v>
      </c>
      <c r="Y24" t="e">
        <f ca="1">_xll.EPMMemberProperty("ANEXO_NOTAS_XBRL", X24, "LONGDESCR")</f>
        <v>#NAME?</v>
      </c>
      <c r="Z24" s="500">
        <v>0</v>
      </c>
      <c r="AA24" s="500">
        <f t="shared" si="0"/>
        <v>0</v>
      </c>
    </row>
    <row r="25" spans="1:27">
      <c r="B25" s="596">
        <v>11802008</v>
      </c>
      <c r="C25" s="866"/>
      <c r="D25" s="374"/>
      <c r="E25" s="523"/>
      <c r="F25" s="869"/>
      <c r="G25" s="872"/>
      <c r="H25" s="362" t="e">
        <f ca="1">_xll.EPMSaveComment(D25, ,$B25,$E$13)</f>
        <v>#NAME?</v>
      </c>
      <c r="I25" s="362" t="e">
        <f ca="1">_xll.EPMSaveData(E25,,$B25,$E$13)</f>
        <v>#NAME?</v>
      </c>
      <c r="J25" s="210"/>
      <c r="K25" s="465"/>
      <c r="L25" s="19" t="str">
        <f t="shared" si="2"/>
        <v>Ok</v>
      </c>
      <c r="M25" s="465"/>
      <c r="N25" s="465"/>
      <c r="O25" s="596">
        <f t="shared" si="1"/>
        <v>11802008</v>
      </c>
      <c r="P25" s="875"/>
      <c r="Q25" s="235" t="str">
        <f>IFERROR(INDEX(BPC_COMENTARIOS2[#All],MATCH($O25&amp;"_"&amp;Q$13,BPC_COMENTARIOS2[[#All],[FILA_COLUMNA]],0),2),"")</f>
        <v/>
      </c>
      <c r="R25" s="284" t="str">
        <f>IFERROR(INDEX(BPC_NOTAS2[#All],MATCH($O25&amp;"_"&amp;R$13,BPC_NOTAS2[[#All],[FILA_COLUMNA]],0),2),"")</f>
        <v/>
      </c>
      <c r="S25" s="906"/>
      <c r="T25" s="880"/>
      <c r="U25" s="465"/>
      <c r="V25" s="465"/>
      <c r="W25" s="211"/>
      <c r="X25" s="225" t="e">
        <f ca="1" xml:space="preserve"> _xll.EPMOlapMemberO("[FILA_NOTA].[PARENTH1].[11802000]","","11802000","","001")</f>
        <v>#NAME?</v>
      </c>
      <c r="Y25" t="e">
        <f ca="1">_xll.EPMMemberProperty("ANEXO_NOTAS_XBRL", X25, "LONGDESCR")</f>
        <v>#NAME?</v>
      </c>
      <c r="Z25" s="500">
        <f>SUM(Z17:Z24)</f>
        <v>0</v>
      </c>
      <c r="AA25" s="500">
        <f t="shared" si="0"/>
        <v>0</v>
      </c>
    </row>
    <row r="26" spans="1:27">
      <c r="B26" s="596">
        <v>11802009</v>
      </c>
      <c r="C26" s="866"/>
      <c r="D26" s="374"/>
      <c r="E26" s="523"/>
      <c r="F26" s="869"/>
      <c r="G26" s="872"/>
      <c r="H26" s="362" t="e">
        <f ca="1">_xll.EPMSaveComment(D26, ,$B26,$E$13)</f>
        <v>#NAME?</v>
      </c>
      <c r="I26" s="362" t="e">
        <f ca="1">_xll.EPMSaveData(E26,,$B26,$E$13)</f>
        <v>#NAME?</v>
      </c>
      <c r="J26" s="210"/>
      <c r="K26" s="465"/>
      <c r="L26" s="19" t="str">
        <f t="shared" si="2"/>
        <v>Ok</v>
      </c>
      <c r="M26" s="465"/>
      <c r="N26" s="465"/>
      <c r="O26" s="596">
        <f t="shared" si="1"/>
        <v>11802009</v>
      </c>
      <c r="P26" s="875"/>
      <c r="Q26" s="235" t="str">
        <f>IFERROR(INDEX(BPC_COMENTARIOS2[#All],MATCH($O26&amp;"_"&amp;Q$13,BPC_COMENTARIOS2[[#All],[FILA_COLUMNA]],0),2),"")</f>
        <v/>
      </c>
      <c r="R26" s="284" t="str">
        <f>IFERROR(INDEX(BPC_NOTAS2[#All],MATCH($O26&amp;"_"&amp;R$13,BPC_NOTAS2[[#All],[FILA_COLUMNA]],0),2),"")</f>
        <v/>
      </c>
      <c r="S26" s="906"/>
      <c r="T26" s="880"/>
      <c r="U26" s="465"/>
      <c r="V26" s="465"/>
      <c r="W26" s="211"/>
      <c r="X26" s="225" t="e">
        <f ca="1" xml:space="preserve"> _xll.EPMOlapMemberO("[FILA_NOTA].[PARENTH1].[11803001]","","11803001","","001")</f>
        <v>#NAME?</v>
      </c>
      <c r="Y26" t="e">
        <f ca="1">_xll.EPMMemberProperty("ANEXO_NOTAS_XBRL", X26, "LONGDESCR")</f>
        <v>#NAME?</v>
      </c>
      <c r="Z26" s="500">
        <v>0</v>
      </c>
      <c r="AA26" s="500">
        <f t="shared" si="0"/>
        <v>0</v>
      </c>
    </row>
    <row r="27" spans="1:27" ht="15.75" thickBot="1">
      <c r="B27" s="596">
        <v>11802010</v>
      </c>
      <c r="C27" s="901"/>
      <c r="D27" s="374"/>
      <c r="E27" s="523"/>
      <c r="F27" s="903"/>
      <c r="G27" s="873"/>
      <c r="H27" s="362" t="e">
        <f ca="1">_xll.EPMSaveComment(D27, ,$B27,$E$13)</f>
        <v>#NAME?</v>
      </c>
      <c r="I27" s="362" t="e">
        <f ca="1">_xll.EPMSaveData(E27,,$B27,$E$13)</f>
        <v>#NAME?</v>
      </c>
      <c r="J27" s="210"/>
      <c r="K27" s="465"/>
      <c r="L27" s="19" t="str">
        <f t="shared" si="2"/>
        <v>Ok</v>
      </c>
      <c r="M27" s="465"/>
      <c r="N27" s="465"/>
      <c r="O27" s="596">
        <f t="shared" si="1"/>
        <v>11802010</v>
      </c>
      <c r="P27" s="876"/>
      <c r="Q27" s="235" t="str">
        <f>IFERROR(INDEX(BPC_COMENTARIOS2[#All],MATCH($O27&amp;"_"&amp;Q$13,BPC_COMENTARIOS2[[#All],[FILA_COLUMNA]],0),2),"")</f>
        <v/>
      </c>
      <c r="R27" s="285" t="str">
        <f>IFERROR(INDEX(BPC_NOTAS2[#All],MATCH($O27&amp;"_"&amp;R$13,BPC_NOTAS2[[#All],[FILA_COLUMNA]],0),2),"")</f>
        <v/>
      </c>
      <c r="S27" s="907"/>
      <c r="T27" s="880"/>
      <c r="U27" s="465"/>
      <c r="V27" s="465"/>
      <c r="W27" s="211"/>
      <c r="X27" s="225" t="e">
        <f ca="1" xml:space="preserve"> _xll.EPMOlapMemberO("[FILA_NOTA].[PARENTH1].[11803002]","","11803002","","001")</f>
        <v>#NAME?</v>
      </c>
      <c r="Y27" t="e">
        <f ca="1">_xll.EPMMemberProperty("ANEXO_NOTAS_XBRL", X27, "LONGDESCR")</f>
        <v>#NAME?</v>
      </c>
      <c r="Z27" s="500">
        <v>0</v>
      </c>
      <c r="AA27" s="500">
        <f t="shared" si="0"/>
        <v>0</v>
      </c>
    </row>
    <row r="28" spans="1:27">
      <c r="B28" s="596">
        <v>11803000</v>
      </c>
      <c r="C28" s="865" t="s">
        <v>194</v>
      </c>
      <c r="D28" s="136" t="s">
        <v>20748</v>
      </c>
      <c r="E28" s="136" t="s">
        <v>193</v>
      </c>
      <c r="F28" s="868">
        <f>SUM(E29:E37)</f>
        <v>0</v>
      </c>
      <c r="G28" s="871" t="s">
        <v>442</v>
      </c>
      <c r="H28" s="362"/>
      <c r="I28" s="362"/>
      <c r="J28" s="210"/>
      <c r="K28" s="465"/>
      <c r="L28" s="210"/>
      <c r="M28" s="465"/>
      <c r="N28" s="465"/>
      <c r="O28" s="596">
        <f t="shared" si="1"/>
        <v>11803000</v>
      </c>
      <c r="P28" s="874" t="s">
        <v>194</v>
      </c>
      <c r="Q28" s="136" t="s">
        <v>20748</v>
      </c>
      <c r="R28" s="145" t="s">
        <v>193</v>
      </c>
      <c r="S28" s="877">
        <f>SUM(R29:R37)</f>
        <v>0</v>
      </c>
      <c r="T28" s="880" t="s">
        <v>442</v>
      </c>
      <c r="U28" s="465"/>
      <c r="V28" s="465"/>
      <c r="W28" s="211"/>
      <c r="X28" s="225" t="e">
        <f ca="1" xml:space="preserve"> _xll.EPMOlapMemberO("[FILA_NOTA].[PARENTH1].[11803003]","","11803003","","001")</f>
        <v>#NAME?</v>
      </c>
      <c r="Y28" t="e">
        <f ca="1">_xll.EPMMemberProperty("ANEXO_NOTAS_XBRL", X28, "LONGDESCR")</f>
        <v>#NAME?</v>
      </c>
      <c r="Z28" s="500">
        <v>0</v>
      </c>
      <c r="AA28" s="500">
        <f t="shared" si="0"/>
        <v>0</v>
      </c>
    </row>
    <row r="29" spans="1:27">
      <c r="B29" s="596">
        <v>11803001</v>
      </c>
      <c r="C29" s="866"/>
      <c r="D29" s="374"/>
      <c r="E29" s="523"/>
      <c r="F29" s="869"/>
      <c r="G29" s="872"/>
      <c r="H29" s="362" t="e">
        <f ca="1">_xll.EPMSaveComment(D29, ,$B29,$E$13)</f>
        <v>#NAME?</v>
      </c>
      <c r="I29" s="362" t="e">
        <f ca="1">_xll.EPMSaveData(E29,,$B29,$E$13)</f>
        <v>#NAME?</v>
      </c>
      <c r="J29" s="210"/>
      <c r="K29" s="465"/>
      <c r="L29" s="19" t="str">
        <f t="shared" si="2"/>
        <v>Ok</v>
      </c>
      <c r="M29" s="465"/>
      <c r="N29" s="465"/>
      <c r="O29" s="596">
        <f t="shared" si="1"/>
        <v>11803001</v>
      </c>
      <c r="P29" s="875"/>
      <c r="Q29" s="146" t="str">
        <f>IFERROR(INDEX(BPC_COMENTARIOS2[#All],MATCH($O29&amp;"_"&amp;Q$13,BPC_COMENTARIOS2[[#All],[FILA_COLUMNA]],0),2),"")</f>
        <v/>
      </c>
      <c r="R29" s="284" t="str">
        <f>IFERROR(INDEX(BPC_NOTAS2[#All],MATCH($O29&amp;"_"&amp;R$13,BPC_NOTAS2[[#All],[FILA_COLUMNA]],0),2),"")</f>
        <v/>
      </c>
      <c r="S29" s="878"/>
      <c r="T29" s="880"/>
      <c r="U29" s="465"/>
      <c r="V29" s="465"/>
      <c r="W29" s="211"/>
      <c r="X29" s="225" t="e">
        <f ca="1" xml:space="preserve"> _xll.EPMOlapMemberO("[FILA_NOTA].[PARENTH1].[11803004]","","11803004","","001")</f>
        <v>#NAME?</v>
      </c>
      <c r="Y29" t="e">
        <f ca="1">_xll.EPMMemberProperty("ANEXO_NOTAS_XBRL", X29, "LONGDESCR")</f>
        <v>#NAME?</v>
      </c>
      <c r="Z29" s="500">
        <v>0</v>
      </c>
      <c r="AA29" s="500">
        <f t="shared" si="0"/>
        <v>0</v>
      </c>
    </row>
    <row r="30" spans="1:27">
      <c r="B30" s="596">
        <v>11803002</v>
      </c>
      <c r="C30" s="866"/>
      <c r="D30" s="374"/>
      <c r="E30" s="523"/>
      <c r="F30" s="869"/>
      <c r="G30" s="872"/>
      <c r="H30" s="362" t="e">
        <f ca="1">_xll.EPMSaveComment(D30, ,$B30,$E$13)</f>
        <v>#NAME?</v>
      </c>
      <c r="I30" s="362" t="e">
        <f ca="1">_xll.EPMSaveData(E30,,$B30,$E$13)</f>
        <v>#NAME?</v>
      </c>
      <c r="J30" s="210"/>
      <c r="K30" s="465"/>
      <c r="L30" s="19" t="str">
        <f t="shared" si="2"/>
        <v>Ok</v>
      </c>
      <c r="M30" s="465"/>
      <c r="N30" s="465"/>
      <c r="O30" s="596">
        <f t="shared" si="1"/>
        <v>11803002</v>
      </c>
      <c r="P30" s="875"/>
      <c r="Q30" s="146" t="str">
        <f>IFERROR(INDEX(BPC_COMENTARIOS2[#All],MATCH($O30&amp;"_"&amp;Q$13,BPC_COMENTARIOS2[[#All],[FILA_COLUMNA]],0),2),"")</f>
        <v/>
      </c>
      <c r="R30" s="284" t="str">
        <f>IFERROR(INDEX(BPC_NOTAS2[#All],MATCH($O30&amp;"_"&amp;R$13,BPC_NOTAS2[[#All],[FILA_COLUMNA]],0),2),"")</f>
        <v/>
      </c>
      <c r="S30" s="878"/>
      <c r="T30" s="880"/>
      <c r="U30" s="465"/>
      <c r="V30" s="465"/>
      <c r="W30" s="211"/>
      <c r="X30" s="225" t="e">
        <f ca="1" xml:space="preserve"> _xll.EPMOlapMemberO("[FILA_NOTA].[PARENTH1].[11803005]","","11803005","","001")</f>
        <v>#NAME?</v>
      </c>
      <c r="Y30" t="e">
        <f ca="1">_xll.EPMMemberProperty("ANEXO_NOTAS_XBRL", X30, "LONGDESCR")</f>
        <v>#NAME?</v>
      </c>
      <c r="Z30" s="500">
        <v>0</v>
      </c>
      <c r="AA30" s="500">
        <f t="shared" si="0"/>
        <v>0</v>
      </c>
    </row>
    <row r="31" spans="1:27">
      <c r="B31" s="596">
        <v>11803003</v>
      </c>
      <c r="C31" s="866"/>
      <c r="D31" s="374"/>
      <c r="E31" s="523"/>
      <c r="F31" s="869"/>
      <c r="G31" s="872"/>
      <c r="H31" s="362" t="e">
        <f ca="1">_xll.EPMSaveComment(D31, ,$B31,$E$13)</f>
        <v>#NAME?</v>
      </c>
      <c r="I31" s="362" t="e">
        <f ca="1">_xll.EPMSaveData(E31,,$B31,$E$13)</f>
        <v>#NAME?</v>
      </c>
      <c r="J31" s="210"/>
      <c r="K31" s="465"/>
      <c r="L31" s="19" t="str">
        <f t="shared" si="2"/>
        <v>Ok</v>
      </c>
      <c r="M31" s="465"/>
      <c r="N31" s="465"/>
      <c r="O31" s="596">
        <f t="shared" si="1"/>
        <v>11803003</v>
      </c>
      <c r="P31" s="875"/>
      <c r="Q31" s="146" t="str">
        <f>IFERROR(INDEX(BPC_COMENTARIOS2[#All],MATCH($O31&amp;"_"&amp;Q$13,BPC_COMENTARIOS2[[#All],[FILA_COLUMNA]],0),2),"")</f>
        <v/>
      </c>
      <c r="R31" s="284" t="str">
        <f>IFERROR(INDEX(BPC_NOTAS2[#All],MATCH($O31&amp;"_"&amp;R$13,BPC_NOTAS2[[#All],[FILA_COLUMNA]],0),2),"")</f>
        <v/>
      </c>
      <c r="S31" s="878"/>
      <c r="T31" s="880"/>
      <c r="U31" s="465"/>
      <c r="V31" s="465"/>
      <c r="W31" s="211"/>
      <c r="X31" s="225" t="e">
        <f ca="1" xml:space="preserve"> _xll.EPMOlapMemberO("[FILA_NOTA].[PARENTH1].[11803006]","","11803006","","001")</f>
        <v>#NAME?</v>
      </c>
      <c r="Y31" t="e">
        <f ca="1">_xll.EPMMemberProperty("ANEXO_NOTAS_XBRL", X31, "LONGDESCR")</f>
        <v>#NAME?</v>
      </c>
      <c r="Z31" s="500">
        <v>0</v>
      </c>
      <c r="AA31" s="500">
        <f t="shared" si="0"/>
        <v>0</v>
      </c>
    </row>
    <row r="32" spans="1:27">
      <c r="B32" s="596">
        <v>11803004</v>
      </c>
      <c r="C32" s="866"/>
      <c r="D32" s="374"/>
      <c r="E32" s="523"/>
      <c r="F32" s="869"/>
      <c r="G32" s="872"/>
      <c r="H32" s="362" t="e">
        <f ca="1">_xll.EPMSaveComment(D32, ,$B32,$E$13)</f>
        <v>#NAME?</v>
      </c>
      <c r="I32" s="362" t="e">
        <f ca="1">_xll.EPMSaveData(E32,,$B32,$E$13)</f>
        <v>#NAME?</v>
      </c>
      <c r="J32" s="210"/>
      <c r="K32" s="465"/>
      <c r="L32" s="19" t="str">
        <f t="shared" si="2"/>
        <v>Ok</v>
      </c>
      <c r="M32" s="465"/>
      <c r="N32" s="465"/>
      <c r="O32" s="596">
        <f t="shared" si="1"/>
        <v>11803004</v>
      </c>
      <c r="P32" s="875"/>
      <c r="Q32" s="146" t="str">
        <f>IFERROR(INDEX(BPC_COMENTARIOS2[#All],MATCH($O32&amp;"_"&amp;Q$13,BPC_COMENTARIOS2[[#All],[FILA_COLUMNA]],0),2),"")</f>
        <v/>
      </c>
      <c r="R32" s="284" t="str">
        <f>IFERROR(INDEX(BPC_NOTAS2[#All],MATCH($O32&amp;"_"&amp;R$13,BPC_NOTAS2[[#All],[FILA_COLUMNA]],0),2),"")</f>
        <v/>
      </c>
      <c r="S32" s="878"/>
      <c r="T32" s="880"/>
      <c r="U32" s="465"/>
      <c r="V32" s="465"/>
      <c r="W32" s="211"/>
      <c r="X32" s="225" t="e">
        <f ca="1" xml:space="preserve"> _xll.EPMOlapMemberO("[FILA_NOTA].[PARENTH1].[11803007]","","11803007","","001")</f>
        <v>#NAME?</v>
      </c>
      <c r="Y32" t="e">
        <f ca="1">_xll.EPMMemberProperty("ANEXO_NOTAS_XBRL", X32, "LONGDESCR")</f>
        <v>#NAME?</v>
      </c>
      <c r="Z32" s="500">
        <v>0</v>
      </c>
      <c r="AA32" s="500">
        <f t="shared" si="0"/>
        <v>0</v>
      </c>
    </row>
    <row r="33" spans="1:30">
      <c r="B33" s="596">
        <v>11803005</v>
      </c>
      <c r="C33" s="866"/>
      <c r="D33" s="374"/>
      <c r="E33" s="523"/>
      <c r="F33" s="869"/>
      <c r="G33" s="872"/>
      <c r="H33" s="362" t="e">
        <f ca="1">_xll.EPMSaveComment(D33, ,$B33,$E$13)</f>
        <v>#NAME?</v>
      </c>
      <c r="I33" s="362" t="e">
        <f ca="1">_xll.EPMSaveData(E33,,$B33,$E$13)</f>
        <v>#NAME?</v>
      </c>
      <c r="J33" s="210"/>
      <c r="K33" s="465"/>
      <c r="L33" s="19" t="str">
        <f t="shared" si="2"/>
        <v>Ok</v>
      </c>
      <c r="M33" s="465"/>
      <c r="N33" s="465"/>
      <c r="O33" s="596">
        <f t="shared" si="1"/>
        <v>11803005</v>
      </c>
      <c r="P33" s="875"/>
      <c r="Q33" s="146" t="str">
        <f>IFERROR(INDEX(BPC_COMENTARIOS2[#All],MATCH($O33&amp;"_"&amp;Q$13,BPC_COMENTARIOS2[[#All],[FILA_COLUMNA]],0),2),"")</f>
        <v/>
      </c>
      <c r="R33" s="284" t="str">
        <f>IFERROR(INDEX(BPC_NOTAS2[#All],MATCH($O33&amp;"_"&amp;R$13,BPC_NOTAS2[[#All],[FILA_COLUMNA]],0),2),"")</f>
        <v/>
      </c>
      <c r="S33" s="878"/>
      <c r="T33" s="880"/>
      <c r="U33" s="465"/>
      <c r="V33" s="465"/>
      <c r="W33" s="211"/>
      <c r="X33" s="225" t="e">
        <f ca="1" xml:space="preserve"> _xll.EPMOlapMemberO("[FILA_NOTA].[PARENTH1].[11803008]","","11803008","","001")</f>
        <v>#NAME?</v>
      </c>
      <c r="Y33" t="e">
        <f ca="1">_xll.EPMMemberProperty("ANEXO_NOTAS_XBRL", X33, "LONGDESCR")</f>
        <v>#NAME?</v>
      </c>
      <c r="Z33" s="500">
        <v>0</v>
      </c>
      <c r="AA33" s="500">
        <f t="shared" si="0"/>
        <v>0</v>
      </c>
    </row>
    <row r="34" spans="1:30">
      <c r="B34" s="596">
        <v>11803006</v>
      </c>
      <c r="C34" s="866"/>
      <c r="D34" s="374"/>
      <c r="E34" s="523"/>
      <c r="F34" s="869"/>
      <c r="G34" s="872"/>
      <c r="H34" s="362" t="e">
        <f ca="1">_xll.EPMSaveComment(D34, ,$B34,$E$13)</f>
        <v>#NAME?</v>
      </c>
      <c r="I34" s="362" t="e">
        <f ca="1">_xll.EPMSaveData(E34,,$B34,$E$13)</f>
        <v>#NAME?</v>
      </c>
      <c r="J34" s="210"/>
      <c r="K34" s="465"/>
      <c r="L34" s="19" t="str">
        <f t="shared" si="2"/>
        <v>Ok</v>
      </c>
      <c r="M34" s="465"/>
      <c r="N34" s="465"/>
      <c r="O34" s="596">
        <f t="shared" si="1"/>
        <v>11803006</v>
      </c>
      <c r="P34" s="875"/>
      <c r="Q34" s="146" t="str">
        <f>IFERROR(INDEX(BPC_COMENTARIOS2[#All],MATCH($O34&amp;"_"&amp;Q$13,BPC_COMENTARIOS2[[#All],[FILA_COLUMNA]],0),2),"")</f>
        <v/>
      </c>
      <c r="R34" s="284" t="str">
        <f>IFERROR(INDEX(BPC_NOTAS2[#All],MATCH($O34&amp;"_"&amp;R$13,BPC_NOTAS2[[#All],[FILA_COLUMNA]],0),2),"")</f>
        <v/>
      </c>
      <c r="S34" s="878"/>
      <c r="T34" s="880"/>
      <c r="U34" s="465"/>
      <c r="V34" s="465"/>
      <c r="W34" s="211"/>
      <c r="X34" s="225" t="e">
        <f ca="1" xml:space="preserve"> _xll.EPMOlapMemberO("[FILA_NOTA].[PARENTH1].[11803009]","","11803009","","001")</f>
        <v>#NAME?</v>
      </c>
      <c r="Y34" t="e">
        <f ca="1">_xll.EPMMemberProperty("ANEXO_NOTAS_XBRL", X34, "LONGDESCR")</f>
        <v>#NAME?</v>
      </c>
      <c r="Z34" s="500">
        <v>0</v>
      </c>
      <c r="AA34" s="500">
        <f t="shared" si="0"/>
        <v>0</v>
      </c>
      <c r="AD34" s="481" t="e">
        <f ca="1" xml:space="preserve"> _xll.EPMOlapMemberO("[COLUMNA_NOTA].[PARENTH1].[C11701002]","","Valor","","000")</f>
        <v>#NAME?</v>
      </c>
    </row>
    <row r="35" spans="1:30">
      <c r="B35" s="596">
        <v>11803007</v>
      </c>
      <c r="C35" s="866"/>
      <c r="D35" s="374"/>
      <c r="E35" s="523"/>
      <c r="F35" s="869"/>
      <c r="G35" s="872"/>
      <c r="H35" s="362" t="e">
        <f ca="1">_xll.EPMSaveComment(D35, ,$B35,$E$13)</f>
        <v>#NAME?</v>
      </c>
      <c r="I35" s="362" t="e">
        <f ca="1">_xll.EPMSaveData(E35,,$B35,$E$13)</f>
        <v>#NAME?</v>
      </c>
      <c r="J35" s="210"/>
      <c r="K35" s="465"/>
      <c r="L35" s="19" t="str">
        <f t="shared" si="2"/>
        <v>Ok</v>
      </c>
      <c r="M35" s="465"/>
      <c r="N35" s="465"/>
      <c r="O35" s="596">
        <f t="shared" si="1"/>
        <v>11803007</v>
      </c>
      <c r="P35" s="875"/>
      <c r="Q35" s="146" t="str">
        <f>IFERROR(INDEX(BPC_COMENTARIOS2[#All],MATCH($O35&amp;"_"&amp;Q$13,BPC_COMENTARIOS2[[#All],[FILA_COLUMNA]],0),2),"")</f>
        <v/>
      </c>
      <c r="R35" s="284" t="str">
        <f>IFERROR(INDEX(BPC_NOTAS2[#All],MATCH($O35&amp;"_"&amp;R$13,BPC_NOTAS2[[#All],[FILA_COLUMNA]],0),2),"")</f>
        <v/>
      </c>
      <c r="S35" s="878"/>
      <c r="T35" s="880"/>
      <c r="U35" s="465"/>
      <c r="V35" s="465"/>
      <c r="W35" s="211"/>
      <c r="X35" s="225" t="e">
        <f ca="1" xml:space="preserve"> _xll.EPMOlapMemberO("[FILA_NOTA].[PARENTH1].[11803000]","","11803000","","001")</f>
        <v>#NAME?</v>
      </c>
      <c r="Y35" t="e">
        <f ca="1">_xll.EPMMemberProperty("ANEXO_NOTAS_XBRL", X35, "LONGDESCR")</f>
        <v>#NAME?</v>
      </c>
      <c r="Z35" s="500">
        <f>SUM(Z26:Z34)</f>
        <v>0</v>
      </c>
      <c r="AA35" s="500">
        <f t="shared" si="0"/>
        <v>0</v>
      </c>
      <c r="AC35" s="499" t="e">
        <f ca="1" xml:space="preserve"> _xll.EPMOlapMemberO("[FILA_NOTA].[PARENTH1].[11701002]","","11701002","","000")</f>
        <v>#NAME?</v>
      </c>
      <c r="AD35" s="271">
        <v>0</v>
      </c>
    </row>
    <row r="36" spans="1:30">
      <c r="B36" s="596">
        <v>11803008</v>
      </c>
      <c r="C36" s="866"/>
      <c r="D36" s="374"/>
      <c r="E36" s="523"/>
      <c r="F36" s="869"/>
      <c r="G36" s="872"/>
      <c r="H36" s="362" t="e">
        <f ca="1">_xll.EPMSaveComment(D36, ,$B36,$E$13)</f>
        <v>#NAME?</v>
      </c>
      <c r="I36" s="362" t="e">
        <f ca="1">_xll.EPMSaveData(E36,,$B36,$E$13)</f>
        <v>#NAME?</v>
      </c>
      <c r="J36" s="210"/>
      <c r="K36" s="465"/>
      <c r="L36" s="19" t="str">
        <f t="shared" si="2"/>
        <v>Ok</v>
      </c>
      <c r="M36" s="465"/>
      <c r="N36" s="465"/>
      <c r="O36" s="596">
        <f t="shared" si="1"/>
        <v>11803008</v>
      </c>
      <c r="P36" s="875"/>
      <c r="Q36" s="146" t="str">
        <f>IFERROR(INDEX(BPC_COMENTARIOS2[#All],MATCH($O36&amp;"_"&amp;Q$13,BPC_COMENTARIOS2[[#All],[FILA_COLUMNA]],0),2),"")</f>
        <v/>
      </c>
      <c r="R36" s="284" t="str">
        <f>IFERROR(INDEX(BPC_NOTAS2[#All],MATCH($O36&amp;"_"&amp;R$13,BPC_NOTAS2[[#All],[FILA_COLUMNA]],0),2),"")</f>
        <v/>
      </c>
      <c r="S36" s="878"/>
      <c r="T36" s="880"/>
      <c r="U36" s="465"/>
      <c r="V36" s="465"/>
      <c r="W36" s="211"/>
      <c r="X36" s="225" t="e">
        <f ca="1" xml:space="preserve"> _xll.EPMOlapMemberO("[FILA_NOTA].[PARENTH1].[11804001]","","11804001","","001")</f>
        <v>#NAME?</v>
      </c>
      <c r="Y36" t="e">
        <f ca="1">_xll.EPMMemberProperty("ANEXO_NOTAS_XBRL", X36, "LONGDESCR")</f>
        <v>#NAME?</v>
      </c>
      <c r="Z36" s="500">
        <v>0</v>
      </c>
      <c r="AA36" s="500">
        <f t="shared" si="0"/>
        <v>0</v>
      </c>
      <c r="AC36" s="225" t="e">
        <f ca="1" xml:space="preserve"> _xll.EPMOlapMemberO("[FILA_NOTA].[PARENTH1].[11701003]","","11701003","","000")</f>
        <v>#NAME?</v>
      </c>
      <c r="AD36">
        <v>0</v>
      </c>
    </row>
    <row r="37" spans="1:30" ht="15.75" thickBot="1">
      <c r="B37" s="596">
        <v>11803009</v>
      </c>
      <c r="C37" s="867"/>
      <c r="D37" s="375"/>
      <c r="E37" s="523"/>
      <c r="F37" s="870"/>
      <c r="G37" s="873"/>
      <c r="H37" s="362" t="e">
        <f ca="1">_xll.EPMSaveComment(D37, ,$B37,$E$13)</f>
        <v>#NAME?</v>
      </c>
      <c r="I37" s="362" t="e">
        <f ca="1">_xll.EPMSaveData(E37,,$B37,$E$13)</f>
        <v>#NAME?</v>
      </c>
      <c r="J37" s="210"/>
      <c r="K37" s="465"/>
      <c r="L37" s="210"/>
      <c r="M37" s="465"/>
      <c r="N37" s="465"/>
      <c r="O37" s="596">
        <f t="shared" si="1"/>
        <v>11803009</v>
      </c>
      <c r="P37" s="876"/>
      <c r="Q37" s="146" t="str">
        <f>IFERROR(INDEX(BPC_COMENTARIOS2[#All],MATCH($O37&amp;"_"&amp;Q$13,BPC_COMENTARIOS2[[#All],[FILA_COLUMNA]],0),2),"")</f>
        <v/>
      </c>
      <c r="R37" s="284" t="str">
        <f>IFERROR(INDEX(BPC_NOTAS2[#All],MATCH($O37&amp;"_"&amp;R$13,BPC_NOTAS2[[#All],[FILA_COLUMNA]],0),2),"")</f>
        <v/>
      </c>
      <c r="S37" s="879"/>
      <c r="T37" s="880"/>
      <c r="U37" s="465"/>
      <c r="V37" s="465"/>
      <c r="W37" s="211"/>
      <c r="X37" s="225" t="e">
        <f ca="1" xml:space="preserve"> _xll.EPMOlapMemberO("[FILA_NOTA].[PARENTH1].[11804000]","","11804000","","001")</f>
        <v>#NAME?</v>
      </c>
      <c r="Y37" t="e">
        <f ca="1">_xll.EPMMemberProperty("ANEXO_NOTAS_XBRL", X37, "LONGDESCR")</f>
        <v>#NAME?</v>
      </c>
      <c r="Z37" s="500">
        <f>SUM(Z36)</f>
        <v>0</v>
      </c>
      <c r="AA37" s="500">
        <f t="shared" si="0"/>
        <v>0</v>
      </c>
      <c r="AC37" s="225" t="e">
        <f ca="1" xml:space="preserve"> _xll.EPMOlapMemberO("[FILA_NOTA].[PARENTH1].[11701004]","","11701004","","000")</f>
        <v>#NAME?</v>
      </c>
      <c r="AD37">
        <v>9223153617</v>
      </c>
    </row>
    <row r="38" spans="1:30" ht="24.75" thickBot="1">
      <c r="A38" s="99">
        <f>IF(L38="Ok",0,1)</f>
        <v>1</v>
      </c>
      <c r="B38" s="596">
        <v>11804001</v>
      </c>
      <c r="C38" s="398" t="s">
        <v>195</v>
      </c>
      <c r="D38" s="881"/>
      <c r="E38" s="882"/>
      <c r="F38" s="883"/>
      <c r="G38" s="219" t="s">
        <v>196</v>
      </c>
      <c r="H38" s="362" t="e">
        <f ca="1">_xll.EPMSaveComment(D38, ,$B38,$E$13)</f>
        <v>#NAME?</v>
      </c>
      <c r="I38" s="362"/>
      <c r="J38" s="606"/>
      <c r="K38" s="465"/>
      <c r="L38" s="19" t="str">
        <f>IF(LEN(D38)&lt;3,"Error","Ok")</f>
        <v>Error</v>
      </c>
      <c r="M38" s="465"/>
      <c r="N38" s="465"/>
      <c r="O38" s="596">
        <f t="shared" si="1"/>
        <v>11804001</v>
      </c>
      <c r="P38" s="142" t="s">
        <v>195</v>
      </c>
      <c r="Q38" s="884" t="str">
        <f>IFERROR(INDEX(BPC_COMENTARIOS2[#All],MATCH($O38&amp;"_"&amp;Q$13,BPC_COMENTARIOS2[[#All],[FILA_COLUMNA]],0),2),"")</f>
        <v/>
      </c>
      <c r="R38" s="884" t="str">
        <f>IFERROR(INDEX(BPC_COMENTARIOS2[#All],MATCH($O38&amp;"_"&amp;R$13,BPC_COMENTARIOS2[[#All],[FILA_COLUMNA]],0),2),"")</f>
        <v/>
      </c>
      <c r="S38" s="885" t="str">
        <f>IFERROR(INDEX(BPC_COMENTARIOS2[#All],MATCH($O38&amp;"_"&amp;S$13,BPC_COMENTARIOS2[[#All],[FILA_COLUMNA]],0),2),"")</f>
        <v/>
      </c>
      <c r="T38" s="137" t="s">
        <v>196</v>
      </c>
      <c r="U38" s="465"/>
      <c r="V38" s="465"/>
      <c r="W38" s="211"/>
      <c r="X38" s="225" t="e">
        <f ca="1" xml:space="preserve"> _xll.EPMOlapMemberO("[FILA_NOTA].[PARENTH1].[11805002]","","11805002","","001")</f>
        <v>#NAME?</v>
      </c>
      <c r="Y38" t="e">
        <f ca="1">_xll.EPMMemberProperty("ANEXO_NOTAS_XBRL", X38, "LONGDESCR")</f>
        <v>#NAME?</v>
      </c>
      <c r="Z38" s="500">
        <v>0</v>
      </c>
      <c r="AA38" s="500">
        <f t="shared" si="0"/>
        <v>0</v>
      </c>
      <c r="AC38" s="225" t="e">
        <f ca="1" xml:space="preserve"> _xll.EPMOlapMemberO("[FILA_NOTA].[PARENTH1].[11701005]","","11701005","","000")</f>
        <v>#NAME?</v>
      </c>
      <c r="AD38">
        <v>0</v>
      </c>
    </row>
    <row r="39" spans="1:30">
      <c r="B39" s="596">
        <v>11805001</v>
      </c>
      <c r="C39" s="886" t="s">
        <v>197</v>
      </c>
      <c r="D39" s="136" t="s">
        <v>20748</v>
      </c>
      <c r="E39" s="136" t="s">
        <v>193</v>
      </c>
      <c r="F39" s="888">
        <f>SUM(E40:E53)</f>
        <v>0</v>
      </c>
      <c r="G39" s="890" t="s">
        <v>443</v>
      </c>
      <c r="H39" s="362"/>
      <c r="I39" s="362"/>
      <c r="J39" s="210"/>
      <c r="K39" s="465"/>
      <c r="L39" s="210"/>
      <c r="M39" s="465"/>
      <c r="N39" s="465"/>
      <c r="O39" s="596">
        <f t="shared" si="1"/>
        <v>11805001</v>
      </c>
      <c r="P39" s="893" t="s">
        <v>197</v>
      </c>
      <c r="Q39" s="136" t="s">
        <v>20748</v>
      </c>
      <c r="R39" s="136" t="s">
        <v>193</v>
      </c>
      <c r="S39" s="895">
        <f>SUM(R40:R53)</f>
        <v>0</v>
      </c>
      <c r="T39" s="863" t="s">
        <v>443</v>
      </c>
      <c r="U39" s="465"/>
      <c r="V39" s="465"/>
      <c r="W39" s="211"/>
      <c r="X39" s="225" t="e">
        <f ca="1" xml:space="preserve"> _xll.EPMOlapMemberO("[FILA_NOTA].[PARENTH1].[11805003]","","11805003","","001")</f>
        <v>#NAME?</v>
      </c>
      <c r="Y39" t="e">
        <f ca="1">_xll.EPMMemberProperty("ANEXO_NOTAS_XBRL", X39, "LONGDESCR")</f>
        <v>#NAME?</v>
      </c>
      <c r="Z39" s="500">
        <v>0</v>
      </c>
      <c r="AA39" s="500">
        <f t="shared" si="0"/>
        <v>0</v>
      </c>
      <c r="AC39" s="225" t="e">
        <f ca="1" xml:space="preserve"> _xll.EPMOlapMemberO("[FILA_NOTA].[PARENTH1].[11701006]","","11701006","","000")</f>
        <v>#NAME?</v>
      </c>
      <c r="AD39">
        <v>0</v>
      </c>
    </row>
    <row r="40" spans="1:30">
      <c r="B40" s="596">
        <v>11805002</v>
      </c>
      <c r="C40" s="887"/>
      <c r="D40" s="374"/>
      <c r="E40" s="523"/>
      <c r="F40" s="889"/>
      <c r="G40" s="891"/>
      <c r="H40" s="362" t="e">
        <f ca="1">_xll.EPMSaveComment(D40, ,$B40,$E$13)</f>
        <v>#NAME?</v>
      </c>
      <c r="I40" s="362" t="e">
        <f ca="1">_xll.EPMSaveData(E40,,$B40,$E$13)</f>
        <v>#NAME?</v>
      </c>
      <c r="J40" s="210"/>
      <c r="K40" s="465"/>
      <c r="L40" s="19" t="str">
        <f t="shared" ref="L40:L53" si="3">IF(AND(E40&lt;&gt;0,LEN(D40)&lt;3),"Error","Ok")</f>
        <v>Ok</v>
      </c>
      <c r="M40" s="465"/>
      <c r="N40" s="465"/>
      <c r="O40" s="596">
        <f t="shared" si="1"/>
        <v>11805002</v>
      </c>
      <c r="P40" s="894"/>
      <c r="Q40" s="146" t="str">
        <f>IFERROR(INDEX(BPC_COMENTARIOS2[#All],MATCH($O40&amp;"_"&amp;Q$13,BPC_COMENTARIOS2[[#All],[FILA_COLUMNA]],0),2),"")</f>
        <v/>
      </c>
      <c r="R40" s="283" t="str">
        <f>IFERROR(INDEX(BPC_NOTAS2[#All],MATCH($O40&amp;"_"&amp;R$13,BPC_NOTAS2[[#All],[FILA_COLUMNA]],0),2),"")</f>
        <v/>
      </c>
      <c r="S40" s="896"/>
      <c r="T40" s="864"/>
      <c r="U40" s="465"/>
      <c r="V40" s="465"/>
      <c r="W40" s="211"/>
      <c r="X40" s="225" t="e">
        <f ca="1" xml:space="preserve"> _xll.EPMOlapMemberO("[FILA_NOTA].[PARENTH1].[11805004]","","11805004","","001")</f>
        <v>#NAME?</v>
      </c>
      <c r="Y40" t="e">
        <f ca="1">_xll.EPMMemberProperty("ANEXO_NOTAS_XBRL", X40, "LONGDESCR")</f>
        <v>#NAME?</v>
      </c>
      <c r="Z40" s="500">
        <v>0</v>
      </c>
      <c r="AA40" s="500">
        <f t="shared" si="0"/>
        <v>0</v>
      </c>
      <c r="AC40" s="225" t="e">
        <f ca="1" xml:space="preserve"> _xll.EPMOlapMemberO("[FILA_NOTA].[PARENTH1].[11701007]","","11701007","","000")</f>
        <v>#NAME?</v>
      </c>
      <c r="AD40">
        <v>0</v>
      </c>
    </row>
    <row r="41" spans="1:30">
      <c r="B41" s="596">
        <v>11805003</v>
      </c>
      <c r="C41" s="887"/>
      <c r="D41" s="374"/>
      <c r="E41" s="523"/>
      <c r="F41" s="889"/>
      <c r="G41" s="891"/>
      <c r="H41" s="362" t="e">
        <f ca="1">_xll.EPMSaveComment(D41, ,$B41,$E$13)</f>
        <v>#NAME?</v>
      </c>
      <c r="I41" s="362" t="e">
        <f ca="1">_xll.EPMSaveData(E41,,$B41,$E$13)</f>
        <v>#NAME?</v>
      </c>
      <c r="J41" s="210"/>
      <c r="K41" s="465"/>
      <c r="L41" s="19" t="str">
        <f t="shared" si="3"/>
        <v>Ok</v>
      </c>
      <c r="M41" s="465"/>
      <c r="N41" s="465"/>
      <c r="O41" s="596">
        <f t="shared" si="1"/>
        <v>11805003</v>
      </c>
      <c r="P41" s="894"/>
      <c r="Q41" s="146" t="str">
        <f>IFERROR(INDEX(BPC_COMENTARIOS2[#All],MATCH($O41&amp;"_"&amp;Q$13,BPC_COMENTARIOS2[[#All],[FILA_COLUMNA]],0),2),"")</f>
        <v/>
      </c>
      <c r="R41" s="283" t="str">
        <f>IFERROR(INDEX(BPC_NOTAS2[#All],MATCH($O41&amp;"_"&amp;R$13,BPC_NOTAS2[[#All],[FILA_COLUMNA]],0),2),"")</f>
        <v/>
      </c>
      <c r="S41" s="896"/>
      <c r="T41" s="864"/>
      <c r="U41" s="465"/>
      <c r="V41" s="465"/>
      <c r="W41" s="211"/>
      <c r="AC41" s="499" t="e">
        <f ca="1" xml:space="preserve"> _xll.EPMOlapMemberO("[FILA_NOTA].[PARENTH1].[11701008]","","11701008","","000")</f>
        <v>#NAME?</v>
      </c>
      <c r="AD41" s="273">
        <f>SUM(AD36:AD40)</f>
        <v>9223153617</v>
      </c>
    </row>
    <row r="42" spans="1:30">
      <c r="B42" s="596">
        <v>11805004</v>
      </c>
      <c r="C42" s="887"/>
      <c r="D42" s="374"/>
      <c r="E42" s="523"/>
      <c r="F42" s="889"/>
      <c r="G42" s="891"/>
      <c r="H42" s="362" t="e">
        <f ca="1">_xll.EPMSaveComment(D42, ,$B42,$E$13)</f>
        <v>#NAME?</v>
      </c>
      <c r="I42" s="362" t="e">
        <f ca="1">_xll.EPMSaveData(E42,,$B42,$E$13)</f>
        <v>#NAME?</v>
      </c>
      <c r="J42" s="210"/>
      <c r="K42" s="465"/>
      <c r="L42" s="19" t="str">
        <f t="shared" si="3"/>
        <v>Ok</v>
      </c>
      <c r="M42" s="465"/>
      <c r="N42" s="465"/>
      <c r="O42" s="596">
        <f t="shared" si="1"/>
        <v>11805004</v>
      </c>
      <c r="P42" s="894"/>
      <c r="Q42" s="146" t="str">
        <f>IFERROR(INDEX(BPC_COMENTARIOS2[#All],MATCH($O42&amp;"_"&amp;Q$13,BPC_COMENTARIOS2[[#All],[FILA_COLUMNA]],0),2),"")</f>
        <v/>
      </c>
      <c r="R42" s="283" t="str">
        <f>IFERROR(INDEX(BPC_NOTAS2[#All],MATCH($O42&amp;"_"&amp;R$13,BPC_NOTAS2[[#All],[FILA_COLUMNA]],0),2),"")</f>
        <v/>
      </c>
      <c r="S42" s="896"/>
      <c r="T42" s="864"/>
      <c r="U42" s="465"/>
      <c r="V42" s="465"/>
      <c r="W42" s="211"/>
      <c r="X42" s="225" t="e">
        <f ca="1" xml:space="preserve"> _xll.EPMOlapMemberO("[FILA_NOTA].[PARENTH1].[11805005]","","11805005","","001")</f>
        <v>#NAME?</v>
      </c>
      <c r="Y42" t="e">
        <f ca="1">_xll.EPMMemberProperty("ANEXO_NOTAS_XBRL", X42, "LONGDESCR")</f>
        <v>#NAME?</v>
      </c>
      <c r="Z42" s="500">
        <v>0</v>
      </c>
      <c r="AA42" s="500">
        <f>SUM(Z42)</f>
        <v>0</v>
      </c>
    </row>
    <row r="43" spans="1:30">
      <c r="B43" s="596">
        <v>11805005</v>
      </c>
      <c r="C43" s="887"/>
      <c r="D43" s="374"/>
      <c r="E43" s="523"/>
      <c r="F43" s="889"/>
      <c r="G43" s="891"/>
      <c r="H43" s="362" t="e">
        <f ca="1">_xll.EPMSaveComment(D43, ,$B43,$E$13)</f>
        <v>#NAME?</v>
      </c>
      <c r="I43" s="362" t="e">
        <f ca="1">_xll.EPMSaveData(E43,,$B43,$E$13)</f>
        <v>#NAME?</v>
      </c>
      <c r="J43" s="210"/>
      <c r="K43" s="465"/>
      <c r="L43" s="19" t="str">
        <f t="shared" si="3"/>
        <v>Ok</v>
      </c>
      <c r="M43" s="465"/>
      <c r="N43" s="465"/>
      <c r="O43" s="596">
        <f t="shared" si="1"/>
        <v>11805005</v>
      </c>
      <c r="P43" s="894"/>
      <c r="Q43" s="146" t="str">
        <f>IFERROR(INDEX(BPC_COMENTARIOS2[#All],MATCH($O43&amp;"_"&amp;Q$13,BPC_COMENTARIOS2[[#All],[FILA_COLUMNA]],0),2),"")</f>
        <v/>
      </c>
      <c r="R43" s="283" t="str">
        <f>IFERROR(INDEX(BPC_NOTAS2[#All],MATCH($O43&amp;"_"&amp;R$13,BPC_NOTAS2[[#All],[FILA_COLUMNA]],0),2),"")</f>
        <v/>
      </c>
      <c r="S43" s="896"/>
      <c r="T43" s="864"/>
      <c r="U43" s="465"/>
      <c r="V43" s="465"/>
      <c r="W43" s="211"/>
      <c r="X43" s="225" t="e">
        <f ca="1" xml:space="preserve"> _xll.EPMOlapMemberO("[FILA_NOTA].[PARENTH1].[11805006]","","11805006","","001")</f>
        <v>#NAME?</v>
      </c>
      <c r="Y43" t="e">
        <f ca="1">_xll.EPMMemberProperty("ANEXO_NOTAS_XBRL", X43, "LONGDESCR")</f>
        <v>#NAME?</v>
      </c>
      <c r="Z43" s="500">
        <v>0</v>
      </c>
      <c r="AA43" s="500">
        <f t="shared" ref="AA43:AA55" si="4">SUM(Z43)</f>
        <v>0</v>
      </c>
    </row>
    <row r="44" spans="1:30">
      <c r="B44" s="596">
        <v>11805006</v>
      </c>
      <c r="C44" s="887"/>
      <c r="D44" s="374"/>
      <c r="E44" s="523"/>
      <c r="F44" s="889"/>
      <c r="G44" s="891"/>
      <c r="H44" s="362" t="e">
        <f ca="1">_xll.EPMSaveComment(D44, ,$B44,$E$13)</f>
        <v>#NAME?</v>
      </c>
      <c r="I44" s="362" t="e">
        <f ca="1">_xll.EPMSaveData(E44,,$B44,$E$13)</f>
        <v>#NAME?</v>
      </c>
      <c r="J44" s="210"/>
      <c r="K44" s="465"/>
      <c r="L44" s="19" t="str">
        <f t="shared" si="3"/>
        <v>Ok</v>
      </c>
      <c r="M44" s="465"/>
      <c r="N44" s="465"/>
      <c r="O44" s="596">
        <f t="shared" si="1"/>
        <v>11805006</v>
      </c>
      <c r="P44" s="894"/>
      <c r="Q44" s="146" t="str">
        <f>IFERROR(INDEX(BPC_COMENTARIOS2[#All],MATCH($O44&amp;"_"&amp;Q$13,BPC_COMENTARIOS2[[#All],[FILA_COLUMNA]],0),2),"")</f>
        <v/>
      </c>
      <c r="R44" s="283" t="str">
        <f>IFERROR(INDEX(BPC_NOTAS2[#All],MATCH($O44&amp;"_"&amp;R$13,BPC_NOTAS2[[#All],[FILA_COLUMNA]],0),2),"")</f>
        <v/>
      </c>
      <c r="S44" s="896"/>
      <c r="T44" s="864"/>
      <c r="U44" s="465"/>
      <c r="V44" s="465"/>
      <c r="W44" s="211"/>
      <c r="X44" s="225" t="e">
        <f ca="1" xml:space="preserve"> _xll.EPMOlapMemberO("[FILA_NOTA].[PARENTH1].[11805007]","","11805007","","001")</f>
        <v>#NAME?</v>
      </c>
      <c r="Y44" t="e">
        <f ca="1">_xll.EPMMemberProperty("ANEXO_NOTAS_XBRL", X44, "LONGDESCR")</f>
        <v>#NAME?</v>
      </c>
      <c r="Z44" s="500">
        <v>0</v>
      </c>
      <c r="AA44" s="500">
        <f t="shared" si="4"/>
        <v>0</v>
      </c>
    </row>
    <row r="45" spans="1:30">
      <c r="B45" s="596">
        <v>11805007</v>
      </c>
      <c r="C45" s="887"/>
      <c r="D45" s="374"/>
      <c r="E45" s="523"/>
      <c r="F45" s="889"/>
      <c r="G45" s="891"/>
      <c r="H45" s="362" t="e">
        <f ca="1">_xll.EPMSaveComment(D45, ,$B45,$E$13)</f>
        <v>#NAME?</v>
      </c>
      <c r="I45" s="362" t="e">
        <f ca="1">_xll.EPMSaveData(E45,,$B45,$E$13)</f>
        <v>#NAME?</v>
      </c>
      <c r="J45" s="210"/>
      <c r="K45" s="465"/>
      <c r="L45" s="19" t="str">
        <f t="shared" si="3"/>
        <v>Ok</v>
      </c>
      <c r="M45" s="465"/>
      <c r="N45" s="465"/>
      <c r="O45" s="596">
        <f t="shared" si="1"/>
        <v>11805007</v>
      </c>
      <c r="P45" s="894"/>
      <c r="Q45" s="146" t="str">
        <f>IFERROR(INDEX(BPC_COMENTARIOS2[#All],MATCH($O45&amp;"_"&amp;Q$13,BPC_COMENTARIOS2[[#All],[FILA_COLUMNA]],0),2),"")</f>
        <v/>
      </c>
      <c r="R45" s="283" t="str">
        <f>IFERROR(INDEX(BPC_NOTAS2[#All],MATCH($O45&amp;"_"&amp;R$13,BPC_NOTAS2[[#All],[FILA_COLUMNA]],0),2),"")</f>
        <v/>
      </c>
      <c r="S45" s="896"/>
      <c r="T45" s="864"/>
      <c r="U45" s="465"/>
      <c r="V45" s="465"/>
      <c r="W45" s="211"/>
      <c r="X45" s="225" t="e">
        <f ca="1" xml:space="preserve"> _xll.EPMOlapMemberO("[FILA_NOTA].[PARENTH1].[11805008]","","11805008","","001")</f>
        <v>#NAME?</v>
      </c>
      <c r="Y45" t="e">
        <f ca="1">_xll.EPMMemberProperty("ANEXO_NOTAS_XBRL", X45, "LONGDESCR")</f>
        <v>#NAME?</v>
      </c>
      <c r="Z45" s="500">
        <v>0</v>
      </c>
      <c r="AA45" s="500">
        <f t="shared" si="4"/>
        <v>0</v>
      </c>
    </row>
    <row r="46" spans="1:30">
      <c r="B46" s="596">
        <v>11805008</v>
      </c>
      <c r="C46" s="887"/>
      <c r="D46" s="374"/>
      <c r="E46" s="523"/>
      <c r="F46" s="889"/>
      <c r="G46" s="891"/>
      <c r="H46" s="362" t="e">
        <f ca="1">_xll.EPMSaveComment(D46, ,$B46,$E$13)</f>
        <v>#NAME?</v>
      </c>
      <c r="I46" s="362" t="e">
        <f ca="1">_xll.EPMSaveData(E46,,$B46,$E$13)</f>
        <v>#NAME?</v>
      </c>
      <c r="J46" s="210"/>
      <c r="K46" s="465"/>
      <c r="L46" s="19" t="str">
        <f t="shared" si="3"/>
        <v>Ok</v>
      </c>
      <c r="M46" s="465"/>
      <c r="N46" s="465"/>
      <c r="O46" s="596">
        <f t="shared" si="1"/>
        <v>11805008</v>
      </c>
      <c r="P46" s="894"/>
      <c r="Q46" s="146" t="str">
        <f>IFERROR(INDEX(BPC_COMENTARIOS2[#All],MATCH($O46&amp;"_"&amp;Q$13,BPC_COMENTARIOS2[[#All],[FILA_COLUMNA]],0),2),"")</f>
        <v/>
      </c>
      <c r="R46" s="283" t="str">
        <f>IFERROR(INDEX(BPC_NOTAS2[#All],MATCH($O46&amp;"_"&amp;R$13,BPC_NOTAS2[[#All],[FILA_COLUMNA]],0),2),"")</f>
        <v/>
      </c>
      <c r="S46" s="896"/>
      <c r="T46" s="864"/>
      <c r="U46" s="465"/>
      <c r="V46" s="465"/>
      <c r="W46" s="211"/>
      <c r="X46" s="225" t="e">
        <f ca="1" xml:space="preserve"> _xll.EPMOlapMemberO("[FILA_NOTA].[PARENTH1].[11805009]","","11805009","","001")</f>
        <v>#NAME?</v>
      </c>
      <c r="Y46" t="e">
        <f ca="1">_xll.EPMMemberProperty("ANEXO_NOTAS_XBRL", X46, "LONGDESCR")</f>
        <v>#NAME?</v>
      </c>
      <c r="Z46" s="500">
        <v>0</v>
      </c>
      <c r="AA46" s="500">
        <f t="shared" si="4"/>
        <v>0</v>
      </c>
    </row>
    <row r="47" spans="1:30">
      <c r="B47" s="596">
        <v>11805009</v>
      </c>
      <c r="C47" s="887"/>
      <c r="D47" s="374"/>
      <c r="E47" s="523"/>
      <c r="F47" s="889"/>
      <c r="G47" s="891"/>
      <c r="H47" s="362" t="e">
        <f ca="1">_xll.EPMSaveComment(D47, ,$B47,$E$13)</f>
        <v>#NAME?</v>
      </c>
      <c r="I47" s="362" t="e">
        <f ca="1">_xll.EPMSaveData(E47,,$B47,$E$13)</f>
        <v>#NAME?</v>
      </c>
      <c r="J47" s="210"/>
      <c r="K47" s="465"/>
      <c r="L47" s="19" t="str">
        <f t="shared" si="3"/>
        <v>Ok</v>
      </c>
      <c r="M47" s="465"/>
      <c r="N47" s="465"/>
      <c r="O47" s="596">
        <f t="shared" si="1"/>
        <v>11805009</v>
      </c>
      <c r="P47" s="894"/>
      <c r="Q47" s="146" t="str">
        <f>IFERROR(INDEX(BPC_COMENTARIOS2[#All],MATCH($O47&amp;"_"&amp;Q$13,BPC_COMENTARIOS2[[#All],[FILA_COLUMNA]],0),2),"")</f>
        <v/>
      </c>
      <c r="R47" s="283" t="str">
        <f>IFERROR(INDEX(BPC_NOTAS2[#All],MATCH($O47&amp;"_"&amp;R$13,BPC_NOTAS2[[#All],[FILA_COLUMNA]],0),2),"")</f>
        <v/>
      </c>
      <c r="S47" s="896"/>
      <c r="T47" s="864"/>
      <c r="U47" s="465"/>
      <c r="V47" s="465"/>
      <c r="W47" s="211"/>
      <c r="X47" s="225" t="e">
        <f ca="1" xml:space="preserve"> _xll.EPMOlapMemberO("[FILA_NOTA].[PARENTH1].[11805010]","","11805010","","001")</f>
        <v>#NAME?</v>
      </c>
      <c r="Y47" t="e">
        <f ca="1">_xll.EPMMemberProperty("ANEXO_NOTAS_XBRL", X47, "LONGDESCR")</f>
        <v>#NAME?</v>
      </c>
      <c r="Z47" s="500">
        <v>0</v>
      </c>
      <c r="AA47" s="500">
        <f t="shared" si="4"/>
        <v>0</v>
      </c>
    </row>
    <row r="48" spans="1:30">
      <c r="B48" s="596">
        <v>11805010</v>
      </c>
      <c r="C48" s="887"/>
      <c r="D48" s="374"/>
      <c r="E48" s="523"/>
      <c r="F48" s="889"/>
      <c r="G48" s="891"/>
      <c r="H48" s="362" t="e">
        <f ca="1">_xll.EPMSaveComment(D48, ,$B48,$E$13)</f>
        <v>#NAME?</v>
      </c>
      <c r="I48" s="362" t="e">
        <f ca="1">_xll.EPMSaveData(E48,,$B48,$E$13)</f>
        <v>#NAME?</v>
      </c>
      <c r="J48" s="210"/>
      <c r="K48" s="465"/>
      <c r="L48" s="19" t="str">
        <f t="shared" si="3"/>
        <v>Ok</v>
      </c>
      <c r="M48" s="465"/>
      <c r="N48" s="465"/>
      <c r="O48" s="596">
        <f t="shared" si="1"/>
        <v>11805010</v>
      </c>
      <c r="P48" s="894"/>
      <c r="Q48" s="146" t="str">
        <f>IFERROR(INDEX(BPC_COMENTARIOS2[#All],MATCH($O48&amp;"_"&amp;Q$13,BPC_COMENTARIOS2[[#All],[FILA_COLUMNA]],0),2),"")</f>
        <v/>
      </c>
      <c r="R48" s="283" t="str">
        <f>IFERROR(INDEX(BPC_NOTAS2[#All],MATCH($O48&amp;"_"&amp;R$13,BPC_NOTAS2[[#All],[FILA_COLUMNA]],0),2),"")</f>
        <v/>
      </c>
      <c r="S48" s="896"/>
      <c r="T48" s="864"/>
      <c r="U48" s="465"/>
      <c r="V48" s="465"/>
      <c r="W48" s="211"/>
      <c r="X48" s="225" t="e">
        <f ca="1" xml:space="preserve"> _xll.EPMOlapMemberO("[FILA_NOTA].[PARENTH1].[11805011]","","11805011","","001")</f>
        <v>#NAME?</v>
      </c>
      <c r="Y48" t="e">
        <f ca="1">_xll.EPMMemberProperty("ANEXO_NOTAS_XBRL", X48, "LONGDESCR")</f>
        <v>#NAME?</v>
      </c>
      <c r="Z48" s="500">
        <v>0</v>
      </c>
      <c r="AA48" s="500">
        <f t="shared" si="4"/>
        <v>0</v>
      </c>
    </row>
    <row r="49" spans="1:27">
      <c r="B49" s="596">
        <v>11805011</v>
      </c>
      <c r="C49" s="887"/>
      <c r="D49" s="374"/>
      <c r="E49" s="523"/>
      <c r="F49" s="889"/>
      <c r="G49" s="891"/>
      <c r="H49" s="362" t="e">
        <f ca="1">_xll.EPMSaveComment(D49, ,$B49,$E$13)</f>
        <v>#NAME?</v>
      </c>
      <c r="I49" s="362" t="e">
        <f ca="1">_xll.EPMSaveData(E49,,$B49,$E$13)</f>
        <v>#NAME?</v>
      </c>
      <c r="J49" s="210"/>
      <c r="K49" s="465"/>
      <c r="L49" s="19" t="str">
        <f t="shared" si="3"/>
        <v>Ok</v>
      </c>
      <c r="M49" s="465"/>
      <c r="N49" s="465"/>
      <c r="O49" s="596">
        <f t="shared" si="1"/>
        <v>11805011</v>
      </c>
      <c r="P49" s="894"/>
      <c r="Q49" s="146" t="str">
        <f>IFERROR(INDEX(BPC_COMENTARIOS2[#All],MATCH($O49&amp;"_"&amp;Q$13,BPC_COMENTARIOS2[[#All],[FILA_COLUMNA]],0),2),"")</f>
        <v/>
      </c>
      <c r="R49" s="283" t="str">
        <f>IFERROR(INDEX(BPC_NOTAS2[#All],MATCH($O49&amp;"_"&amp;R$13,BPC_NOTAS2[[#All],[FILA_COLUMNA]],0),2),"")</f>
        <v/>
      </c>
      <c r="S49" s="896"/>
      <c r="T49" s="864"/>
      <c r="U49" s="465"/>
      <c r="V49" s="465"/>
      <c r="W49" s="211"/>
      <c r="X49" s="225" t="e">
        <f ca="1" xml:space="preserve"> _xll.EPMOlapMemberO("[FILA_NOTA].[PARENTH1].[11805012]","","11805012","","001")</f>
        <v>#NAME?</v>
      </c>
      <c r="Y49" t="e">
        <f ca="1">_xll.EPMMemberProperty("ANEXO_NOTAS_XBRL", X49, "LONGDESCR")</f>
        <v>#NAME?</v>
      </c>
      <c r="Z49" s="500">
        <v>0</v>
      </c>
      <c r="AA49" s="500">
        <f t="shared" si="4"/>
        <v>0</v>
      </c>
    </row>
    <row r="50" spans="1:27">
      <c r="B50" s="596">
        <v>11805012</v>
      </c>
      <c r="C50" s="887"/>
      <c r="D50" s="374"/>
      <c r="E50" s="523"/>
      <c r="F50" s="889"/>
      <c r="G50" s="891"/>
      <c r="H50" s="362" t="e">
        <f ca="1">_xll.EPMSaveComment(D50, ,$B50,$E$13)</f>
        <v>#NAME?</v>
      </c>
      <c r="I50" s="362" t="e">
        <f ca="1">_xll.EPMSaveData(E50,,$B50,$E$13)</f>
        <v>#NAME?</v>
      </c>
      <c r="J50" s="210"/>
      <c r="K50" s="465"/>
      <c r="L50" s="19" t="str">
        <f t="shared" si="3"/>
        <v>Ok</v>
      </c>
      <c r="M50" s="465"/>
      <c r="N50" s="465"/>
      <c r="O50" s="596">
        <f t="shared" si="1"/>
        <v>11805012</v>
      </c>
      <c r="P50" s="894"/>
      <c r="Q50" s="146" t="str">
        <f>IFERROR(INDEX(BPC_COMENTARIOS2[#All],MATCH($O50&amp;"_"&amp;Q$13,BPC_COMENTARIOS2[[#All],[FILA_COLUMNA]],0),2),"")</f>
        <v/>
      </c>
      <c r="R50" s="283" t="str">
        <f>IFERROR(INDEX(BPC_NOTAS2[#All],MATCH($O50&amp;"_"&amp;R$13,BPC_NOTAS2[[#All],[FILA_COLUMNA]],0),2),"")</f>
        <v/>
      </c>
      <c r="S50" s="896"/>
      <c r="T50" s="864"/>
      <c r="U50" s="465"/>
      <c r="V50" s="465"/>
      <c r="W50" s="211"/>
      <c r="X50" s="225" t="e">
        <f ca="1" xml:space="preserve"> _xll.EPMOlapMemberO("[FILA_NOTA].[PARENTH1].[11805013]","","11805013","","001")</f>
        <v>#NAME?</v>
      </c>
      <c r="Y50" t="e">
        <f ca="1">_xll.EPMMemberProperty("ANEXO_NOTAS_XBRL", X50, "LONGDESCR")</f>
        <v>#NAME?</v>
      </c>
      <c r="Z50" s="500">
        <v>0</v>
      </c>
      <c r="AA50" s="500">
        <f t="shared" si="4"/>
        <v>0</v>
      </c>
    </row>
    <row r="51" spans="1:27">
      <c r="B51" s="596">
        <v>11805013</v>
      </c>
      <c r="C51" s="887"/>
      <c r="D51" s="374"/>
      <c r="E51" s="523"/>
      <c r="F51" s="889"/>
      <c r="G51" s="891"/>
      <c r="H51" s="362" t="e">
        <f ca="1">_xll.EPMSaveComment(D51, ,$B51,$E$13)</f>
        <v>#NAME?</v>
      </c>
      <c r="I51" s="362" t="e">
        <f ca="1">_xll.EPMSaveData(E51,,$B51,$E$13)</f>
        <v>#NAME?</v>
      </c>
      <c r="J51" s="210"/>
      <c r="K51" s="465"/>
      <c r="L51" s="19" t="str">
        <f t="shared" si="3"/>
        <v>Ok</v>
      </c>
      <c r="M51" s="465"/>
      <c r="N51" s="465"/>
      <c r="O51" s="596">
        <f t="shared" si="1"/>
        <v>11805013</v>
      </c>
      <c r="P51" s="894"/>
      <c r="Q51" s="146" t="str">
        <f>IFERROR(INDEX(BPC_COMENTARIOS2[#All],MATCH($O51&amp;"_"&amp;Q$13,BPC_COMENTARIOS2[[#All],[FILA_COLUMNA]],0),2),"")</f>
        <v/>
      </c>
      <c r="R51" s="283" t="str">
        <f>IFERROR(INDEX(BPC_NOTAS2[#All],MATCH($O51&amp;"_"&amp;R$13,BPC_NOTAS2[[#All],[FILA_COLUMNA]],0),2),"")</f>
        <v/>
      </c>
      <c r="S51" s="896"/>
      <c r="T51" s="864"/>
      <c r="U51" s="465"/>
      <c r="V51" s="465"/>
      <c r="W51" s="211"/>
      <c r="X51" s="225" t="e">
        <f ca="1" xml:space="preserve"> _xll.EPMOlapMemberO("[FILA_NOTA].[PARENTH1].[11805014]","","11805014","","001")</f>
        <v>#NAME?</v>
      </c>
      <c r="Y51" t="e">
        <f ca="1">_xll.EPMMemberProperty("ANEXO_NOTAS_XBRL", X51, "LONGDESCR")</f>
        <v>#NAME?</v>
      </c>
      <c r="Z51" s="500">
        <v>0</v>
      </c>
      <c r="AA51" s="500">
        <f t="shared" si="4"/>
        <v>0</v>
      </c>
    </row>
    <row r="52" spans="1:27">
      <c r="B52" s="596">
        <v>11805014</v>
      </c>
      <c r="C52" s="887"/>
      <c r="D52" s="374"/>
      <c r="E52" s="523"/>
      <c r="F52" s="889"/>
      <c r="G52" s="891"/>
      <c r="H52" s="362" t="e">
        <f ca="1">_xll.EPMSaveComment(D52, ,$B52,$E$13)</f>
        <v>#NAME?</v>
      </c>
      <c r="I52" s="362" t="e">
        <f ca="1">_xll.EPMSaveData(E52,,$B52,$E$13)</f>
        <v>#NAME?</v>
      </c>
      <c r="J52" s="210"/>
      <c r="K52" s="465"/>
      <c r="L52" s="19" t="str">
        <f t="shared" si="3"/>
        <v>Ok</v>
      </c>
      <c r="M52" s="465"/>
      <c r="N52" s="465"/>
      <c r="O52" s="596">
        <f t="shared" si="1"/>
        <v>11805014</v>
      </c>
      <c r="P52" s="894"/>
      <c r="Q52" s="146" t="str">
        <f>IFERROR(INDEX(BPC_COMENTARIOS2[#All],MATCH($O52&amp;"_"&amp;Q$13,BPC_COMENTARIOS2[[#All],[FILA_COLUMNA]],0),2),"")</f>
        <v/>
      </c>
      <c r="R52" s="283" t="str">
        <f>IFERROR(INDEX(BPC_NOTAS2[#All],MATCH($O52&amp;"_"&amp;R$13,BPC_NOTAS2[[#All],[FILA_COLUMNA]],0),2),"")</f>
        <v/>
      </c>
      <c r="S52" s="896"/>
      <c r="T52" s="864"/>
      <c r="U52" s="465"/>
      <c r="V52" s="465"/>
      <c r="W52" s="211"/>
      <c r="X52" s="225" t="e">
        <f ca="1" xml:space="preserve"> _xll.EPMOlapMemberO("[FILA_NOTA].[PARENTH1].[11805015]","","11805015","","001")</f>
        <v>#NAME?</v>
      </c>
      <c r="Y52" t="e">
        <f ca="1">_xll.EPMMemberProperty("ANEXO_NOTAS_XBRL", X52, "LONGDESCR")</f>
        <v>#NAME?</v>
      </c>
      <c r="Z52" s="500">
        <v>0</v>
      </c>
      <c r="AA52" s="500">
        <f t="shared" si="4"/>
        <v>0</v>
      </c>
    </row>
    <row r="53" spans="1:27" ht="15.75" thickBot="1">
      <c r="B53" s="596">
        <v>11805015</v>
      </c>
      <c r="C53" s="887"/>
      <c r="D53" s="375"/>
      <c r="E53" s="523"/>
      <c r="F53" s="889"/>
      <c r="G53" s="892"/>
      <c r="H53" s="362" t="e">
        <f ca="1">_xll.EPMSaveComment(D53, ,$B53,$E$13)</f>
        <v>#NAME?</v>
      </c>
      <c r="I53" s="362" t="e">
        <f ca="1">_xll.EPMSaveData(E53,,$B53,$E$13)</f>
        <v>#NAME?</v>
      </c>
      <c r="J53" s="210"/>
      <c r="K53" s="465"/>
      <c r="L53" s="19" t="str">
        <f t="shared" si="3"/>
        <v>Ok</v>
      </c>
      <c r="M53" s="465"/>
      <c r="N53" s="465"/>
      <c r="O53" s="596">
        <f t="shared" si="1"/>
        <v>11805015</v>
      </c>
      <c r="P53" s="894"/>
      <c r="Q53" s="146" t="str">
        <f>IFERROR(INDEX(BPC_COMENTARIOS2[#All],MATCH($O53&amp;"_"&amp;Q$13,BPC_COMENTARIOS2[[#All],[FILA_COLUMNA]],0),2),"")</f>
        <v/>
      </c>
      <c r="R53" s="283" t="str">
        <f>IFERROR(INDEX(BPC_NOTAS2[#All],MATCH($O53&amp;"_"&amp;R$13,BPC_NOTAS2[[#All],[FILA_COLUMNA]],0),2),"")</f>
        <v/>
      </c>
      <c r="S53" s="896"/>
      <c r="T53" s="864"/>
      <c r="U53" s="465"/>
      <c r="V53" s="465"/>
      <c r="W53" s="211"/>
      <c r="X53" s="225" t="e">
        <f ca="1" xml:space="preserve"> _xll.EPMOlapMemberO("[FILA_NOTA].[PARENTH1].[11805000]","","11805000","","001")</f>
        <v>#NAME?</v>
      </c>
      <c r="Y53" t="e">
        <f ca="1">_xll.EPMMemberProperty("ANEXO_NOTAS_XBRL", X53, "LONGDESCR")</f>
        <v>#NAME?</v>
      </c>
      <c r="Z53" s="500">
        <f>SUM(Z38:Z40,Z42:Z52)</f>
        <v>0</v>
      </c>
      <c r="AA53" s="500">
        <f t="shared" si="4"/>
        <v>0</v>
      </c>
    </row>
    <row r="54" spans="1:27" ht="25.5" thickBot="1">
      <c r="A54" s="98" t="s">
        <v>17</v>
      </c>
      <c r="B54" s="596">
        <v>11806001</v>
      </c>
      <c r="C54" s="398" t="s">
        <v>198</v>
      </c>
      <c r="D54" s="143"/>
      <c r="E54" s="143"/>
      <c r="F54" s="281"/>
      <c r="G54" s="220" t="s">
        <v>199</v>
      </c>
      <c r="H54" s="362"/>
      <c r="I54" s="362" t="e">
        <f ca="1">_xll.EPMSaveData(F54,,$B54,$E$13)</f>
        <v>#NAME?</v>
      </c>
      <c r="J54" s="210"/>
      <c r="K54" s="465"/>
      <c r="L54" s="465"/>
      <c r="M54" s="465"/>
      <c r="N54" s="465"/>
      <c r="O54" s="596">
        <f t="shared" si="1"/>
        <v>11806001</v>
      </c>
      <c r="P54" s="142" t="s">
        <v>198</v>
      </c>
      <c r="Q54" s="143"/>
      <c r="R54" s="143"/>
      <c r="S54" s="282" t="str">
        <f>IFERROR(INDEX(BPC_NOTAS2[#All],MATCH($O54&amp;"_"&amp;R$13,BPC_NOTAS2[[#All],[FILA_COLUMNA]],0),2),"")</f>
        <v/>
      </c>
      <c r="T54" s="144" t="s">
        <v>199</v>
      </c>
      <c r="U54" s="465"/>
      <c r="V54" s="465"/>
      <c r="W54" s="211"/>
      <c r="X54" s="225" t="e">
        <f ca="1" xml:space="preserve"> _xll.EPMOlapMemberO("[FILA_NOTA].[PARENTH1].[11806000]","","11806000","","001")</f>
        <v>#NAME?</v>
      </c>
      <c r="Y54" t="e">
        <f ca="1">_xll.EPMMemberProperty("ANEXO_NOTAS_XBRL", X54, "LONGDESCR")</f>
        <v>#NAME?</v>
      </c>
      <c r="Z54" s="500">
        <v>0</v>
      </c>
      <c r="AA54" s="500">
        <f t="shared" si="4"/>
        <v>0</v>
      </c>
    </row>
    <row r="55" spans="1:27" s="446" customFormat="1">
      <c r="A55" s="592" t="s">
        <v>18</v>
      </c>
      <c r="B55" s="466"/>
      <c r="C55" s="465"/>
      <c r="D55" s="465"/>
      <c r="E55" s="465"/>
      <c r="F55" s="465"/>
      <c r="G55" s="465"/>
      <c r="H55" s="467"/>
      <c r="I55" s="467"/>
      <c r="J55" s="465"/>
      <c r="K55" s="465"/>
      <c r="L55" s="465"/>
      <c r="M55" s="465"/>
      <c r="N55" s="465"/>
      <c r="O55" s="465"/>
      <c r="P55" s="465"/>
      <c r="Q55" s="465"/>
      <c r="R55" s="465"/>
      <c r="S55" s="465"/>
      <c r="T55" s="465"/>
      <c r="U55" s="465"/>
      <c r="V55" s="465"/>
      <c r="W55" s="465"/>
      <c r="X55" s="225" t="e">
        <f ca="1" xml:space="preserve"> _xll.EPMOlapMemberO("[FILA_NOTA].[PARENTH1].[11800000]","","11800000","","001")</f>
        <v>#NAME?</v>
      </c>
      <c r="Y55" t="e">
        <f ca="1">_xll.EPMMemberProperty("ANEXO_NOTAS_XBRL", X55, "LONGDESCR")</f>
        <v>#NAME?</v>
      </c>
      <c r="Z55" s="500">
        <f>SUM(Z15,Z25,Z35,Z37,Z53:Z54)</f>
        <v>0</v>
      </c>
      <c r="AA55" s="500">
        <f t="shared" si="4"/>
        <v>0</v>
      </c>
    </row>
    <row r="56" spans="1:27" s="446" customFormat="1">
      <c r="A56" s="463"/>
      <c r="B56" s="466"/>
      <c r="C56" s="465"/>
      <c r="D56" s="465"/>
      <c r="E56" s="465"/>
      <c r="F56" s="465"/>
      <c r="G56" s="465"/>
      <c r="H56" s="467"/>
      <c r="I56" s="467"/>
      <c r="J56" s="465"/>
      <c r="K56" s="465"/>
      <c r="L56" s="465"/>
      <c r="M56" s="465"/>
      <c r="N56" s="465"/>
      <c r="O56" s="465"/>
      <c r="P56" s="465"/>
      <c r="Q56" s="465"/>
      <c r="R56" s="465"/>
      <c r="S56" s="465"/>
      <c r="T56" s="465"/>
      <c r="U56" s="465"/>
      <c r="V56" s="465"/>
      <c r="W56" s="465"/>
      <c r="X56" s="465"/>
      <c r="Y56" s="465"/>
      <c r="Z56" s="465"/>
      <c r="AA56" s="465"/>
    </row>
    <row r="57" spans="1:27" s="446" customFormat="1">
      <c r="A57" s="463"/>
      <c r="H57" s="468"/>
      <c r="I57" s="468"/>
    </row>
    <row r="58" spans="1:27" s="446" customFormat="1">
      <c r="A58" s="463"/>
      <c r="H58" s="468"/>
      <c r="I58" s="468"/>
    </row>
    <row r="59" spans="1:27" s="446" customFormat="1">
      <c r="A59" s="463"/>
      <c r="H59" s="468"/>
      <c r="I59" s="468"/>
    </row>
    <row r="60" spans="1:27" s="446" customFormat="1">
      <c r="A60" s="463"/>
      <c r="H60" s="468"/>
      <c r="I60" s="468"/>
    </row>
    <row r="61" spans="1:27" s="446" customFormat="1">
      <c r="A61" s="463"/>
      <c r="H61" s="468"/>
      <c r="I61" s="468"/>
    </row>
    <row r="62" spans="1:27" s="446" customFormat="1">
      <c r="A62" s="463"/>
      <c r="H62" s="468"/>
      <c r="I62" s="468"/>
    </row>
    <row r="63" spans="1:27" s="446" customFormat="1">
      <c r="A63" s="463"/>
      <c r="H63" s="468"/>
      <c r="I63" s="468"/>
    </row>
    <row r="64" spans="1:27" s="446" customFormat="1">
      <c r="A64" s="463"/>
      <c r="H64" s="468"/>
      <c r="I64" s="468"/>
    </row>
    <row r="65" spans="1:9" s="446" customFormat="1">
      <c r="A65" s="463"/>
      <c r="H65" s="468"/>
      <c r="I65" s="468"/>
    </row>
    <row r="66" spans="1:9" s="446" customFormat="1">
      <c r="A66" s="463"/>
      <c r="H66" s="468"/>
      <c r="I66" s="468"/>
    </row>
    <row r="67" spans="1:9" s="446" customFormat="1">
      <c r="A67" s="463"/>
      <c r="H67" s="468"/>
      <c r="I67" s="468"/>
    </row>
    <row r="68" spans="1:9" s="446" customFormat="1">
      <c r="A68" s="463"/>
      <c r="H68" s="468"/>
      <c r="I68" s="468"/>
    </row>
    <row r="69" spans="1:9" s="446" customFormat="1">
      <c r="A69" s="463"/>
      <c r="H69" s="468"/>
      <c r="I69" s="468"/>
    </row>
    <row r="70" spans="1:9" s="446" customFormat="1">
      <c r="A70" s="463"/>
      <c r="H70" s="468"/>
      <c r="I70" s="468"/>
    </row>
    <row r="71" spans="1:9" s="446" customFormat="1">
      <c r="A71" s="463"/>
      <c r="H71" s="468"/>
      <c r="I71" s="468"/>
    </row>
    <row r="72" spans="1:9" s="446" customFormat="1">
      <c r="A72" s="463"/>
      <c r="H72" s="468"/>
      <c r="I72" s="468"/>
    </row>
    <row r="73" spans="1:9" s="446" customFormat="1">
      <c r="A73" s="463"/>
      <c r="H73" s="468"/>
      <c r="I73" s="468"/>
    </row>
    <row r="74" spans="1:9" s="446" customFormat="1">
      <c r="A74" s="463"/>
      <c r="H74" s="468"/>
      <c r="I74" s="468"/>
    </row>
    <row r="75" spans="1:9" s="446" customFormat="1">
      <c r="A75" s="463"/>
      <c r="H75" s="468"/>
      <c r="I75" s="468"/>
    </row>
    <row r="76" spans="1:9" s="446" customFormat="1">
      <c r="A76" s="463"/>
      <c r="H76" s="468"/>
      <c r="I76" s="468"/>
    </row>
    <row r="77" spans="1:9" s="446" customFormat="1">
      <c r="A77" s="463"/>
      <c r="H77" s="468"/>
      <c r="I77" s="468"/>
    </row>
    <row r="78" spans="1:9" s="446" customFormat="1">
      <c r="A78" s="463"/>
      <c r="H78" s="468"/>
      <c r="I78" s="468"/>
    </row>
    <row r="79" spans="1:9" s="446" customFormat="1">
      <c r="A79" s="463"/>
      <c r="H79" s="468"/>
      <c r="I79" s="468"/>
    </row>
    <row r="80" spans="1:9" s="446" customFormat="1">
      <c r="A80" s="463"/>
      <c r="H80" s="468"/>
      <c r="I80" s="468"/>
    </row>
    <row r="81" spans="1:9" s="446" customFormat="1">
      <c r="A81" s="463"/>
      <c r="H81" s="468"/>
      <c r="I81" s="468"/>
    </row>
    <row r="82" spans="1:9" s="446" customFormat="1">
      <c r="A82" s="463"/>
      <c r="H82" s="468"/>
      <c r="I82" s="468"/>
    </row>
    <row r="83" spans="1:9" s="446" customFormat="1">
      <c r="A83" s="463"/>
      <c r="H83" s="468"/>
      <c r="I83" s="468"/>
    </row>
    <row r="84" spans="1:9" s="446" customFormat="1">
      <c r="A84" s="463"/>
      <c r="H84" s="468"/>
      <c r="I84" s="468"/>
    </row>
    <row r="85" spans="1:9" s="446" customFormat="1">
      <c r="A85" s="463"/>
      <c r="H85" s="468"/>
      <c r="I85" s="468"/>
    </row>
    <row r="86" spans="1:9" s="446" customFormat="1">
      <c r="A86" s="463"/>
      <c r="H86" s="468"/>
      <c r="I86" s="468"/>
    </row>
    <row r="87" spans="1:9" s="446" customFormat="1">
      <c r="A87" s="463"/>
      <c r="H87" s="468"/>
      <c r="I87" s="468"/>
    </row>
    <row r="88" spans="1:9" s="446" customFormat="1">
      <c r="A88" s="463"/>
      <c r="H88" s="468"/>
      <c r="I88" s="468"/>
    </row>
    <row r="89" spans="1:9" s="446" customFormat="1">
      <c r="A89" s="463"/>
      <c r="H89" s="468"/>
      <c r="I89" s="468"/>
    </row>
    <row r="90" spans="1:9" s="446" customFormat="1">
      <c r="A90" s="463"/>
      <c r="H90" s="468"/>
      <c r="I90" s="468"/>
    </row>
    <row r="91" spans="1:9" s="446" customFormat="1">
      <c r="A91" s="463"/>
      <c r="H91" s="468"/>
      <c r="I91" s="468"/>
    </row>
    <row r="92" spans="1:9" s="446" customFormat="1">
      <c r="A92" s="463"/>
      <c r="H92" s="468"/>
      <c r="I92" s="468"/>
    </row>
    <row r="93" spans="1:9" s="446" customFormat="1">
      <c r="A93" s="463"/>
      <c r="H93" s="468"/>
      <c r="I93" s="468"/>
    </row>
    <row r="94" spans="1:9" s="446" customFormat="1">
      <c r="A94" s="463"/>
      <c r="H94" s="468"/>
      <c r="I94" s="468"/>
    </row>
    <row r="95" spans="1:9" s="446" customFormat="1">
      <c r="A95" s="463"/>
      <c r="H95" s="468"/>
      <c r="I95" s="468"/>
    </row>
    <row r="96" spans="1:9" s="446" customFormat="1">
      <c r="A96" s="463"/>
      <c r="H96" s="468"/>
      <c r="I96" s="468"/>
    </row>
    <row r="97" spans="1:9" s="446" customFormat="1">
      <c r="A97" s="463"/>
      <c r="H97" s="468"/>
      <c r="I97" s="468"/>
    </row>
    <row r="98" spans="1:9" s="446" customFormat="1">
      <c r="A98" s="463"/>
      <c r="H98" s="468"/>
      <c r="I98" s="468"/>
    </row>
    <row r="99" spans="1:9" s="446" customFormat="1">
      <c r="A99" s="463"/>
      <c r="H99" s="468"/>
      <c r="I99" s="468"/>
    </row>
    <row r="100" spans="1:9" s="446" customFormat="1">
      <c r="A100" s="463"/>
      <c r="H100" s="468"/>
      <c r="I100" s="468"/>
    </row>
    <row r="101" spans="1:9" s="446" customFormat="1">
      <c r="A101" s="463"/>
      <c r="H101" s="468"/>
      <c r="I101" s="468"/>
    </row>
    <row r="102" spans="1:9" s="446" customFormat="1">
      <c r="A102" s="463"/>
      <c r="H102" s="468"/>
      <c r="I102" s="468"/>
    </row>
    <row r="103" spans="1:9" s="446" customFormat="1">
      <c r="A103" s="463"/>
      <c r="H103" s="468"/>
      <c r="I103" s="468"/>
    </row>
    <row r="104" spans="1:9" s="446" customFormat="1">
      <c r="A104" s="463"/>
      <c r="H104" s="468"/>
      <c r="I104" s="468"/>
    </row>
    <row r="105" spans="1:9" s="446" customFormat="1">
      <c r="A105" s="463"/>
      <c r="H105" s="468"/>
      <c r="I105" s="468"/>
    </row>
    <row r="106" spans="1:9" s="446" customFormat="1">
      <c r="A106" s="463"/>
      <c r="H106" s="468"/>
      <c r="I106" s="468"/>
    </row>
    <row r="107" spans="1:9" s="446" customFormat="1">
      <c r="A107" s="463"/>
      <c r="H107" s="468"/>
      <c r="I107" s="468"/>
    </row>
    <row r="108" spans="1:9" s="446" customFormat="1">
      <c r="A108" s="463"/>
      <c r="H108" s="468"/>
      <c r="I108" s="468"/>
    </row>
    <row r="109" spans="1:9" s="446" customFormat="1">
      <c r="A109" s="463"/>
      <c r="H109" s="468"/>
      <c r="I109" s="468"/>
    </row>
    <row r="110" spans="1:9" s="446" customFormat="1">
      <c r="A110" s="463"/>
      <c r="H110" s="468"/>
      <c r="I110" s="468"/>
    </row>
    <row r="111" spans="1:9" s="446" customFormat="1">
      <c r="A111" s="463"/>
      <c r="H111" s="468"/>
      <c r="I111" s="468"/>
    </row>
    <row r="112" spans="1:9" s="446" customFormat="1">
      <c r="A112" s="463"/>
      <c r="H112" s="468"/>
      <c r="I112" s="468"/>
    </row>
    <row r="113" spans="1:9" s="446" customFormat="1">
      <c r="A113" s="463"/>
      <c r="H113" s="468"/>
      <c r="I113" s="468"/>
    </row>
    <row r="114" spans="1:9" s="446" customFormat="1">
      <c r="A114" s="463"/>
      <c r="H114" s="468"/>
      <c r="I114" s="468"/>
    </row>
    <row r="115" spans="1:9" s="446" customFormat="1">
      <c r="A115" s="463"/>
      <c r="H115" s="468"/>
      <c r="I115" s="468"/>
    </row>
    <row r="116" spans="1:9" s="446" customFormat="1">
      <c r="A116" s="463"/>
      <c r="H116" s="468"/>
      <c r="I116" s="468"/>
    </row>
    <row r="117" spans="1:9" s="446" customFormat="1">
      <c r="A117" s="463"/>
      <c r="H117" s="468"/>
      <c r="I117" s="468"/>
    </row>
    <row r="118" spans="1:9" s="446" customFormat="1">
      <c r="A118" s="463"/>
      <c r="H118" s="468"/>
      <c r="I118" s="468"/>
    </row>
    <row r="119" spans="1:9" s="446" customFormat="1">
      <c r="A119" s="463"/>
      <c r="H119" s="468"/>
      <c r="I119" s="468"/>
    </row>
    <row r="120" spans="1:9" s="446" customFormat="1">
      <c r="A120" s="463"/>
      <c r="H120" s="468"/>
      <c r="I120" s="468"/>
    </row>
    <row r="121" spans="1:9" s="446" customFormat="1">
      <c r="A121" s="463"/>
      <c r="H121" s="468"/>
      <c r="I121" s="468"/>
    </row>
    <row r="122" spans="1:9" s="446" customFormat="1">
      <c r="A122" s="463"/>
      <c r="H122" s="468"/>
      <c r="I122" s="468"/>
    </row>
    <row r="123" spans="1:9" s="446" customFormat="1">
      <c r="A123" s="463"/>
      <c r="H123" s="468"/>
      <c r="I123" s="468"/>
    </row>
    <row r="124" spans="1:9" s="446" customFormat="1">
      <c r="A124" s="463"/>
      <c r="H124" s="468"/>
      <c r="I124" s="468"/>
    </row>
    <row r="125" spans="1:9" s="446" customFormat="1">
      <c r="A125" s="463"/>
      <c r="H125" s="468"/>
      <c r="I125" s="468"/>
    </row>
    <row r="126" spans="1:9" s="446" customFormat="1">
      <c r="A126" s="463"/>
      <c r="H126" s="468"/>
      <c r="I126" s="468"/>
    </row>
    <row r="127" spans="1:9" s="446" customFormat="1">
      <c r="A127" s="463"/>
      <c r="H127" s="468"/>
      <c r="I127" s="468"/>
    </row>
    <row r="128" spans="1:9" s="446" customFormat="1">
      <c r="A128" s="463"/>
      <c r="H128" s="468"/>
      <c r="I128" s="468"/>
    </row>
    <row r="129" spans="1:9" s="446" customFormat="1">
      <c r="A129" s="463"/>
      <c r="H129" s="468"/>
      <c r="I129" s="468"/>
    </row>
    <row r="130" spans="1:9" s="446" customFormat="1">
      <c r="A130" s="463"/>
      <c r="H130" s="468"/>
      <c r="I130" s="468"/>
    </row>
    <row r="131" spans="1:9" s="446" customFormat="1">
      <c r="A131" s="463"/>
      <c r="H131" s="468"/>
      <c r="I131" s="468"/>
    </row>
    <row r="132" spans="1:9" s="446" customFormat="1">
      <c r="A132" s="463"/>
      <c r="H132" s="468"/>
      <c r="I132" s="468"/>
    </row>
    <row r="133" spans="1:9" s="446" customFormat="1">
      <c r="A133" s="463"/>
      <c r="H133" s="468"/>
      <c r="I133" s="468"/>
    </row>
    <row r="134" spans="1:9" s="446" customFormat="1">
      <c r="A134" s="463"/>
      <c r="H134" s="468"/>
      <c r="I134" s="468"/>
    </row>
    <row r="135" spans="1:9" s="446" customFormat="1">
      <c r="A135" s="463"/>
      <c r="H135" s="468"/>
      <c r="I135" s="468"/>
    </row>
    <row r="136" spans="1:9" s="446" customFormat="1">
      <c r="A136" s="463"/>
      <c r="H136" s="468"/>
      <c r="I136" s="468"/>
    </row>
    <row r="137" spans="1:9" s="446" customFormat="1">
      <c r="A137" s="463"/>
      <c r="H137" s="468"/>
      <c r="I137" s="468"/>
    </row>
    <row r="138" spans="1:9" s="446" customFormat="1">
      <c r="A138" s="463"/>
      <c r="H138" s="468"/>
      <c r="I138" s="468"/>
    </row>
    <row r="139" spans="1:9" s="446" customFormat="1">
      <c r="A139" s="463"/>
      <c r="H139" s="468"/>
      <c r="I139" s="468"/>
    </row>
    <row r="140" spans="1:9" s="446" customFormat="1">
      <c r="A140" s="463"/>
      <c r="H140" s="468"/>
      <c r="I140" s="468"/>
    </row>
    <row r="141" spans="1:9" s="446" customFormat="1">
      <c r="A141" s="463"/>
      <c r="H141" s="468"/>
      <c r="I141" s="468"/>
    </row>
    <row r="142" spans="1:9" s="446" customFormat="1">
      <c r="A142" s="463"/>
      <c r="H142" s="468"/>
      <c r="I142" s="468"/>
    </row>
    <row r="143" spans="1:9" s="446" customFormat="1">
      <c r="A143" s="463"/>
      <c r="H143" s="468"/>
      <c r="I143" s="468"/>
    </row>
    <row r="144" spans="1:9" s="446" customFormat="1">
      <c r="A144" s="463"/>
      <c r="H144" s="468"/>
      <c r="I144" s="468"/>
    </row>
    <row r="145" spans="1:9" s="446" customFormat="1">
      <c r="A145" s="463"/>
      <c r="H145" s="468"/>
      <c r="I145" s="468"/>
    </row>
    <row r="146" spans="1:9" s="446" customFormat="1">
      <c r="A146" s="463"/>
      <c r="H146" s="468"/>
      <c r="I146" s="468"/>
    </row>
    <row r="147" spans="1:9" s="446" customFormat="1">
      <c r="A147" s="463"/>
      <c r="H147" s="468"/>
      <c r="I147" s="468"/>
    </row>
    <row r="148" spans="1:9" s="446" customFormat="1">
      <c r="A148" s="463"/>
      <c r="H148" s="468"/>
      <c r="I148" s="468"/>
    </row>
    <row r="149" spans="1:9" s="446" customFormat="1">
      <c r="A149" s="463"/>
      <c r="H149" s="468"/>
      <c r="I149" s="468"/>
    </row>
    <row r="150" spans="1:9" s="446" customFormat="1">
      <c r="A150" s="463"/>
      <c r="H150" s="468"/>
      <c r="I150" s="468"/>
    </row>
    <row r="151" spans="1:9" s="446" customFormat="1">
      <c r="A151" s="463"/>
      <c r="H151" s="468"/>
      <c r="I151" s="468"/>
    </row>
    <row r="152" spans="1:9" s="446" customFormat="1">
      <c r="A152" s="463"/>
      <c r="H152" s="468"/>
      <c r="I152" s="468"/>
    </row>
    <row r="153" spans="1:9" s="446" customFormat="1">
      <c r="A153" s="463"/>
      <c r="H153" s="468"/>
      <c r="I153" s="468"/>
    </row>
    <row r="154" spans="1:9" s="446" customFormat="1">
      <c r="A154" s="463"/>
      <c r="H154" s="468"/>
      <c r="I154" s="468"/>
    </row>
    <row r="155" spans="1:9" s="446" customFormat="1">
      <c r="A155" s="463"/>
      <c r="H155" s="468"/>
      <c r="I155" s="468"/>
    </row>
    <row r="156" spans="1:9" s="446" customFormat="1">
      <c r="A156" s="463"/>
      <c r="H156" s="468"/>
      <c r="I156" s="468"/>
    </row>
    <row r="157" spans="1:9" s="446" customFormat="1">
      <c r="A157" s="463"/>
      <c r="H157" s="468"/>
      <c r="I157" s="468"/>
    </row>
    <row r="158" spans="1:9" s="446" customFormat="1">
      <c r="A158" s="463"/>
      <c r="H158" s="468"/>
      <c r="I158" s="468"/>
    </row>
    <row r="159" spans="1:9" s="446" customFormat="1">
      <c r="A159" s="463"/>
      <c r="H159" s="468"/>
      <c r="I159" s="468"/>
    </row>
    <row r="160" spans="1:9" s="446" customFormat="1">
      <c r="A160" s="463"/>
      <c r="H160" s="468"/>
      <c r="I160" s="468"/>
    </row>
    <row r="161" spans="1:9" s="446" customFormat="1">
      <c r="A161" s="463"/>
      <c r="H161" s="468"/>
      <c r="I161" s="468"/>
    </row>
    <row r="162" spans="1:9" s="446" customFormat="1">
      <c r="A162" s="463"/>
      <c r="H162" s="468"/>
      <c r="I162" s="468"/>
    </row>
    <row r="163" spans="1:9" s="446" customFormat="1">
      <c r="A163" s="463"/>
      <c r="H163" s="468"/>
      <c r="I163" s="468"/>
    </row>
    <row r="164" spans="1:9" s="446" customFormat="1">
      <c r="A164" s="463"/>
      <c r="H164" s="468"/>
      <c r="I164" s="468"/>
    </row>
    <row r="165" spans="1:9" s="446" customFormat="1">
      <c r="A165" s="463"/>
      <c r="H165" s="468"/>
      <c r="I165" s="468"/>
    </row>
    <row r="166" spans="1:9" s="446" customFormat="1">
      <c r="A166" s="463"/>
      <c r="H166" s="468"/>
      <c r="I166" s="468"/>
    </row>
    <row r="167" spans="1:9" s="446" customFormat="1">
      <c r="A167" s="463"/>
      <c r="H167" s="468"/>
      <c r="I167" s="468"/>
    </row>
    <row r="168" spans="1:9" s="446" customFormat="1">
      <c r="A168" s="463"/>
      <c r="H168" s="468"/>
      <c r="I168" s="468"/>
    </row>
    <row r="169" spans="1:9" s="446" customFormat="1">
      <c r="A169" s="463"/>
      <c r="H169" s="468"/>
      <c r="I169" s="468"/>
    </row>
    <row r="170" spans="1:9" s="446" customFormat="1">
      <c r="A170" s="463"/>
      <c r="H170" s="468"/>
      <c r="I170" s="468"/>
    </row>
    <row r="171" spans="1:9" s="446" customFormat="1">
      <c r="A171" s="463"/>
      <c r="H171" s="468"/>
      <c r="I171" s="468"/>
    </row>
    <row r="172" spans="1:9" s="446" customFormat="1">
      <c r="A172" s="463"/>
      <c r="H172" s="468"/>
      <c r="I172" s="468"/>
    </row>
    <row r="173" spans="1:9" s="446" customFormat="1">
      <c r="A173" s="463"/>
      <c r="H173" s="468"/>
      <c r="I173" s="468"/>
    </row>
    <row r="174" spans="1:9" s="446" customFormat="1">
      <c r="A174" s="463"/>
      <c r="H174" s="468"/>
      <c r="I174" s="468"/>
    </row>
    <row r="175" spans="1:9" s="446" customFormat="1">
      <c r="A175" s="463"/>
      <c r="H175" s="468"/>
      <c r="I175" s="468"/>
    </row>
    <row r="176" spans="1:9" s="446" customFormat="1">
      <c r="A176" s="463"/>
      <c r="H176" s="468"/>
      <c r="I176" s="468"/>
    </row>
    <row r="177" spans="1:9" s="446" customFormat="1">
      <c r="A177" s="463"/>
      <c r="H177" s="468"/>
      <c r="I177" s="468"/>
    </row>
    <row r="178" spans="1:9" s="446" customFormat="1">
      <c r="A178" s="463"/>
      <c r="H178" s="468"/>
      <c r="I178" s="468"/>
    </row>
    <row r="179" spans="1:9" s="446" customFormat="1">
      <c r="A179" s="463"/>
      <c r="H179" s="468"/>
      <c r="I179" s="468"/>
    </row>
    <row r="180" spans="1:9" s="446" customFormat="1">
      <c r="A180" s="463"/>
      <c r="H180" s="468"/>
      <c r="I180" s="468"/>
    </row>
    <row r="181" spans="1:9" s="446" customFormat="1">
      <c r="A181" s="463"/>
      <c r="H181" s="468"/>
      <c r="I181" s="468"/>
    </row>
    <row r="182" spans="1:9" s="446" customFormat="1">
      <c r="A182" s="463"/>
      <c r="H182" s="468"/>
      <c r="I182" s="468"/>
    </row>
    <row r="183" spans="1:9" s="446" customFormat="1">
      <c r="A183" s="463"/>
      <c r="H183" s="468"/>
      <c r="I183" s="468"/>
    </row>
    <row r="184" spans="1:9" s="446" customFormat="1">
      <c r="A184" s="463"/>
      <c r="H184" s="468"/>
      <c r="I184" s="468"/>
    </row>
    <row r="185" spans="1:9" s="446" customFormat="1">
      <c r="A185" s="463"/>
      <c r="H185" s="468"/>
      <c r="I185" s="468"/>
    </row>
    <row r="186" spans="1:9" s="446" customFormat="1">
      <c r="A186" s="463"/>
      <c r="H186" s="468"/>
      <c r="I186" s="468"/>
    </row>
    <row r="187" spans="1:9" s="446" customFormat="1">
      <c r="A187" s="463"/>
      <c r="H187" s="468"/>
      <c r="I187" s="468"/>
    </row>
    <row r="188" spans="1:9" s="446" customFormat="1">
      <c r="A188" s="463"/>
      <c r="H188" s="468"/>
      <c r="I188" s="468"/>
    </row>
    <row r="189" spans="1:9" s="446" customFormat="1">
      <c r="A189" s="463"/>
      <c r="H189" s="468"/>
      <c r="I189" s="468"/>
    </row>
    <row r="190" spans="1:9" s="446" customFormat="1">
      <c r="A190" s="463"/>
      <c r="H190" s="468"/>
      <c r="I190" s="468"/>
    </row>
    <row r="191" spans="1:9" s="446" customFormat="1">
      <c r="A191" s="463"/>
      <c r="H191" s="468"/>
      <c r="I191" s="468"/>
    </row>
    <row r="192" spans="1:9" s="446" customFormat="1">
      <c r="A192" s="463"/>
      <c r="H192" s="468"/>
      <c r="I192" s="468"/>
    </row>
    <row r="193" spans="1:9" s="446" customFormat="1">
      <c r="A193" s="463"/>
      <c r="H193" s="468"/>
      <c r="I193" s="468"/>
    </row>
    <row r="194" spans="1:9" s="446" customFormat="1">
      <c r="A194" s="463"/>
      <c r="H194" s="468"/>
      <c r="I194" s="468"/>
    </row>
    <row r="195" spans="1:9" s="446" customFormat="1">
      <c r="A195" s="463"/>
      <c r="H195" s="468"/>
      <c r="I195" s="468"/>
    </row>
    <row r="196" spans="1:9" s="446" customFormat="1">
      <c r="A196" s="463"/>
      <c r="H196" s="468"/>
      <c r="I196" s="468"/>
    </row>
    <row r="197" spans="1:9" s="446" customFormat="1">
      <c r="A197" s="463"/>
      <c r="H197" s="468"/>
      <c r="I197" s="468"/>
    </row>
    <row r="198" spans="1:9" s="446" customFormat="1">
      <c r="A198" s="463"/>
      <c r="H198" s="468"/>
      <c r="I198" s="468"/>
    </row>
    <row r="199" spans="1:9" s="446" customFormat="1">
      <c r="A199" s="463"/>
      <c r="H199" s="468"/>
      <c r="I199" s="468"/>
    </row>
    <row r="200" spans="1:9" s="446" customFormat="1">
      <c r="A200" s="463"/>
      <c r="H200" s="468"/>
      <c r="I200" s="468"/>
    </row>
    <row r="201" spans="1:9" s="446" customFormat="1">
      <c r="A201" s="463"/>
      <c r="H201" s="468"/>
      <c r="I201" s="468"/>
    </row>
    <row r="202" spans="1:9" s="446" customFormat="1">
      <c r="A202" s="463"/>
      <c r="H202" s="468"/>
      <c r="I202" s="468"/>
    </row>
  </sheetData>
  <sheetProtection password="C07B" sheet="1" objects="1" scenarios="1"/>
  <mergeCells count="25">
    <mergeCell ref="T18:T27"/>
    <mergeCell ref="C18:C27"/>
    <mergeCell ref="F18:F27"/>
    <mergeCell ref="G18:G27"/>
    <mergeCell ref="P18:P27"/>
    <mergeCell ref="S18:S27"/>
    <mergeCell ref="B12:G12"/>
    <mergeCell ref="O12:T12"/>
    <mergeCell ref="H14:I14"/>
    <mergeCell ref="Q14:R14"/>
    <mergeCell ref="D14:E14"/>
    <mergeCell ref="T39:T53"/>
    <mergeCell ref="C28:C37"/>
    <mergeCell ref="F28:F37"/>
    <mergeCell ref="G28:G37"/>
    <mergeCell ref="P28:P37"/>
    <mergeCell ref="S28:S37"/>
    <mergeCell ref="T28:T37"/>
    <mergeCell ref="D38:F38"/>
    <mergeCell ref="Q38:S38"/>
    <mergeCell ref="C39:C53"/>
    <mergeCell ref="F39:F53"/>
    <mergeCell ref="G39:G53"/>
    <mergeCell ref="P39:P53"/>
    <mergeCell ref="S39:S53"/>
  </mergeCells>
  <conditionalFormatting sqref="L17">
    <cfRule type="containsText" dxfId="51" priority="21" operator="containsText" text="OK">
      <formula>NOT(ISERROR(SEARCH("OK",L17)))</formula>
    </cfRule>
    <cfRule type="containsText" dxfId="50" priority="22" operator="containsText" text="ERROR">
      <formula>NOT(ISERROR(SEARCH("ERROR",L17)))</formula>
    </cfRule>
    <cfRule type="expression" dxfId="49" priority="23">
      <formula>"ERROR"</formula>
    </cfRule>
    <cfRule type="colorScale" priority="24">
      <colorScale>
        <cfvo type="min"/>
        <cfvo type="max"/>
        <color rgb="FFFF0000"/>
        <color rgb="FFFFEF9C"/>
      </colorScale>
    </cfRule>
  </conditionalFormatting>
  <conditionalFormatting sqref="L38">
    <cfRule type="containsText" dxfId="48" priority="17" operator="containsText" text="OK">
      <formula>NOT(ISERROR(SEARCH("OK",L38)))</formula>
    </cfRule>
    <cfRule type="containsText" dxfId="47" priority="18" operator="containsText" text="ERROR">
      <formula>NOT(ISERROR(SEARCH("ERROR",L38)))</formula>
    </cfRule>
    <cfRule type="expression" dxfId="46" priority="19">
      <formula>"ERROR"</formula>
    </cfRule>
    <cfRule type="colorScale" priority="20">
      <colorScale>
        <cfvo type="min"/>
        <cfvo type="max"/>
        <color rgb="FFFF0000"/>
        <color rgb="FFFFEF9C"/>
      </colorScale>
    </cfRule>
  </conditionalFormatting>
  <conditionalFormatting sqref="L19">
    <cfRule type="containsText" dxfId="45" priority="13" operator="containsText" text="OK">
      <formula>NOT(ISERROR(SEARCH("OK",L19)))</formula>
    </cfRule>
    <cfRule type="containsText" dxfId="44" priority="14" operator="containsText" text="ERROR">
      <formula>NOT(ISERROR(SEARCH("ERROR",L19)))</formula>
    </cfRule>
    <cfRule type="expression" dxfId="43" priority="15">
      <formula>"ERROR"</formula>
    </cfRule>
    <cfRule type="colorScale" priority="16">
      <colorScale>
        <cfvo type="min"/>
        <cfvo type="max"/>
        <color rgb="FFFF0000"/>
        <color rgb="FFFFEF9C"/>
      </colorScale>
    </cfRule>
  </conditionalFormatting>
  <conditionalFormatting sqref="L20:L27">
    <cfRule type="containsText" dxfId="42" priority="9" operator="containsText" text="OK">
      <formula>NOT(ISERROR(SEARCH("OK",L20)))</formula>
    </cfRule>
    <cfRule type="containsText" dxfId="41" priority="10" operator="containsText" text="ERROR">
      <formula>NOT(ISERROR(SEARCH("ERROR",L20)))</formula>
    </cfRule>
    <cfRule type="expression" dxfId="40" priority="11">
      <formula>"ERROR"</formula>
    </cfRule>
    <cfRule type="colorScale" priority="12">
      <colorScale>
        <cfvo type="min"/>
        <cfvo type="max"/>
        <color rgb="FFFF0000"/>
        <color rgb="FFFFEF9C"/>
      </colorScale>
    </cfRule>
  </conditionalFormatting>
  <conditionalFormatting sqref="L29:L36">
    <cfRule type="containsText" dxfId="39" priority="5" operator="containsText" text="OK">
      <formula>NOT(ISERROR(SEARCH("OK",L29)))</formula>
    </cfRule>
    <cfRule type="containsText" dxfId="38" priority="6" operator="containsText" text="ERROR">
      <formula>NOT(ISERROR(SEARCH("ERROR",L29)))</formula>
    </cfRule>
    <cfRule type="expression" dxfId="37" priority="7">
      <formula>"ERROR"</formula>
    </cfRule>
    <cfRule type="colorScale" priority="8">
      <colorScale>
        <cfvo type="min"/>
        <cfvo type="max"/>
        <color rgb="FFFF0000"/>
        <color rgb="FFFFEF9C"/>
      </colorScale>
    </cfRule>
  </conditionalFormatting>
  <conditionalFormatting sqref="L40:L53">
    <cfRule type="containsText" dxfId="36" priority="1" operator="containsText" text="OK">
      <formula>NOT(ISERROR(SEARCH("OK",L40)))</formula>
    </cfRule>
    <cfRule type="containsText" dxfId="35" priority="2" operator="containsText" text="ERROR">
      <formula>NOT(ISERROR(SEARCH("ERROR",L40)))</formula>
    </cfRule>
    <cfRule type="expression" dxfId="34" priority="3">
      <formula>"ERROR"</formula>
    </cfRule>
    <cfRule type="colorScale" priority="4">
      <colorScale>
        <cfvo type="min"/>
        <cfvo type="max"/>
        <color rgb="FFFF0000"/>
        <color rgb="FFFFEF9C"/>
      </colorScale>
    </cfRule>
  </conditionalFormatting>
  <pageMargins left="0.7" right="0.7" top="0.75" bottom="0.75" header="0.3" footer="0.3"/>
  <pageSetup scale="10" orientation="portrait" r:id="rId1"/>
  <customProperties>
    <customPr name="CofConfiguration" r:id="rId2"/>
    <customPr name="CofConfiguration.001" r:id="rId3"/>
    <customPr name="CofWorksheetType" r:id="rId4"/>
    <customPr name="EpmWorksheetKeyString_GUID" r:id="rId5"/>
    <customPr name="FPMExcelClientRefreshTime" r:id="rId6"/>
  </customProperties>
  <drawing r:id="rId7"/>
  <legacyDrawing r:id="rId8"/>
  <controls>
    <mc:AlternateContent xmlns:mc="http://schemas.openxmlformats.org/markup-compatibility/2006">
      <mc:Choice Requires="x14">
        <control shapeId="443393" r:id="rId9" name="FPMExcelClientSheetOptionstb1">
          <controlPr defaultSize="0" autoLine="0" r:id="rId10">
            <anchor moveWithCells="1" sizeWithCells="1">
              <from>
                <xdr:col>0</xdr:col>
                <xdr:colOff>0</xdr:colOff>
                <xdr:row>0</xdr:row>
                <xdr:rowOff>0</xdr:rowOff>
              </from>
              <to>
                <xdr:col>0</xdr:col>
                <xdr:colOff>9525</xdr:colOff>
                <xdr:row>0</xdr:row>
                <xdr:rowOff>0</xdr:rowOff>
              </to>
            </anchor>
          </controlPr>
        </control>
      </mc:Choice>
      <mc:Fallback>
        <control shapeId="443393" r:id="rId9" name="FPMExcelClientSheetOptionstb1"/>
      </mc:Fallback>
    </mc:AlternateContent>
    <mc:AlternateContent xmlns:mc="http://schemas.openxmlformats.org/markup-compatibility/2006">
      <mc:Choice Requires="x14">
        <control shapeId="443394" r:id="rId11" name="ConnectionDescriptorsInfotb1">
          <controlPr defaultSize="0" autoLine="0" r:id="rId12">
            <anchor moveWithCells="1" sizeWithCells="1">
              <from>
                <xdr:col>0</xdr:col>
                <xdr:colOff>0</xdr:colOff>
                <xdr:row>0</xdr:row>
                <xdr:rowOff>0</xdr:rowOff>
              </from>
              <to>
                <xdr:col>0</xdr:col>
                <xdr:colOff>9525</xdr:colOff>
                <xdr:row>0</xdr:row>
                <xdr:rowOff>0</xdr:rowOff>
              </to>
            </anchor>
          </controlPr>
        </control>
      </mc:Choice>
      <mc:Fallback>
        <control shapeId="443394" r:id="rId11" name="ConnectionDescriptorsInfotb1"/>
      </mc:Fallback>
    </mc:AlternateContent>
    <mc:AlternateContent xmlns:mc="http://schemas.openxmlformats.org/markup-compatibility/2006">
      <mc:Choice Requires="x14">
        <control shapeId="443395" r:id="rId13" name="MultipleReportManagerInfotb1">
          <controlPr defaultSize="0" autoLine="0" r:id="rId14">
            <anchor moveWithCells="1" sizeWithCells="1">
              <from>
                <xdr:col>0</xdr:col>
                <xdr:colOff>0</xdr:colOff>
                <xdr:row>0</xdr:row>
                <xdr:rowOff>0</xdr:rowOff>
              </from>
              <to>
                <xdr:col>0</xdr:col>
                <xdr:colOff>9525</xdr:colOff>
                <xdr:row>0</xdr:row>
                <xdr:rowOff>0</xdr:rowOff>
              </to>
            </anchor>
          </controlPr>
        </control>
      </mc:Choice>
      <mc:Fallback>
        <control shapeId="443395" r:id="rId13" name="MultipleReportManagerInfotb1"/>
      </mc:Fallback>
    </mc:AlternateContent>
    <mc:AlternateContent xmlns:mc="http://schemas.openxmlformats.org/markup-compatibility/2006">
      <mc:Choice Requires="x14">
        <control shapeId="443396" r:id="rId15" name="AnalyzerDynReport000tb1">
          <controlPr defaultSize="0" autoLine="0" r:id="rId16">
            <anchor moveWithCells="1" sizeWithCells="1">
              <from>
                <xdr:col>0</xdr:col>
                <xdr:colOff>0</xdr:colOff>
                <xdr:row>0</xdr:row>
                <xdr:rowOff>0</xdr:rowOff>
              </from>
              <to>
                <xdr:col>0</xdr:col>
                <xdr:colOff>9525</xdr:colOff>
                <xdr:row>0</xdr:row>
                <xdr:rowOff>0</xdr:rowOff>
              </to>
            </anchor>
          </controlPr>
        </control>
      </mc:Choice>
      <mc:Fallback>
        <control shapeId="443396" r:id="rId15" name="AnalyzerDynReport000tb1"/>
      </mc:Fallback>
    </mc:AlternateContent>
    <mc:AlternateContent xmlns:mc="http://schemas.openxmlformats.org/markup-compatibility/2006">
      <mc:Choice Requires="x14">
        <control shapeId="443397" r:id="rId17" name="ReportSubmitManagerControltb1">
          <controlPr defaultSize="0" autoLine="0" r:id="rId18">
            <anchor moveWithCells="1" sizeWithCells="1">
              <from>
                <xdr:col>0</xdr:col>
                <xdr:colOff>0</xdr:colOff>
                <xdr:row>0</xdr:row>
                <xdr:rowOff>0</xdr:rowOff>
              </from>
              <to>
                <xdr:col>0</xdr:col>
                <xdr:colOff>9525</xdr:colOff>
                <xdr:row>0</xdr:row>
                <xdr:rowOff>0</xdr:rowOff>
              </to>
            </anchor>
          </controlPr>
        </control>
      </mc:Choice>
      <mc:Fallback>
        <control shapeId="443397" r:id="rId17" name="ReportSubmitManagerControltb1"/>
      </mc:Fallback>
    </mc:AlternateContent>
    <mc:AlternateContent xmlns:mc="http://schemas.openxmlformats.org/markup-compatibility/2006">
      <mc:Choice Requires="x14">
        <control shapeId="443398" r:id="rId19" name="ReportSubmitControl_1tb1">
          <controlPr defaultSize="0" autoLine="0" r:id="rId20">
            <anchor moveWithCells="1" sizeWithCells="1">
              <from>
                <xdr:col>0</xdr:col>
                <xdr:colOff>0</xdr:colOff>
                <xdr:row>0</xdr:row>
                <xdr:rowOff>0</xdr:rowOff>
              </from>
              <to>
                <xdr:col>0</xdr:col>
                <xdr:colOff>9525</xdr:colOff>
                <xdr:row>0</xdr:row>
                <xdr:rowOff>0</xdr:rowOff>
              </to>
            </anchor>
          </controlPr>
        </control>
      </mc:Choice>
      <mc:Fallback>
        <control shapeId="443398" r:id="rId19" name="ReportSubmitControl_1tb1"/>
      </mc:Fallback>
    </mc:AlternateContent>
    <mc:AlternateContent xmlns:mc="http://schemas.openxmlformats.org/markup-compatibility/2006">
      <mc:Choice Requires="x14">
        <control shapeId="443399" r:id="rId21" name="ReportSubmitControl_2tb1">
          <controlPr defaultSize="0" autoLine="0" autoPict="0" r:id="rId22">
            <anchor moveWithCells="1" sizeWithCells="1">
              <from>
                <xdr:col>0</xdr:col>
                <xdr:colOff>0</xdr:colOff>
                <xdr:row>0</xdr:row>
                <xdr:rowOff>0</xdr:rowOff>
              </from>
              <to>
                <xdr:col>2</xdr:col>
                <xdr:colOff>133350</xdr:colOff>
                <xdr:row>0</xdr:row>
                <xdr:rowOff>0</xdr:rowOff>
              </to>
            </anchor>
          </controlPr>
        </control>
      </mc:Choice>
      <mc:Fallback>
        <control shapeId="443399" r:id="rId21" name="ReportSubmitControl_2tb1"/>
      </mc:Fallback>
    </mc:AlternateContent>
    <mc:AlternateContent xmlns:mc="http://schemas.openxmlformats.org/markup-compatibility/2006">
      <mc:Choice Requires="x14">
        <control shapeId="443401" r:id="rId23" name="AnalyzerDynReport001tb1">
          <controlPr defaultSize="0" autoLine="0" autoPict="0" r:id="rId24">
            <anchor moveWithCells="1" sizeWithCells="1">
              <from>
                <xdr:col>0</xdr:col>
                <xdr:colOff>0</xdr:colOff>
                <xdr:row>0</xdr:row>
                <xdr:rowOff>0</xdr:rowOff>
              </from>
              <to>
                <xdr:col>2</xdr:col>
                <xdr:colOff>133350</xdr:colOff>
                <xdr:row>0</xdr:row>
                <xdr:rowOff>0</xdr:rowOff>
              </to>
            </anchor>
          </controlPr>
        </control>
      </mc:Choice>
      <mc:Fallback>
        <control shapeId="443401" r:id="rId23" name="AnalyzerDynReport001tb1"/>
      </mc:Fallback>
    </mc:AlternateContent>
    <mc:AlternateContent xmlns:mc="http://schemas.openxmlformats.org/markup-compatibility/2006">
      <mc:Choice Requires="x14">
        <control shapeId="443403" r:id="rId25" name="Button 11">
          <controlPr defaultSize="0" print="0" autoFill="0" autoPict="0" macro="[0]!CONSULTAR_INFORMACION">
            <anchor moveWithCells="1" sizeWithCells="1">
              <from>
                <xdr:col>3</xdr:col>
                <xdr:colOff>295275</xdr:colOff>
                <xdr:row>1</xdr:row>
                <xdr:rowOff>171450</xdr:rowOff>
              </from>
              <to>
                <xdr:col>4</xdr:col>
                <xdr:colOff>1276350</xdr:colOff>
                <xdr:row>2</xdr:row>
                <xdr:rowOff>180975</xdr:rowOff>
              </to>
            </anchor>
          </controlPr>
        </control>
      </mc:Choice>
    </mc:AlternateContent>
    <mc:AlternateContent xmlns:mc="http://schemas.openxmlformats.org/markup-compatibility/2006">
      <mc:Choice Requires="x14">
        <control shapeId="443407" r:id="rId26" name="Button 15">
          <controlPr defaultSize="0" print="0" autoFill="0" autoPict="0" macro="[0]!GUARDAR_INFORMACION">
            <anchor moveWithCells="1" sizeWithCells="1">
              <from>
                <xdr:col>6</xdr:col>
                <xdr:colOff>523875</xdr:colOff>
                <xdr:row>0</xdr:row>
                <xdr:rowOff>104775</xdr:rowOff>
              </from>
              <to>
                <xdr:col>6</xdr:col>
                <xdr:colOff>2886075</xdr:colOff>
                <xdr:row>0</xdr:row>
                <xdr:rowOff>304800</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error="Por favor, elegir una fecha correcta. ">
          <x14:formula1>
            <xm:f>Resultados!$BG$6:$BG$37</xm:f>
          </x14:formula1>
          <xm:sqref>C4:C5</xm:sqref>
        </x14:dataValidation>
        <x14:dataValidation type="list" allowBlank="1" showInputMessage="1" showErrorMessage="1" error="Por favor, Elegir una Entidad valida">
          <x14:formula1>
            <xm:f>Resultados!$BA$6:$BA$77</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6"/>
  <dimension ref="A1:AP202"/>
  <sheetViews>
    <sheetView showGridLines="0" topLeftCell="B8" zoomScale="85" zoomScaleNormal="85" workbookViewId="0">
      <selection activeCell="C25" sqref="C25"/>
    </sheetView>
  </sheetViews>
  <sheetFormatPr baseColWidth="10" defaultColWidth="11.42578125" defaultRowHeight="15"/>
  <cols>
    <col min="1" max="1" width="7.28515625" style="99" hidden="1" customWidth="1"/>
    <col min="2" max="2" width="14.85546875" style="20" customWidth="1"/>
    <col min="3" max="3" width="19.5703125" style="20" customWidth="1"/>
    <col min="4" max="4" width="40.7109375" style="20" customWidth="1"/>
    <col min="5" max="5" width="21.42578125" style="20" bestFit="1" customWidth="1"/>
    <col min="6" max="6" width="21.7109375" style="20" customWidth="1"/>
    <col min="7" max="7" width="22" style="20" customWidth="1"/>
    <col min="8" max="8" width="65.5703125" style="20" customWidth="1"/>
    <col min="9" max="9" width="20.7109375" style="20" customWidth="1"/>
    <col min="10" max="10" width="38.28515625" style="117" customWidth="1"/>
    <col min="11" max="11" width="20.7109375" style="117" customWidth="1"/>
    <col min="12" max="12" width="20.42578125" style="117" customWidth="1"/>
    <col min="13" max="13" width="21.42578125" style="117" customWidth="1"/>
    <col min="14" max="14" width="20.5703125" style="117" customWidth="1"/>
    <col min="15" max="15" width="18.7109375" style="117" customWidth="1"/>
    <col min="16" max="16" width="13.85546875" style="20" customWidth="1"/>
    <col min="17" max="17" width="48.140625" style="20" customWidth="1"/>
    <col min="18" max="18" width="17.28515625" style="20" hidden="1" customWidth="1"/>
    <col min="19" max="19" width="1.42578125" style="20" customWidth="1"/>
    <col min="20" max="20" width="19.42578125" style="20" customWidth="1"/>
    <col min="21" max="21" width="49" style="20" customWidth="1"/>
    <col min="22" max="23" width="20.7109375" style="20" customWidth="1"/>
    <col min="24" max="24" width="35" style="20" customWidth="1"/>
    <col min="25" max="26" width="20.7109375" style="20" customWidth="1"/>
    <col min="27" max="29" width="20.7109375" style="117" customWidth="1"/>
    <col min="30" max="30" width="21.140625" style="117" customWidth="1"/>
    <col min="31" max="31" width="18.7109375" style="360" hidden="1" customWidth="1"/>
    <col min="32" max="32" width="9.42578125" style="360" hidden="1" customWidth="1"/>
    <col min="33" max="33" width="11.5703125" style="371" hidden="1" customWidth="1"/>
    <col min="34" max="34" width="18.7109375" style="371" hidden="1" customWidth="1"/>
    <col min="35" max="35" width="7" style="371" hidden="1" customWidth="1"/>
    <col min="36" max="36" width="19.42578125" style="371" hidden="1" customWidth="1"/>
    <col min="37" max="38" width="18.7109375" style="371" hidden="1" customWidth="1"/>
    <col min="39" max="39" width="21.42578125" style="108" hidden="1" customWidth="1"/>
    <col min="40" max="40" width="18.7109375" style="108" customWidth="1"/>
    <col min="41" max="41" width="18.7109375" style="117" customWidth="1"/>
    <col min="42" max="60" width="18.7109375" style="20" customWidth="1"/>
    <col min="61" max="16384" width="11.42578125" style="20"/>
  </cols>
  <sheetData>
    <row r="1" spans="1:41" s="242" customFormat="1" ht="101.25" customHeight="1">
      <c r="A1" s="237" t="s">
        <v>25</v>
      </c>
      <c r="B1" s="243" t="s">
        <v>659</v>
      </c>
      <c r="C1" s="238"/>
      <c r="D1" s="238"/>
      <c r="E1" s="238"/>
      <c r="F1" s="238"/>
      <c r="G1" s="238"/>
      <c r="H1" s="238"/>
      <c r="I1" s="238"/>
      <c r="J1" s="239"/>
      <c r="K1" s="239"/>
      <c r="L1" s="239"/>
      <c r="M1" s="239"/>
      <c r="N1" s="239"/>
      <c r="O1" s="239"/>
      <c r="P1" s="238"/>
      <c r="Q1" s="238"/>
      <c r="R1" s="238"/>
      <c r="S1" s="238"/>
      <c r="T1" s="238"/>
      <c r="U1" s="238"/>
      <c r="V1" s="238"/>
      <c r="W1" s="238"/>
      <c r="X1" s="238"/>
      <c r="Y1" s="238"/>
      <c r="Z1" s="238"/>
      <c r="AA1" s="239"/>
      <c r="AB1" s="239"/>
      <c r="AC1" s="239"/>
      <c r="AD1" s="239"/>
      <c r="AE1" s="368"/>
      <c r="AF1" s="368"/>
      <c r="AG1" s="357"/>
      <c r="AH1" s="357"/>
      <c r="AI1" s="357"/>
      <c r="AJ1" s="357"/>
      <c r="AK1" s="369"/>
      <c r="AL1" s="369"/>
      <c r="AM1" s="240"/>
      <c r="AN1" s="240"/>
      <c r="AO1" s="241"/>
    </row>
    <row r="2" spans="1:41">
      <c r="A2" s="119" t="str">
        <f>IF(A13&gt;0,"Error","ok")</f>
        <v>Error</v>
      </c>
      <c r="B2" s="5"/>
      <c r="C2" s="5"/>
      <c r="D2" s="29"/>
      <c r="E2" s="29"/>
      <c r="F2" s="29"/>
      <c r="G2" s="29"/>
      <c r="H2" s="29"/>
      <c r="I2" s="29"/>
      <c r="J2" s="86"/>
      <c r="K2" s="86"/>
      <c r="L2" s="86"/>
      <c r="M2" s="86"/>
      <c r="N2" s="86"/>
      <c r="O2" s="86"/>
      <c r="P2" s="29"/>
      <c r="Q2" s="29"/>
      <c r="R2" s="29"/>
      <c r="S2" s="29"/>
      <c r="T2" s="29"/>
      <c r="U2" s="29"/>
      <c r="V2" s="29"/>
      <c r="W2" s="29"/>
      <c r="X2" s="29"/>
      <c r="Y2" s="29"/>
      <c r="Z2" s="29"/>
      <c r="AA2" s="86"/>
      <c r="AB2" s="86"/>
      <c r="AC2" s="86"/>
      <c r="AD2" s="86"/>
      <c r="AF2" s="370"/>
    </row>
    <row r="3" spans="1:41">
      <c r="A3" s="84">
        <f>IF(A2="Error",0,1)</f>
        <v>0</v>
      </c>
      <c r="B3" s="300" t="str">
        <f>tblParam[[#This Row],[FILTROS]]</f>
        <v>ENTIDAD</v>
      </c>
      <c r="C3" s="931"/>
      <c r="D3" s="932"/>
      <c r="E3" s="29"/>
      <c r="F3" s="29"/>
      <c r="G3" s="29"/>
      <c r="H3" s="29"/>
      <c r="I3" s="29"/>
      <c r="J3" s="86"/>
      <c r="K3" s="86"/>
      <c r="L3" s="86"/>
      <c r="M3" s="86"/>
      <c r="N3" s="86"/>
      <c r="O3" s="86"/>
      <c r="P3" s="29"/>
      <c r="Q3" s="29"/>
      <c r="R3" s="29"/>
      <c r="S3" s="29"/>
      <c r="T3" s="29"/>
      <c r="U3" s="29"/>
      <c r="V3" s="29"/>
      <c r="W3" s="29"/>
      <c r="X3" s="29"/>
      <c r="Y3" s="29"/>
      <c r="Z3" s="29"/>
      <c r="AA3" s="86"/>
      <c r="AB3" s="86"/>
      <c r="AC3" s="86"/>
      <c r="AD3" s="86"/>
      <c r="AF3" s="370"/>
    </row>
    <row r="4" spans="1:41">
      <c r="A4" s="84" t="e">
        <f ca="1">_xll.EPMMemberOffset(,C4,-12)</f>
        <v>#NAME?</v>
      </c>
      <c r="B4" s="567" t="str">
        <f>tblParam[[#This Row],[FILTROS]]</f>
        <v>PERIODO1</v>
      </c>
      <c r="C4" s="931"/>
      <c r="D4" s="932"/>
      <c r="AF4" s="370"/>
    </row>
    <row r="5" spans="1:41">
      <c r="A5" s="84" t="str">
        <f>MID(Resultados!K5,1,4)</f>
        <v/>
      </c>
      <c r="B5" s="567" t="str">
        <f>tblParam[[#This Row],[FILTROS]]</f>
        <v>PERIODO2</v>
      </c>
      <c r="C5" s="931"/>
      <c r="D5" s="932"/>
      <c r="AF5" s="370"/>
    </row>
    <row r="6" spans="1:41" hidden="1">
      <c r="A6" s="21" t="str">
        <f>MID(Resultados!K4,1,4)</f>
        <v/>
      </c>
      <c r="B6" s="567" t="str">
        <f>tblParam[[#This Row],[FILTROS]]</f>
        <v>VERSION</v>
      </c>
      <c r="C6" s="933">
        <f>tblParam[[#This Row],[VALOR]]</f>
        <v>0</v>
      </c>
      <c r="D6" s="934"/>
      <c r="E6" s="186"/>
    </row>
    <row r="7" spans="1:41" hidden="1">
      <c r="A7" s="21"/>
      <c r="B7" s="567" t="str">
        <f>tblParam[[#This Row],[FILTROS]]</f>
        <v>GRUPO</v>
      </c>
      <c r="C7" s="933" t="s">
        <v>14811</v>
      </c>
      <c r="D7" s="934"/>
    </row>
    <row r="8" spans="1:41">
      <c r="A8" s="21"/>
      <c r="B8" s="602" t="e">
        <f>CONCATENATE("TRM A LA FECHA DE REPORTE: ",IF(INDEX(ENTIDADES[#All],MATCH($C$3,ENTIDADES[[#All],[Concatenacion]],0),3)&lt;&gt;"COP",INDEX(BPC_TASAS[#All],MATCH(INDEX(ENTIDADES[#All],MATCH($C$3,ENTIDADES[[#All],[Concatenacion]],0),3)&amp;"_"&amp;Resultados!$K$4,BPC_TASAS[[#All],[Concatenacion]],0),3),INDEX(BPC_TASAS[#All],MATCH("USD"&amp;"_"&amp;Resultados!$K$4,BPC_TASAS[[#All],[Concatenacion]],0),3)))</f>
        <v>#N/A</v>
      </c>
      <c r="C8" s="603"/>
      <c r="D8" s="604"/>
    </row>
    <row r="9" spans="1:41">
      <c r="A9" s="21"/>
      <c r="B9" s="226" t="e">
        <f>CONCATENATE("MONEDA DE PRESENTACION: ",INDEX(ENTIDADES[#All],MATCH($C$3,ENTIDADES[[#All],[Concatenacion]],0),2),IF(INDEX(ENTIDADES[#All],MATCH($C$3,ENTIDADES[[#All],[Concatenacion]],0),3) = "COP"," (Sin decimales)"," (Con decimales)"))</f>
        <v>#N/A</v>
      </c>
      <c r="C9" s="600"/>
      <c r="D9" s="601"/>
    </row>
    <row r="10" spans="1:41">
      <c r="A10" s="21"/>
      <c r="B10" s="130"/>
      <c r="C10" s="908"/>
      <c r="D10" s="908"/>
    </row>
    <row r="11" spans="1:41">
      <c r="A11" s="21"/>
      <c r="B11" s="842" t="str">
        <f>CONCATENATE("SALDOS A ",A6)</f>
        <v xml:space="preserve">SALDOS A </v>
      </c>
      <c r="C11" s="843"/>
      <c r="D11" s="843"/>
      <c r="E11" s="843"/>
      <c r="F11" s="843"/>
      <c r="G11" s="843"/>
      <c r="H11" s="843"/>
      <c r="I11" s="843"/>
      <c r="J11" s="843"/>
      <c r="K11" s="843"/>
      <c r="L11" s="843"/>
      <c r="M11" s="843"/>
      <c r="T11" s="842" t="str">
        <f>CONCATENATE("SALDOS A " &amp; A5)</f>
        <v xml:space="preserve">SALDOS A </v>
      </c>
      <c r="U11" s="843"/>
      <c r="V11" s="843"/>
      <c r="W11" s="843"/>
      <c r="X11" s="843"/>
      <c r="Y11" s="843"/>
      <c r="Z11" s="843"/>
      <c r="AA11" s="843"/>
      <c r="AB11" s="843"/>
      <c r="AC11" s="843"/>
      <c r="AD11" s="843"/>
      <c r="AE11" s="843"/>
    </row>
    <row r="12" spans="1:41">
      <c r="E12" s="446"/>
      <c r="F12" s="446"/>
      <c r="G12" s="446"/>
      <c r="H12" s="446"/>
      <c r="K12" s="446"/>
      <c r="L12" s="446"/>
      <c r="M12" s="446"/>
      <c r="T12" s="446"/>
      <c r="U12" s="446"/>
      <c r="V12" s="446"/>
      <c r="W12" s="446"/>
      <c r="X12" s="446"/>
      <c r="Y12" s="446"/>
      <c r="Z12" s="446"/>
      <c r="AA12" s="476"/>
      <c r="AB12" s="476"/>
      <c r="AC12" s="476"/>
      <c r="AD12" s="476"/>
    </row>
    <row r="13" spans="1:41">
      <c r="A13" s="119">
        <f>SUM(A18:A96)</f>
        <v>5</v>
      </c>
      <c r="B13" s="30">
        <v>1</v>
      </c>
      <c r="C13" s="31" t="s">
        <v>158</v>
      </c>
      <c r="E13" s="446"/>
      <c r="F13" s="446"/>
      <c r="G13" s="446"/>
      <c r="H13" s="446"/>
      <c r="K13" s="446"/>
      <c r="L13" s="446"/>
      <c r="M13" s="446"/>
      <c r="T13" s="446"/>
      <c r="U13" s="446"/>
      <c r="V13" s="446"/>
      <c r="W13" s="446"/>
      <c r="X13" s="446"/>
      <c r="Y13" s="446"/>
      <c r="Z13" s="446"/>
      <c r="AA13" s="476"/>
      <c r="AB13" s="476"/>
      <c r="AC13" s="476"/>
      <c r="AD13" s="476"/>
    </row>
    <row r="14" spans="1:41">
      <c r="E14" s="446"/>
      <c r="F14" s="446"/>
      <c r="G14" s="446"/>
      <c r="H14" s="446"/>
      <c r="K14" s="446"/>
      <c r="L14" s="446"/>
      <c r="M14" s="446"/>
      <c r="T14" s="446"/>
      <c r="U14" s="446"/>
      <c r="V14" s="446"/>
      <c r="W14" s="446"/>
      <c r="X14" s="446"/>
      <c r="Y14" s="446"/>
      <c r="Z14" s="446"/>
      <c r="AA14" s="476"/>
      <c r="AB14" s="476"/>
      <c r="AC14" s="476"/>
      <c r="AD14" s="476"/>
    </row>
    <row r="15" spans="1:41">
      <c r="C15" s="910" t="s">
        <v>160</v>
      </c>
      <c r="D15" s="911"/>
      <c r="E15" s="911"/>
      <c r="F15" s="911"/>
      <c r="G15" s="911"/>
      <c r="H15" s="912"/>
      <c r="K15" s="446"/>
      <c r="L15" s="446"/>
      <c r="M15" s="446"/>
      <c r="T15" s="909" t="s">
        <v>160</v>
      </c>
      <c r="U15" s="909"/>
      <c r="V15" s="909"/>
      <c r="W15" s="909"/>
      <c r="X15" s="909"/>
      <c r="Y15" s="446"/>
      <c r="Z15" s="446"/>
      <c r="AA15" s="476"/>
      <c r="AB15" s="476"/>
      <c r="AC15" s="476"/>
      <c r="AD15" s="476"/>
    </row>
    <row r="16" spans="1:41">
      <c r="C16" s="913"/>
      <c r="D16" s="914"/>
      <c r="E16" s="914"/>
      <c r="F16" s="914"/>
      <c r="G16" s="914"/>
      <c r="H16" s="915"/>
      <c r="K16" s="446"/>
      <c r="L16" s="446"/>
      <c r="M16" s="446"/>
      <c r="T16" s="909"/>
      <c r="U16" s="909"/>
      <c r="V16" s="909"/>
      <c r="W16" s="909"/>
      <c r="X16" s="909"/>
      <c r="Y16" s="446"/>
      <c r="Z16" s="446"/>
      <c r="AA16" s="476"/>
      <c r="AB16" s="476"/>
      <c r="AC16" s="476"/>
      <c r="AD16" s="476"/>
    </row>
    <row r="17" spans="1:42" ht="15.75" thickBot="1">
      <c r="B17" s="392"/>
      <c r="D17" s="299" t="s">
        <v>159</v>
      </c>
      <c r="E17" s="597" t="s">
        <v>159</v>
      </c>
      <c r="F17" s="597" t="s">
        <v>1580</v>
      </c>
      <c r="G17" s="597" t="s">
        <v>1581</v>
      </c>
      <c r="H17" s="299" t="s">
        <v>159</v>
      </c>
      <c r="K17" s="446"/>
      <c r="L17" s="446"/>
      <c r="M17" s="446"/>
      <c r="Q17" s="267"/>
      <c r="R17" s="367"/>
      <c r="S17" s="147" t="s">
        <v>159</v>
      </c>
      <c r="V17" s="597" t="s">
        <v>159</v>
      </c>
      <c r="W17" s="597" t="s">
        <v>1580</v>
      </c>
      <c r="X17" s="597" t="s">
        <v>1581</v>
      </c>
      <c r="Y17" s="299" t="s">
        <v>159</v>
      </c>
      <c r="Z17" s="446"/>
      <c r="AA17" s="476"/>
      <c r="AB17" s="476"/>
      <c r="AC17" s="476"/>
      <c r="AD17" s="476"/>
    </row>
    <row r="18" spans="1:42" ht="60">
      <c r="B18" s="575" t="s">
        <v>633</v>
      </c>
      <c r="C18" s="497" t="s">
        <v>14753</v>
      </c>
      <c r="D18" s="497" t="s">
        <v>184</v>
      </c>
      <c r="E18" s="497" t="str">
        <f>INDEX(BPC_COLUMNA_NOTA[[#All],[CD_COLUMNA]:[DESCRIPCION_LARGA]],MATCH(E$17,BPC_COLUMNA_NOTA[[#All],[CD_COLUMNA]],0),2)</f>
        <v>Costo en libros</v>
      </c>
      <c r="F18" s="497" t="str">
        <f>INDEX(BPC_COLUMNA_NOTA[[#All],[CD_COLUMNA]:[DESCRIPCION_LARGA]],MATCH(F$17,BPC_COLUMNA_NOTA[[#All],[CD_COLUMNA]],0),2)</f>
        <v>Depreciación acumulada</v>
      </c>
      <c r="G18" s="497" t="str">
        <f>INDEX(BPC_COLUMNA_NOTA[[#All],[CD_COLUMNA]:[DESCRIPCION_LARGA]],MATCH(G$17,BPC_COLUMNA_NOTA[[#All],[CD_COLUMNA]],0),2)</f>
        <v>Valor neto en libros</v>
      </c>
      <c r="H18" s="497" t="s">
        <v>9498</v>
      </c>
      <c r="I18" s="446"/>
      <c r="J18" s="446"/>
      <c r="K18" s="446"/>
      <c r="L18" s="446"/>
      <c r="M18" s="434"/>
      <c r="S18" s="400" t="s">
        <v>633</v>
      </c>
      <c r="T18" s="510" t="s">
        <v>14754</v>
      </c>
      <c r="U18" s="510" t="s">
        <v>14754</v>
      </c>
      <c r="V18" s="510" t="str">
        <f>INDEX(BPC_COLUMNA_NOTA[[#All],[CD_COLUMNA]:[DESCRIPCION_LARGA]],MATCH(V$17,BPC_COLUMNA_NOTA[[#All],[CD_COLUMNA]],0),2)</f>
        <v>Costo en libros</v>
      </c>
      <c r="W18" s="510" t="str">
        <f>INDEX(BPC_COLUMNA_NOTA[[#All],[CD_COLUMNA]:[DESCRIPCION_LARGA]],MATCH(W$17,BPC_COLUMNA_NOTA[[#All],[CD_COLUMNA]],0),2)</f>
        <v>Depreciación acumulada</v>
      </c>
      <c r="X18" s="510" t="str">
        <f>INDEX(BPC_COLUMNA_NOTA[[#All],[CD_COLUMNA]:[DESCRIPCION_LARGA]],MATCH(X$17,BPC_COLUMNA_NOTA[[#All],[CD_COLUMNA]],0),2)</f>
        <v>Valor neto en libros</v>
      </c>
      <c r="Y18" s="510" t="s">
        <v>9498</v>
      </c>
      <c r="Z18" s="446"/>
      <c r="AA18" s="244"/>
      <c r="AB18" s="476"/>
      <c r="AC18" s="477"/>
      <c r="AD18" s="477"/>
      <c r="AE18" s="371"/>
      <c r="AF18" s="371"/>
    </row>
    <row r="19" spans="1:42">
      <c r="A19" s="119">
        <f t="shared" ref="A19:A33" si="0">IF(K19="Error",1,0)</f>
        <v>0</v>
      </c>
      <c r="B19" s="385" t="s">
        <v>1531</v>
      </c>
      <c r="C19" s="424" t="str">
        <f>AG19</f>
        <v>S1504_1</v>
      </c>
      <c r="D19" s="424" t="str">
        <f>AH19</f>
        <v>Terrenos</v>
      </c>
      <c r="E19" s="526"/>
      <c r="F19" s="526"/>
      <c r="G19" s="426">
        <f>SUM(E19:F19)</f>
        <v>0</v>
      </c>
      <c r="H19" s="222"/>
      <c r="I19" s="446"/>
      <c r="J19" s="446"/>
      <c r="K19" s="19" t="str">
        <f>IF(L19="","Ok","Error")</f>
        <v>Ok</v>
      </c>
      <c r="L19" s="446" t="str">
        <f t="shared" ref="L19:L33" si="1">IF(AND(G19&lt;&gt;0,LEN(H19)&lt;10),"Diligenciar tipo de restrición","")</f>
        <v/>
      </c>
      <c r="M19" s="446"/>
      <c r="Q19" s="516"/>
      <c r="R19" s="402"/>
      <c r="S19" s="385" t="s">
        <v>1531</v>
      </c>
      <c r="T19" s="549" t="str">
        <f>AG19</f>
        <v>S1504_1</v>
      </c>
      <c r="U19" s="549" t="str">
        <f>AH19</f>
        <v>Terrenos</v>
      </c>
      <c r="V19" s="550" t="str">
        <f>IFERROR(INDEX(BPC_NOTAS2[#All],MATCH($S19&amp;"_"&amp;V$17,BPC_NOTAS2[[#All],[FILA_COLUMNA]],0),2),"")</f>
        <v/>
      </c>
      <c r="W19" s="550" t="str">
        <f>IFERROR(-INDEX(BPC_NOTAS2[#All],MATCH($S19&amp;"_"&amp;W$17,BPC_NOTAS2[[#All],[FILA_COLUMNA]],0),2),"")</f>
        <v/>
      </c>
      <c r="X19" s="425">
        <f>SUM(V19:W19)</f>
        <v>0</v>
      </c>
      <c r="Y19" s="552" t="str">
        <f>IFERROR(INDEX(BPC_COMENTARIOS2[#All],MATCH($S19&amp;"_"&amp;Y$17,BPC_COMENTARIOS2[[#All],[FILA_COLUMNA]],0),2),"")</f>
        <v/>
      </c>
      <c r="Z19" s="446"/>
      <c r="AA19" s="93"/>
      <c r="AB19" s="478"/>
      <c r="AC19" s="477"/>
      <c r="AD19" s="477"/>
      <c r="AE19" s="547" t="str">
        <f>INDEX(BPC_FILA_NOTA[#All],MATCH($B19,BPC_FILA_NOTA[[#All],[ID]],0),2)</f>
        <v>Terrenos[S1504_1]</v>
      </c>
      <c r="AF19" s="360" t="str">
        <f>IFERROR(MID(AE19,FIND("[",AE19)+1,50),"")</f>
        <v>S1504_1]</v>
      </c>
      <c r="AG19" s="360" t="str">
        <f>LEFT(AF19,LEN(AF19)-1)</f>
        <v>S1504_1</v>
      </c>
      <c r="AH19" s="360" t="str">
        <f>IFERROR(MID(AE19,1,FIND("[",AE19)-1),AE19)</f>
        <v>Terrenos</v>
      </c>
    </row>
    <row r="20" spans="1:42">
      <c r="A20" s="119">
        <f t="shared" si="0"/>
        <v>0</v>
      </c>
      <c r="B20" s="385" t="s">
        <v>1532</v>
      </c>
      <c r="C20" s="424" t="str">
        <f t="shared" ref="C20:C34" si="2">AG20</f>
        <v>S1508_1</v>
      </c>
      <c r="D20" s="424" t="str">
        <f t="shared" ref="D20:D34" si="3">AH20</f>
        <v>Construcciones en curso</v>
      </c>
      <c r="E20" s="526"/>
      <c r="F20" s="526"/>
      <c r="G20" s="426">
        <f t="shared" ref="G20:G34" si="4">SUM(E20:F20)</f>
        <v>0</v>
      </c>
      <c r="H20" s="222"/>
      <c r="I20" s="446"/>
      <c r="J20" s="446"/>
      <c r="K20" s="19" t="str">
        <f t="shared" ref="K20:K33" si="5">IF(L20="","Ok","Error")</f>
        <v>Ok</v>
      </c>
      <c r="L20" s="446" t="str">
        <f t="shared" si="1"/>
        <v/>
      </c>
      <c r="M20" s="446"/>
      <c r="Q20" s="516"/>
      <c r="R20" s="402"/>
      <c r="S20" s="385" t="s">
        <v>1532</v>
      </c>
      <c r="T20" s="549" t="str">
        <f t="shared" ref="T20:T34" si="6">AG20</f>
        <v>S1508_1</v>
      </c>
      <c r="U20" s="549" t="str">
        <f t="shared" ref="U20:U34" si="7">AH20</f>
        <v>Construcciones en curso</v>
      </c>
      <c r="V20" s="550" t="str">
        <f>IFERROR(INDEX(BPC_NOTAS2[#All],MATCH($S20&amp;"_"&amp;V$17,BPC_NOTAS2[[#All],[FILA_COLUMNA]],0),2),"")</f>
        <v/>
      </c>
      <c r="W20" s="550" t="str">
        <f>IFERROR(INDEX(BPC_NOTAS2[#All],MATCH($S20&amp;"_"&amp;W$17,BPC_NOTAS2[[#All],[FILA_COLUMNA]],0),2),"")</f>
        <v/>
      </c>
      <c r="X20" s="425">
        <f t="shared" ref="X20:X34" si="8">SUM(V20:W20)</f>
        <v>0</v>
      </c>
      <c r="Y20" s="552" t="str">
        <f>IFERROR(INDEX(BPC_COMENTARIOS2[#All],MATCH($S20&amp;"_"&amp;Y$17,BPC_COMENTARIOS2[[#All],[FILA_COLUMNA]],0),2),"")</f>
        <v/>
      </c>
      <c r="Z20" s="446"/>
      <c r="AA20" s="93"/>
      <c r="AB20" s="478"/>
      <c r="AC20" s="477"/>
      <c r="AD20" s="477"/>
      <c r="AE20" s="547" t="str">
        <f>INDEX(BPC_FILA_NOTA[#All],MATCH($B20,BPC_FILA_NOTA[[#All],[ID]],0),2)</f>
        <v>Construcciones en curso[S1508_1]</v>
      </c>
      <c r="AF20" s="360" t="str">
        <f t="shared" ref="AF20:AF34" si="9">IFERROR(MID(AE20,FIND("[",AE20)+1,50),"")</f>
        <v>S1508_1]</v>
      </c>
      <c r="AG20" s="360" t="str">
        <f t="shared" ref="AG20:AG33" si="10">LEFT(AF20,LEN(AF20)-1)</f>
        <v>S1508_1</v>
      </c>
      <c r="AH20" s="360" t="str">
        <f t="shared" ref="AH20:AH33" si="11">IFERROR(MID(AE20,1,FIND("[",AE20)-1),AE20)</f>
        <v>Construcciones en curso</v>
      </c>
    </row>
    <row r="21" spans="1:42">
      <c r="A21" s="119">
        <f t="shared" si="0"/>
        <v>0</v>
      </c>
      <c r="B21" s="385" t="s">
        <v>1533</v>
      </c>
      <c r="C21" s="424" t="str">
        <f t="shared" si="2"/>
        <v>S1512_1</v>
      </c>
      <c r="D21" s="424" t="str">
        <f t="shared" si="3"/>
        <v>Maquinaria y equipos en montaje</v>
      </c>
      <c r="E21" s="526"/>
      <c r="F21" s="526"/>
      <c r="G21" s="426">
        <f t="shared" si="4"/>
        <v>0</v>
      </c>
      <c r="H21" s="222"/>
      <c r="I21" s="446"/>
      <c r="J21" s="446"/>
      <c r="K21" s="19" t="str">
        <f t="shared" si="5"/>
        <v>Ok</v>
      </c>
      <c r="L21" s="446" t="str">
        <f t="shared" si="1"/>
        <v/>
      </c>
      <c r="M21" s="446"/>
      <c r="Q21" s="516"/>
      <c r="R21" s="402"/>
      <c r="S21" s="385" t="s">
        <v>1533</v>
      </c>
      <c r="T21" s="549" t="str">
        <f t="shared" si="6"/>
        <v>S1512_1</v>
      </c>
      <c r="U21" s="549" t="str">
        <f t="shared" si="7"/>
        <v>Maquinaria y equipos en montaje</v>
      </c>
      <c r="V21" s="550" t="str">
        <f>IFERROR(INDEX(BPC_NOTAS2[#All],MATCH($S21&amp;"_"&amp;V$17,BPC_NOTAS2[[#All],[FILA_COLUMNA]],0),2),"")</f>
        <v/>
      </c>
      <c r="W21" s="550" t="str">
        <f>IFERROR(INDEX(BPC_NOTAS2[#All],MATCH($S21&amp;"_"&amp;W$17,BPC_NOTAS2[[#All],[FILA_COLUMNA]],0),2),"")</f>
        <v/>
      </c>
      <c r="X21" s="425">
        <f t="shared" si="8"/>
        <v>0</v>
      </c>
      <c r="Y21" s="552" t="str">
        <f>IFERROR(INDEX(BPC_COMENTARIOS2[#All],MATCH($S21&amp;"_"&amp;Y$17,BPC_COMENTARIOS2[[#All],[FILA_COLUMNA]],0),2),"")</f>
        <v/>
      </c>
      <c r="Z21" s="446"/>
      <c r="AA21" s="93"/>
      <c r="AB21" s="478"/>
      <c r="AC21" s="477"/>
      <c r="AD21" s="477"/>
      <c r="AE21" s="547" t="str">
        <f>INDEX(BPC_FILA_NOTA[#All],MATCH($B21,BPC_FILA_NOTA[[#All],[ID]],0),2)</f>
        <v>Maquinaria y equipos en montaje[S1512_1]</v>
      </c>
      <c r="AF21" s="360" t="str">
        <f t="shared" si="9"/>
        <v>S1512_1]</v>
      </c>
      <c r="AG21" s="360" t="str">
        <f t="shared" si="10"/>
        <v>S1512_1</v>
      </c>
      <c r="AH21" s="360" t="str">
        <f t="shared" si="11"/>
        <v>Maquinaria y equipos en montaje</v>
      </c>
    </row>
    <row r="22" spans="1:42">
      <c r="A22" s="119">
        <f t="shared" si="0"/>
        <v>0</v>
      </c>
      <c r="B22" s="385" t="s">
        <v>1534</v>
      </c>
      <c r="C22" s="424" t="str">
        <f t="shared" si="2"/>
        <v>S1516_1</v>
      </c>
      <c r="D22" s="424" t="str">
        <f t="shared" si="3"/>
        <v>Construcciones y edificaciones</v>
      </c>
      <c r="E22" s="526"/>
      <c r="F22" s="526"/>
      <c r="G22" s="426">
        <f t="shared" si="4"/>
        <v>0</v>
      </c>
      <c r="H22" s="222"/>
      <c r="I22" s="446"/>
      <c r="J22" s="446"/>
      <c r="K22" s="19" t="str">
        <f t="shared" si="5"/>
        <v>Ok</v>
      </c>
      <c r="L22" s="446" t="str">
        <f t="shared" si="1"/>
        <v/>
      </c>
      <c r="M22" s="446"/>
      <c r="Q22" s="516"/>
      <c r="R22" s="402"/>
      <c r="S22" s="385" t="s">
        <v>1534</v>
      </c>
      <c r="T22" s="549" t="str">
        <f t="shared" si="6"/>
        <v>S1516_1</v>
      </c>
      <c r="U22" s="549" t="str">
        <f t="shared" si="7"/>
        <v>Construcciones y edificaciones</v>
      </c>
      <c r="V22" s="550" t="str">
        <f>IFERROR(INDEX(BPC_NOTAS2[#All],MATCH($S22&amp;"_"&amp;V$17,BPC_NOTAS2[[#All],[FILA_COLUMNA]],0),2),"")</f>
        <v/>
      </c>
      <c r="W22" s="550" t="str">
        <f>IFERROR(INDEX(BPC_NOTAS2[#All],MATCH($S22&amp;"_"&amp;W$17,BPC_NOTAS2[[#All],[FILA_COLUMNA]],0),2),"")</f>
        <v/>
      </c>
      <c r="X22" s="425">
        <f t="shared" si="8"/>
        <v>0</v>
      </c>
      <c r="Y22" s="552" t="str">
        <f>IFERROR(INDEX(BPC_COMENTARIOS2[#All],MATCH($S22&amp;"_"&amp;Y$17,BPC_COMENTARIOS2[[#All],[FILA_COLUMNA]],0),2),"")</f>
        <v/>
      </c>
      <c r="Z22" s="446"/>
      <c r="AA22" s="93"/>
      <c r="AB22" s="478"/>
      <c r="AC22" s="477"/>
      <c r="AD22" s="477"/>
      <c r="AE22" s="547" t="str">
        <f>INDEX(BPC_FILA_NOTA[#All],MATCH($B22,BPC_FILA_NOTA[[#All],[ID]],0),2)</f>
        <v>Construcciones y edificaciones[S1516_1]</v>
      </c>
      <c r="AF22" s="360" t="str">
        <f t="shared" si="9"/>
        <v>S1516_1]</v>
      </c>
      <c r="AG22" s="360" t="str">
        <f t="shared" si="10"/>
        <v>S1516_1</v>
      </c>
      <c r="AH22" s="360" t="str">
        <f t="shared" si="11"/>
        <v>Construcciones y edificaciones</v>
      </c>
    </row>
    <row r="23" spans="1:42">
      <c r="A23" s="119">
        <f t="shared" si="0"/>
        <v>0</v>
      </c>
      <c r="B23" s="385" t="s">
        <v>1535</v>
      </c>
      <c r="C23" s="424" t="str">
        <f t="shared" si="2"/>
        <v>S1710_MPA</v>
      </c>
      <c r="D23" s="424" t="str">
        <f t="shared" si="3"/>
        <v>Mejoras en propiedades ajenas</v>
      </c>
      <c r="E23" s="526"/>
      <c r="F23" s="526"/>
      <c r="G23" s="426">
        <f t="shared" si="4"/>
        <v>0</v>
      </c>
      <c r="H23" s="222"/>
      <c r="I23" s="446"/>
      <c r="J23" s="446"/>
      <c r="K23" s="19" t="str">
        <f t="shared" si="5"/>
        <v>Ok</v>
      </c>
      <c r="L23" s="446" t="str">
        <f t="shared" si="1"/>
        <v/>
      </c>
      <c r="M23" s="446"/>
      <c r="Q23" s="516"/>
      <c r="R23" s="402"/>
      <c r="S23" s="385" t="s">
        <v>1535</v>
      </c>
      <c r="T23" s="549" t="str">
        <f t="shared" si="6"/>
        <v>S1710_MPA</v>
      </c>
      <c r="U23" s="549" t="str">
        <f t="shared" si="7"/>
        <v>Mejoras en propiedades ajenas</v>
      </c>
      <c r="V23" s="550" t="str">
        <f>IFERROR(INDEX(BPC_NOTAS2[#All],MATCH($S23&amp;"_"&amp;V$17,BPC_NOTAS2[[#All],[FILA_COLUMNA]],0),2),"")</f>
        <v/>
      </c>
      <c r="W23" s="550" t="str">
        <f>IFERROR(INDEX(BPC_NOTAS2[#All],MATCH($S23&amp;"_"&amp;W$17,BPC_NOTAS2[[#All],[FILA_COLUMNA]],0),2),"")</f>
        <v/>
      </c>
      <c r="X23" s="425">
        <f t="shared" si="8"/>
        <v>0</v>
      </c>
      <c r="Y23" s="552" t="str">
        <f>IFERROR(INDEX(BPC_COMENTARIOS2[#All],MATCH($S23&amp;"_"&amp;Y$17,BPC_COMENTARIOS2[[#All],[FILA_COLUMNA]],0),2),"")</f>
        <v/>
      </c>
      <c r="Z23" s="446"/>
      <c r="AA23" s="93"/>
      <c r="AB23" s="478"/>
      <c r="AC23" s="477"/>
      <c r="AD23" s="477"/>
      <c r="AE23" s="547" t="str">
        <f>INDEX(BPC_FILA_NOTA[#All],MATCH($B23,BPC_FILA_NOTA[[#All],[ID]],0),2)</f>
        <v>Mejoras en propiedades ajenas[S1710_MPA]</v>
      </c>
      <c r="AF23" s="360" t="str">
        <f t="shared" si="9"/>
        <v>S1710_MPA]</v>
      </c>
      <c r="AG23" s="360" t="str">
        <f t="shared" si="10"/>
        <v>S1710_MPA</v>
      </c>
      <c r="AH23" s="360" t="str">
        <f t="shared" si="11"/>
        <v>Mejoras en propiedades ajenas</v>
      </c>
    </row>
    <row r="24" spans="1:42">
      <c r="A24" s="119">
        <f t="shared" si="0"/>
        <v>0</v>
      </c>
      <c r="B24" s="385" t="s">
        <v>1536</v>
      </c>
      <c r="C24" s="424" t="str">
        <f t="shared" si="2"/>
        <v>S1520_1</v>
      </c>
      <c r="D24" s="424" t="str">
        <f t="shared" si="3"/>
        <v>Maquinaria y equipo</v>
      </c>
      <c r="E24" s="526"/>
      <c r="F24" s="526"/>
      <c r="G24" s="426">
        <f t="shared" si="4"/>
        <v>0</v>
      </c>
      <c r="H24" s="222"/>
      <c r="I24" s="446"/>
      <c r="J24" s="446"/>
      <c r="K24" s="19" t="str">
        <f t="shared" si="5"/>
        <v>Ok</v>
      </c>
      <c r="L24" s="446" t="str">
        <f t="shared" si="1"/>
        <v/>
      </c>
      <c r="M24" s="446"/>
      <c r="Q24" s="516"/>
      <c r="R24" s="402"/>
      <c r="S24" s="385" t="s">
        <v>1536</v>
      </c>
      <c r="T24" s="549" t="str">
        <f t="shared" si="6"/>
        <v>S1520_1</v>
      </c>
      <c r="U24" s="549" t="str">
        <f t="shared" si="7"/>
        <v>Maquinaria y equipo</v>
      </c>
      <c r="V24" s="550" t="str">
        <f>IFERROR(INDEX(BPC_NOTAS2[#All],MATCH($S24&amp;"_"&amp;V$17,BPC_NOTAS2[[#All],[FILA_COLUMNA]],0),2),"")</f>
        <v/>
      </c>
      <c r="W24" s="550" t="str">
        <f>IFERROR(INDEX(BPC_NOTAS2[#All],MATCH($S24&amp;"_"&amp;W$17,BPC_NOTAS2[[#All],[FILA_COLUMNA]],0),2),"")</f>
        <v/>
      </c>
      <c r="X24" s="425">
        <f t="shared" si="8"/>
        <v>0</v>
      </c>
      <c r="Y24" s="552" t="str">
        <f>IFERROR(INDEX(BPC_COMENTARIOS2[#All],MATCH($S24&amp;"_"&amp;Y$17,BPC_COMENTARIOS2[[#All],[FILA_COLUMNA]],0),2),"")</f>
        <v/>
      </c>
      <c r="Z24" s="446"/>
      <c r="AA24" s="93"/>
      <c r="AB24" s="478"/>
      <c r="AC24" s="477"/>
      <c r="AD24" s="477"/>
      <c r="AE24" s="547" t="str">
        <f>INDEX(BPC_FILA_NOTA[#All],MATCH($B24,BPC_FILA_NOTA[[#All],[ID]],0),2)</f>
        <v>Maquinaria y equipo[S1520_1]</v>
      </c>
      <c r="AF24" s="360" t="str">
        <f t="shared" si="9"/>
        <v>S1520_1]</v>
      </c>
      <c r="AG24" s="360" t="str">
        <f t="shared" si="10"/>
        <v>S1520_1</v>
      </c>
      <c r="AH24" s="360" t="str">
        <f t="shared" si="11"/>
        <v>Maquinaria y equipo</v>
      </c>
    </row>
    <row r="25" spans="1:42">
      <c r="A25" s="119">
        <f t="shared" si="0"/>
        <v>0</v>
      </c>
      <c r="B25" s="385" t="s">
        <v>1537</v>
      </c>
      <c r="C25" s="424" t="str">
        <f t="shared" si="2"/>
        <v>S1524_1</v>
      </c>
      <c r="D25" s="424" t="str">
        <f t="shared" si="3"/>
        <v>Equipo de oficina</v>
      </c>
      <c r="E25" s="526"/>
      <c r="F25" s="526"/>
      <c r="G25" s="426">
        <f t="shared" si="4"/>
        <v>0</v>
      </c>
      <c r="H25" s="222"/>
      <c r="I25" s="446"/>
      <c r="J25" s="446"/>
      <c r="K25" s="19" t="str">
        <f t="shared" si="5"/>
        <v>Ok</v>
      </c>
      <c r="L25" s="446" t="str">
        <f t="shared" si="1"/>
        <v/>
      </c>
      <c r="M25" s="446"/>
      <c r="Q25" s="516"/>
      <c r="R25" s="402"/>
      <c r="S25" s="385" t="s">
        <v>1537</v>
      </c>
      <c r="T25" s="549" t="str">
        <f t="shared" si="6"/>
        <v>S1524_1</v>
      </c>
      <c r="U25" s="549" t="str">
        <f t="shared" si="7"/>
        <v>Equipo de oficina</v>
      </c>
      <c r="V25" s="550" t="str">
        <f>IFERROR(INDEX(BPC_NOTAS2[#All],MATCH($S25&amp;"_"&amp;V$17,BPC_NOTAS2[[#All],[FILA_COLUMNA]],0),2),"")</f>
        <v/>
      </c>
      <c r="W25" s="550" t="str">
        <f>IFERROR(INDEX(BPC_NOTAS2[#All],MATCH($S25&amp;"_"&amp;W$17,BPC_NOTAS2[[#All],[FILA_COLUMNA]],0),2),"")</f>
        <v/>
      </c>
      <c r="X25" s="425">
        <f t="shared" si="8"/>
        <v>0</v>
      </c>
      <c r="Y25" s="552" t="str">
        <f>IFERROR(INDEX(BPC_COMENTARIOS2[#All],MATCH($S25&amp;"_"&amp;Y$17,BPC_COMENTARIOS2[[#All],[FILA_COLUMNA]],0),2),"")</f>
        <v/>
      </c>
      <c r="Z25" s="446"/>
      <c r="AA25" s="93"/>
      <c r="AB25" s="478"/>
      <c r="AC25" s="477"/>
      <c r="AD25" s="477"/>
      <c r="AE25" s="547" t="str">
        <f>INDEX(BPC_FILA_NOTA[#All],MATCH($B25,BPC_FILA_NOTA[[#All],[ID]],0),2)</f>
        <v>Equipo de oficina[S1524_1]</v>
      </c>
      <c r="AF25" s="360" t="str">
        <f t="shared" si="9"/>
        <v>S1524_1]</v>
      </c>
      <c r="AG25" s="360" t="str">
        <f t="shared" si="10"/>
        <v>S1524_1</v>
      </c>
      <c r="AH25" s="360" t="str">
        <f t="shared" si="11"/>
        <v>Equipo de oficina</v>
      </c>
    </row>
    <row r="26" spans="1:42">
      <c r="A26" s="119">
        <f t="shared" si="0"/>
        <v>0</v>
      </c>
      <c r="B26" s="385" t="s">
        <v>1538</v>
      </c>
      <c r="C26" s="424" t="str">
        <f t="shared" si="2"/>
        <v>S1528_1</v>
      </c>
      <c r="D26" s="424" t="str">
        <f t="shared" si="3"/>
        <v>Equipo de computación y comunicación</v>
      </c>
      <c r="E26" s="526"/>
      <c r="F26" s="526"/>
      <c r="G26" s="426">
        <f t="shared" si="4"/>
        <v>0</v>
      </c>
      <c r="H26" s="222"/>
      <c r="I26" s="446"/>
      <c r="J26" s="446"/>
      <c r="K26" s="19" t="str">
        <f t="shared" si="5"/>
        <v>Ok</v>
      </c>
      <c r="L26" s="446" t="str">
        <f t="shared" si="1"/>
        <v/>
      </c>
      <c r="M26" s="446"/>
      <c r="Q26" s="516"/>
      <c r="R26" s="402"/>
      <c r="S26" s="385" t="s">
        <v>1538</v>
      </c>
      <c r="T26" s="549" t="str">
        <f t="shared" si="6"/>
        <v>S1528_1</v>
      </c>
      <c r="U26" s="549" t="str">
        <f t="shared" si="7"/>
        <v>Equipo de computación y comunicación</v>
      </c>
      <c r="V26" s="550" t="str">
        <f>IFERROR(INDEX(BPC_NOTAS2[#All],MATCH($S26&amp;"_"&amp;V$17,BPC_NOTAS2[[#All],[FILA_COLUMNA]],0),2),"")</f>
        <v/>
      </c>
      <c r="W26" s="550" t="str">
        <f>IFERROR(INDEX(BPC_NOTAS2[#All],MATCH($S26&amp;"_"&amp;W$17,BPC_NOTAS2[[#All],[FILA_COLUMNA]],0),2),"")</f>
        <v/>
      </c>
      <c r="X26" s="425">
        <f t="shared" si="8"/>
        <v>0</v>
      </c>
      <c r="Y26" s="552" t="str">
        <f>IFERROR(INDEX(BPC_COMENTARIOS2[#All],MATCH($S26&amp;"_"&amp;Y$17,BPC_COMENTARIOS2[[#All],[FILA_COLUMNA]],0),2),"")</f>
        <v/>
      </c>
      <c r="Z26" s="446"/>
      <c r="AA26" s="93"/>
      <c r="AB26" s="478"/>
      <c r="AC26" s="477"/>
      <c r="AD26" s="477"/>
      <c r="AE26" s="547" t="str">
        <f>INDEX(BPC_FILA_NOTA[#All],MATCH($B26,BPC_FILA_NOTA[[#All],[ID]],0),2)</f>
        <v>Equipo de computación y comunicación[S1528_1]</v>
      </c>
      <c r="AF26" s="360" t="str">
        <f t="shared" si="9"/>
        <v>S1528_1]</v>
      </c>
      <c r="AG26" s="360" t="str">
        <f t="shared" si="10"/>
        <v>S1528_1</v>
      </c>
      <c r="AH26" s="360" t="str">
        <f t="shared" si="11"/>
        <v>Equipo de computación y comunicación</v>
      </c>
    </row>
    <row r="27" spans="1:42">
      <c r="A27" s="119">
        <f t="shared" si="0"/>
        <v>0</v>
      </c>
      <c r="B27" s="385" t="s">
        <v>1539</v>
      </c>
      <c r="C27" s="424" t="str">
        <f t="shared" si="2"/>
        <v>S1536_1</v>
      </c>
      <c r="D27" s="424" t="str">
        <f t="shared" si="3"/>
        <v>Equipos de hoteles y restaurantes</v>
      </c>
      <c r="E27" s="526"/>
      <c r="F27" s="526"/>
      <c r="G27" s="426">
        <f t="shared" si="4"/>
        <v>0</v>
      </c>
      <c r="H27" s="222"/>
      <c r="I27" s="446"/>
      <c r="J27" s="446"/>
      <c r="K27" s="19" t="str">
        <f t="shared" si="5"/>
        <v>Ok</v>
      </c>
      <c r="L27" s="446" t="str">
        <f t="shared" si="1"/>
        <v/>
      </c>
      <c r="M27" s="446"/>
      <c r="Q27" s="516"/>
      <c r="R27" s="402"/>
      <c r="S27" s="385" t="s">
        <v>1539</v>
      </c>
      <c r="T27" s="549" t="str">
        <f t="shared" si="6"/>
        <v>S1536_1</v>
      </c>
      <c r="U27" s="549" t="str">
        <f t="shared" si="7"/>
        <v>Equipos de hoteles y restaurantes</v>
      </c>
      <c r="V27" s="550" t="str">
        <f>IFERROR(INDEX(BPC_NOTAS2[#All],MATCH($S27&amp;"_"&amp;V$17,BPC_NOTAS2[[#All],[FILA_COLUMNA]],0),2),"")</f>
        <v/>
      </c>
      <c r="W27" s="550" t="str">
        <f>IFERROR(INDEX(BPC_NOTAS2[#All],MATCH($S27&amp;"_"&amp;W$17,BPC_NOTAS2[[#All],[FILA_COLUMNA]],0),2),"")</f>
        <v/>
      </c>
      <c r="X27" s="425">
        <f t="shared" si="8"/>
        <v>0</v>
      </c>
      <c r="Y27" s="552" t="str">
        <f>IFERROR(INDEX(BPC_COMENTARIOS2[#All],MATCH($S27&amp;"_"&amp;Y$17,BPC_COMENTARIOS2[[#All],[FILA_COLUMNA]],0),2),"")</f>
        <v/>
      </c>
      <c r="Z27" s="446"/>
      <c r="AA27" s="93"/>
      <c r="AB27" s="478"/>
      <c r="AC27" s="477"/>
      <c r="AD27" s="477"/>
      <c r="AE27" s="547" t="str">
        <f>INDEX(BPC_FILA_NOTA[#All],MATCH($B27,BPC_FILA_NOTA[[#All],[ID]],0),2)</f>
        <v>Equipos de hoteles y restaurantes[S1536_1]</v>
      </c>
      <c r="AF27" s="360" t="str">
        <f t="shared" si="9"/>
        <v>S1536_1]</v>
      </c>
      <c r="AG27" s="360" t="str">
        <f t="shared" si="10"/>
        <v>S1536_1</v>
      </c>
      <c r="AH27" s="360" t="str">
        <f t="shared" si="11"/>
        <v>Equipos de hoteles y restaurantes</v>
      </c>
      <c r="AP27" s="116"/>
    </row>
    <row r="28" spans="1:42">
      <c r="A28" s="119">
        <f t="shared" si="0"/>
        <v>0</v>
      </c>
      <c r="B28" s="385" t="s">
        <v>1540</v>
      </c>
      <c r="C28" s="424" t="str">
        <f t="shared" si="2"/>
        <v>S1540_1</v>
      </c>
      <c r="D28" s="424" t="str">
        <f t="shared" si="3"/>
        <v>Flota y equipo de transporte</v>
      </c>
      <c r="E28" s="526"/>
      <c r="F28" s="526"/>
      <c r="G28" s="426">
        <f t="shared" si="4"/>
        <v>0</v>
      </c>
      <c r="H28" s="222"/>
      <c r="I28" s="446"/>
      <c r="J28" s="446"/>
      <c r="K28" s="19" t="str">
        <f t="shared" si="5"/>
        <v>Ok</v>
      </c>
      <c r="L28" s="446" t="str">
        <f t="shared" si="1"/>
        <v/>
      </c>
      <c r="M28" s="446"/>
      <c r="Q28" s="516"/>
      <c r="R28" s="402"/>
      <c r="S28" s="385" t="s">
        <v>1540</v>
      </c>
      <c r="T28" s="549" t="str">
        <f t="shared" si="6"/>
        <v>S1540_1</v>
      </c>
      <c r="U28" s="549" t="str">
        <f t="shared" si="7"/>
        <v>Flota y equipo de transporte</v>
      </c>
      <c r="V28" s="550" t="str">
        <f>IFERROR(INDEX(BPC_NOTAS2[#All],MATCH($S28&amp;"_"&amp;V$17,BPC_NOTAS2[[#All],[FILA_COLUMNA]],0),2),"")</f>
        <v/>
      </c>
      <c r="W28" s="550" t="str">
        <f>IFERROR(INDEX(BPC_NOTAS2[#All],MATCH($S28&amp;"_"&amp;W$17,BPC_NOTAS2[[#All],[FILA_COLUMNA]],0),2),"")</f>
        <v/>
      </c>
      <c r="X28" s="425">
        <f t="shared" si="8"/>
        <v>0</v>
      </c>
      <c r="Y28" s="552" t="str">
        <f>IFERROR(INDEX(BPC_COMENTARIOS2[#All],MATCH($S28&amp;"_"&amp;Y$17,BPC_COMENTARIOS2[[#All],[FILA_COLUMNA]],0),2),"")</f>
        <v/>
      </c>
      <c r="Z28" s="446"/>
      <c r="AA28" s="93"/>
      <c r="AB28" s="478"/>
      <c r="AC28" s="477"/>
      <c r="AD28" s="477"/>
      <c r="AE28" s="547" t="str">
        <f>INDEX(BPC_FILA_NOTA[#All],MATCH($B28,BPC_FILA_NOTA[[#All],[ID]],0),2)</f>
        <v>Flota y equipo de transporte[S1540_1]</v>
      </c>
      <c r="AF28" s="360" t="str">
        <f t="shared" si="9"/>
        <v>S1540_1]</v>
      </c>
      <c r="AG28" s="360" t="str">
        <f t="shared" si="10"/>
        <v>S1540_1</v>
      </c>
      <c r="AH28" s="360" t="str">
        <f t="shared" si="11"/>
        <v>Flota y equipo de transporte</v>
      </c>
    </row>
    <row r="29" spans="1:42">
      <c r="A29" s="119">
        <f t="shared" si="0"/>
        <v>0</v>
      </c>
      <c r="B29" s="385" t="s">
        <v>1541</v>
      </c>
      <c r="C29" s="424" t="str">
        <f t="shared" si="2"/>
        <v>S1544_1</v>
      </c>
      <c r="D29" s="424" t="str">
        <f t="shared" si="3"/>
        <v>Flota y equipo fluvial y/o marítimo</v>
      </c>
      <c r="E29" s="526"/>
      <c r="F29" s="526"/>
      <c r="G29" s="426">
        <f t="shared" si="4"/>
        <v>0</v>
      </c>
      <c r="H29" s="222"/>
      <c r="I29" s="446"/>
      <c r="J29" s="446"/>
      <c r="K29" s="19" t="str">
        <f t="shared" si="5"/>
        <v>Ok</v>
      </c>
      <c r="L29" s="446" t="str">
        <f t="shared" si="1"/>
        <v/>
      </c>
      <c r="M29" s="446"/>
      <c r="Q29" s="516"/>
      <c r="R29" s="402"/>
      <c r="S29" s="385" t="s">
        <v>1541</v>
      </c>
      <c r="T29" s="549" t="str">
        <f t="shared" si="6"/>
        <v>S1544_1</v>
      </c>
      <c r="U29" s="549" t="str">
        <f t="shared" si="7"/>
        <v>Flota y equipo fluvial y/o marítimo</v>
      </c>
      <c r="V29" s="550" t="str">
        <f>IFERROR(INDEX(BPC_NOTAS2[#All],MATCH($S29&amp;"_"&amp;V$17,BPC_NOTAS2[[#All],[FILA_COLUMNA]],0),2),"")</f>
        <v/>
      </c>
      <c r="W29" s="550" t="str">
        <f>IFERROR(INDEX(BPC_NOTAS2[#All],MATCH($S29&amp;"_"&amp;W$17,BPC_NOTAS2[[#All],[FILA_COLUMNA]],0),2),"")</f>
        <v/>
      </c>
      <c r="X29" s="425">
        <f t="shared" si="8"/>
        <v>0</v>
      </c>
      <c r="Y29" s="552" t="str">
        <f>IFERROR(INDEX(BPC_COMENTARIOS2[#All],MATCH($S29&amp;"_"&amp;Y$17,BPC_COMENTARIOS2[[#All],[FILA_COLUMNA]],0),2),"")</f>
        <v/>
      </c>
      <c r="Z29" s="446"/>
      <c r="AA29" s="93"/>
      <c r="AB29" s="478"/>
      <c r="AC29" s="477"/>
      <c r="AD29" s="477"/>
      <c r="AE29" s="547" t="str">
        <f>INDEX(BPC_FILA_NOTA[#All],MATCH($B29,BPC_FILA_NOTA[[#All],[ID]],0),2)</f>
        <v>Flota y equipo fluvial y/o marítimo[S1544_1]</v>
      </c>
      <c r="AF29" s="360" t="str">
        <f t="shared" si="9"/>
        <v>S1544_1]</v>
      </c>
      <c r="AG29" s="360" t="str">
        <f t="shared" si="10"/>
        <v>S1544_1</v>
      </c>
      <c r="AH29" s="360" t="str">
        <f t="shared" si="11"/>
        <v>Flota y equipo fluvial y/o marítimo</v>
      </c>
    </row>
    <row r="30" spans="1:42">
      <c r="A30" s="119">
        <f t="shared" si="0"/>
        <v>0</v>
      </c>
      <c r="B30" s="385" t="s">
        <v>1542</v>
      </c>
      <c r="C30" s="424" t="str">
        <f t="shared" si="2"/>
        <v>S1556_1</v>
      </c>
      <c r="D30" s="424" t="str">
        <f t="shared" si="3"/>
        <v>Acueductos, plantas y redes</v>
      </c>
      <c r="E30" s="526"/>
      <c r="F30" s="526"/>
      <c r="G30" s="426">
        <f t="shared" si="4"/>
        <v>0</v>
      </c>
      <c r="H30" s="222"/>
      <c r="I30" s="446"/>
      <c r="J30" s="446"/>
      <c r="K30" s="19" t="str">
        <f t="shared" si="5"/>
        <v>Ok</v>
      </c>
      <c r="L30" s="446" t="str">
        <f t="shared" si="1"/>
        <v/>
      </c>
      <c r="M30" s="446"/>
      <c r="Q30" s="516"/>
      <c r="R30" s="402"/>
      <c r="S30" s="385" t="s">
        <v>1542</v>
      </c>
      <c r="T30" s="549" t="str">
        <f t="shared" si="6"/>
        <v>S1556_1</v>
      </c>
      <c r="U30" s="549" t="str">
        <f t="shared" si="7"/>
        <v>Acueductos, plantas y redes</v>
      </c>
      <c r="V30" s="550" t="str">
        <f>IFERROR(INDEX(BPC_NOTAS2[#All],MATCH($S30&amp;"_"&amp;V$17,BPC_NOTAS2[[#All],[FILA_COLUMNA]],0),2),"")</f>
        <v/>
      </c>
      <c r="W30" s="550" t="str">
        <f>IFERROR(INDEX(BPC_NOTAS2[#All],MATCH($S30&amp;"_"&amp;W$17,BPC_NOTAS2[[#All],[FILA_COLUMNA]],0),2),"")</f>
        <v/>
      </c>
      <c r="X30" s="425">
        <f t="shared" si="8"/>
        <v>0</v>
      </c>
      <c r="Y30" s="552" t="str">
        <f>IFERROR(INDEX(BPC_COMENTARIOS2[#All],MATCH($S30&amp;"_"&amp;Y$17,BPC_COMENTARIOS2[[#All],[FILA_COLUMNA]],0),2),"")</f>
        <v/>
      </c>
      <c r="Z30" s="446"/>
      <c r="AA30" s="93"/>
      <c r="AB30" s="478"/>
      <c r="AC30" s="477"/>
      <c r="AD30" s="477"/>
      <c r="AE30" s="547" t="str">
        <f>INDEX(BPC_FILA_NOTA[#All],MATCH($B30,BPC_FILA_NOTA[[#All],[ID]],0),2)</f>
        <v>Acueductos, plantas y redes[S1556_1]</v>
      </c>
      <c r="AF30" s="360" t="str">
        <f t="shared" si="9"/>
        <v>S1556_1]</v>
      </c>
      <c r="AG30" s="360" t="str">
        <f t="shared" si="10"/>
        <v>S1556_1</v>
      </c>
      <c r="AH30" s="360" t="str">
        <f t="shared" si="11"/>
        <v>Acueductos, plantas y redes</v>
      </c>
    </row>
    <row r="31" spans="1:42">
      <c r="A31" s="119">
        <f t="shared" si="0"/>
        <v>0</v>
      </c>
      <c r="B31" s="385" t="s">
        <v>1543</v>
      </c>
      <c r="C31" s="424" t="str">
        <f t="shared" si="2"/>
        <v>S1560_1</v>
      </c>
      <c r="D31" s="424" t="str">
        <f t="shared" si="3"/>
        <v>Armamento de vigilancia</v>
      </c>
      <c r="E31" s="526"/>
      <c r="F31" s="526"/>
      <c r="G31" s="426">
        <f t="shared" si="4"/>
        <v>0</v>
      </c>
      <c r="H31" s="222"/>
      <c r="I31" s="446"/>
      <c r="J31" s="446"/>
      <c r="K31" s="19" t="str">
        <f t="shared" si="5"/>
        <v>Ok</v>
      </c>
      <c r="L31" s="446" t="str">
        <f t="shared" si="1"/>
        <v/>
      </c>
      <c r="M31" s="446"/>
      <c r="Q31" s="516"/>
      <c r="R31" s="402"/>
      <c r="S31" s="385" t="s">
        <v>1543</v>
      </c>
      <c r="T31" s="549" t="str">
        <f t="shared" si="6"/>
        <v>S1560_1</v>
      </c>
      <c r="U31" s="549" t="str">
        <f t="shared" si="7"/>
        <v>Armamento de vigilancia</v>
      </c>
      <c r="V31" s="550" t="str">
        <f>IFERROR(INDEX(BPC_NOTAS2[#All],MATCH($S31&amp;"_"&amp;V$17,BPC_NOTAS2[[#All],[FILA_COLUMNA]],0),2),"")</f>
        <v/>
      </c>
      <c r="W31" s="550" t="str">
        <f>IFERROR(INDEX(BPC_NOTAS2[#All],MATCH($S31&amp;"_"&amp;W$17,BPC_NOTAS2[[#All],[FILA_COLUMNA]],0),2),"")</f>
        <v/>
      </c>
      <c r="X31" s="425">
        <f t="shared" si="8"/>
        <v>0</v>
      </c>
      <c r="Y31" s="552" t="str">
        <f>IFERROR(INDEX(BPC_COMENTARIOS2[#All],MATCH($S31&amp;"_"&amp;Y$17,BPC_COMENTARIOS2[[#All],[FILA_COLUMNA]],0),2),"")</f>
        <v/>
      </c>
      <c r="Z31" s="446"/>
      <c r="AA31" s="93"/>
      <c r="AB31" s="478"/>
      <c r="AC31" s="477"/>
      <c r="AD31" s="477"/>
      <c r="AE31" s="547" t="str">
        <f>INDEX(BPC_FILA_NOTA[#All],MATCH($B31,BPC_FILA_NOTA[[#All],[ID]],0),2)</f>
        <v>Armamento de vigilancia[S1560_1]</v>
      </c>
      <c r="AF31" s="360" t="str">
        <f t="shared" si="9"/>
        <v>S1560_1]</v>
      </c>
      <c r="AG31" s="360" t="str">
        <f t="shared" si="10"/>
        <v>S1560_1</v>
      </c>
      <c r="AH31" s="360" t="str">
        <f t="shared" si="11"/>
        <v>Armamento de vigilancia</v>
      </c>
    </row>
    <row r="32" spans="1:42">
      <c r="A32" s="119">
        <f t="shared" si="0"/>
        <v>0</v>
      </c>
      <c r="B32" s="385" t="s">
        <v>1544</v>
      </c>
      <c r="C32" s="424" t="str">
        <f t="shared" si="2"/>
        <v>S1562_1</v>
      </c>
      <c r="D32" s="424" t="str">
        <f t="shared" si="3"/>
        <v>Envases y empaques</v>
      </c>
      <c r="E32" s="526"/>
      <c r="F32" s="526"/>
      <c r="G32" s="426">
        <f t="shared" si="4"/>
        <v>0</v>
      </c>
      <c r="H32" s="222"/>
      <c r="I32" s="446"/>
      <c r="J32" s="446"/>
      <c r="K32" s="19" t="str">
        <f t="shared" si="5"/>
        <v>Ok</v>
      </c>
      <c r="L32" s="446" t="str">
        <f t="shared" si="1"/>
        <v/>
      </c>
      <c r="M32" s="446"/>
      <c r="Q32" s="516"/>
      <c r="R32" s="402"/>
      <c r="S32" s="385" t="s">
        <v>1544</v>
      </c>
      <c r="T32" s="549" t="str">
        <f t="shared" si="6"/>
        <v>S1562_1</v>
      </c>
      <c r="U32" s="549" t="str">
        <f t="shared" si="7"/>
        <v>Envases y empaques</v>
      </c>
      <c r="V32" s="550" t="str">
        <f>IFERROR(INDEX(BPC_NOTAS2[#All],MATCH($S32&amp;"_"&amp;V$17,BPC_NOTAS2[[#All],[FILA_COLUMNA]],0),2),"")</f>
        <v/>
      </c>
      <c r="W32" s="550" t="str">
        <f>IFERROR(INDEX(BPC_NOTAS2[#All],MATCH($S32&amp;"_"&amp;W$17,BPC_NOTAS2[[#All],[FILA_COLUMNA]],0),2),"")</f>
        <v/>
      </c>
      <c r="X32" s="425">
        <f t="shared" si="8"/>
        <v>0</v>
      </c>
      <c r="Y32" s="552" t="str">
        <f>IFERROR(INDEX(BPC_COMENTARIOS2[#All],MATCH($S32&amp;"_"&amp;Y$17,BPC_COMENTARIOS2[[#All],[FILA_COLUMNA]],0),2),"")</f>
        <v/>
      </c>
      <c r="Z32" s="446"/>
      <c r="AA32" s="93"/>
      <c r="AB32" s="478"/>
      <c r="AC32" s="477"/>
      <c r="AD32" s="477"/>
      <c r="AE32" s="547" t="str">
        <f>INDEX(BPC_FILA_NOTA[#All],MATCH($B32,BPC_FILA_NOTA[[#All],[ID]],0),2)</f>
        <v>Envases y empaques[S1562_1]</v>
      </c>
      <c r="AF32" s="360" t="str">
        <f t="shared" si="9"/>
        <v>S1562_1]</v>
      </c>
      <c r="AG32" s="360" t="str">
        <f t="shared" si="10"/>
        <v>S1562_1</v>
      </c>
      <c r="AH32" s="360" t="str">
        <f t="shared" si="11"/>
        <v>Envases y empaques</v>
      </c>
    </row>
    <row r="33" spans="1:34">
      <c r="A33" s="119">
        <f t="shared" si="0"/>
        <v>0</v>
      </c>
      <c r="B33" s="385" t="s">
        <v>1545</v>
      </c>
      <c r="C33" s="424" t="str">
        <f t="shared" si="2"/>
        <v>S1588_1</v>
      </c>
      <c r="D33" s="424" t="str">
        <f t="shared" si="3"/>
        <v>Propiedades, planta y equipo en transito</v>
      </c>
      <c r="E33" s="526"/>
      <c r="F33" s="526"/>
      <c r="G33" s="426">
        <f t="shared" si="4"/>
        <v>0</v>
      </c>
      <c r="H33" s="222"/>
      <c r="I33" s="446"/>
      <c r="J33" s="446"/>
      <c r="K33" s="19" t="str">
        <f t="shared" si="5"/>
        <v>Ok</v>
      </c>
      <c r="L33" s="446" t="str">
        <f t="shared" si="1"/>
        <v/>
      </c>
      <c r="M33" s="446"/>
      <c r="Q33" s="516"/>
      <c r="R33" s="402"/>
      <c r="S33" s="385" t="s">
        <v>1545</v>
      </c>
      <c r="T33" s="549" t="str">
        <f t="shared" si="6"/>
        <v>S1588_1</v>
      </c>
      <c r="U33" s="549" t="str">
        <f t="shared" si="7"/>
        <v>Propiedades, planta y equipo en transito</v>
      </c>
      <c r="V33" s="550" t="str">
        <f>IFERROR(INDEX(BPC_NOTAS2[#All],MATCH($S33&amp;"_"&amp;V$17,BPC_NOTAS2[[#All],[FILA_COLUMNA]],0),2),"")</f>
        <v/>
      </c>
      <c r="W33" s="550" t="str">
        <f>IFERROR(INDEX(BPC_NOTAS2[#All],MATCH($S33&amp;"_"&amp;W$17,BPC_NOTAS2[[#All],[FILA_COLUMNA]],0),2),"")</f>
        <v/>
      </c>
      <c r="X33" s="425">
        <f t="shared" si="8"/>
        <v>0</v>
      </c>
      <c r="Y33" s="552" t="str">
        <f>IFERROR(INDEX(BPC_COMENTARIOS2[#All],MATCH($S33&amp;"_"&amp;Y$17,BPC_COMENTARIOS2[[#All],[FILA_COLUMNA]],0),2),"")</f>
        <v/>
      </c>
      <c r="Z33" s="446"/>
      <c r="AA33" s="93"/>
      <c r="AB33" s="478"/>
      <c r="AC33" s="477"/>
      <c r="AD33" s="477"/>
      <c r="AE33" s="547" t="str">
        <f>INDEX(BPC_FILA_NOTA[#All],MATCH($B33,BPC_FILA_NOTA[[#All],[ID]],0),2)</f>
        <v>Propiedades, planta y equipo en transito[S1588_1]</v>
      </c>
      <c r="AF33" s="360" t="str">
        <f t="shared" si="9"/>
        <v>S1588_1]</v>
      </c>
      <c r="AG33" s="360" t="str">
        <f t="shared" si="10"/>
        <v>S1588_1</v>
      </c>
      <c r="AH33" s="360" t="str">
        <f t="shared" si="11"/>
        <v>Propiedades, planta y equipo en transito</v>
      </c>
    </row>
    <row r="34" spans="1:34" ht="15" customHeight="1">
      <c r="B34" s="385" t="s">
        <v>1546</v>
      </c>
      <c r="C34" s="496" t="str">
        <f t="shared" si="2"/>
        <v>Total</v>
      </c>
      <c r="D34" s="424" t="str">
        <f t="shared" si="3"/>
        <v xml:space="preserve"> </v>
      </c>
      <c r="E34" s="270">
        <f>SUM(E19:E33)</f>
        <v>0</v>
      </c>
      <c r="F34" s="270">
        <f>SUM(F19:F33)</f>
        <v>0</v>
      </c>
      <c r="G34" s="426">
        <f t="shared" si="4"/>
        <v>0</v>
      </c>
      <c r="H34" s="222" t="str">
        <f>IFERROR(INDEX(BPC_COMENTARIOS[#All],MATCH($B34&amp;"_"&amp;H$17,BPC_COMENTARIOS[[#All],[FILA_COLUMNA]],0),2),"")</f>
        <v/>
      </c>
      <c r="I34" s="446"/>
      <c r="J34" s="446"/>
      <c r="K34" s="446"/>
      <c r="L34" s="446"/>
      <c r="M34" s="446"/>
      <c r="Q34" s="516"/>
      <c r="R34" s="402"/>
      <c r="S34" s="385" t="s">
        <v>1546</v>
      </c>
      <c r="T34" s="549" t="str">
        <f t="shared" si="6"/>
        <v>Total</v>
      </c>
      <c r="U34" s="549" t="str">
        <f t="shared" si="7"/>
        <v xml:space="preserve"> </v>
      </c>
      <c r="V34" s="527">
        <f>SUM(V19:V33)</f>
        <v>0</v>
      </c>
      <c r="W34" s="527">
        <f>SUM(W19:W33)</f>
        <v>0</v>
      </c>
      <c r="X34" s="425">
        <f t="shared" si="8"/>
        <v>0</v>
      </c>
      <c r="Y34" s="552" t="str">
        <f>IFERROR(INDEX(BPC_COMENTARIOS2[#All],MATCH($S34&amp;"_"&amp;Y$17,BPC_COMENTARIOS2[[#All],[FILA_COLUMNA]],0),2),"")</f>
        <v/>
      </c>
      <c r="Z34" s="446"/>
      <c r="AA34" s="93"/>
      <c r="AB34" s="477"/>
      <c r="AC34" s="477"/>
      <c r="AD34" s="477"/>
      <c r="AE34" s="547" t="str">
        <f>INDEX(BPC_FILA_NOTA[#All],MATCH($B34,BPC_FILA_NOTA[[#All],[ID]],0),2)</f>
        <v>Totales</v>
      </c>
      <c r="AF34" s="360" t="str">
        <f t="shared" si="9"/>
        <v/>
      </c>
      <c r="AG34" s="360" t="s">
        <v>35</v>
      </c>
      <c r="AH34" s="360" t="s">
        <v>451</v>
      </c>
    </row>
    <row r="35" spans="1:34">
      <c r="B35" s="392"/>
      <c r="C35" s="446"/>
      <c r="D35" s="470"/>
      <c r="E35" s="470"/>
      <c r="F35" s="470"/>
      <c r="G35" s="470"/>
      <c r="H35" s="446"/>
      <c r="I35" s="446"/>
      <c r="J35" s="446"/>
      <c r="K35" s="446"/>
      <c r="L35" s="446"/>
      <c r="M35" s="446"/>
      <c r="Z35" s="446"/>
      <c r="AA35" s="93"/>
      <c r="AB35" s="477"/>
      <c r="AC35" s="477"/>
      <c r="AD35" s="477"/>
      <c r="AE35" s="371"/>
      <c r="AF35" s="371"/>
    </row>
    <row r="36" spans="1:34">
      <c r="C36" s="449"/>
      <c r="D36" s="446"/>
      <c r="E36" s="446"/>
      <c r="F36" s="446"/>
      <c r="G36" s="446"/>
      <c r="H36" s="446"/>
      <c r="I36" s="446"/>
      <c r="J36" s="446"/>
      <c r="K36" s="446"/>
      <c r="L36" s="446"/>
      <c r="M36" s="446"/>
      <c r="Z36" s="446"/>
      <c r="AB36" s="476"/>
      <c r="AC36" s="476"/>
      <c r="AD36" s="476"/>
    </row>
    <row r="37" spans="1:34">
      <c r="C37" s="446"/>
      <c r="D37" s="446"/>
      <c r="E37" s="446"/>
      <c r="F37" s="446"/>
      <c r="G37" s="446"/>
      <c r="H37" s="446"/>
      <c r="I37" s="446"/>
      <c r="J37" s="446"/>
      <c r="K37" s="446"/>
      <c r="L37" s="446"/>
      <c r="M37" s="446"/>
      <c r="Z37" s="446"/>
      <c r="AA37" s="476"/>
      <c r="AB37" s="476"/>
      <c r="AC37" s="476"/>
      <c r="AD37" s="476"/>
    </row>
    <row r="38" spans="1:34">
      <c r="B38" s="30">
        <v>2</v>
      </c>
      <c r="C38" s="471" t="s">
        <v>161</v>
      </c>
      <c r="D38" s="446"/>
      <c r="E38" s="446"/>
      <c r="F38" s="446"/>
      <c r="G38" s="446"/>
      <c r="H38" s="446"/>
      <c r="I38" s="446"/>
      <c r="J38" s="446"/>
      <c r="K38" s="446"/>
      <c r="L38" s="446"/>
      <c r="M38" s="446"/>
      <c r="Q38" s="117"/>
      <c r="Z38" s="446"/>
      <c r="AA38" s="476"/>
      <c r="AB38" s="476"/>
      <c r="AC38" s="476"/>
      <c r="AD38" s="476"/>
    </row>
    <row r="39" spans="1:34">
      <c r="C39" s="446"/>
      <c r="D39" s="446"/>
      <c r="E39" s="446"/>
      <c r="F39" s="446"/>
      <c r="G39" s="446"/>
      <c r="H39" s="446"/>
      <c r="I39" s="446"/>
      <c r="J39" s="446"/>
      <c r="K39" s="446"/>
      <c r="L39" s="446"/>
      <c r="M39" s="446"/>
      <c r="Q39" s="267"/>
      <c r="R39" s="367"/>
      <c r="Z39" s="446"/>
      <c r="AA39" s="476"/>
      <c r="AB39" s="476"/>
      <c r="AC39" s="476"/>
      <c r="AD39" s="476"/>
    </row>
    <row r="40" spans="1:34" ht="15.75" thickBot="1">
      <c r="C40" s="108" t="s">
        <v>163</v>
      </c>
      <c r="D40" s="597" t="s">
        <v>162</v>
      </c>
      <c r="E40" s="597" t="s">
        <v>162</v>
      </c>
      <c r="F40" s="597" t="s">
        <v>163</v>
      </c>
      <c r="G40" s="597" t="s">
        <v>1582</v>
      </c>
      <c r="H40" s="108" t="s">
        <v>1582</v>
      </c>
      <c r="I40" s="597" t="s">
        <v>164</v>
      </c>
      <c r="J40" s="446"/>
      <c r="K40" s="446"/>
      <c r="L40" s="446"/>
      <c r="M40" s="446"/>
      <c r="Q40" s="117"/>
      <c r="S40" s="148" t="s">
        <v>163</v>
      </c>
      <c r="T40" s="108" t="s">
        <v>163</v>
      </c>
      <c r="U40" s="597" t="s">
        <v>162</v>
      </c>
      <c r="V40" s="597" t="s">
        <v>162</v>
      </c>
      <c r="W40" s="597" t="s">
        <v>163</v>
      </c>
      <c r="X40" s="597" t="s">
        <v>1582</v>
      </c>
      <c r="Y40" s="108" t="s">
        <v>164</v>
      </c>
      <c r="Z40" s="597" t="s">
        <v>164</v>
      </c>
      <c r="AA40" s="476"/>
      <c r="AB40" s="476"/>
      <c r="AC40" s="476"/>
      <c r="AD40" s="476"/>
    </row>
    <row r="41" spans="1:34" ht="60">
      <c r="B41" s="524"/>
      <c r="C41" s="497" t="s">
        <v>14755</v>
      </c>
      <c r="D41" s="497" t="s">
        <v>14756</v>
      </c>
      <c r="E41" s="548" t="str">
        <f>INDEX(BPC_COLUMNA_NOTA[[#All],[CD_COLUMNA]:[DESCRIPCION_LARGA]],MATCH(E$40,BPC_COLUMNA_NOTA[[#All],[CD_COLUMNA]],0),2)</f>
        <v>Costo en libros</v>
      </c>
      <c r="F41" s="548" t="str">
        <f>INDEX(BPC_COLUMNA_NOTA[[#All],[CD_COLUMNA]:[DESCRIPCION_LARGA]],MATCH(F$40,BPC_COLUMNA_NOTA[[#All],[CD_COLUMNA]],0),2)</f>
        <v>Depreciación acumulada</v>
      </c>
      <c r="G41" s="548" t="str">
        <f>INDEX(BPC_COLUMNA_NOTA[[#All],[CD_COLUMNA]:[DESCRIPCION_LARGA]],MATCH(G$40,BPC_COLUMNA_NOTA[[#All],[CD_COLUMNA]],0),2)</f>
        <v>Valor neto en libros</v>
      </c>
      <c r="H41" s="497" t="s">
        <v>9498</v>
      </c>
      <c r="I41" s="497" t="str">
        <f>INDEX(BPC_COLUMNA_NOTA[[#All],[CD_COLUMNA]:[DESCRIPCION_LARGA]],MATCH(I$40,BPC_COLUMNA_NOTA[[#All],[CD_COLUMNA]],0),2)</f>
        <v>N° de acciones o cuotas si se trata de inversiones</v>
      </c>
      <c r="J41" s="446"/>
      <c r="K41" s="446"/>
      <c r="L41" s="446"/>
      <c r="M41" s="446"/>
      <c r="Q41" s="117"/>
      <c r="S41" s="400" t="s">
        <v>633</v>
      </c>
      <c r="T41" s="548" t="s">
        <v>14755</v>
      </c>
      <c r="U41" s="548" t="s">
        <v>14756</v>
      </c>
      <c r="V41" s="510" t="str">
        <f>INDEX(BPC_COLUMNA_NOTA[[#All],[CD_COLUMNA]:[DESCRIPCION_LARGA]],MATCH(V$40,BPC_COLUMNA_NOTA[[#All],[CD_COLUMNA]],0),2)</f>
        <v>Costo en libros</v>
      </c>
      <c r="W41" s="510" t="str">
        <f>INDEX(BPC_COLUMNA_NOTA[[#All],[CD_COLUMNA]:[DESCRIPCION_LARGA]],MATCH(W$40,BPC_COLUMNA_NOTA[[#All],[CD_COLUMNA]],0),2)</f>
        <v>Depreciación acumulada</v>
      </c>
      <c r="X41" s="510" t="str">
        <f>INDEX(BPC_COLUMNA_NOTA[[#All],[CD_COLUMNA]:[DESCRIPCION_LARGA]],MATCH(X$40,BPC_COLUMNA_NOTA[[#All],[CD_COLUMNA]],0),2)</f>
        <v>Valor neto en libros</v>
      </c>
      <c r="Y41" s="510" t="s">
        <v>9498</v>
      </c>
      <c r="Z41" s="510" t="str">
        <f>INDEX(BPC_COLUMNA_NOTA[[#All],[CD_COLUMNA]:[DESCRIPCION_LARGA]],MATCH(Z$40,BPC_COLUMNA_NOTA[[#All],[CD_COLUMNA]],0),2)</f>
        <v>N° de acciones o cuotas si se trata de inversiones</v>
      </c>
      <c r="AA41" s="476"/>
      <c r="AB41" s="477"/>
      <c r="AC41" s="477"/>
      <c r="AD41" s="477"/>
      <c r="AE41" s="371"/>
    </row>
    <row r="42" spans="1:34">
      <c r="B42" s="385" t="s">
        <v>1434</v>
      </c>
      <c r="C42" s="222"/>
      <c r="D42" s="222"/>
      <c r="E42" s="526"/>
      <c r="F42" s="526"/>
      <c r="G42" s="426">
        <f>SUM(E42:F42)</f>
        <v>0</v>
      </c>
      <c r="H42" s="222"/>
      <c r="I42" s="526"/>
      <c r="J42" s="446"/>
      <c r="K42" s="19" t="str">
        <f>IF(L42="","Ok","Error")</f>
        <v>Ok</v>
      </c>
      <c r="L42" s="446" t="str">
        <f>IF(G42&lt;&gt;0,IF(LEN(H42)&lt;10,"Diligenciar tipo de restrición",IF(OR(C42="",D42=""),"Cuenta y detalle cuenta","")),"")</f>
        <v/>
      </c>
      <c r="M42" s="446"/>
      <c r="Q42" s="516"/>
      <c r="R42" s="402"/>
      <c r="S42" s="516">
        <v>11902002</v>
      </c>
      <c r="T42" s="552" t="str">
        <f>IFERROR(INDEX(BPC_COMENTARIOS2[#All],MATCH($S42&amp;"_"&amp;T$40,BPC_COMENTARIOS2[[#All],[FILA_COLUMNA]],0),2),"")</f>
        <v/>
      </c>
      <c r="U42" s="552" t="str">
        <f>IFERROR(INDEX(BPC_COMENTARIOS2[#All],MATCH($S42&amp;"_"&amp;U$40,BPC_COMENTARIOS2[[#All],[FILA_COLUMNA]],0),2),"")</f>
        <v/>
      </c>
      <c r="V42" s="550" t="str">
        <f>IFERROR(INDEX(BPC_NOTAS2[#All],MATCH($S42&amp;"_"&amp;V$40,BPC_NOTAS2[[#All],[FILA_COLUMNA]],0),2),"")</f>
        <v/>
      </c>
      <c r="W42" s="550" t="str">
        <f>IFERROR(INDEX(BPC_NOTAS2[#All],MATCH($S42&amp;"_"&amp;W$40,BPC_NOTAS2[[#All],[FILA_COLUMNA]],0),2),"")</f>
        <v/>
      </c>
      <c r="X42" s="425">
        <f>SUM(V42:W42)</f>
        <v>0</v>
      </c>
      <c r="Y42" s="552" t="str">
        <f>IFERROR(INDEX(BPC_COMENTARIOS2[#All],MATCH($S42&amp;"_"&amp;Y$40,BPC_COMENTARIOS2[[#All],[FILA_COLUMNA]],0),2),"")</f>
        <v/>
      </c>
      <c r="Z42" s="550" t="str">
        <f>IFERROR(INDEX(BPC_NOTAS2[#All],MATCH($S42&amp;"_"&amp;Z$40,BPC_NOTAS2[[#All],[FILA_COLUMNA]],0),2),"")</f>
        <v/>
      </c>
      <c r="AA42" s="476"/>
      <c r="AB42" s="477"/>
      <c r="AC42" s="477"/>
      <c r="AD42" s="477"/>
      <c r="AF42" s="360" t="e">
        <f ca="1">_xll.EPMSaveComment($C42, "ANEXO_NOTAS_XBRL",$B42,$C$40)</f>
        <v>#NAME?</v>
      </c>
      <c r="AG42" s="360" t="e">
        <f ca="1">_xll.EPMSaveComment($D42, "ANEXO_NOTAS_XBRL",$B42,$D$40)</f>
        <v>#NAME?</v>
      </c>
      <c r="AH42" s="360" t="e">
        <f ca="1">_xll.EPMSaveComment($H42, "ANEXO_NOTAS_XBRL",$B42,$H$40)</f>
        <v>#NAME?</v>
      </c>
    </row>
    <row r="43" spans="1:34">
      <c r="B43" s="385" t="s">
        <v>1547</v>
      </c>
      <c r="C43" s="222"/>
      <c r="D43" s="222"/>
      <c r="E43" s="526"/>
      <c r="F43" s="526"/>
      <c r="G43" s="426">
        <f t="shared" ref="G43:G57" si="12">SUM(E43:F43)</f>
        <v>0</v>
      </c>
      <c r="H43" s="222"/>
      <c r="I43" s="526"/>
      <c r="J43" s="446"/>
      <c r="K43" s="19" t="str">
        <f t="shared" ref="K43:K56" si="13">IF(L43="","Ok","Error")</f>
        <v>Ok</v>
      </c>
      <c r="L43" s="446" t="str">
        <f t="shared" ref="L43:L56" si="14">IF(G43&lt;&gt;0,IF(LEN(H43)&lt;10,"Diligenciar tipo de restrición",IF(OR(C43="",D43=""),"Cuenta y detalle cuenta","")),"")</f>
        <v/>
      </c>
      <c r="M43" s="446"/>
      <c r="Q43" s="516"/>
      <c r="R43" s="402"/>
      <c r="S43" s="385" t="s">
        <v>1547</v>
      </c>
      <c r="T43" s="552" t="str">
        <f>IFERROR(INDEX(BPC_COMENTARIOS2[#All],MATCH($S43&amp;"_"&amp;T$40,BPC_COMENTARIOS2[[#All],[FILA_COLUMNA]],0),2),"")</f>
        <v/>
      </c>
      <c r="U43" s="552" t="str">
        <f>IFERROR(INDEX(BPC_COMENTARIOS2[#All],MATCH($S43&amp;"_"&amp;U$40,BPC_COMENTARIOS2[[#All],[FILA_COLUMNA]],0),2),"")</f>
        <v/>
      </c>
      <c r="V43" s="550" t="str">
        <f>IFERROR(INDEX(BPC_NOTAS2[#All],MATCH($S43&amp;"_"&amp;V$40,BPC_NOTAS2[[#All],[FILA_COLUMNA]],0),2),"")</f>
        <v/>
      </c>
      <c r="W43" s="550" t="str">
        <f>IFERROR(INDEX(BPC_NOTAS2[#All],MATCH($S43&amp;"_"&amp;W$40,BPC_NOTAS2[[#All],[FILA_COLUMNA]],0),2),"")</f>
        <v/>
      </c>
      <c r="X43" s="425">
        <f t="shared" ref="X43:X57" si="15">SUM(V43:W43)</f>
        <v>0</v>
      </c>
      <c r="Y43" s="552" t="str">
        <f>IFERROR(INDEX(BPC_COMENTARIOS2[#All],MATCH($S43&amp;"_"&amp;Y$40,BPC_COMENTARIOS2[[#All],[FILA_COLUMNA]],0),2),"")</f>
        <v/>
      </c>
      <c r="Z43" s="550" t="str">
        <f>IFERROR(INDEX(BPC_NOTAS2[#All],MATCH($S43&amp;"_"&amp;Z$40,BPC_NOTAS2[[#All],[FILA_COLUMNA]],0),2),"")</f>
        <v/>
      </c>
      <c r="AA43" s="476"/>
      <c r="AB43" s="477"/>
      <c r="AC43" s="477"/>
      <c r="AD43" s="477"/>
      <c r="AF43" s="360" t="e">
        <f ca="1">_xll.EPMSaveComment($C43, "ANEXO_NOTAS_XBRL",$B43,$C$40)</f>
        <v>#NAME?</v>
      </c>
      <c r="AG43" s="360" t="e">
        <f ca="1">_xll.EPMSaveComment($D43, "ANEXO_NOTAS_XBRL",$B43,$D$40)</f>
        <v>#NAME?</v>
      </c>
      <c r="AH43" s="360" t="e">
        <f ca="1">_xll.EPMSaveComment($H43, "ANEXO_NOTAS_XBRL",$B43,$H$40)</f>
        <v>#NAME?</v>
      </c>
    </row>
    <row r="44" spans="1:34">
      <c r="B44" s="385" t="s">
        <v>1548</v>
      </c>
      <c r="C44" s="222"/>
      <c r="D44" s="222"/>
      <c r="E44" s="526"/>
      <c r="F44" s="526"/>
      <c r="G44" s="426">
        <f t="shared" si="12"/>
        <v>0</v>
      </c>
      <c r="H44" s="222"/>
      <c r="I44" s="526"/>
      <c r="J44" s="446"/>
      <c r="K44" s="19" t="str">
        <f t="shared" si="13"/>
        <v>Ok</v>
      </c>
      <c r="L44" s="446" t="str">
        <f t="shared" si="14"/>
        <v/>
      </c>
      <c r="M44" s="446"/>
      <c r="Q44" s="516"/>
      <c r="R44" s="402"/>
      <c r="S44" s="385" t="s">
        <v>1548</v>
      </c>
      <c r="T44" s="552" t="str">
        <f>IFERROR(INDEX(BPC_COMENTARIOS2[#All],MATCH($S44&amp;"_"&amp;T$40,BPC_COMENTARIOS2[[#All],[FILA_COLUMNA]],0),2),"")</f>
        <v/>
      </c>
      <c r="U44" s="552" t="str">
        <f>IFERROR(INDEX(BPC_COMENTARIOS2[#All],MATCH($S44&amp;"_"&amp;U$40,BPC_COMENTARIOS2[[#All],[FILA_COLUMNA]],0),2),"")</f>
        <v/>
      </c>
      <c r="V44" s="550" t="str">
        <f>IFERROR(INDEX(BPC_NOTAS2[#All],MATCH($S44&amp;"_"&amp;V$40,BPC_NOTAS2[[#All],[FILA_COLUMNA]],0),2),"")</f>
        <v/>
      </c>
      <c r="W44" s="550" t="str">
        <f>IFERROR(INDEX(BPC_NOTAS2[#All],MATCH($S44&amp;"_"&amp;W$40,BPC_NOTAS2[[#All],[FILA_COLUMNA]],0),2),"")</f>
        <v/>
      </c>
      <c r="X44" s="425">
        <f t="shared" si="15"/>
        <v>0</v>
      </c>
      <c r="Y44" s="552" t="str">
        <f>IFERROR(INDEX(BPC_COMENTARIOS2[#All],MATCH($S44&amp;"_"&amp;Y$40,BPC_COMENTARIOS2[[#All],[FILA_COLUMNA]],0),2),"")</f>
        <v/>
      </c>
      <c r="Z44" s="550" t="str">
        <f>IFERROR(INDEX(BPC_NOTAS2[#All],MATCH($S44&amp;"_"&amp;Z$40,BPC_NOTAS2[[#All],[FILA_COLUMNA]],0),2),"")</f>
        <v/>
      </c>
      <c r="AA44" s="476"/>
      <c r="AB44" s="477"/>
      <c r="AC44" s="477"/>
      <c r="AD44" s="477"/>
      <c r="AF44" s="360" t="e">
        <f ca="1">_xll.EPMSaveComment($C44, "ANEXO_NOTAS_XBRL",$B44,$C$40)</f>
        <v>#NAME?</v>
      </c>
      <c r="AG44" s="360" t="e">
        <f ca="1">_xll.EPMSaveComment($D44, "ANEXO_NOTAS_XBRL",$B44,$D$40)</f>
        <v>#NAME?</v>
      </c>
      <c r="AH44" s="360" t="e">
        <f ca="1">_xll.EPMSaveComment($H44, "ANEXO_NOTAS_XBRL",$B44,$H$40)</f>
        <v>#NAME?</v>
      </c>
    </row>
    <row r="45" spans="1:34">
      <c r="B45" s="385" t="s">
        <v>1549</v>
      </c>
      <c r="C45" s="222"/>
      <c r="D45" s="222"/>
      <c r="E45" s="526"/>
      <c r="F45" s="526"/>
      <c r="G45" s="426">
        <f t="shared" si="12"/>
        <v>0</v>
      </c>
      <c r="H45" s="222"/>
      <c r="I45" s="526"/>
      <c r="J45" s="446"/>
      <c r="K45" s="19" t="str">
        <f t="shared" si="13"/>
        <v>Ok</v>
      </c>
      <c r="L45" s="446" t="str">
        <f t="shared" si="14"/>
        <v/>
      </c>
      <c r="M45" s="446"/>
      <c r="Q45" s="516"/>
      <c r="R45" s="402"/>
      <c r="S45" s="385" t="s">
        <v>1549</v>
      </c>
      <c r="T45" s="552" t="str">
        <f>IFERROR(INDEX(BPC_COMENTARIOS2[#All],MATCH($S45&amp;"_"&amp;T$40,BPC_COMENTARIOS2[[#All],[FILA_COLUMNA]],0),2),"")</f>
        <v/>
      </c>
      <c r="U45" s="552" t="str">
        <f>IFERROR(INDEX(BPC_COMENTARIOS2[#All],MATCH($S45&amp;"_"&amp;U$40,BPC_COMENTARIOS2[[#All],[FILA_COLUMNA]],0),2),"")</f>
        <v/>
      </c>
      <c r="V45" s="550" t="str">
        <f>IFERROR(INDEX(BPC_NOTAS2[#All],MATCH($S45&amp;"_"&amp;V$40,BPC_NOTAS2[[#All],[FILA_COLUMNA]],0),2),"")</f>
        <v/>
      </c>
      <c r="W45" s="550" t="str">
        <f>IFERROR(INDEX(BPC_NOTAS2[#All],MATCH($S45&amp;"_"&amp;W$40,BPC_NOTAS2[[#All],[FILA_COLUMNA]],0),2),"")</f>
        <v/>
      </c>
      <c r="X45" s="425">
        <f t="shared" si="15"/>
        <v>0</v>
      </c>
      <c r="Y45" s="552" t="str">
        <f>IFERROR(INDEX(BPC_COMENTARIOS2[#All],MATCH($S45&amp;"_"&amp;Y$40,BPC_COMENTARIOS2[[#All],[FILA_COLUMNA]],0),2),"")</f>
        <v/>
      </c>
      <c r="Z45" s="550" t="str">
        <f>IFERROR(INDEX(BPC_NOTAS2[#All],MATCH($S45&amp;"_"&amp;Z$40,BPC_NOTAS2[[#All],[FILA_COLUMNA]],0),2),"")</f>
        <v/>
      </c>
      <c r="AA45" s="476"/>
      <c r="AB45" s="477"/>
      <c r="AC45" s="477"/>
      <c r="AD45" s="477"/>
      <c r="AF45" s="360" t="e">
        <f ca="1">_xll.EPMSaveComment($C45, "ANEXO_NOTAS_XBRL",$B45,$C$40)</f>
        <v>#NAME?</v>
      </c>
      <c r="AG45" s="360" t="e">
        <f ca="1">_xll.EPMSaveComment($D45, "ANEXO_NOTAS_XBRL",$B45,$D$40)</f>
        <v>#NAME?</v>
      </c>
      <c r="AH45" s="360" t="e">
        <f ca="1">_xll.EPMSaveComment($H45, "ANEXO_NOTAS_XBRL",$B45,$H$40)</f>
        <v>#NAME?</v>
      </c>
    </row>
    <row r="46" spans="1:34">
      <c r="B46" s="385" t="s">
        <v>1550</v>
      </c>
      <c r="C46" s="222"/>
      <c r="D46" s="222"/>
      <c r="E46" s="526"/>
      <c r="F46" s="526"/>
      <c r="G46" s="426">
        <f t="shared" si="12"/>
        <v>0</v>
      </c>
      <c r="H46" s="222"/>
      <c r="I46" s="526"/>
      <c r="J46" s="446"/>
      <c r="K46" s="19" t="str">
        <f t="shared" si="13"/>
        <v>Ok</v>
      </c>
      <c r="L46" s="446" t="str">
        <f t="shared" si="14"/>
        <v/>
      </c>
      <c r="M46" s="446"/>
      <c r="Q46" s="516"/>
      <c r="R46" s="402"/>
      <c r="S46" s="385" t="s">
        <v>1550</v>
      </c>
      <c r="T46" s="552" t="str">
        <f>IFERROR(INDEX(BPC_COMENTARIOS2[#All],MATCH($S46&amp;"_"&amp;T$40,BPC_COMENTARIOS2[[#All],[FILA_COLUMNA]],0),2),"")</f>
        <v/>
      </c>
      <c r="U46" s="552" t="str">
        <f>IFERROR(INDEX(BPC_COMENTARIOS2[#All],MATCH($S46&amp;"_"&amp;U$40,BPC_COMENTARIOS2[[#All],[FILA_COLUMNA]],0),2),"")</f>
        <v/>
      </c>
      <c r="V46" s="550" t="str">
        <f>IFERROR(INDEX(BPC_NOTAS2[#All],MATCH($S46&amp;"_"&amp;V$40,BPC_NOTAS2[[#All],[FILA_COLUMNA]],0),2),"")</f>
        <v/>
      </c>
      <c r="W46" s="550" t="str">
        <f>IFERROR(INDEX(BPC_NOTAS2[#All],MATCH($S46&amp;"_"&amp;W$40,BPC_NOTAS2[[#All],[FILA_COLUMNA]],0),2),"")</f>
        <v/>
      </c>
      <c r="X46" s="425">
        <f t="shared" si="15"/>
        <v>0</v>
      </c>
      <c r="Y46" s="552" t="str">
        <f>IFERROR(INDEX(BPC_COMENTARIOS2[#All],MATCH($S46&amp;"_"&amp;Y$40,BPC_COMENTARIOS2[[#All],[FILA_COLUMNA]],0),2),"")</f>
        <v/>
      </c>
      <c r="Z46" s="550" t="str">
        <f>IFERROR(INDEX(BPC_NOTAS2[#All],MATCH($S46&amp;"_"&amp;Z$40,BPC_NOTAS2[[#All],[FILA_COLUMNA]],0),2),"")</f>
        <v/>
      </c>
      <c r="AA46" s="476"/>
      <c r="AB46" s="477"/>
      <c r="AC46" s="477"/>
      <c r="AD46" s="477"/>
      <c r="AF46" s="360" t="e">
        <f ca="1">_xll.EPMSaveComment($C46, "ANEXO_NOTAS_XBRL",$B46,$C$40)</f>
        <v>#NAME?</v>
      </c>
      <c r="AG46" s="360" t="e">
        <f ca="1">_xll.EPMSaveComment($D46, "ANEXO_NOTAS_XBRL",$B46,$D$40)</f>
        <v>#NAME?</v>
      </c>
      <c r="AH46" s="360" t="e">
        <f ca="1">_xll.EPMSaveComment($H46, "ANEXO_NOTAS_XBRL",$B46,$H$40)</f>
        <v>#NAME?</v>
      </c>
    </row>
    <row r="47" spans="1:34">
      <c r="B47" s="385" t="s">
        <v>1551</v>
      </c>
      <c r="C47" s="222"/>
      <c r="D47" s="222"/>
      <c r="E47" s="526"/>
      <c r="F47" s="526"/>
      <c r="G47" s="426">
        <f t="shared" si="12"/>
        <v>0</v>
      </c>
      <c r="H47" s="222"/>
      <c r="I47" s="526"/>
      <c r="J47" s="446"/>
      <c r="K47" s="19" t="str">
        <f t="shared" si="13"/>
        <v>Ok</v>
      </c>
      <c r="L47" s="446" t="str">
        <f t="shared" si="14"/>
        <v/>
      </c>
      <c r="M47" s="446"/>
      <c r="Q47" s="516"/>
      <c r="R47" s="402"/>
      <c r="S47" s="385" t="s">
        <v>1551</v>
      </c>
      <c r="T47" s="552" t="str">
        <f>IFERROR(INDEX(BPC_COMENTARIOS2[#All],MATCH($S47&amp;"_"&amp;T$40,BPC_COMENTARIOS2[[#All],[FILA_COLUMNA]],0),2),"")</f>
        <v/>
      </c>
      <c r="U47" s="552" t="str">
        <f>IFERROR(INDEX(BPC_COMENTARIOS2[#All],MATCH($S47&amp;"_"&amp;U$40,BPC_COMENTARIOS2[[#All],[FILA_COLUMNA]],0),2),"")</f>
        <v/>
      </c>
      <c r="V47" s="550" t="str">
        <f>IFERROR(INDEX(BPC_NOTAS2[#All],MATCH($S47&amp;"_"&amp;V$40,BPC_NOTAS2[[#All],[FILA_COLUMNA]],0),2),"")</f>
        <v/>
      </c>
      <c r="W47" s="550" t="str">
        <f>IFERROR(INDEX(BPC_NOTAS2[#All],MATCH($S47&amp;"_"&amp;W$40,BPC_NOTAS2[[#All],[FILA_COLUMNA]],0),2),"")</f>
        <v/>
      </c>
      <c r="X47" s="425">
        <f t="shared" si="15"/>
        <v>0</v>
      </c>
      <c r="Y47" s="552" t="str">
        <f>IFERROR(INDEX(BPC_COMENTARIOS2[#All],MATCH($S47&amp;"_"&amp;Y$40,BPC_COMENTARIOS2[[#All],[FILA_COLUMNA]],0),2),"")</f>
        <v/>
      </c>
      <c r="Z47" s="550" t="str">
        <f>IFERROR(INDEX(BPC_NOTAS2[#All],MATCH($S47&amp;"_"&amp;Z$40,BPC_NOTAS2[[#All],[FILA_COLUMNA]],0),2),"")</f>
        <v/>
      </c>
      <c r="AA47" s="476"/>
      <c r="AB47" s="477"/>
      <c r="AC47" s="477"/>
      <c r="AD47" s="477"/>
      <c r="AF47" s="360" t="e">
        <f ca="1">_xll.EPMSaveComment($C47, "ANEXO_NOTAS_XBRL",$B47,$C$40)</f>
        <v>#NAME?</v>
      </c>
      <c r="AG47" s="360" t="e">
        <f ca="1">_xll.EPMSaveComment($D47, "ANEXO_NOTAS_XBRL",$B47,$D$40)</f>
        <v>#NAME?</v>
      </c>
      <c r="AH47" s="360" t="e">
        <f ca="1">_xll.EPMSaveComment($H47, "ANEXO_NOTAS_XBRL",$B47,$H$40)</f>
        <v>#NAME?</v>
      </c>
    </row>
    <row r="48" spans="1:34">
      <c r="B48" s="385" t="s">
        <v>1552</v>
      </c>
      <c r="C48" s="222"/>
      <c r="D48" s="222"/>
      <c r="E48" s="526"/>
      <c r="F48" s="526"/>
      <c r="G48" s="426">
        <f t="shared" si="12"/>
        <v>0</v>
      </c>
      <c r="H48" s="222"/>
      <c r="I48" s="526"/>
      <c r="J48" s="446"/>
      <c r="K48" s="19" t="str">
        <f t="shared" si="13"/>
        <v>Ok</v>
      </c>
      <c r="L48" s="446" t="str">
        <f t="shared" si="14"/>
        <v/>
      </c>
      <c r="M48" s="446"/>
      <c r="Q48" s="516"/>
      <c r="R48" s="402"/>
      <c r="S48" s="385" t="s">
        <v>1552</v>
      </c>
      <c r="T48" s="552" t="str">
        <f>IFERROR(INDEX(BPC_COMENTARIOS2[#All],MATCH($S48&amp;"_"&amp;T$40,BPC_COMENTARIOS2[[#All],[FILA_COLUMNA]],0),2),"")</f>
        <v/>
      </c>
      <c r="U48" s="552" t="str">
        <f>IFERROR(INDEX(BPC_COMENTARIOS2[#All],MATCH($S48&amp;"_"&amp;U$40,BPC_COMENTARIOS2[[#All],[FILA_COLUMNA]],0),2),"")</f>
        <v/>
      </c>
      <c r="V48" s="550" t="str">
        <f>IFERROR(INDEX(BPC_NOTAS2[#All],MATCH($S48&amp;"_"&amp;V$40,BPC_NOTAS2[[#All],[FILA_COLUMNA]],0),2),"")</f>
        <v/>
      </c>
      <c r="W48" s="550" t="str">
        <f>IFERROR(INDEX(BPC_NOTAS2[#All],MATCH($S48&amp;"_"&amp;W$40,BPC_NOTAS2[[#All],[FILA_COLUMNA]],0),2),"")</f>
        <v/>
      </c>
      <c r="X48" s="425">
        <f t="shared" si="15"/>
        <v>0</v>
      </c>
      <c r="Y48" s="552" t="str">
        <f>IFERROR(INDEX(BPC_COMENTARIOS2[#All],MATCH($S48&amp;"_"&amp;Y$40,BPC_COMENTARIOS2[[#All],[FILA_COLUMNA]],0),2),"")</f>
        <v/>
      </c>
      <c r="Z48" s="550" t="str">
        <f>IFERROR(INDEX(BPC_NOTAS2[#All],MATCH($S48&amp;"_"&amp;Z$40,BPC_NOTAS2[[#All],[FILA_COLUMNA]],0),2),"")</f>
        <v/>
      </c>
      <c r="AA48" s="476"/>
      <c r="AB48" s="477"/>
      <c r="AC48" s="477"/>
      <c r="AD48" s="477"/>
      <c r="AF48" s="360" t="e">
        <f ca="1">_xll.EPMSaveComment($C48, "ANEXO_NOTAS_XBRL",$B48,$C$40)</f>
        <v>#NAME?</v>
      </c>
      <c r="AG48" s="360" t="e">
        <f ca="1">_xll.EPMSaveComment($D48, "ANEXO_NOTAS_XBRL",$B48,$D$40)</f>
        <v>#NAME?</v>
      </c>
      <c r="AH48" s="360" t="e">
        <f ca="1">_xll.EPMSaveComment($H48, "ANEXO_NOTAS_XBRL",$B48,$H$40)</f>
        <v>#NAME?</v>
      </c>
    </row>
    <row r="49" spans="1:34">
      <c r="B49" s="385" t="s">
        <v>1553</v>
      </c>
      <c r="C49" s="222"/>
      <c r="D49" s="222"/>
      <c r="E49" s="526"/>
      <c r="F49" s="526"/>
      <c r="G49" s="426">
        <f t="shared" si="12"/>
        <v>0</v>
      </c>
      <c r="H49" s="222"/>
      <c r="I49" s="526"/>
      <c r="J49" s="446"/>
      <c r="K49" s="19" t="str">
        <f t="shared" si="13"/>
        <v>Ok</v>
      </c>
      <c r="L49" s="446" t="str">
        <f t="shared" si="14"/>
        <v/>
      </c>
      <c r="M49" s="446"/>
      <c r="Q49" s="516"/>
      <c r="R49" s="402"/>
      <c r="S49" s="385" t="s">
        <v>1553</v>
      </c>
      <c r="T49" s="552" t="str">
        <f>IFERROR(INDEX(BPC_COMENTARIOS2[#All],MATCH($S49&amp;"_"&amp;T$40,BPC_COMENTARIOS2[[#All],[FILA_COLUMNA]],0),2),"")</f>
        <v/>
      </c>
      <c r="U49" s="552" t="str">
        <f>IFERROR(INDEX(BPC_COMENTARIOS2[#All],MATCH($S49&amp;"_"&amp;U$40,BPC_COMENTARIOS2[[#All],[FILA_COLUMNA]],0),2),"")</f>
        <v/>
      </c>
      <c r="V49" s="550" t="str">
        <f>IFERROR(INDEX(BPC_NOTAS2[#All],MATCH($S49&amp;"_"&amp;V$40,BPC_NOTAS2[[#All],[FILA_COLUMNA]],0),2),"")</f>
        <v/>
      </c>
      <c r="W49" s="550" t="str">
        <f>IFERROR(INDEX(BPC_NOTAS2[#All],MATCH($S49&amp;"_"&amp;W$40,BPC_NOTAS2[[#All],[FILA_COLUMNA]],0),2),"")</f>
        <v/>
      </c>
      <c r="X49" s="425">
        <f t="shared" si="15"/>
        <v>0</v>
      </c>
      <c r="Y49" s="552" t="str">
        <f>IFERROR(INDEX(BPC_COMENTARIOS2[#All],MATCH($S49&amp;"_"&amp;Y$40,BPC_COMENTARIOS2[[#All],[FILA_COLUMNA]],0),2),"")</f>
        <v/>
      </c>
      <c r="Z49" s="550" t="str">
        <f>IFERROR(INDEX(BPC_NOTAS2[#All],MATCH($S49&amp;"_"&amp;Z$40,BPC_NOTAS2[[#All],[FILA_COLUMNA]],0),2),"")</f>
        <v/>
      </c>
      <c r="AA49" s="476"/>
      <c r="AB49" s="477"/>
      <c r="AC49" s="477"/>
      <c r="AD49" s="477"/>
      <c r="AF49" s="360" t="e">
        <f ca="1">_xll.EPMSaveComment($C49, "ANEXO_NOTAS_XBRL",$B49,$C$40)</f>
        <v>#NAME?</v>
      </c>
      <c r="AG49" s="360" t="e">
        <f ca="1">_xll.EPMSaveComment($D49, "ANEXO_NOTAS_XBRL",$B49,$D$40)</f>
        <v>#NAME?</v>
      </c>
      <c r="AH49" s="360" t="e">
        <f ca="1">_xll.EPMSaveComment($H49, "ANEXO_NOTAS_XBRL",$B49,$H$40)</f>
        <v>#NAME?</v>
      </c>
    </row>
    <row r="50" spans="1:34">
      <c r="B50" s="385" t="s">
        <v>1554</v>
      </c>
      <c r="C50" s="222"/>
      <c r="D50" s="222"/>
      <c r="E50" s="526"/>
      <c r="F50" s="526"/>
      <c r="G50" s="426">
        <f t="shared" si="12"/>
        <v>0</v>
      </c>
      <c r="H50" s="222"/>
      <c r="I50" s="526"/>
      <c r="J50" s="446"/>
      <c r="K50" s="19" t="str">
        <f t="shared" si="13"/>
        <v>Ok</v>
      </c>
      <c r="L50" s="446" t="str">
        <f t="shared" si="14"/>
        <v/>
      </c>
      <c r="M50" s="446"/>
      <c r="Q50" s="516"/>
      <c r="R50" s="402"/>
      <c r="S50" s="385" t="s">
        <v>1554</v>
      </c>
      <c r="T50" s="552" t="str">
        <f>IFERROR(INDEX(BPC_COMENTARIOS2[#All],MATCH($S50&amp;"_"&amp;T$40,BPC_COMENTARIOS2[[#All],[FILA_COLUMNA]],0),2),"")</f>
        <v/>
      </c>
      <c r="U50" s="552" t="str">
        <f>IFERROR(INDEX(BPC_COMENTARIOS2[#All],MATCH($S50&amp;"_"&amp;U$40,BPC_COMENTARIOS2[[#All],[FILA_COLUMNA]],0),2),"")</f>
        <v/>
      </c>
      <c r="V50" s="550" t="str">
        <f>IFERROR(INDEX(BPC_NOTAS2[#All],MATCH($S50&amp;"_"&amp;V$40,BPC_NOTAS2[[#All],[FILA_COLUMNA]],0),2),"")</f>
        <v/>
      </c>
      <c r="W50" s="550" t="str">
        <f>IFERROR(INDEX(BPC_NOTAS2[#All],MATCH($S50&amp;"_"&amp;W$40,BPC_NOTAS2[[#All],[FILA_COLUMNA]],0),2),"")</f>
        <v/>
      </c>
      <c r="X50" s="425">
        <f t="shared" si="15"/>
        <v>0</v>
      </c>
      <c r="Y50" s="552" t="str">
        <f>IFERROR(INDEX(BPC_COMENTARIOS2[#All],MATCH($S50&amp;"_"&amp;Y$40,BPC_COMENTARIOS2[[#All],[FILA_COLUMNA]],0),2),"")</f>
        <v/>
      </c>
      <c r="Z50" s="550" t="str">
        <f>IFERROR(INDEX(BPC_NOTAS2[#All],MATCH($S50&amp;"_"&amp;Z$40,BPC_NOTAS2[[#All],[FILA_COLUMNA]],0),2),"")</f>
        <v/>
      </c>
      <c r="AA50" s="476"/>
      <c r="AB50" s="477"/>
      <c r="AC50" s="477"/>
      <c r="AD50" s="477"/>
      <c r="AF50" s="360" t="e">
        <f ca="1">_xll.EPMSaveComment($C50, "ANEXO_NOTAS_XBRL",$B50,$C$40)</f>
        <v>#NAME?</v>
      </c>
      <c r="AG50" s="360" t="e">
        <f ca="1">_xll.EPMSaveComment($D50, "ANEXO_NOTAS_XBRL",$B50,$D$40)</f>
        <v>#NAME?</v>
      </c>
      <c r="AH50" s="360" t="e">
        <f ca="1">_xll.EPMSaveComment($H50, "ANEXO_NOTAS_XBRL",$B50,$H$40)</f>
        <v>#NAME?</v>
      </c>
    </row>
    <row r="51" spans="1:34">
      <c r="B51" s="385" t="s">
        <v>1555</v>
      </c>
      <c r="C51" s="222"/>
      <c r="D51" s="222"/>
      <c r="E51" s="526"/>
      <c r="F51" s="526"/>
      <c r="G51" s="426">
        <f t="shared" si="12"/>
        <v>0</v>
      </c>
      <c r="H51" s="222"/>
      <c r="I51" s="526"/>
      <c r="J51" s="446"/>
      <c r="K51" s="19" t="str">
        <f t="shared" si="13"/>
        <v>Ok</v>
      </c>
      <c r="L51" s="446" t="str">
        <f t="shared" si="14"/>
        <v/>
      </c>
      <c r="M51" s="446"/>
      <c r="Q51" s="516"/>
      <c r="R51" s="402"/>
      <c r="S51" s="385" t="s">
        <v>1555</v>
      </c>
      <c r="T51" s="552" t="str">
        <f>IFERROR(INDEX(BPC_COMENTARIOS2[#All],MATCH($S51&amp;"_"&amp;T$40,BPC_COMENTARIOS2[[#All],[FILA_COLUMNA]],0),2),"")</f>
        <v/>
      </c>
      <c r="U51" s="552" t="str">
        <f>IFERROR(INDEX(BPC_COMENTARIOS2[#All],MATCH($S51&amp;"_"&amp;U$40,BPC_COMENTARIOS2[[#All],[FILA_COLUMNA]],0),2),"")</f>
        <v/>
      </c>
      <c r="V51" s="550" t="str">
        <f>IFERROR(INDEX(BPC_NOTAS2[#All],MATCH($S51&amp;"_"&amp;V$40,BPC_NOTAS2[[#All],[FILA_COLUMNA]],0),2),"")</f>
        <v/>
      </c>
      <c r="W51" s="550" t="str">
        <f>IFERROR(INDEX(BPC_NOTAS2[#All],MATCH($S51&amp;"_"&amp;W$40,BPC_NOTAS2[[#All],[FILA_COLUMNA]],0),2),"")</f>
        <v/>
      </c>
      <c r="X51" s="425">
        <f t="shared" si="15"/>
        <v>0</v>
      </c>
      <c r="Y51" s="552" t="str">
        <f>IFERROR(INDEX(BPC_COMENTARIOS2[#All],MATCH($S51&amp;"_"&amp;Y$40,BPC_COMENTARIOS2[[#All],[FILA_COLUMNA]],0),2),"")</f>
        <v/>
      </c>
      <c r="Z51" s="550" t="str">
        <f>IFERROR(INDEX(BPC_NOTAS2[#All],MATCH($S51&amp;"_"&amp;Z$40,BPC_NOTAS2[[#All],[FILA_COLUMNA]],0),2),"")</f>
        <v/>
      </c>
      <c r="AA51" s="476"/>
      <c r="AB51" s="477"/>
      <c r="AC51" s="477"/>
      <c r="AD51" s="477"/>
      <c r="AF51" s="360" t="e">
        <f ca="1">_xll.EPMSaveComment($C51, "ANEXO_NOTAS_XBRL",$B51,$C$40)</f>
        <v>#NAME?</v>
      </c>
      <c r="AG51" s="360" t="e">
        <f ca="1">_xll.EPMSaveComment($D51, "ANEXO_NOTAS_XBRL",$B51,$D$40)</f>
        <v>#NAME?</v>
      </c>
      <c r="AH51" s="360" t="e">
        <f ca="1">_xll.EPMSaveComment($H51, "ANEXO_NOTAS_XBRL",$B51,$H$40)</f>
        <v>#NAME?</v>
      </c>
    </row>
    <row r="52" spans="1:34">
      <c r="B52" s="385" t="s">
        <v>1556</v>
      </c>
      <c r="C52" s="222"/>
      <c r="D52" s="222"/>
      <c r="E52" s="526"/>
      <c r="F52" s="526"/>
      <c r="G52" s="426">
        <f t="shared" si="12"/>
        <v>0</v>
      </c>
      <c r="H52" s="222"/>
      <c r="I52" s="526"/>
      <c r="J52" s="446"/>
      <c r="K52" s="19" t="str">
        <f t="shared" si="13"/>
        <v>Ok</v>
      </c>
      <c r="L52" s="446" t="str">
        <f t="shared" si="14"/>
        <v/>
      </c>
      <c r="M52" s="446"/>
      <c r="Q52" s="516"/>
      <c r="R52" s="402"/>
      <c r="S52" s="385" t="s">
        <v>1556</v>
      </c>
      <c r="T52" s="552" t="str">
        <f>IFERROR(INDEX(BPC_COMENTARIOS2[#All],MATCH($S52&amp;"_"&amp;T$40,BPC_COMENTARIOS2[[#All],[FILA_COLUMNA]],0),2),"")</f>
        <v/>
      </c>
      <c r="U52" s="552" t="str">
        <f>IFERROR(INDEX(BPC_COMENTARIOS2[#All],MATCH($S52&amp;"_"&amp;U$40,BPC_COMENTARIOS2[[#All],[FILA_COLUMNA]],0),2),"")</f>
        <v/>
      </c>
      <c r="V52" s="550" t="str">
        <f>IFERROR(INDEX(BPC_NOTAS2[#All],MATCH($S52&amp;"_"&amp;V$40,BPC_NOTAS2[[#All],[FILA_COLUMNA]],0),2),"")</f>
        <v/>
      </c>
      <c r="W52" s="550" t="str">
        <f>IFERROR(INDEX(BPC_NOTAS2[#All],MATCH($S52&amp;"_"&amp;W$40,BPC_NOTAS2[[#All],[FILA_COLUMNA]],0),2),"")</f>
        <v/>
      </c>
      <c r="X52" s="425">
        <f t="shared" si="15"/>
        <v>0</v>
      </c>
      <c r="Y52" s="552" t="str">
        <f>IFERROR(INDEX(BPC_COMENTARIOS2[#All],MATCH($S52&amp;"_"&amp;Y$40,BPC_COMENTARIOS2[[#All],[FILA_COLUMNA]],0),2),"")</f>
        <v/>
      </c>
      <c r="Z52" s="550" t="str">
        <f>IFERROR(INDEX(BPC_NOTAS2[#All],MATCH($S52&amp;"_"&amp;Z$40,BPC_NOTAS2[[#All],[FILA_COLUMNA]],0),2),"")</f>
        <v/>
      </c>
      <c r="AA52" s="476"/>
      <c r="AB52" s="477"/>
      <c r="AC52" s="477"/>
      <c r="AD52" s="477"/>
      <c r="AF52" s="360" t="e">
        <f ca="1">_xll.EPMSaveComment($C52, "ANEXO_NOTAS_XBRL",$B52,$C$40)</f>
        <v>#NAME?</v>
      </c>
      <c r="AG52" s="360" t="e">
        <f ca="1">_xll.EPMSaveComment($D52, "ANEXO_NOTAS_XBRL",$B52,$D$40)</f>
        <v>#NAME?</v>
      </c>
      <c r="AH52" s="360" t="e">
        <f ca="1">_xll.EPMSaveComment($H52, "ANEXO_NOTAS_XBRL",$B52,$H$40)</f>
        <v>#NAME?</v>
      </c>
    </row>
    <row r="53" spans="1:34">
      <c r="B53" s="385" t="s">
        <v>1557</v>
      </c>
      <c r="C53" s="222"/>
      <c r="D53" s="222"/>
      <c r="E53" s="526"/>
      <c r="F53" s="526"/>
      <c r="G53" s="426">
        <f t="shared" si="12"/>
        <v>0</v>
      </c>
      <c r="H53" s="222"/>
      <c r="I53" s="526"/>
      <c r="J53" s="446"/>
      <c r="K53" s="19" t="str">
        <f t="shared" si="13"/>
        <v>Ok</v>
      </c>
      <c r="L53" s="446" t="str">
        <f t="shared" si="14"/>
        <v/>
      </c>
      <c r="M53" s="446"/>
      <c r="Q53" s="516"/>
      <c r="R53" s="402"/>
      <c r="S53" s="385" t="s">
        <v>1557</v>
      </c>
      <c r="T53" s="552" t="str">
        <f>IFERROR(INDEX(BPC_COMENTARIOS2[#All],MATCH($S53&amp;"_"&amp;T$40,BPC_COMENTARIOS2[[#All],[FILA_COLUMNA]],0),2),"")</f>
        <v/>
      </c>
      <c r="U53" s="552" t="str">
        <f>IFERROR(INDEX(BPC_COMENTARIOS2[#All],MATCH($S53&amp;"_"&amp;U$40,BPC_COMENTARIOS2[[#All],[FILA_COLUMNA]],0),2),"")</f>
        <v/>
      </c>
      <c r="V53" s="550" t="str">
        <f>IFERROR(INDEX(BPC_NOTAS2[#All],MATCH($S53&amp;"_"&amp;V$40,BPC_NOTAS2[[#All],[FILA_COLUMNA]],0),2),"")</f>
        <v/>
      </c>
      <c r="W53" s="550" t="str">
        <f>IFERROR(INDEX(BPC_NOTAS2[#All],MATCH($S53&amp;"_"&amp;W$40,BPC_NOTAS2[[#All],[FILA_COLUMNA]],0),2),"")</f>
        <v/>
      </c>
      <c r="X53" s="425">
        <f t="shared" si="15"/>
        <v>0</v>
      </c>
      <c r="Y53" s="552" t="str">
        <f>IFERROR(INDEX(BPC_COMENTARIOS2[#All],MATCH($S53&amp;"_"&amp;Y$40,BPC_COMENTARIOS2[[#All],[FILA_COLUMNA]],0),2),"")</f>
        <v/>
      </c>
      <c r="Z53" s="550" t="str">
        <f>IFERROR(INDEX(BPC_NOTAS2[#All],MATCH($S53&amp;"_"&amp;Z$40,BPC_NOTAS2[[#All],[FILA_COLUMNA]],0),2),"")</f>
        <v/>
      </c>
      <c r="AA53" s="476"/>
      <c r="AB53" s="477"/>
      <c r="AC53" s="477"/>
      <c r="AD53" s="477"/>
      <c r="AF53" s="360" t="e">
        <f ca="1">_xll.EPMSaveComment($C53, "ANEXO_NOTAS_XBRL",$B53,$C$40)</f>
        <v>#NAME?</v>
      </c>
      <c r="AG53" s="360" t="e">
        <f ca="1">_xll.EPMSaveComment($D53, "ANEXO_NOTAS_XBRL",$B53,$D$40)</f>
        <v>#NAME?</v>
      </c>
      <c r="AH53" s="360" t="e">
        <f ca="1">_xll.EPMSaveComment($H53, "ANEXO_NOTAS_XBRL",$B53,$H$40)</f>
        <v>#NAME?</v>
      </c>
    </row>
    <row r="54" spans="1:34">
      <c r="B54" s="385" t="s">
        <v>1558</v>
      </c>
      <c r="C54" s="222"/>
      <c r="D54" s="222"/>
      <c r="E54" s="526"/>
      <c r="F54" s="526"/>
      <c r="G54" s="426">
        <f t="shared" si="12"/>
        <v>0</v>
      </c>
      <c r="H54" s="222"/>
      <c r="I54" s="526"/>
      <c r="J54" s="446"/>
      <c r="K54" s="19" t="str">
        <f t="shared" si="13"/>
        <v>Ok</v>
      </c>
      <c r="L54" s="446" t="str">
        <f t="shared" si="14"/>
        <v/>
      </c>
      <c r="M54" s="446"/>
      <c r="Q54" s="516"/>
      <c r="R54" s="402"/>
      <c r="S54" s="385" t="s">
        <v>1558</v>
      </c>
      <c r="T54" s="552" t="str">
        <f>IFERROR(INDEX(BPC_COMENTARIOS2[#All],MATCH($S54&amp;"_"&amp;T$40,BPC_COMENTARIOS2[[#All],[FILA_COLUMNA]],0),2),"")</f>
        <v/>
      </c>
      <c r="U54" s="552" t="str">
        <f>IFERROR(INDEX(BPC_COMENTARIOS2[#All],MATCH($S54&amp;"_"&amp;U$40,BPC_COMENTARIOS2[[#All],[FILA_COLUMNA]],0),2),"")</f>
        <v/>
      </c>
      <c r="V54" s="550" t="str">
        <f>IFERROR(INDEX(BPC_NOTAS2[#All],MATCH($S54&amp;"_"&amp;V$40,BPC_NOTAS2[[#All],[FILA_COLUMNA]],0),2),"")</f>
        <v/>
      </c>
      <c r="W54" s="550" t="str">
        <f>IFERROR(INDEX(BPC_NOTAS2[#All],MATCH($S54&amp;"_"&amp;W$40,BPC_NOTAS2[[#All],[FILA_COLUMNA]],0),2),"")</f>
        <v/>
      </c>
      <c r="X54" s="425">
        <f t="shared" si="15"/>
        <v>0</v>
      </c>
      <c r="Y54" s="552" t="str">
        <f>IFERROR(INDEX(BPC_COMENTARIOS2[#All],MATCH($S54&amp;"_"&amp;Y$40,BPC_COMENTARIOS2[[#All],[FILA_COLUMNA]],0),2),"")</f>
        <v/>
      </c>
      <c r="Z54" s="550" t="str">
        <f>IFERROR(INDEX(BPC_NOTAS2[#All],MATCH($S54&amp;"_"&amp;Z$40,BPC_NOTAS2[[#All],[FILA_COLUMNA]],0),2),"")</f>
        <v/>
      </c>
      <c r="AA54" s="476"/>
      <c r="AB54" s="477"/>
      <c r="AC54" s="477"/>
      <c r="AD54" s="477"/>
      <c r="AF54" s="360" t="e">
        <f ca="1">_xll.EPMSaveComment($C54, "ANEXO_NOTAS_XBRL",$B54,$C$40)</f>
        <v>#NAME?</v>
      </c>
      <c r="AG54" s="360" t="e">
        <f ca="1">_xll.EPMSaveComment($D54, "ANEXO_NOTAS_XBRL",$B54,$D$40)</f>
        <v>#NAME?</v>
      </c>
      <c r="AH54" s="360" t="e">
        <f ca="1">_xll.EPMSaveComment($H54, "ANEXO_NOTAS_XBRL",$B54,$H$40)</f>
        <v>#NAME?</v>
      </c>
    </row>
    <row r="55" spans="1:34">
      <c r="B55" s="385" t="s">
        <v>1559</v>
      </c>
      <c r="C55" s="222"/>
      <c r="D55" s="222"/>
      <c r="E55" s="526"/>
      <c r="F55" s="526"/>
      <c r="G55" s="426">
        <f t="shared" si="12"/>
        <v>0</v>
      </c>
      <c r="H55" s="222"/>
      <c r="I55" s="526"/>
      <c r="J55" s="446"/>
      <c r="K55" s="19" t="str">
        <f t="shared" si="13"/>
        <v>Ok</v>
      </c>
      <c r="L55" s="446" t="str">
        <f t="shared" si="14"/>
        <v/>
      </c>
      <c r="M55" s="446"/>
      <c r="Q55" s="516"/>
      <c r="R55" s="402"/>
      <c r="S55" s="385" t="s">
        <v>1559</v>
      </c>
      <c r="T55" s="552" t="str">
        <f>IFERROR(INDEX(BPC_COMENTARIOS2[#All],MATCH($S55&amp;"_"&amp;T$40,BPC_COMENTARIOS2[[#All],[FILA_COLUMNA]],0),2),"")</f>
        <v/>
      </c>
      <c r="U55" s="552" t="str">
        <f>IFERROR(INDEX(BPC_COMENTARIOS2[#All],MATCH($S55&amp;"_"&amp;U$40,BPC_COMENTARIOS2[[#All],[FILA_COLUMNA]],0),2),"")</f>
        <v/>
      </c>
      <c r="V55" s="550" t="str">
        <f>IFERROR(INDEX(BPC_NOTAS2[#All],MATCH($S55&amp;"_"&amp;V$40,BPC_NOTAS2[[#All],[FILA_COLUMNA]],0),2),"")</f>
        <v/>
      </c>
      <c r="W55" s="550" t="str">
        <f>IFERROR(INDEX(BPC_NOTAS2[#All],MATCH($S55&amp;"_"&amp;W$40,BPC_NOTAS2[[#All],[FILA_COLUMNA]],0),2),"")</f>
        <v/>
      </c>
      <c r="X55" s="425">
        <f t="shared" si="15"/>
        <v>0</v>
      </c>
      <c r="Y55" s="552" t="str">
        <f>IFERROR(INDEX(BPC_COMENTARIOS2[#All],MATCH($S55&amp;"_"&amp;Y$40,BPC_COMENTARIOS2[[#All],[FILA_COLUMNA]],0),2),"")</f>
        <v/>
      </c>
      <c r="Z55" s="550" t="str">
        <f>IFERROR(INDEX(BPC_NOTAS2[#All],MATCH($S55&amp;"_"&amp;Z$40,BPC_NOTAS2[[#All],[FILA_COLUMNA]],0),2),"")</f>
        <v/>
      </c>
      <c r="AA55" s="476"/>
      <c r="AB55" s="477"/>
      <c r="AC55" s="477"/>
      <c r="AD55" s="477"/>
      <c r="AF55" s="360" t="e">
        <f ca="1">_xll.EPMSaveComment($C55, "ANEXO_NOTAS_XBRL",$B55,$C$40)</f>
        <v>#NAME?</v>
      </c>
      <c r="AG55" s="360" t="e">
        <f ca="1">_xll.EPMSaveComment($D55, "ANEXO_NOTAS_XBRL",$B55,$D$40)</f>
        <v>#NAME?</v>
      </c>
      <c r="AH55" s="360" t="e">
        <f ca="1">_xll.EPMSaveComment($H55, "ANEXO_NOTAS_XBRL",$B55,$H$40)</f>
        <v>#NAME?</v>
      </c>
    </row>
    <row r="56" spans="1:34">
      <c r="B56" s="385" t="s">
        <v>1560</v>
      </c>
      <c r="C56" s="222"/>
      <c r="D56" s="222"/>
      <c r="E56" s="526"/>
      <c r="F56" s="526"/>
      <c r="G56" s="426">
        <f t="shared" si="12"/>
        <v>0</v>
      </c>
      <c r="H56" s="222"/>
      <c r="I56" s="526"/>
      <c r="J56" s="446"/>
      <c r="K56" s="19" t="str">
        <f t="shared" si="13"/>
        <v>Ok</v>
      </c>
      <c r="L56" s="446" t="str">
        <f t="shared" si="14"/>
        <v/>
      </c>
      <c r="M56" s="446"/>
      <c r="Q56" s="516"/>
      <c r="R56" s="402"/>
      <c r="S56" s="385" t="s">
        <v>1560</v>
      </c>
      <c r="T56" s="552" t="str">
        <f>IFERROR(INDEX(BPC_COMENTARIOS2[#All],MATCH($S56&amp;"_"&amp;T$40,BPC_COMENTARIOS2[[#All],[FILA_COLUMNA]],0),2),"")</f>
        <v/>
      </c>
      <c r="U56" s="552" t="str">
        <f>IFERROR(INDEX(BPC_COMENTARIOS2[#All],MATCH($S56&amp;"_"&amp;U$40,BPC_COMENTARIOS2[[#All],[FILA_COLUMNA]],0),2),"")</f>
        <v/>
      </c>
      <c r="V56" s="550" t="str">
        <f>IFERROR(INDEX(BPC_NOTAS2[#All],MATCH($S56&amp;"_"&amp;V$40,BPC_NOTAS2[[#All],[FILA_COLUMNA]],0),2),"")</f>
        <v/>
      </c>
      <c r="W56" s="550" t="str">
        <f>IFERROR(INDEX(BPC_NOTAS2[#All],MATCH($S56&amp;"_"&amp;W$40,BPC_NOTAS2[[#All],[FILA_COLUMNA]],0),2),"")</f>
        <v/>
      </c>
      <c r="X56" s="425">
        <f t="shared" si="15"/>
        <v>0</v>
      </c>
      <c r="Y56" s="552" t="str">
        <f>IFERROR(INDEX(BPC_COMENTARIOS2[#All],MATCH($S56&amp;"_"&amp;Y$40,BPC_COMENTARIOS2[[#All],[FILA_COLUMNA]],0),2),"")</f>
        <v/>
      </c>
      <c r="Z56" s="550" t="str">
        <f>IFERROR(INDEX(BPC_NOTAS2[#All],MATCH($S56&amp;"_"&amp;Z$40,BPC_NOTAS2[[#All],[FILA_COLUMNA]],0),2),"")</f>
        <v/>
      </c>
      <c r="AA56" s="476"/>
      <c r="AB56" s="477"/>
      <c r="AC56" s="477"/>
      <c r="AD56" s="477"/>
      <c r="AF56" s="360" t="e">
        <f ca="1">_xll.EPMSaveComment($C56, "ANEXO_NOTAS_XBRL",$B56,$C$40)</f>
        <v>#NAME?</v>
      </c>
      <c r="AG56" s="360" t="e">
        <f ca="1">_xll.EPMSaveComment($D56, "ANEXO_NOTAS_XBRL",$B56,$D$40)</f>
        <v>#NAME?</v>
      </c>
      <c r="AH56" s="360" t="e">
        <f ca="1">_xll.EPMSaveComment($H56, "ANEXO_NOTAS_XBRL",$B56,$H$40)</f>
        <v>#NAME?</v>
      </c>
    </row>
    <row r="57" spans="1:34">
      <c r="A57" s="261"/>
      <c r="B57" s="385" t="s">
        <v>1561</v>
      </c>
      <c r="C57" s="222"/>
      <c r="D57" s="222"/>
      <c r="E57" s="270">
        <f>SUM(E42:E56)</f>
        <v>0</v>
      </c>
      <c r="F57" s="270">
        <f>SUM(F42:F56)</f>
        <v>0</v>
      </c>
      <c r="G57" s="426">
        <f t="shared" si="12"/>
        <v>0</v>
      </c>
      <c r="H57" s="222"/>
      <c r="I57" s="526">
        <f>SUM(I42:I56)</f>
        <v>0</v>
      </c>
      <c r="J57" s="446"/>
      <c r="K57" s="446"/>
      <c r="L57" s="446"/>
      <c r="M57" s="446"/>
      <c r="O57" s="446"/>
      <c r="Q57" s="516"/>
      <c r="R57" s="402"/>
      <c r="S57" s="385" t="s">
        <v>1561</v>
      </c>
      <c r="T57" s="552" t="str">
        <f>IFERROR(INDEX(BPC_COMENTARIOS2[#All],MATCH($S57&amp;"_"&amp;T$40,BPC_COMENTARIOS2[[#All],[FILA_COLUMNA]],0),2),"")</f>
        <v/>
      </c>
      <c r="U57" s="552" t="str">
        <f>IFERROR(INDEX(BPC_COMENTARIOS2[#All],MATCH($S57&amp;"_"&amp;U$40,BPC_COMENTARIOS2[[#All],[FILA_COLUMNA]],0),2),"")</f>
        <v/>
      </c>
      <c r="V57" s="527">
        <f>SUM(V42:V56)</f>
        <v>0</v>
      </c>
      <c r="W57" s="527">
        <f>SUM(W42:W56)</f>
        <v>0</v>
      </c>
      <c r="X57" s="425">
        <f t="shared" si="15"/>
        <v>0</v>
      </c>
      <c r="Y57" s="552" t="str">
        <f>IFERROR(INDEX(BPC_COMENTARIOS2[#All],MATCH($S57&amp;"_"&amp;Y$40,BPC_COMENTARIOS2[[#All],[FILA_COLUMNA]],0),2),"")</f>
        <v/>
      </c>
      <c r="Z57" s="527">
        <f>SUM(Z42:Z56)</f>
        <v>0</v>
      </c>
      <c r="AA57" s="477"/>
      <c r="AB57" s="477"/>
      <c r="AC57" s="477"/>
      <c r="AD57" s="477"/>
      <c r="AE57" s="360" t="s">
        <v>451</v>
      </c>
      <c r="AG57" s="360"/>
      <c r="AH57" s="360"/>
    </row>
    <row r="58" spans="1:34">
      <c r="B58" s="100"/>
      <c r="C58" s="296"/>
      <c r="D58" s="296"/>
      <c r="E58" s="470"/>
      <c r="F58" s="470"/>
      <c r="G58" s="470"/>
      <c r="H58" s="470"/>
      <c r="I58" s="470"/>
      <c r="J58" s="446"/>
      <c r="K58" s="446"/>
      <c r="L58" s="446"/>
      <c r="M58" s="446"/>
      <c r="O58" s="446"/>
      <c r="P58" s="446"/>
      <c r="Q58" s="446"/>
      <c r="R58" s="446"/>
      <c r="S58" s="446"/>
      <c r="T58" s="446"/>
      <c r="U58" s="446"/>
      <c r="V58" s="446"/>
      <c r="W58" s="446"/>
      <c r="X58" s="446"/>
      <c r="Y58" s="446"/>
      <c r="Z58" s="446"/>
      <c r="AA58" s="476"/>
      <c r="AB58" s="476"/>
      <c r="AC58" s="476"/>
      <c r="AD58" s="476"/>
      <c r="AG58" s="360"/>
      <c r="AH58" s="360"/>
    </row>
    <row r="59" spans="1:34">
      <c r="D59" s="299" t="s">
        <v>159</v>
      </c>
      <c r="E59" s="446"/>
      <c r="F59" s="446"/>
      <c r="G59" s="446"/>
      <c r="H59" s="446"/>
      <c r="I59" s="446"/>
      <c r="J59" s="446"/>
      <c r="K59" s="446"/>
      <c r="L59" s="446"/>
      <c r="M59" s="446"/>
      <c r="O59" s="446"/>
      <c r="P59" s="446"/>
      <c r="Q59" s="473"/>
      <c r="R59" s="473"/>
      <c r="S59" s="598" t="s">
        <v>159</v>
      </c>
      <c r="T59" s="446"/>
      <c r="U59" s="446"/>
      <c r="V59" s="446"/>
      <c r="W59" s="446"/>
      <c r="X59" s="446"/>
      <c r="Y59" s="446"/>
      <c r="Z59" s="446"/>
      <c r="AA59" s="476"/>
      <c r="AB59" s="476"/>
      <c r="AC59" s="476"/>
      <c r="AD59" s="476"/>
    </row>
    <row r="60" spans="1:34">
      <c r="E60" s="446"/>
      <c r="F60" s="446"/>
      <c r="G60" s="446"/>
      <c r="H60" s="446"/>
      <c r="I60" s="446"/>
      <c r="J60" s="446"/>
      <c r="K60" s="446"/>
      <c r="L60" s="446"/>
      <c r="M60" s="446"/>
      <c r="O60" s="446"/>
      <c r="P60" s="446"/>
      <c r="Q60" s="446"/>
      <c r="R60" s="446"/>
      <c r="S60" s="446"/>
      <c r="T60" s="446"/>
      <c r="U60" s="446"/>
      <c r="V60" s="446"/>
      <c r="W60" s="446"/>
      <c r="X60" s="446"/>
      <c r="Y60" s="446"/>
      <c r="Z60" s="446"/>
      <c r="AA60" s="476"/>
      <c r="AB60" s="476"/>
      <c r="AC60" s="476"/>
      <c r="AD60" s="476"/>
    </row>
    <row r="61" spans="1:34">
      <c r="A61" s="98"/>
      <c r="B61" s="30">
        <v>3</v>
      </c>
      <c r="C61" s="79" t="s">
        <v>165</v>
      </c>
      <c r="E61" s="446"/>
      <c r="F61" s="446"/>
      <c r="G61" s="446"/>
      <c r="H61" s="446"/>
      <c r="I61" s="446"/>
      <c r="J61" s="446"/>
      <c r="K61" s="446"/>
      <c r="L61" s="446"/>
      <c r="M61" s="446"/>
      <c r="O61" s="446"/>
      <c r="P61" s="446"/>
      <c r="Q61" s="446"/>
      <c r="R61" s="446"/>
      <c r="S61" s="446"/>
      <c r="T61" s="446"/>
      <c r="U61" s="446"/>
      <c r="V61" s="446"/>
      <c r="W61" s="446"/>
      <c r="X61" s="446"/>
      <c r="Y61" s="446"/>
      <c r="Z61" s="446"/>
      <c r="AA61" s="476"/>
      <c r="AB61" s="476"/>
      <c r="AC61" s="476"/>
      <c r="AD61" s="476"/>
    </row>
    <row r="62" spans="1:34">
      <c r="E62" s="446"/>
      <c r="F62" s="446"/>
      <c r="G62" s="446"/>
      <c r="H62" s="446"/>
      <c r="I62" s="446"/>
      <c r="J62" s="446"/>
      <c r="K62" s="446"/>
      <c r="L62" s="446"/>
      <c r="M62" s="446"/>
      <c r="O62" s="446"/>
      <c r="P62" s="446"/>
      <c r="Q62" s="446"/>
      <c r="R62" s="446"/>
      <c r="S62" s="446"/>
      <c r="T62" s="446"/>
      <c r="U62" s="446"/>
      <c r="V62" s="446"/>
      <c r="W62" s="446"/>
      <c r="X62" s="446"/>
      <c r="Y62" s="446"/>
      <c r="Z62" s="446"/>
      <c r="AA62" s="476"/>
      <c r="AB62" s="476"/>
      <c r="AC62" s="476"/>
      <c r="AD62" s="476"/>
    </row>
    <row r="63" spans="1:34">
      <c r="C63" s="910" t="s">
        <v>166</v>
      </c>
      <c r="D63" s="911"/>
      <c r="E63" s="911"/>
      <c r="F63" s="911"/>
      <c r="G63" s="911"/>
      <c r="H63" s="912"/>
      <c r="I63" s="446"/>
      <c r="J63" s="446"/>
      <c r="K63" s="446"/>
      <c r="L63" s="446"/>
      <c r="M63" s="446"/>
      <c r="O63" s="446"/>
      <c r="P63" s="446"/>
      <c r="Q63" s="446"/>
      <c r="R63" s="446"/>
      <c r="S63" s="446"/>
      <c r="T63" s="446"/>
      <c r="U63" s="446"/>
      <c r="V63" s="446"/>
      <c r="W63" s="446"/>
      <c r="X63" s="446"/>
      <c r="Y63" s="446"/>
      <c r="Z63" s="446"/>
      <c r="AA63" s="476"/>
      <c r="AB63" s="476"/>
      <c r="AC63" s="476"/>
      <c r="AD63" s="476"/>
    </row>
    <row r="64" spans="1:34">
      <c r="C64" s="913"/>
      <c r="D64" s="930"/>
      <c r="E64" s="930"/>
      <c r="F64" s="930"/>
      <c r="G64" s="930"/>
      <c r="H64" s="915"/>
      <c r="I64" s="446"/>
      <c r="J64" s="446"/>
      <c r="K64" s="446"/>
      <c r="O64" s="446"/>
      <c r="P64" s="446"/>
      <c r="Q64" s="446"/>
      <c r="R64" s="446"/>
      <c r="S64" s="446"/>
      <c r="T64" s="446"/>
      <c r="U64" s="446"/>
      <c r="V64" s="446"/>
      <c r="W64" s="446"/>
      <c r="X64" s="446"/>
      <c r="Y64" s="446"/>
      <c r="Z64" s="446"/>
      <c r="AA64" s="476"/>
      <c r="AB64" s="476"/>
      <c r="AC64" s="476"/>
      <c r="AD64" s="476"/>
    </row>
    <row r="65" spans="1:40">
      <c r="C65" s="446"/>
      <c r="D65" s="446"/>
      <c r="E65" s="597" t="s">
        <v>167</v>
      </c>
      <c r="F65" s="597" t="s">
        <v>1583</v>
      </c>
      <c r="G65" s="597" t="s">
        <v>1584</v>
      </c>
      <c r="H65" s="597" t="s">
        <v>167</v>
      </c>
      <c r="I65" s="597" t="s">
        <v>1088</v>
      </c>
      <c r="J65" s="597" t="s">
        <v>1587</v>
      </c>
      <c r="K65" s="597" t="s">
        <v>674</v>
      </c>
      <c r="N65" s="108" t="s">
        <v>674</v>
      </c>
      <c r="O65" s="446"/>
      <c r="P65" s="446"/>
      <c r="Q65" s="446"/>
      <c r="R65" s="446"/>
      <c r="S65" s="446"/>
      <c r="T65" s="446"/>
      <c r="U65" s="597"/>
      <c r="V65" s="597" t="s">
        <v>167</v>
      </c>
      <c r="W65" s="597" t="s">
        <v>1583</v>
      </c>
      <c r="X65" s="597" t="s">
        <v>1584</v>
      </c>
      <c r="Y65" s="597" t="s">
        <v>167</v>
      </c>
      <c r="Z65" s="597" t="s">
        <v>1088</v>
      </c>
      <c r="AA65" s="597" t="s">
        <v>1587</v>
      </c>
      <c r="AB65" s="597" t="s">
        <v>674</v>
      </c>
      <c r="AC65" s="108"/>
    </row>
    <row r="66" spans="1:40">
      <c r="C66" s="446"/>
      <c r="D66" s="446"/>
      <c r="E66" s="922" t="s">
        <v>646</v>
      </c>
      <c r="F66" s="923"/>
      <c r="G66" s="923"/>
      <c r="H66" s="924"/>
      <c r="I66" s="916" t="s">
        <v>647</v>
      </c>
      <c r="J66" s="917"/>
      <c r="K66" s="918"/>
      <c r="L66" s="928" t="s">
        <v>168</v>
      </c>
      <c r="M66" s="724"/>
      <c r="O66" s="446"/>
      <c r="P66" s="446"/>
      <c r="Q66" s="446"/>
      <c r="R66" s="446"/>
      <c r="S66" s="446"/>
      <c r="T66" s="446"/>
      <c r="U66" s="446"/>
      <c r="V66" s="446"/>
      <c r="W66" s="446"/>
      <c r="X66" s="446"/>
      <c r="Y66" s="446"/>
      <c r="Z66" s="446"/>
      <c r="AA66" s="476"/>
      <c r="AB66" s="476"/>
      <c r="AC66" s="476"/>
      <c r="AD66" s="476"/>
    </row>
    <row r="67" spans="1:40">
      <c r="C67" s="446"/>
      <c r="D67" s="446"/>
      <c r="E67" s="925"/>
      <c r="F67" s="926"/>
      <c r="G67" s="926"/>
      <c r="H67" s="927"/>
      <c r="I67" s="919"/>
      <c r="J67" s="920"/>
      <c r="K67" s="921"/>
      <c r="L67" s="928"/>
      <c r="M67" s="724"/>
      <c r="O67" s="446"/>
      <c r="P67" s="446"/>
      <c r="Q67" s="446"/>
      <c r="R67" s="446"/>
      <c r="S67" s="446"/>
      <c r="T67" s="446"/>
      <c r="U67" s="446"/>
      <c r="V67" s="446"/>
      <c r="W67" s="446"/>
      <c r="X67" s="446"/>
      <c r="Y67" s="446"/>
      <c r="Z67" s="446"/>
      <c r="AA67" s="476"/>
      <c r="AB67" s="476"/>
      <c r="AC67" s="476"/>
      <c r="AD67" s="476"/>
    </row>
    <row r="68" spans="1:40">
      <c r="C68" s="446"/>
      <c r="D68" s="446"/>
      <c r="E68" s="925"/>
      <c r="F68" s="926"/>
      <c r="G68" s="926"/>
      <c r="H68" s="927"/>
      <c r="I68" s="919"/>
      <c r="J68" s="920"/>
      <c r="K68" s="921"/>
      <c r="L68" s="928"/>
      <c r="M68" s="724"/>
      <c r="O68" s="446"/>
      <c r="P68" s="446"/>
      <c r="Q68" s="446" t="str">
        <f>IF(AND(O72=0, OR(G72&lt;&gt;0,H72&lt;&gt;"",K72&lt;&gt;0)),"Los valores debe ir en cero","")</f>
        <v/>
      </c>
      <c r="R68" s="446"/>
      <c r="S68" s="446"/>
      <c r="T68" s="446"/>
      <c r="U68" s="446"/>
      <c r="V68" s="446"/>
      <c r="W68" s="446"/>
      <c r="X68" s="446"/>
      <c r="Y68" s="446"/>
      <c r="Z68" s="446"/>
      <c r="AA68" s="476"/>
      <c r="AB68" s="476"/>
      <c r="AC68" s="476"/>
      <c r="AD68" s="476"/>
    </row>
    <row r="69" spans="1:40" ht="15.75" thickBot="1">
      <c r="A69" s="98"/>
      <c r="E69" s="259"/>
      <c r="F69" s="260"/>
      <c r="G69" s="260"/>
      <c r="H69" s="301" t="s">
        <v>167</v>
      </c>
      <c r="I69" s="302"/>
      <c r="J69" s="257"/>
      <c r="K69" s="258"/>
      <c r="L69" s="929"/>
      <c r="M69" s="750"/>
      <c r="N69" s="108" t="s">
        <v>674</v>
      </c>
      <c r="O69" s="446"/>
      <c r="P69" s="446"/>
      <c r="Q69" s="446"/>
      <c r="R69" s="473"/>
      <c r="S69" s="597" t="s">
        <v>167</v>
      </c>
      <c r="T69" s="597"/>
      <c r="U69" s="446"/>
      <c r="V69" s="446"/>
      <c r="W69" s="446"/>
      <c r="X69" s="597" t="s">
        <v>167</v>
      </c>
      <c r="Y69" s="446"/>
      <c r="Z69" s="446"/>
      <c r="AA69" s="476"/>
      <c r="AB69" s="476"/>
      <c r="AC69" s="476"/>
      <c r="AD69" s="476"/>
    </row>
    <row r="70" spans="1:40" s="117" customFormat="1" ht="46.5" customHeight="1">
      <c r="A70" s="119"/>
      <c r="B70" s="575" t="s">
        <v>633</v>
      </c>
      <c r="C70" s="548" t="s">
        <v>14755</v>
      </c>
      <c r="D70" s="497" t="s">
        <v>184</v>
      </c>
      <c r="E70" s="497" t="str">
        <f>INDEX(BPC_COLUMNA_NOTA[[#All],[CD_COLUMNA]:[DESCRIPCION_LARGA]],MATCH(E$65,BPC_COLUMNA_NOTA[[#All],[CD_COLUMNA]],0),2)</f>
        <v>Costo en libros, al valor razonable</v>
      </c>
      <c r="F70" s="548" t="str">
        <f>INDEX(BPC_COLUMNA_NOTA[[#All],[CD_COLUMNA]:[DESCRIPCION_LARGA]],MATCH(F$65,BPC_COLUMNA_NOTA[[#All],[CD_COLUMNA]],0),2)</f>
        <v>Depreciación acumulada, del valor razonable</v>
      </c>
      <c r="G70" s="548" t="str">
        <f>INDEX(BPC_COLUMNA_NOTA[[#All],[CD_COLUMNA]:[DESCRIPCION_LARGA]],MATCH(G$65,BPC_COLUMNA_NOTA[[#All],[CD_COLUMNA]],0),2)</f>
        <v>Valor neto en libros</v>
      </c>
      <c r="H70" s="497" t="s">
        <v>14757</v>
      </c>
      <c r="I70" s="548" t="str">
        <f>INDEX(BPC_COLUMNA_NOTA[[#All],[CD_COLUMNA]:[DESCRIPCION_LARGA]],MATCH(I$65,BPC_COLUMNA_NOTA[[#All],[CD_COLUMNA]],0),2)</f>
        <v>Costo en libros Modelo del costo</v>
      </c>
      <c r="J70" s="548" t="str">
        <f>INDEX(BPC_COLUMNA_NOTA[[#All],[CD_COLUMNA]:[DESCRIPCION_LARGA]],MATCH(J$65,BPC_COLUMNA_NOTA[[#All],[CD_COLUMNA]],0),2)</f>
        <v>Depreciación acumulada Del valor del activo bajo el modelo costo</v>
      </c>
      <c r="K70" s="548" t="str">
        <f>INDEX(BPC_COLUMNA_NOTA[[#All],[CD_COLUMNA]:[DESCRIPCION_LARGA]],MATCH(K$65,BPC_COLUMNA_NOTA[[#All],[CD_COLUMNA]],0),2)</f>
        <v>Valor neto en libros</v>
      </c>
      <c r="L70" s="497" t="s">
        <v>14758</v>
      </c>
      <c r="M70" s="497" t="s">
        <v>14759</v>
      </c>
      <c r="N70" s="497" t="s">
        <v>14760</v>
      </c>
      <c r="O70" s="297"/>
      <c r="Q70" s="108" t="s">
        <v>686</v>
      </c>
      <c r="S70" s="386" t="s">
        <v>633</v>
      </c>
      <c r="T70" s="548" t="s">
        <v>14755</v>
      </c>
      <c r="U70" s="548" t="s">
        <v>184</v>
      </c>
      <c r="V70" s="548" t="str">
        <f>INDEX(BPC_COLUMNA_NOTA[[#All],[CD_COLUMNA]:[DESCRIPCION_LARGA]],MATCH(V$65,BPC_COLUMNA_NOTA[[#All],[CD_COLUMNA]],0),2)</f>
        <v>Costo en libros, al valor razonable</v>
      </c>
      <c r="W70" s="548" t="str">
        <f>INDEX(BPC_COLUMNA_NOTA[[#All],[CD_COLUMNA]:[DESCRIPCION_LARGA]],MATCH(W$65,BPC_COLUMNA_NOTA[[#All],[CD_COLUMNA]],0),2)</f>
        <v>Depreciación acumulada, del valor razonable</v>
      </c>
      <c r="X70" s="548" t="str">
        <f>INDEX(BPC_COLUMNA_NOTA[[#All],[CD_COLUMNA]:[DESCRIPCION_LARGA]],MATCH(X$65,BPC_COLUMNA_NOTA[[#All],[CD_COLUMNA]],0),2)</f>
        <v>Valor neto en libros</v>
      </c>
      <c r="Y70" s="510" t="s">
        <v>14757</v>
      </c>
      <c r="Z70" s="548" t="str">
        <f>INDEX(BPC_COLUMNA_NOTA[[#All],[CD_COLUMNA]:[DESCRIPCION_LARGA]],MATCH(Z$65,BPC_COLUMNA_NOTA[[#All],[CD_COLUMNA]],0),2)</f>
        <v>Costo en libros Modelo del costo</v>
      </c>
      <c r="AA70" s="548" t="str">
        <f>INDEX(BPC_COLUMNA_NOTA[[#All],[CD_COLUMNA]:[DESCRIPCION_LARGA]],MATCH(AA$65,BPC_COLUMNA_NOTA[[#All],[CD_COLUMNA]],0),2)</f>
        <v>Depreciación acumulada Del valor del activo bajo el modelo costo</v>
      </c>
      <c r="AB70" s="548" t="str">
        <f>INDEX(BPC_COLUMNA_NOTA[[#All],[CD_COLUMNA]:[DESCRIPCION_LARGA]],MATCH(AB$65,BPC_COLUMNA_NOTA[[#All],[CD_COLUMNA]],0),2)</f>
        <v>Valor neto en libros</v>
      </c>
      <c r="AC70" s="510" t="s">
        <v>14758</v>
      </c>
      <c r="AD70" s="510" t="s">
        <v>14759</v>
      </c>
      <c r="AF70" s="431"/>
      <c r="AG70" s="431"/>
      <c r="AH70" s="431"/>
      <c r="AI70" s="431"/>
      <c r="AJ70" s="431"/>
      <c r="AK70" s="431"/>
      <c r="AL70" s="431" t="e">
        <f ca="1" xml:space="preserve"> _xll.FPMXLClient.TechnicalCategory.EPMLocalMember("Posee activos medidos al valor razonable","006","003")</f>
        <v>#NAME?</v>
      </c>
      <c r="AM70" s="431" t="s">
        <v>687</v>
      </c>
      <c r="AN70" s="108"/>
    </row>
    <row r="71" spans="1:40" s="117" customFormat="1">
      <c r="A71" s="119">
        <f>IF(P71="Error",1,0)</f>
        <v>0</v>
      </c>
      <c r="B71" s="584" t="s">
        <v>1089</v>
      </c>
      <c r="C71" s="424" t="str">
        <f>AJ71</f>
        <v>S1504_1</v>
      </c>
      <c r="D71" s="424" t="str">
        <f>AK71</f>
        <v>Terrenos</v>
      </c>
      <c r="E71" s="526"/>
      <c r="F71" s="525">
        <v>0</v>
      </c>
      <c r="G71" s="426">
        <f>SUM(E71:F71)</f>
        <v>0</v>
      </c>
      <c r="H71" s="528"/>
      <c r="I71" s="526"/>
      <c r="J71" s="525">
        <v>0</v>
      </c>
      <c r="K71" s="426">
        <f>SUM(I71:J71)</f>
        <v>0</v>
      </c>
      <c r="L71" s="425">
        <f>IFERROR(SUM(E71,-I71),0)</f>
        <v>0</v>
      </c>
      <c r="M71" s="425">
        <f>IFERROR(SUM(F71,-J71),0)</f>
        <v>0</v>
      </c>
      <c r="N71" s="224"/>
      <c r="O71" s="262">
        <f>IFERROR(INDEX(BPC_NOTAS[#All],MATCH($C71,BPC_NOTAS[[#All],[FILA_COLUMNA]],0),2),0)</f>
        <v>0</v>
      </c>
      <c r="P71" s="19" t="str">
        <f>IF(Q71="","Ok","Error")</f>
        <v>Ok</v>
      </c>
      <c r="Q71" s="117" t="str">
        <f>IF(AND(O71&lt;&gt;0,N71=""),"Tiene Activos a valor razonable?",IF(N71="Si",IF(OR(G71=0,H71="",K71&lt;0),"Las columnas G,H y K son obligatorias",
IF(G71&lt;&gt;O71,"El Valor de G y O tienen que ser iguales",IF(I71&gt;E71,"El I es Mayor que E",IF(AND(F71&lt;&gt;0,F71=J71),"El valor de F es Mayor a J","")))),IF(OR(G71&lt;&gt;0,H71&lt;&gt;"",K71&lt;&gt;0),"Los valores debe ir en cero","")))&amp;IF(AND(O71=0,OR(G71&lt;&gt;0,H71&lt;&gt;"",K71&lt;&gt;0))," Los valores debe ir en cero","")</f>
        <v/>
      </c>
      <c r="R71" s="402"/>
      <c r="S71" s="584" t="s">
        <v>1089</v>
      </c>
      <c r="T71" s="549" t="str">
        <f>AJ71</f>
        <v>S1504_1</v>
      </c>
      <c r="U71" s="549" t="str">
        <f>AK71</f>
        <v>Terrenos</v>
      </c>
      <c r="V71" s="550" t="str">
        <f>IFERROR(-INDEX(BPC_NOTAS2[#All],MATCH($S71&amp;"_"&amp;V$65,BPC_NOTAS2[[#All],[FILA_COLUMNA]],0),2),"")</f>
        <v/>
      </c>
      <c r="W71" s="550" t="str">
        <f>IFERROR(-INDEX(BPC_NOTAS2[#All],MATCH($S71&amp;"_"&amp;W$65,BPC_NOTAS2[[#All],[FILA_COLUMNA]],0),2),"")</f>
        <v/>
      </c>
      <c r="X71" s="425">
        <f>SUM(V71:W71)</f>
        <v>0</v>
      </c>
      <c r="Y71" s="553" t="str">
        <f>IFERROR(INDEX(BPC_COMENTARIOS2[#All],MATCH($S71&amp;"_"&amp;Y$65,BPC_COMENTARIOS2[[#All],[FILA_COLUMNA]],0),2),"")</f>
        <v/>
      </c>
      <c r="Z71" s="550" t="str">
        <f>IFERROR(-INDEX(BPC_NOTAS2[#All],MATCH($S71&amp;"_"&amp;Z$65,BPC_NOTAS2[[#All],[FILA_COLUMNA]],0),2),"")</f>
        <v/>
      </c>
      <c r="AA71" s="550" t="str">
        <f>IFERROR(-INDEX(BPC_NOTAS2[#All],MATCH($S71&amp;"_"&amp;AA$65,BPC_NOTAS2[[#All],[FILA_COLUMNA]],0),2),"")</f>
        <v/>
      </c>
      <c r="AB71" s="425">
        <f>SUM(Z71:AA71)</f>
        <v>0</v>
      </c>
      <c r="AC71" s="425">
        <f>IFERROR(SUM(V71,-Z71),0)</f>
        <v>0</v>
      </c>
      <c r="AD71" s="425">
        <f>IFERROR(SUM(W71,-AA71),0)</f>
        <v>0</v>
      </c>
      <c r="AE71" s="360" t="e">
        <f ca="1">_xll.EPMCommentFullContext("",B71,$X$69,$A$4)</f>
        <v>#NAME?</v>
      </c>
      <c r="AF71" s="360"/>
      <c r="AG71" s="371"/>
      <c r="AH71" s="547" t="str">
        <f>INDEX(BPC_FILA_NOTA[#All],MATCH($B71,BPC_FILA_NOTA[[#All],[ID]],0),2)</f>
        <v>Terrenos[S1504_1]</v>
      </c>
      <c r="AI71" s="360" t="str">
        <f>IFERROR(MID(AH71,FIND("[",AH71)+1,50),"")</f>
        <v>S1504_1]</v>
      </c>
      <c r="AJ71" s="360" t="str">
        <f>LEFT(AI71,LEN(AI71)-1)</f>
        <v>S1504_1</v>
      </c>
      <c r="AK71" s="360" t="str">
        <f>IFERROR(MID(AH71,1,FIND("[",AH71)-1),AH71)</f>
        <v>Terrenos</v>
      </c>
      <c r="AL71" s="360" t="e">
        <f ca="1">_xll.EPMSaveComment($N71, "ANEXO_NOTAS_XBRL",$B71,$N$69)</f>
        <v>#NAME?</v>
      </c>
      <c r="AM71" s="360" t="e">
        <f ca="1">_xll.EPMSaveComment($H71, "ANEXO_NOTAS_XBRL",$B71,"C11904002")</f>
        <v>#NAME?</v>
      </c>
      <c r="AN71" s="108"/>
    </row>
    <row r="72" spans="1:40" s="117" customFormat="1">
      <c r="A72" s="119">
        <f t="shared" ref="A72:A85" si="16">IF(P72="Error",1,0)</f>
        <v>0</v>
      </c>
      <c r="B72" s="584" t="s">
        <v>1562</v>
      </c>
      <c r="C72" s="424" t="str">
        <f t="shared" ref="C72:C86" si="17">AJ72</f>
        <v>S1508_1</v>
      </c>
      <c r="D72" s="424" t="str">
        <f t="shared" ref="D72:D86" si="18">AK72</f>
        <v>Construcciones en curso</v>
      </c>
      <c r="E72" s="526"/>
      <c r="F72" s="525">
        <v>0</v>
      </c>
      <c r="G72" s="426">
        <f t="shared" ref="G72:G86" si="19">SUM(E72:F72)</f>
        <v>0</v>
      </c>
      <c r="H72" s="528"/>
      <c r="I72" s="526"/>
      <c r="J72" s="525">
        <v>0</v>
      </c>
      <c r="K72" s="426">
        <f t="shared" ref="K72:K86" si="20">SUM(I72:J72)</f>
        <v>0</v>
      </c>
      <c r="L72" s="425">
        <f t="shared" ref="L72:L86" si="21">IFERROR(SUM(E72,-I72),0)</f>
        <v>0</v>
      </c>
      <c r="M72" s="425">
        <f t="shared" ref="M72:M86" si="22">IFERROR(SUM(F72,-J72),0)</f>
        <v>0</v>
      </c>
      <c r="N72" s="224"/>
      <c r="O72" s="262">
        <f>IFERROR(INDEX(BPC_NOTAS[#All],MATCH($C72,BPC_NOTAS[[#All],[FILA_COLUMNA]],0),2),0)</f>
        <v>0</v>
      </c>
      <c r="P72" s="19" t="str">
        <f t="shared" ref="P72:P85" si="23">IF(Q72="","Ok","Error")</f>
        <v>Ok</v>
      </c>
      <c r="Q72" s="117" t="str">
        <f>IF(AND(O72&lt;&gt;0,N72=""),"Tiene Activos a valor razonable?",IF(N72="Si", IF(OR(G72=0,H72="",K72&lt;0),"Todas las columnas son obligatorias",IF(E72=0,"La columna E es obligatoria",IF(I72&gt;E72,"La columna I es mayor a la columna E",IF(AND(F72&lt;&gt;0,F72&gt;J72),"La Columna F es Igual a la J",IF(E72&gt;O72,"La fila E no puede ser mayor que la O",""))))),IF(OR(G72&lt;&gt;0,H72&lt;&gt;"",K72&lt;&gt;0),"Los valores debe ir en cero",""))) &amp; IF(AND(O72=0, OR(G72&lt;&gt;0,H72&lt;&gt;"",K72&lt;&gt;0))," Los valores debe ir en cero","")</f>
        <v/>
      </c>
      <c r="R72" s="402"/>
      <c r="S72" s="584" t="s">
        <v>1562</v>
      </c>
      <c r="T72" s="549" t="str">
        <f t="shared" ref="T72:T86" si="24">AJ72</f>
        <v>S1508_1</v>
      </c>
      <c r="U72" s="549" t="str">
        <f t="shared" ref="U72:U86" si="25">AK72</f>
        <v>Construcciones en curso</v>
      </c>
      <c r="V72" s="550" t="str">
        <f>IFERROR(-INDEX(BPC_NOTAS2[#All],MATCH($S72&amp;"_"&amp;V$65,BPC_NOTAS2[[#All],[FILA_COLUMNA]],0),2),"")</f>
        <v/>
      </c>
      <c r="W72" s="550" t="str">
        <f>IFERROR(-INDEX(BPC_NOTAS2[#All],MATCH($S72&amp;"_"&amp;W$65,BPC_NOTAS2[[#All],[FILA_COLUMNA]],0),2),"")</f>
        <v/>
      </c>
      <c r="X72" s="425">
        <f t="shared" ref="X72:X86" si="26">SUM(V72:W72)</f>
        <v>0</v>
      </c>
      <c r="Y72" s="553" t="str">
        <f>IFERROR(INDEX(BPC_COMENTARIOS2[#All],MATCH($S72&amp;"_"&amp;Y$65,BPC_COMENTARIOS2[[#All],[FILA_COLUMNA]],0),2),"")</f>
        <v/>
      </c>
      <c r="Z72" s="550" t="str">
        <f>IFERROR(-INDEX(BPC_NOTAS2[#All],MATCH($S72&amp;"_"&amp;Z$65,BPC_NOTAS2[[#All],[FILA_COLUMNA]],0),2),"")</f>
        <v/>
      </c>
      <c r="AA72" s="550" t="str">
        <f>IFERROR(-INDEX(BPC_NOTAS2[#All],MATCH($S72&amp;"_"&amp;AA$65,BPC_NOTAS2[[#All],[FILA_COLUMNA]],0),2),"")</f>
        <v/>
      </c>
      <c r="AB72" s="425">
        <f t="shared" ref="AB72:AB86" si="27">SUM(Z72:AA72)</f>
        <v>0</v>
      </c>
      <c r="AC72" s="425">
        <f t="shared" ref="AC72:AC86" si="28">IFERROR(SUM(V72,-Z72),0)</f>
        <v>0</v>
      </c>
      <c r="AD72" s="425">
        <f t="shared" ref="AD72:AD86" si="29">IFERROR(SUM(W72,-AA72),0)</f>
        <v>0</v>
      </c>
      <c r="AE72" s="360" t="e">
        <f ca="1">_xll.EPMCommentFullContext("",B72,$X$69,$A$4)</f>
        <v>#NAME?</v>
      </c>
      <c r="AF72" s="360"/>
      <c r="AG72" s="371"/>
      <c r="AH72" s="547" t="str">
        <f>INDEX(BPC_FILA_NOTA[#All],MATCH($B72,BPC_FILA_NOTA[[#All],[ID]],0),2)</f>
        <v>Construcciones en curso[S1508_1]</v>
      </c>
      <c r="AI72" s="360" t="str">
        <f t="shared" ref="AI72:AI85" si="30">IFERROR(MID(AH72,FIND("[",AH72)+1,50),"")</f>
        <v>S1508_1]</v>
      </c>
      <c r="AJ72" s="360" t="str">
        <f t="shared" ref="AJ72:AJ85" si="31">LEFT(AI72,LEN(AI72)-1)</f>
        <v>S1508_1</v>
      </c>
      <c r="AK72" s="360" t="str">
        <f t="shared" ref="AK72:AK85" si="32">IFERROR(MID(AH72,1,FIND("[",AH72)-1),AH72)</f>
        <v>Construcciones en curso</v>
      </c>
      <c r="AL72" s="360" t="e">
        <f ca="1">_xll.EPMSaveComment($N72, "ANEXO_NOTAS_XBRL",$B72,$N$69)</f>
        <v>#NAME?</v>
      </c>
      <c r="AM72" s="360" t="e">
        <f ca="1">_xll.EPMSaveComment($H72, "ANEXO_NOTAS_XBRL",$B72,"C11904002")</f>
        <v>#NAME?</v>
      </c>
      <c r="AN72" s="108"/>
    </row>
    <row r="73" spans="1:40" s="117" customFormat="1">
      <c r="A73" s="119">
        <f t="shared" si="16"/>
        <v>1</v>
      </c>
      <c r="B73" s="584" t="s">
        <v>1563</v>
      </c>
      <c r="C73" s="424" t="str">
        <f t="shared" si="17"/>
        <v>S1512_1</v>
      </c>
      <c r="D73" s="424" t="str">
        <f t="shared" si="18"/>
        <v>Maquinaria y equipos en montaje</v>
      </c>
      <c r="E73" s="526"/>
      <c r="F73" s="526"/>
      <c r="G73" s="426">
        <f t="shared" si="19"/>
        <v>0</v>
      </c>
      <c r="H73" s="528"/>
      <c r="I73" s="526"/>
      <c r="J73" s="526"/>
      <c r="K73" s="426">
        <f t="shared" si="20"/>
        <v>0</v>
      </c>
      <c r="L73" s="425">
        <f t="shared" si="21"/>
        <v>0</v>
      </c>
      <c r="M73" s="425">
        <f t="shared" si="22"/>
        <v>0</v>
      </c>
      <c r="N73" s="224"/>
      <c r="O73" s="262">
        <f>IFERROR(INDEX(BPC_NOTAS[#All],MATCH($C73,BPC_NOTAS[[#All],[FILA_COLUMNA]],0),2),0)</f>
        <v>61038753</v>
      </c>
      <c r="P73" s="19" t="str">
        <f t="shared" si="23"/>
        <v>Error</v>
      </c>
      <c r="Q73" s="117" t="str">
        <f>IF(AND(O73&lt;&gt;0,N73=""),"Tiene Activos a valor razonable?",IF(N73="Si", IF(OR(G73=0,H73="",K73&lt;0),"Todas las columnas son obligatorias",IF(E73=0,"La columna E es obligatoria",IF(I73&gt;E73,"La columna I es mayor a la columna E",IF(AND(F73&lt;&gt;0,F73&gt;J73),"La Columna F es Igual a la J",IF(E73&gt;O73,"La fila E no puede ser mayor que la O",""))))),IF(OR(G73&lt;&gt;0,H73&lt;&gt;"",K73&lt;&gt;0),"Los valores debe ir en cero",IF(OR(F73&gt;0,J73&gt;0),"Las Depresiaciones deben ser negativas","")))) &amp; IF(AND(O73=0, OR(G73&lt;&gt;0,H73&lt;&gt;"",K73&lt;&gt;0))," Los valores debe ir en cero","")</f>
        <v>Tiene Activos a valor razonable?</v>
      </c>
      <c r="R73" s="402"/>
      <c r="S73" s="584" t="s">
        <v>1563</v>
      </c>
      <c r="T73" s="549" t="str">
        <f t="shared" si="24"/>
        <v>S1512_1</v>
      </c>
      <c r="U73" s="549" t="str">
        <f t="shared" si="25"/>
        <v>Maquinaria y equipos en montaje</v>
      </c>
      <c r="V73" s="550" t="str">
        <f>IFERROR(-INDEX(BPC_NOTAS2[#All],MATCH($S73&amp;"_"&amp;V$65,BPC_NOTAS2[[#All],[FILA_COLUMNA]],0),2),"")</f>
        <v/>
      </c>
      <c r="W73" s="550" t="str">
        <f>IFERROR(-INDEX(BPC_NOTAS2[#All],MATCH($S73&amp;"_"&amp;W$65,BPC_NOTAS2[[#All],[FILA_COLUMNA]],0),2),"")</f>
        <v/>
      </c>
      <c r="X73" s="425">
        <f t="shared" si="26"/>
        <v>0</v>
      </c>
      <c r="Y73" s="553" t="str">
        <f>IFERROR(INDEX(BPC_COMENTARIOS2[#All],MATCH($S73&amp;"_"&amp;Y$65,BPC_COMENTARIOS2[[#All],[FILA_COLUMNA]],0),2),"")</f>
        <v/>
      </c>
      <c r="Z73" s="550" t="str">
        <f>IFERROR(-INDEX(BPC_NOTAS2[#All],MATCH($S73&amp;"_"&amp;Z$65,BPC_NOTAS2[[#All],[FILA_COLUMNA]],0),2),"")</f>
        <v/>
      </c>
      <c r="AA73" s="550" t="str">
        <f>IFERROR(-INDEX(BPC_NOTAS2[#All],MATCH($S73&amp;"_"&amp;AA$65,BPC_NOTAS2[[#All],[FILA_COLUMNA]],0),2),"")</f>
        <v/>
      </c>
      <c r="AB73" s="425">
        <f t="shared" si="27"/>
        <v>0</v>
      </c>
      <c r="AC73" s="425">
        <f t="shared" si="28"/>
        <v>0</v>
      </c>
      <c r="AD73" s="425">
        <f t="shared" si="29"/>
        <v>0</v>
      </c>
      <c r="AE73" s="360" t="e">
        <f ca="1">_xll.EPMCommentFullContext("",B73,$X$69,$A$4)</f>
        <v>#NAME?</v>
      </c>
      <c r="AF73" s="360"/>
      <c r="AG73" s="371"/>
      <c r="AH73" s="547" t="str">
        <f>INDEX(BPC_FILA_NOTA[#All],MATCH($B73,BPC_FILA_NOTA[[#All],[ID]],0),2)</f>
        <v>Maquinaria y equipos en montaje[S1512_1]</v>
      </c>
      <c r="AI73" s="360" t="str">
        <f t="shared" si="30"/>
        <v>S1512_1]</v>
      </c>
      <c r="AJ73" s="360" t="str">
        <f t="shared" si="31"/>
        <v>S1512_1</v>
      </c>
      <c r="AK73" s="360" t="str">
        <f t="shared" si="32"/>
        <v>Maquinaria y equipos en montaje</v>
      </c>
      <c r="AL73" s="360" t="e">
        <f ca="1">_xll.EPMSaveComment($N73, "ANEXO_NOTAS_XBRL",$B73,$N$69)</f>
        <v>#NAME?</v>
      </c>
      <c r="AM73" s="360" t="e">
        <f ca="1">_xll.EPMSaveComment($H73, "ANEXO_NOTAS_XBRL",$B73,"C11904002")</f>
        <v>#NAME?</v>
      </c>
      <c r="AN73" s="108"/>
    </row>
    <row r="74" spans="1:40" s="117" customFormat="1">
      <c r="A74" s="119">
        <f t="shared" si="16"/>
        <v>0</v>
      </c>
      <c r="B74" s="584" t="s">
        <v>1564</v>
      </c>
      <c r="C74" s="424" t="str">
        <f t="shared" si="17"/>
        <v>S1516_1+S159205_1</v>
      </c>
      <c r="D74" s="424" t="str">
        <f t="shared" si="18"/>
        <v>Construcciones y edificaciones</v>
      </c>
      <c r="E74" s="526"/>
      <c r="F74" s="526"/>
      <c r="G74" s="426">
        <f t="shared" si="19"/>
        <v>0</v>
      </c>
      <c r="H74" s="528"/>
      <c r="I74" s="526"/>
      <c r="J74" s="526"/>
      <c r="K74" s="426">
        <f t="shared" si="20"/>
        <v>0</v>
      </c>
      <c r="L74" s="425">
        <f t="shared" si="21"/>
        <v>0</v>
      </c>
      <c r="M74" s="425">
        <f t="shared" si="22"/>
        <v>0</v>
      </c>
      <c r="N74" s="224"/>
      <c r="O74" s="262">
        <f>IFERROR(INDEX(BPC_NOTAS[#All],MATCH("S1516_1",BPC_NOTAS[[#All],[FILA_COLUMNA]],0),2),0)+IFERROR(INDEX(BPC_NOTAS[#All],MATCH("S159205_1",BPC_NOTAS[[#All],[FILA_COLUMNA]],0),2),0)</f>
        <v>0</v>
      </c>
      <c r="P74" s="19" t="str">
        <f t="shared" si="23"/>
        <v>Ok</v>
      </c>
      <c r="Q74" s="117" t="str">
        <f>IF(AND(O74&lt;&gt;0,N74=""),"Tiene Activos a valor razonable?",IF(N74="Si",IF(OR(G74=0,H74="",K74&lt;0),"Las columnas G,H y K son obligatorias",
IF(G74&lt;&gt;O74,"El Valor de G y O tienen que ser iguales",IF(I74&gt;E74,"El I es Mayor que E",IF(AND(F74&lt;&gt;0,F74&gt;J74),"El valor de F es Mayor a J",IF(OR(F73&gt;0,J74&gt;0),"Las Depreciaciones deben ser negativas",""))))),IF(OR(G74&lt;&gt;0,H74&lt;&gt;"",K74&lt;&gt;0),"Los valores debe ir en cero","")))&amp;IF(AND(O74=0,OR(G74&lt;&gt;0,H74&lt;&gt;"",K74&lt;&gt;0))," Los valores debe ir en cero","")</f>
        <v/>
      </c>
      <c r="R74" s="402"/>
      <c r="S74" s="584" t="s">
        <v>1564</v>
      </c>
      <c r="T74" s="549" t="str">
        <f t="shared" si="24"/>
        <v>S1516_1+S159205_1</v>
      </c>
      <c r="U74" s="549" t="str">
        <f t="shared" si="25"/>
        <v>Construcciones y edificaciones</v>
      </c>
      <c r="V74" s="550" t="str">
        <f>IFERROR(-INDEX(BPC_NOTAS2[#All],MATCH($S74&amp;"_"&amp;V$65,BPC_NOTAS2[[#All],[FILA_COLUMNA]],0),2),"")</f>
        <v/>
      </c>
      <c r="W74" s="550" t="str">
        <f>IFERROR(-INDEX(BPC_NOTAS2[#All],MATCH($S74&amp;"_"&amp;W$65,BPC_NOTAS2[[#All],[FILA_COLUMNA]],0),2),"")</f>
        <v/>
      </c>
      <c r="X74" s="425">
        <f t="shared" si="26"/>
        <v>0</v>
      </c>
      <c r="Y74" s="553" t="str">
        <f>IFERROR(INDEX(BPC_COMENTARIOS2[#All],MATCH($S74&amp;"_"&amp;Y$65,BPC_COMENTARIOS2[[#All],[FILA_COLUMNA]],0),2),"")</f>
        <v/>
      </c>
      <c r="Z74" s="550" t="str">
        <f>IFERROR(-INDEX(BPC_NOTAS2[#All],MATCH($S74&amp;"_"&amp;Z$65,BPC_NOTAS2[[#All],[FILA_COLUMNA]],0),2),"")</f>
        <v/>
      </c>
      <c r="AA74" s="550" t="str">
        <f>IFERROR(-INDEX(BPC_NOTAS2[#All],MATCH($S74&amp;"_"&amp;AA$65,BPC_NOTAS2[[#All],[FILA_COLUMNA]],0),2),"")</f>
        <v/>
      </c>
      <c r="AB74" s="425">
        <f t="shared" si="27"/>
        <v>0</v>
      </c>
      <c r="AC74" s="425">
        <f t="shared" si="28"/>
        <v>0</v>
      </c>
      <c r="AD74" s="425">
        <f t="shared" si="29"/>
        <v>0</v>
      </c>
      <c r="AE74" s="360" t="e">
        <f ca="1">_xll.EPMCommentFullContext("",B74,$X$69,$A$4)</f>
        <v>#NAME?</v>
      </c>
      <c r="AF74" s="360"/>
      <c r="AG74" s="371"/>
      <c r="AH74" s="547" t="str">
        <f>INDEX(BPC_FILA_NOTA[#All],MATCH($B74,BPC_FILA_NOTA[[#All],[ID]],0),2)</f>
        <v>Construcciones y edificaciones[S1516_1+S159205_1]</v>
      </c>
      <c r="AI74" s="360" t="str">
        <f t="shared" si="30"/>
        <v>S1516_1+S159205_1]</v>
      </c>
      <c r="AJ74" s="360" t="str">
        <f t="shared" si="31"/>
        <v>S1516_1+S159205_1</v>
      </c>
      <c r="AK74" s="360" t="str">
        <f t="shared" si="32"/>
        <v>Construcciones y edificaciones</v>
      </c>
      <c r="AL74" s="360" t="e">
        <f ca="1">_xll.EPMSaveComment($N74, "ANEXO_NOTAS_XBRL",$B74,$N$69)</f>
        <v>#NAME?</v>
      </c>
      <c r="AM74" s="360" t="e">
        <f ca="1">_xll.EPMSaveComment($H74, "ANEXO_NOTAS_XBRL",$B74,"C11904002")</f>
        <v>#NAME?</v>
      </c>
      <c r="AN74" s="108"/>
    </row>
    <row r="75" spans="1:40" s="117" customFormat="1">
      <c r="A75" s="119">
        <f t="shared" si="16"/>
        <v>0</v>
      </c>
      <c r="B75" s="584" t="s">
        <v>1565</v>
      </c>
      <c r="C75" s="424" t="str">
        <f t="shared" si="17"/>
        <v>S1710_MPA</v>
      </c>
      <c r="D75" s="424" t="str">
        <f t="shared" si="18"/>
        <v>Mejoras en propiedades ajenas</v>
      </c>
      <c r="E75" s="526"/>
      <c r="F75" s="526"/>
      <c r="G75" s="426">
        <f t="shared" si="19"/>
        <v>0</v>
      </c>
      <c r="H75" s="528"/>
      <c r="I75" s="526"/>
      <c r="J75" s="526"/>
      <c r="K75" s="426">
        <f t="shared" si="20"/>
        <v>0</v>
      </c>
      <c r="L75" s="425">
        <f t="shared" si="21"/>
        <v>0</v>
      </c>
      <c r="M75" s="425">
        <f t="shared" si="22"/>
        <v>0</v>
      </c>
      <c r="N75" s="224"/>
      <c r="O75" s="262">
        <f>IFERROR(INDEX(BPC_NOTAS[#All],MATCH($C75,BPC_NOTAS[[#All],[FILA_COLUMNA]],0),2),0)</f>
        <v>0</v>
      </c>
      <c r="P75" s="19" t="str">
        <f t="shared" si="23"/>
        <v>Ok</v>
      </c>
      <c r="Q75" s="117" t="str">
        <f>IF(AND(O75&lt;&gt;0,N75=""),"Tiene Activos a valor razonable?",IF(N75="Si", IF(OR(G75=0,H75="",K75&lt;0),"Todas las columnas son obligatorias",IF(E75=0,"La columna E es obligatoria",IF(I75&gt;E75,"La columna I es mayor a la columna E",IF(AND(F75&lt;&gt;0,F75=J75),"La Columna F es Igual a la J",IF(E75&gt;O75,"La fila E no puede ser mayor que la O",IF(OR(F75&gt;0,J75&gt;0),"Las Depreciaciones deben ser negativas","")))))),IF(OR(G75&lt;&gt;0,H75&lt;&gt;"",K75&lt;&gt;0),"Los valores debe ir en cero",""))) &amp; IF(AND(O75=0, OR(G75&lt;&gt;0,H75&lt;&gt;"",K75&lt;&gt;0))," Los valores debe ir en cero","")</f>
        <v/>
      </c>
      <c r="R75" s="402"/>
      <c r="S75" s="584" t="s">
        <v>1565</v>
      </c>
      <c r="T75" s="549" t="str">
        <f t="shared" si="24"/>
        <v>S1710_MPA</v>
      </c>
      <c r="U75" s="549" t="str">
        <f t="shared" si="25"/>
        <v>Mejoras en propiedades ajenas</v>
      </c>
      <c r="V75" s="550" t="str">
        <f>IFERROR(-INDEX(BPC_NOTAS2[#All],MATCH($S75&amp;"_"&amp;V$65,BPC_NOTAS2[[#All],[FILA_COLUMNA]],0),2),"")</f>
        <v/>
      </c>
      <c r="W75" s="550" t="str">
        <f>IFERROR(-INDEX(BPC_NOTAS2[#All],MATCH($S75&amp;"_"&amp;W$65,BPC_NOTAS2[[#All],[FILA_COLUMNA]],0),2),"")</f>
        <v/>
      </c>
      <c r="X75" s="425">
        <f t="shared" si="26"/>
        <v>0</v>
      </c>
      <c r="Y75" s="553" t="str">
        <f>IFERROR(INDEX(BPC_COMENTARIOS2[#All],MATCH($S75&amp;"_"&amp;Y$65,BPC_COMENTARIOS2[[#All],[FILA_COLUMNA]],0),2),"")</f>
        <v/>
      </c>
      <c r="Z75" s="550" t="str">
        <f>IFERROR(-INDEX(BPC_NOTAS2[#All],MATCH($S75&amp;"_"&amp;Z$65,BPC_NOTAS2[[#All],[FILA_COLUMNA]],0),2),"")</f>
        <v/>
      </c>
      <c r="AA75" s="550" t="str">
        <f>IFERROR(-INDEX(BPC_NOTAS2[#All],MATCH($S75&amp;"_"&amp;AA$65,BPC_NOTAS2[[#All],[FILA_COLUMNA]],0),2),"")</f>
        <v/>
      </c>
      <c r="AB75" s="425">
        <f t="shared" si="27"/>
        <v>0</v>
      </c>
      <c r="AC75" s="425">
        <f t="shared" si="28"/>
        <v>0</v>
      </c>
      <c r="AD75" s="425">
        <f t="shared" si="29"/>
        <v>0</v>
      </c>
      <c r="AE75" s="360" t="e">
        <f ca="1">_xll.EPMCommentFullContext("",B75,$X$69,$A$4)</f>
        <v>#NAME?</v>
      </c>
      <c r="AF75" s="360"/>
      <c r="AG75" s="371"/>
      <c r="AH75" s="547" t="str">
        <f>INDEX(BPC_FILA_NOTA[#All],MATCH($B75,BPC_FILA_NOTA[[#All],[ID]],0),2)</f>
        <v>Mejoras en propiedades ajenas[S1710_MPA]</v>
      </c>
      <c r="AI75" s="360" t="str">
        <f t="shared" si="30"/>
        <v>S1710_MPA]</v>
      </c>
      <c r="AJ75" s="360" t="str">
        <f t="shared" si="31"/>
        <v>S1710_MPA</v>
      </c>
      <c r="AK75" s="360" t="str">
        <f t="shared" si="32"/>
        <v>Mejoras en propiedades ajenas</v>
      </c>
      <c r="AL75" s="360" t="e">
        <f ca="1">_xll.EPMSaveComment($N75, "ANEXO_NOTAS_XBRL",$B75,$N$69)</f>
        <v>#NAME?</v>
      </c>
      <c r="AM75" s="360" t="e">
        <f ca="1">_xll.EPMSaveComment($H75, "ANEXO_NOTAS_XBRL",$B75,"C11904002")</f>
        <v>#NAME?</v>
      </c>
      <c r="AN75" s="108"/>
    </row>
    <row r="76" spans="1:40" s="117" customFormat="1">
      <c r="A76" s="119">
        <f t="shared" si="16"/>
        <v>1</v>
      </c>
      <c r="B76" s="584" t="s">
        <v>1566</v>
      </c>
      <c r="C76" s="424" t="str">
        <f t="shared" si="17"/>
        <v>S1520_1</v>
      </c>
      <c r="D76" s="424" t="str">
        <f t="shared" si="18"/>
        <v>Maquinaria y equipo</v>
      </c>
      <c r="E76" s="526"/>
      <c r="F76" s="526"/>
      <c r="G76" s="426">
        <f t="shared" si="19"/>
        <v>0</v>
      </c>
      <c r="H76" s="528"/>
      <c r="I76" s="526"/>
      <c r="J76" s="526"/>
      <c r="K76" s="426">
        <f t="shared" si="20"/>
        <v>0</v>
      </c>
      <c r="L76" s="425">
        <f t="shared" si="21"/>
        <v>0</v>
      </c>
      <c r="M76" s="425">
        <f t="shared" si="22"/>
        <v>0</v>
      </c>
      <c r="N76" s="224"/>
      <c r="O76" s="262">
        <f>IFERROR(INDEX(BPC_NOTAS[#All],MATCH($C76,BPC_NOTAS[[#All],[FILA_COLUMNA]],0),2),0)</f>
        <v>126121162</v>
      </c>
      <c r="P76" s="19" t="str">
        <f t="shared" si="23"/>
        <v>Error</v>
      </c>
      <c r="Q76" s="117" t="str">
        <f t="shared" ref="Q76:Q85" si="33">IF(AND(O76&lt;&gt;0,N76=""),"Tiene Activos a valor razonable?",IF(N76="Si", IF(OR(G76=0,H76="",K76&lt;0),"Todas las columnas son obligatorias",IF(E76=0,"La columna E es obligatoria",IF(I76&gt;E76,"La columna I es mayor a la columna E",IF(AND(F76&lt;&gt;0,F76&gt;J76),"La Columna F es Igual a la J",IF(E76&gt;O76,"La fila E no puede ser mayor que la O",IF(OR(F76&gt;0,J76&gt;0),"Las Depreciaciones deben ser negativas","")))))),IF(OR(G76&lt;&gt;0,H76&lt;&gt;"",K76&lt;&gt;0),"Los valores debe ir en cero",""))) &amp; IF(AND(O76=0, OR(G76&lt;&gt;0,H76&lt;&gt;"",K76&lt;&gt;0))," Los valores debe ir en cero","")</f>
        <v>Tiene Activos a valor razonable?</v>
      </c>
      <c r="R76" s="402"/>
      <c r="S76" s="584" t="s">
        <v>1566</v>
      </c>
      <c r="T76" s="549" t="str">
        <f t="shared" si="24"/>
        <v>S1520_1</v>
      </c>
      <c r="U76" s="549" t="str">
        <f t="shared" si="25"/>
        <v>Maquinaria y equipo</v>
      </c>
      <c r="V76" s="550" t="str">
        <f>IFERROR(-INDEX(BPC_NOTAS2[#All],MATCH($S76&amp;"_"&amp;V$65,BPC_NOTAS2[[#All],[FILA_COLUMNA]],0),2),"")</f>
        <v/>
      </c>
      <c r="W76" s="550" t="str">
        <f>IFERROR(-INDEX(BPC_NOTAS2[#All],MATCH($S76&amp;"_"&amp;W$65,BPC_NOTAS2[[#All],[FILA_COLUMNA]],0),2),"")</f>
        <v/>
      </c>
      <c r="X76" s="425">
        <f t="shared" si="26"/>
        <v>0</v>
      </c>
      <c r="Y76" s="553" t="str">
        <f>IFERROR(INDEX(BPC_COMENTARIOS2[#All],MATCH($S76&amp;"_"&amp;Y$65,BPC_COMENTARIOS2[[#All],[FILA_COLUMNA]],0),2),"")</f>
        <v/>
      </c>
      <c r="Z76" s="550" t="str">
        <f>IFERROR(-INDEX(BPC_NOTAS2[#All],MATCH($S76&amp;"_"&amp;Z$65,BPC_NOTAS2[[#All],[FILA_COLUMNA]],0),2),"")</f>
        <v/>
      </c>
      <c r="AA76" s="550" t="str">
        <f>IFERROR(-INDEX(BPC_NOTAS2[#All],MATCH($S76&amp;"_"&amp;AA$65,BPC_NOTAS2[[#All],[FILA_COLUMNA]],0),2),"")</f>
        <v/>
      </c>
      <c r="AB76" s="425">
        <f t="shared" si="27"/>
        <v>0</v>
      </c>
      <c r="AC76" s="425">
        <f t="shared" si="28"/>
        <v>0</v>
      </c>
      <c r="AD76" s="425">
        <f t="shared" si="29"/>
        <v>0</v>
      </c>
      <c r="AE76" s="360" t="e">
        <f ca="1">_xll.EPMCommentFullContext("",B76,$X$69,$A$4)</f>
        <v>#NAME?</v>
      </c>
      <c r="AF76" s="360"/>
      <c r="AG76" s="371"/>
      <c r="AH76" s="547" t="str">
        <f>INDEX(BPC_FILA_NOTA[#All],MATCH($B76,BPC_FILA_NOTA[[#All],[ID]],0),2)</f>
        <v>Maquinaria y equipo[S1520_1]</v>
      </c>
      <c r="AI76" s="360" t="str">
        <f t="shared" si="30"/>
        <v>S1520_1]</v>
      </c>
      <c r="AJ76" s="360" t="str">
        <f t="shared" si="31"/>
        <v>S1520_1</v>
      </c>
      <c r="AK76" s="360" t="str">
        <f t="shared" si="32"/>
        <v>Maquinaria y equipo</v>
      </c>
      <c r="AL76" s="360" t="e">
        <f ca="1">_xll.EPMSaveComment($N76, "ANEXO_NOTAS_XBRL",$B76,$N$69)</f>
        <v>#NAME?</v>
      </c>
      <c r="AM76" s="360" t="e">
        <f ca="1">_xll.EPMSaveComment($H76, "ANEXO_NOTAS_XBRL",$B76,"C11904002")</f>
        <v>#NAME?</v>
      </c>
      <c r="AN76" s="108"/>
    </row>
    <row r="77" spans="1:40" s="117" customFormat="1">
      <c r="A77" s="119">
        <f t="shared" si="16"/>
        <v>1</v>
      </c>
      <c r="B77" s="584" t="s">
        <v>1567</v>
      </c>
      <c r="C77" s="424" t="str">
        <f t="shared" si="17"/>
        <v>S1524_1</v>
      </c>
      <c r="D77" s="424" t="str">
        <f t="shared" si="18"/>
        <v>Equipo de oficina</v>
      </c>
      <c r="E77" s="526"/>
      <c r="F77" s="526"/>
      <c r="G77" s="426">
        <f t="shared" si="19"/>
        <v>0</v>
      </c>
      <c r="H77" s="528"/>
      <c r="I77" s="526"/>
      <c r="J77" s="526"/>
      <c r="K77" s="426">
        <f t="shared" si="20"/>
        <v>0</v>
      </c>
      <c r="L77" s="425">
        <f t="shared" si="21"/>
        <v>0</v>
      </c>
      <c r="M77" s="425">
        <f t="shared" si="22"/>
        <v>0</v>
      </c>
      <c r="N77" s="224"/>
      <c r="O77" s="262">
        <f>IFERROR(INDEX(BPC_NOTAS[#All],MATCH($C77,BPC_NOTAS[[#All],[FILA_COLUMNA]],0),2),0)</f>
        <v>19260019</v>
      </c>
      <c r="P77" s="19" t="str">
        <f t="shared" si="23"/>
        <v>Error</v>
      </c>
      <c r="Q77" s="117" t="str">
        <f t="shared" si="33"/>
        <v>Tiene Activos a valor razonable?</v>
      </c>
      <c r="R77" s="402"/>
      <c r="S77" s="584" t="s">
        <v>1567</v>
      </c>
      <c r="T77" s="549" t="str">
        <f t="shared" si="24"/>
        <v>S1524_1</v>
      </c>
      <c r="U77" s="549" t="str">
        <f t="shared" si="25"/>
        <v>Equipo de oficina</v>
      </c>
      <c r="V77" s="550" t="str">
        <f>IFERROR(-INDEX(BPC_NOTAS2[#All],MATCH($S77&amp;"_"&amp;V$65,BPC_NOTAS2[[#All],[FILA_COLUMNA]],0),2),"")</f>
        <v/>
      </c>
      <c r="W77" s="550" t="str">
        <f>IFERROR(-INDEX(BPC_NOTAS2[#All],MATCH($S77&amp;"_"&amp;W$65,BPC_NOTAS2[[#All],[FILA_COLUMNA]],0),2),"")</f>
        <v/>
      </c>
      <c r="X77" s="425">
        <f t="shared" si="26"/>
        <v>0</v>
      </c>
      <c r="Y77" s="553" t="str">
        <f>IFERROR(INDEX(BPC_COMENTARIOS2[#All],MATCH($S77&amp;"_"&amp;Y$65,BPC_COMENTARIOS2[[#All],[FILA_COLUMNA]],0),2),"")</f>
        <v/>
      </c>
      <c r="Z77" s="550" t="str">
        <f>IFERROR(-INDEX(BPC_NOTAS2[#All],MATCH($S77&amp;"_"&amp;Z$65,BPC_NOTAS2[[#All],[FILA_COLUMNA]],0),2),"")</f>
        <v/>
      </c>
      <c r="AA77" s="550" t="str">
        <f>IFERROR(-INDEX(BPC_NOTAS2[#All],MATCH($S77&amp;"_"&amp;AA$65,BPC_NOTAS2[[#All],[FILA_COLUMNA]],0),2),"")</f>
        <v/>
      </c>
      <c r="AB77" s="425">
        <f t="shared" si="27"/>
        <v>0</v>
      </c>
      <c r="AC77" s="425">
        <f t="shared" si="28"/>
        <v>0</v>
      </c>
      <c r="AD77" s="425">
        <f t="shared" si="29"/>
        <v>0</v>
      </c>
      <c r="AE77" s="360" t="e">
        <f ca="1">_xll.EPMCommentFullContext("",B77,$X$69,$A$4)</f>
        <v>#NAME?</v>
      </c>
      <c r="AF77" s="360"/>
      <c r="AG77" s="371"/>
      <c r="AH77" s="547" t="str">
        <f>INDEX(BPC_FILA_NOTA[#All],MATCH($B77,BPC_FILA_NOTA[[#All],[ID]],0),2)</f>
        <v>Equipo de oficina[S1524_1]</v>
      </c>
      <c r="AI77" s="360" t="str">
        <f t="shared" si="30"/>
        <v>S1524_1]</v>
      </c>
      <c r="AJ77" s="360" t="str">
        <f t="shared" si="31"/>
        <v>S1524_1</v>
      </c>
      <c r="AK77" s="360" t="str">
        <f t="shared" si="32"/>
        <v>Equipo de oficina</v>
      </c>
      <c r="AL77" s="360" t="e">
        <f ca="1">_xll.EPMSaveComment($N77, "ANEXO_NOTAS_XBRL",$B77,$N$69)</f>
        <v>#NAME?</v>
      </c>
      <c r="AM77" s="360" t="e">
        <f ca="1">_xll.EPMSaveComment($H77, "ANEXO_NOTAS_XBRL",$B77,"C11904002")</f>
        <v>#NAME?</v>
      </c>
      <c r="AN77" s="108"/>
    </row>
    <row r="78" spans="1:40" s="117" customFormat="1">
      <c r="A78" s="119">
        <f t="shared" si="16"/>
        <v>1</v>
      </c>
      <c r="B78" s="584" t="s">
        <v>1568</v>
      </c>
      <c r="C78" s="424" t="str">
        <f t="shared" si="17"/>
        <v>S1528_1</v>
      </c>
      <c r="D78" s="424" t="str">
        <f t="shared" si="18"/>
        <v>Equipo de computación y comunicación</v>
      </c>
      <c r="E78" s="526"/>
      <c r="F78" s="526"/>
      <c r="G78" s="426">
        <f t="shared" si="19"/>
        <v>0</v>
      </c>
      <c r="H78" s="528"/>
      <c r="I78" s="526"/>
      <c r="J78" s="526"/>
      <c r="K78" s="426">
        <f t="shared" si="20"/>
        <v>0</v>
      </c>
      <c r="L78" s="425">
        <f t="shared" si="21"/>
        <v>0</v>
      </c>
      <c r="M78" s="425">
        <f t="shared" si="22"/>
        <v>0</v>
      </c>
      <c r="N78" s="224"/>
      <c r="O78" s="262">
        <f>IFERROR(INDEX(BPC_NOTAS[#All],MATCH($C78,BPC_NOTAS[[#All],[FILA_COLUMNA]],0),2),0)</f>
        <v>1289602404</v>
      </c>
      <c r="P78" s="19" t="str">
        <f t="shared" si="23"/>
        <v>Error</v>
      </c>
      <c r="Q78" s="117" t="str">
        <f t="shared" si="33"/>
        <v>Tiene Activos a valor razonable?</v>
      </c>
      <c r="R78" s="402"/>
      <c r="S78" s="584" t="s">
        <v>1568</v>
      </c>
      <c r="T78" s="549" t="str">
        <f t="shared" si="24"/>
        <v>S1528_1</v>
      </c>
      <c r="U78" s="549" t="str">
        <f t="shared" si="25"/>
        <v>Equipo de computación y comunicación</v>
      </c>
      <c r="V78" s="550" t="str">
        <f>IFERROR(-INDEX(BPC_NOTAS2[#All],MATCH($S78&amp;"_"&amp;V$65,BPC_NOTAS2[[#All],[FILA_COLUMNA]],0),2),"")</f>
        <v/>
      </c>
      <c r="W78" s="550" t="str">
        <f>IFERROR(-INDEX(BPC_NOTAS2[#All],MATCH($S78&amp;"_"&amp;W$65,BPC_NOTAS2[[#All],[FILA_COLUMNA]],0),2),"")</f>
        <v/>
      </c>
      <c r="X78" s="425">
        <f t="shared" si="26"/>
        <v>0</v>
      </c>
      <c r="Y78" s="553" t="str">
        <f>IFERROR(INDEX(BPC_COMENTARIOS2[#All],MATCH($S78&amp;"_"&amp;Y$65,BPC_COMENTARIOS2[[#All],[FILA_COLUMNA]],0),2),"")</f>
        <v/>
      </c>
      <c r="Z78" s="550" t="str">
        <f>IFERROR(-INDEX(BPC_NOTAS2[#All],MATCH($S78&amp;"_"&amp;Z$65,BPC_NOTAS2[[#All],[FILA_COLUMNA]],0),2),"")</f>
        <v/>
      </c>
      <c r="AA78" s="550" t="str">
        <f>IFERROR(-INDEX(BPC_NOTAS2[#All],MATCH($S78&amp;"_"&amp;AA$65,BPC_NOTAS2[[#All],[FILA_COLUMNA]],0),2),"")</f>
        <v/>
      </c>
      <c r="AB78" s="425">
        <f t="shared" si="27"/>
        <v>0</v>
      </c>
      <c r="AC78" s="425">
        <f t="shared" si="28"/>
        <v>0</v>
      </c>
      <c r="AD78" s="425">
        <f t="shared" si="29"/>
        <v>0</v>
      </c>
      <c r="AE78" s="360" t="e">
        <f ca="1">_xll.EPMCommentFullContext("",B78,$X$69,$A$4)</f>
        <v>#NAME?</v>
      </c>
      <c r="AF78" s="360"/>
      <c r="AG78" s="371"/>
      <c r="AH78" s="547" t="str">
        <f>INDEX(BPC_FILA_NOTA[#All],MATCH($B78,BPC_FILA_NOTA[[#All],[ID]],0),2)</f>
        <v>Equipo de computación y comunicación[S1528_1]</v>
      </c>
      <c r="AI78" s="360" t="str">
        <f t="shared" si="30"/>
        <v>S1528_1]</v>
      </c>
      <c r="AJ78" s="360" t="str">
        <f t="shared" si="31"/>
        <v>S1528_1</v>
      </c>
      <c r="AK78" s="360" t="str">
        <f t="shared" si="32"/>
        <v>Equipo de computación y comunicación</v>
      </c>
      <c r="AL78" s="360" t="e">
        <f ca="1">_xll.EPMSaveComment($N78, "ANEXO_NOTAS_XBRL",$B78,$N$69)</f>
        <v>#NAME?</v>
      </c>
      <c r="AM78" s="360" t="e">
        <f ca="1">_xll.EPMSaveComment($H78, "ANEXO_NOTAS_XBRL",$B78,"C11904002")</f>
        <v>#NAME?</v>
      </c>
      <c r="AN78" s="108"/>
    </row>
    <row r="79" spans="1:40" s="117" customFormat="1">
      <c r="A79" s="119">
        <f t="shared" si="16"/>
        <v>0</v>
      </c>
      <c r="B79" s="584" t="s">
        <v>1569</v>
      </c>
      <c r="C79" s="424" t="str">
        <f t="shared" si="17"/>
        <v>S1536_1</v>
      </c>
      <c r="D79" s="424" t="str">
        <f t="shared" si="18"/>
        <v>Equipos de hoteles y restaurantes</v>
      </c>
      <c r="E79" s="526"/>
      <c r="F79" s="526"/>
      <c r="G79" s="426">
        <f t="shared" si="19"/>
        <v>0</v>
      </c>
      <c r="H79" s="528"/>
      <c r="I79" s="526"/>
      <c r="J79" s="526"/>
      <c r="K79" s="426">
        <f t="shared" si="20"/>
        <v>0</v>
      </c>
      <c r="L79" s="425">
        <f t="shared" si="21"/>
        <v>0</v>
      </c>
      <c r="M79" s="425">
        <f t="shared" si="22"/>
        <v>0</v>
      </c>
      <c r="N79" s="224"/>
      <c r="O79" s="262">
        <f>IFERROR(INDEX(BPC_NOTAS[#All],MATCH($C79,BPC_NOTAS[[#All],[FILA_COLUMNA]],0),2),0)</f>
        <v>0</v>
      </c>
      <c r="P79" s="19" t="str">
        <f t="shared" si="23"/>
        <v>Ok</v>
      </c>
      <c r="Q79" s="117" t="str">
        <f t="shared" si="33"/>
        <v/>
      </c>
      <c r="R79" s="402"/>
      <c r="S79" s="584" t="s">
        <v>1569</v>
      </c>
      <c r="T79" s="549" t="str">
        <f t="shared" si="24"/>
        <v>S1536_1</v>
      </c>
      <c r="U79" s="549" t="str">
        <f t="shared" si="25"/>
        <v>Equipos de hoteles y restaurantes</v>
      </c>
      <c r="V79" s="550" t="str">
        <f>IFERROR(-INDEX(BPC_NOTAS2[#All],MATCH($S79&amp;"_"&amp;V$65,BPC_NOTAS2[[#All],[FILA_COLUMNA]],0),2),"")</f>
        <v/>
      </c>
      <c r="W79" s="550" t="str">
        <f>IFERROR(-INDEX(BPC_NOTAS2[#All],MATCH($S79&amp;"_"&amp;W$65,BPC_NOTAS2[[#All],[FILA_COLUMNA]],0),2),"")</f>
        <v/>
      </c>
      <c r="X79" s="425">
        <f t="shared" si="26"/>
        <v>0</v>
      </c>
      <c r="Y79" s="553" t="str">
        <f>IFERROR(INDEX(BPC_COMENTARIOS2[#All],MATCH($S79&amp;"_"&amp;Y$65,BPC_COMENTARIOS2[[#All],[FILA_COLUMNA]],0),2),"")</f>
        <v/>
      </c>
      <c r="Z79" s="550" t="str">
        <f>IFERROR(-INDEX(BPC_NOTAS2[#All],MATCH($S79&amp;"_"&amp;Z$65,BPC_NOTAS2[[#All],[FILA_COLUMNA]],0),2),"")</f>
        <v/>
      </c>
      <c r="AA79" s="550" t="str">
        <f>IFERROR(-INDEX(BPC_NOTAS2[#All],MATCH($S79&amp;"_"&amp;AA$65,BPC_NOTAS2[[#All],[FILA_COLUMNA]],0),2),"")</f>
        <v/>
      </c>
      <c r="AB79" s="425">
        <f t="shared" si="27"/>
        <v>0</v>
      </c>
      <c r="AC79" s="425">
        <f t="shared" si="28"/>
        <v>0</v>
      </c>
      <c r="AD79" s="425">
        <f t="shared" si="29"/>
        <v>0</v>
      </c>
      <c r="AE79" s="360" t="e">
        <f ca="1">_xll.EPMCommentFullContext("",B79,$X$69,$A$4)</f>
        <v>#NAME?</v>
      </c>
      <c r="AF79" s="360"/>
      <c r="AG79" s="371"/>
      <c r="AH79" s="547" t="str">
        <f>INDEX(BPC_FILA_NOTA[#All],MATCH($B79,BPC_FILA_NOTA[[#All],[ID]],0),2)</f>
        <v>Equipos de hoteles y restaurantes[S1536_1]</v>
      </c>
      <c r="AI79" s="360" t="str">
        <f t="shared" si="30"/>
        <v>S1536_1]</v>
      </c>
      <c r="AJ79" s="360" t="str">
        <f t="shared" si="31"/>
        <v>S1536_1</v>
      </c>
      <c r="AK79" s="360" t="str">
        <f t="shared" si="32"/>
        <v>Equipos de hoteles y restaurantes</v>
      </c>
      <c r="AL79" s="360" t="e">
        <f ca="1">_xll.EPMSaveComment($N79, "ANEXO_NOTAS_XBRL",$B79,$N$69)</f>
        <v>#NAME?</v>
      </c>
      <c r="AM79" s="360" t="e">
        <f ca="1">_xll.EPMSaveComment($H79, "ANEXO_NOTAS_XBRL",$B79,"C11904002")</f>
        <v>#NAME?</v>
      </c>
      <c r="AN79" s="108"/>
    </row>
    <row r="80" spans="1:40" s="117" customFormat="1">
      <c r="A80" s="119">
        <f t="shared" si="16"/>
        <v>1</v>
      </c>
      <c r="B80" s="584" t="s">
        <v>1570</v>
      </c>
      <c r="C80" s="424" t="str">
        <f t="shared" si="17"/>
        <v>S1540_1</v>
      </c>
      <c r="D80" s="424" t="str">
        <f t="shared" si="18"/>
        <v>Flota y equipo de transporte</v>
      </c>
      <c r="E80" s="526"/>
      <c r="F80" s="526"/>
      <c r="G80" s="426">
        <f t="shared" si="19"/>
        <v>0</v>
      </c>
      <c r="H80" s="528"/>
      <c r="I80" s="526"/>
      <c r="J80" s="526"/>
      <c r="K80" s="426">
        <f t="shared" si="20"/>
        <v>0</v>
      </c>
      <c r="L80" s="425">
        <f t="shared" si="21"/>
        <v>0</v>
      </c>
      <c r="M80" s="425">
        <f t="shared" si="22"/>
        <v>0</v>
      </c>
      <c r="N80" s="224"/>
      <c r="O80" s="262">
        <f>IFERROR(INDEX(BPC_NOTAS[#All],MATCH($C80,BPC_NOTAS[[#All],[FILA_COLUMNA]],0),2),0)</f>
        <v>104341150</v>
      </c>
      <c r="P80" s="19" t="str">
        <f t="shared" si="23"/>
        <v>Error</v>
      </c>
      <c r="Q80" s="117" t="str">
        <f t="shared" si="33"/>
        <v>Tiene Activos a valor razonable?</v>
      </c>
      <c r="R80" s="402"/>
      <c r="S80" s="584" t="s">
        <v>1570</v>
      </c>
      <c r="T80" s="549" t="str">
        <f t="shared" si="24"/>
        <v>S1540_1</v>
      </c>
      <c r="U80" s="549" t="str">
        <f t="shared" si="25"/>
        <v>Flota y equipo de transporte</v>
      </c>
      <c r="V80" s="550" t="str">
        <f>IFERROR(-INDEX(BPC_NOTAS2[#All],MATCH($S80&amp;"_"&amp;V$65,BPC_NOTAS2[[#All],[FILA_COLUMNA]],0),2),"")</f>
        <v/>
      </c>
      <c r="W80" s="550" t="str">
        <f>IFERROR(-INDEX(BPC_NOTAS2[#All],MATCH($S80&amp;"_"&amp;W$65,BPC_NOTAS2[[#All],[FILA_COLUMNA]],0),2),"")</f>
        <v/>
      </c>
      <c r="X80" s="425">
        <f t="shared" si="26"/>
        <v>0</v>
      </c>
      <c r="Y80" s="553" t="str">
        <f>IFERROR(INDEX(BPC_COMENTARIOS2[#All],MATCH($S80&amp;"_"&amp;Y$65,BPC_COMENTARIOS2[[#All],[FILA_COLUMNA]],0),2),"")</f>
        <v/>
      </c>
      <c r="Z80" s="550" t="str">
        <f>IFERROR(-INDEX(BPC_NOTAS2[#All],MATCH($S80&amp;"_"&amp;Z$65,BPC_NOTAS2[[#All],[FILA_COLUMNA]],0),2),"")</f>
        <v/>
      </c>
      <c r="AA80" s="550" t="str">
        <f>IFERROR(-INDEX(BPC_NOTAS2[#All],MATCH($S80&amp;"_"&amp;AA$65,BPC_NOTAS2[[#All],[FILA_COLUMNA]],0),2),"")</f>
        <v/>
      </c>
      <c r="AB80" s="425">
        <f t="shared" si="27"/>
        <v>0</v>
      </c>
      <c r="AC80" s="425">
        <f t="shared" si="28"/>
        <v>0</v>
      </c>
      <c r="AD80" s="425">
        <f t="shared" si="29"/>
        <v>0</v>
      </c>
      <c r="AE80" s="360" t="e">
        <f ca="1">_xll.EPMCommentFullContext("",B80,$X$69,$A$4)</f>
        <v>#NAME?</v>
      </c>
      <c r="AF80" s="360"/>
      <c r="AG80" s="371"/>
      <c r="AH80" s="547" t="str">
        <f>INDEX(BPC_FILA_NOTA[#All],MATCH($B80,BPC_FILA_NOTA[[#All],[ID]],0),2)</f>
        <v>Flota y equipo de transporte[S1540_1]</v>
      </c>
      <c r="AI80" s="360" t="str">
        <f t="shared" si="30"/>
        <v>S1540_1]</v>
      </c>
      <c r="AJ80" s="360" t="str">
        <f t="shared" si="31"/>
        <v>S1540_1</v>
      </c>
      <c r="AK80" s="360" t="str">
        <f t="shared" si="32"/>
        <v>Flota y equipo de transporte</v>
      </c>
      <c r="AL80" s="360" t="e">
        <f ca="1">_xll.EPMSaveComment($N80, "ANEXO_NOTAS_XBRL",$B80,$N$69)</f>
        <v>#NAME?</v>
      </c>
      <c r="AM80" s="360" t="e">
        <f ca="1">_xll.EPMSaveComment($H80, "ANEXO_NOTAS_XBRL",$B80,"C11904002")</f>
        <v>#NAME?</v>
      </c>
      <c r="AN80" s="108"/>
    </row>
    <row r="81" spans="1:40" s="117" customFormat="1">
      <c r="A81" s="119">
        <f t="shared" si="16"/>
        <v>0</v>
      </c>
      <c r="B81" s="584" t="s">
        <v>1571</v>
      </c>
      <c r="C81" s="424" t="str">
        <f t="shared" si="17"/>
        <v>S1544_1</v>
      </c>
      <c r="D81" s="424" t="str">
        <f t="shared" si="18"/>
        <v>Flota y equipo fluvial y/o marítimo</v>
      </c>
      <c r="E81" s="526"/>
      <c r="F81" s="526"/>
      <c r="G81" s="426">
        <f t="shared" si="19"/>
        <v>0</v>
      </c>
      <c r="H81" s="528"/>
      <c r="I81" s="526"/>
      <c r="J81" s="526"/>
      <c r="K81" s="426">
        <f t="shared" si="20"/>
        <v>0</v>
      </c>
      <c r="L81" s="425">
        <f t="shared" si="21"/>
        <v>0</v>
      </c>
      <c r="M81" s="425">
        <f t="shared" si="22"/>
        <v>0</v>
      </c>
      <c r="N81" s="224"/>
      <c r="O81" s="262">
        <f>IFERROR(INDEX(BPC_NOTAS[#All],MATCH($C81,BPC_NOTAS[[#All],[FILA_COLUMNA]],0),2),0)</f>
        <v>0</v>
      </c>
      <c r="P81" s="19" t="str">
        <f t="shared" si="23"/>
        <v>Ok</v>
      </c>
      <c r="Q81" s="117" t="str">
        <f t="shared" si="33"/>
        <v/>
      </c>
      <c r="R81" s="402"/>
      <c r="S81" s="584" t="s">
        <v>1571</v>
      </c>
      <c r="T81" s="549" t="str">
        <f t="shared" si="24"/>
        <v>S1544_1</v>
      </c>
      <c r="U81" s="549" t="str">
        <f t="shared" si="25"/>
        <v>Flota y equipo fluvial y/o marítimo</v>
      </c>
      <c r="V81" s="550" t="str">
        <f>IFERROR(-INDEX(BPC_NOTAS2[#All],MATCH($S81&amp;"_"&amp;V$65,BPC_NOTAS2[[#All],[FILA_COLUMNA]],0),2),"")</f>
        <v/>
      </c>
      <c r="W81" s="550" t="str">
        <f>IFERROR(-INDEX(BPC_NOTAS2[#All],MATCH($S81&amp;"_"&amp;W$65,BPC_NOTAS2[[#All],[FILA_COLUMNA]],0),2),"")</f>
        <v/>
      </c>
      <c r="X81" s="425">
        <f t="shared" si="26"/>
        <v>0</v>
      </c>
      <c r="Y81" s="553" t="str">
        <f>IFERROR(INDEX(BPC_COMENTARIOS2[#All],MATCH($S81&amp;"_"&amp;Y$65,BPC_COMENTARIOS2[[#All],[FILA_COLUMNA]],0),2),"")</f>
        <v/>
      </c>
      <c r="Z81" s="550" t="str">
        <f>IFERROR(-INDEX(BPC_NOTAS2[#All],MATCH($S81&amp;"_"&amp;Z$65,BPC_NOTAS2[[#All],[FILA_COLUMNA]],0),2),"")</f>
        <v/>
      </c>
      <c r="AA81" s="550" t="str">
        <f>IFERROR(-INDEX(BPC_NOTAS2[#All],MATCH($S81&amp;"_"&amp;AA$65,BPC_NOTAS2[[#All],[FILA_COLUMNA]],0),2),"")</f>
        <v/>
      </c>
      <c r="AB81" s="425">
        <f t="shared" si="27"/>
        <v>0</v>
      </c>
      <c r="AC81" s="425">
        <f t="shared" si="28"/>
        <v>0</v>
      </c>
      <c r="AD81" s="425">
        <f t="shared" si="29"/>
        <v>0</v>
      </c>
      <c r="AE81" s="360" t="e">
        <f ca="1">_xll.EPMCommentFullContext("",B81,$X$69,$A$4)</f>
        <v>#NAME?</v>
      </c>
      <c r="AF81" s="360"/>
      <c r="AG81" s="371"/>
      <c r="AH81" s="547" t="str">
        <f>INDEX(BPC_FILA_NOTA[#All],MATCH($B81,BPC_FILA_NOTA[[#All],[ID]],0),2)</f>
        <v>Flota y equipo fluvial y/o marítimo[S1544_1]</v>
      </c>
      <c r="AI81" s="360" t="str">
        <f t="shared" si="30"/>
        <v>S1544_1]</v>
      </c>
      <c r="AJ81" s="360" t="str">
        <f t="shared" si="31"/>
        <v>S1544_1</v>
      </c>
      <c r="AK81" s="360" t="str">
        <f t="shared" si="32"/>
        <v>Flota y equipo fluvial y/o marítimo</v>
      </c>
      <c r="AL81" s="360" t="e">
        <f ca="1">_xll.EPMSaveComment($N81, "ANEXO_NOTAS_XBRL",$B81,$N$69)</f>
        <v>#NAME?</v>
      </c>
      <c r="AM81" s="360" t="e">
        <f ca="1">_xll.EPMSaveComment($H81, "ANEXO_NOTAS_XBRL",$B81,"C11904002")</f>
        <v>#NAME?</v>
      </c>
      <c r="AN81" s="108"/>
    </row>
    <row r="82" spans="1:40" s="117" customFormat="1">
      <c r="A82" s="119">
        <f t="shared" si="16"/>
        <v>0</v>
      </c>
      <c r="B82" s="584" t="s">
        <v>1572</v>
      </c>
      <c r="C82" s="424" t="str">
        <f t="shared" si="17"/>
        <v>S1556_1</v>
      </c>
      <c r="D82" s="424" t="str">
        <f t="shared" si="18"/>
        <v>Acueductos, plantas y redes</v>
      </c>
      <c r="E82" s="526"/>
      <c r="F82" s="526"/>
      <c r="G82" s="426">
        <f t="shared" si="19"/>
        <v>0</v>
      </c>
      <c r="H82" s="528"/>
      <c r="I82" s="526"/>
      <c r="J82" s="526"/>
      <c r="K82" s="426">
        <f t="shared" si="20"/>
        <v>0</v>
      </c>
      <c r="L82" s="425">
        <f t="shared" si="21"/>
        <v>0</v>
      </c>
      <c r="M82" s="425">
        <f t="shared" si="22"/>
        <v>0</v>
      </c>
      <c r="N82" s="224"/>
      <c r="O82" s="262">
        <f>IFERROR(INDEX(BPC_NOTAS[#All],MATCH($C82,BPC_NOTAS[[#All],[FILA_COLUMNA]],0),2),0)</f>
        <v>0</v>
      </c>
      <c r="P82" s="19" t="str">
        <f t="shared" si="23"/>
        <v>Ok</v>
      </c>
      <c r="Q82" s="117" t="str">
        <f t="shared" si="33"/>
        <v/>
      </c>
      <c r="R82" s="402"/>
      <c r="S82" s="584" t="s">
        <v>1572</v>
      </c>
      <c r="T82" s="549" t="str">
        <f t="shared" si="24"/>
        <v>S1556_1</v>
      </c>
      <c r="U82" s="549" t="str">
        <f t="shared" si="25"/>
        <v>Acueductos, plantas y redes</v>
      </c>
      <c r="V82" s="550" t="str">
        <f>IFERROR(-INDEX(BPC_NOTAS2[#All],MATCH($S82&amp;"_"&amp;V$65,BPC_NOTAS2[[#All],[FILA_COLUMNA]],0),2),"")</f>
        <v/>
      </c>
      <c r="W82" s="550" t="str">
        <f>IFERROR(-INDEX(BPC_NOTAS2[#All],MATCH($S82&amp;"_"&amp;W$65,BPC_NOTAS2[[#All],[FILA_COLUMNA]],0),2),"")</f>
        <v/>
      </c>
      <c r="X82" s="425">
        <f t="shared" si="26"/>
        <v>0</v>
      </c>
      <c r="Y82" s="553" t="str">
        <f>IFERROR(INDEX(BPC_COMENTARIOS2[#All],MATCH($S82&amp;"_"&amp;Y$65,BPC_COMENTARIOS2[[#All],[FILA_COLUMNA]],0),2),"")</f>
        <v/>
      </c>
      <c r="Z82" s="550" t="str">
        <f>IFERROR(-INDEX(BPC_NOTAS2[#All],MATCH($S82&amp;"_"&amp;Z$65,BPC_NOTAS2[[#All],[FILA_COLUMNA]],0),2),"")</f>
        <v/>
      </c>
      <c r="AA82" s="550" t="str">
        <f>IFERROR(-INDEX(BPC_NOTAS2[#All],MATCH($S82&amp;"_"&amp;AA$65,BPC_NOTAS2[[#All],[FILA_COLUMNA]],0),2),"")</f>
        <v/>
      </c>
      <c r="AB82" s="425">
        <f t="shared" si="27"/>
        <v>0</v>
      </c>
      <c r="AC82" s="425">
        <f t="shared" si="28"/>
        <v>0</v>
      </c>
      <c r="AD82" s="425">
        <f t="shared" si="29"/>
        <v>0</v>
      </c>
      <c r="AE82" s="360" t="e">
        <f ca="1">_xll.EPMCommentFullContext("",B82,$X$69,$A$4)</f>
        <v>#NAME?</v>
      </c>
      <c r="AF82" s="360"/>
      <c r="AG82" s="371"/>
      <c r="AH82" s="547" t="str">
        <f>INDEX(BPC_FILA_NOTA[#All],MATCH($B82,BPC_FILA_NOTA[[#All],[ID]],0),2)</f>
        <v>Acueductos, plantas y redes[S1556_1]</v>
      </c>
      <c r="AI82" s="360" t="str">
        <f t="shared" si="30"/>
        <v>S1556_1]</v>
      </c>
      <c r="AJ82" s="360" t="str">
        <f t="shared" si="31"/>
        <v>S1556_1</v>
      </c>
      <c r="AK82" s="360" t="str">
        <f t="shared" si="32"/>
        <v>Acueductos, plantas y redes</v>
      </c>
      <c r="AL82" s="360" t="e">
        <f ca="1">_xll.EPMSaveComment($N82, "ANEXO_NOTAS_XBRL",$B82,$N$69)</f>
        <v>#NAME?</v>
      </c>
      <c r="AM82" s="360" t="e">
        <f ca="1">_xll.EPMSaveComment($H82, "ANEXO_NOTAS_XBRL",$B82,"C11904002")</f>
        <v>#NAME?</v>
      </c>
      <c r="AN82" s="108"/>
    </row>
    <row r="83" spans="1:40" s="117" customFormat="1">
      <c r="A83" s="119">
        <f t="shared" si="16"/>
        <v>0</v>
      </c>
      <c r="B83" s="584" t="s">
        <v>1573</v>
      </c>
      <c r="C83" s="424" t="str">
        <f t="shared" si="17"/>
        <v>S1560_1</v>
      </c>
      <c r="D83" s="424" t="str">
        <f t="shared" si="18"/>
        <v>Armamento de vigilancia</v>
      </c>
      <c r="E83" s="526"/>
      <c r="F83" s="526"/>
      <c r="G83" s="426">
        <f t="shared" si="19"/>
        <v>0</v>
      </c>
      <c r="H83" s="528"/>
      <c r="I83" s="526"/>
      <c r="J83" s="526"/>
      <c r="K83" s="426">
        <f t="shared" si="20"/>
        <v>0</v>
      </c>
      <c r="L83" s="425">
        <f t="shared" si="21"/>
        <v>0</v>
      </c>
      <c r="M83" s="425">
        <f t="shared" si="22"/>
        <v>0</v>
      </c>
      <c r="N83" s="224"/>
      <c r="O83" s="262">
        <f>IFERROR(INDEX(BPC_NOTAS[#All],MATCH($C83,BPC_NOTAS[[#All],[FILA_COLUMNA]],0),2),0)</f>
        <v>0</v>
      </c>
      <c r="P83" s="19" t="str">
        <f t="shared" si="23"/>
        <v>Ok</v>
      </c>
      <c r="Q83" s="117" t="str">
        <f t="shared" si="33"/>
        <v/>
      </c>
      <c r="R83" s="402"/>
      <c r="S83" s="584" t="s">
        <v>1573</v>
      </c>
      <c r="T83" s="549" t="str">
        <f t="shared" si="24"/>
        <v>S1560_1</v>
      </c>
      <c r="U83" s="549" t="str">
        <f t="shared" si="25"/>
        <v>Armamento de vigilancia</v>
      </c>
      <c r="V83" s="550" t="str">
        <f>IFERROR(-INDEX(BPC_NOTAS2[#All],MATCH($S83&amp;"_"&amp;V$65,BPC_NOTAS2[[#All],[FILA_COLUMNA]],0),2),"")</f>
        <v/>
      </c>
      <c r="W83" s="550" t="str">
        <f>IFERROR(-INDEX(BPC_NOTAS2[#All],MATCH($S83&amp;"_"&amp;W$65,BPC_NOTAS2[[#All],[FILA_COLUMNA]],0),2),"")</f>
        <v/>
      </c>
      <c r="X83" s="425">
        <f t="shared" si="26"/>
        <v>0</v>
      </c>
      <c r="Y83" s="553" t="str">
        <f>IFERROR(INDEX(BPC_COMENTARIOS2[#All],MATCH($S83&amp;"_"&amp;Y$65,BPC_COMENTARIOS2[[#All],[FILA_COLUMNA]],0),2),"")</f>
        <v/>
      </c>
      <c r="Z83" s="550" t="str">
        <f>IFERROR(-INDEX(BPC_NOTAS2[#All],MATCH($S83&amp;"_"&amp;Z$65,BPC_NOTAS2[[#All],[FILA_COLUMNA]],0),2),"")</f>
        <v/>
      </c>
      <c r="AA83" s="550" t="str">
        <f>IFERROR(-INDEX(BPC_NOTAS2[#All],MATCH($S83&amp;"_"&amp;AA$65,BPC_NOTAS2[[#All],[FILA_COLUMNA]],0),2),"")</f>
        <v/>
      </c>
      <c r="AB83" s="425">
        <f t="shared" si="27"/>
        <v>0</v>
      </c>
      <c r="AC83" s="425">
        <f t="shared" si="28"/>
        <v>0</v>
      </c>
      <c r="AD83" s="425">
        <f t="shared" si="29"/>
        <v>0</v>
      </c>
      <c r="AE83" s="360" t="e">
        <f ca="1">_xll.EPMCommentFullContext("",B83,$X$69,$A$4)</f>
        <v>#NAME?</v>
      </c>
      <c r="AF83" s="360"/>
      <c r="AG83" s="371"/>
      <c r="AH83" s="547" t="str">
        <f>INDEX(BPC_FILA_NOTA[#All],MATCH($B83,BPC_FILA_NOTA[[#All],[ID]],0),2)</f>
        <v>Armamento de vigilancia[S1560_1]</v>
      </c>
      <c r="AI83" s="360" t="str">
        <f t="shared" si="30"/>
        <v>S1560_1]</v>
      </c>
      <c r="AJ83" s="360" t="str">
        <f t="shared" si="31"/>
        <v>S1560_1</v>
      </c>
      <c r="AK83" s="360" t="str">
        <f t="shared" si="32"/>
        <v>Armamento de vigilancia</v>
      </c>
      <c r="AL83" s="360" t="e">
        <f ca="1">_xll.EPMSaveComment($N83, "ANEXO_NOTAS_XBRL",$B83,$N$69)</f>
        <v>#NAME?</v>
      </c>
      <c r="AM83" s="360" t="e">
        <f ca="1">_xll.EPMSaveComment($H83, "ANEXO_NOTAS_XBRL",$B83,"C11904002")</f>
        <v>#NAME?</v>
      </c>
      <c r="AN83" s="108"/>
    </row>
    <row r="84" spans="1:40" s="117" customFormat="1">
      <c r="A84" s="119">
        <f t="shared" si="16"/>
        <v>0</v>
      </c>
      <c r="B84" s="584" t="s">
        <v>1574</v>
      </c>
      <c r="C84" s="424" t="str">
        <f t="shared" si="17"/>
        <v>S1562_1</v>
      </c>
      <c r="D84" s="424" t="str">
        <f t="shared" si="18"/>
        <v>Envases y empaques</v>
      </c>
      <c r="E84" s="526"/>
      <c r="F84" s="526"/>
      <c r="G84" s="426">
        <f t="shared" si="19"/>
        <v>0</v>
      </c>
      <c r="H84" s="528"/>
      <c r="I84" s="526"/>
      <c r="J84" s="526"/>
      <c r="K84" s="426">
        <f t="shared" si="20"/>
        <v>0</v>
      </c>
      <c r="L84" s="425">
        <f t="shared" si="21"/>
        <v>0</v>
      </c>
      <c r="M84" s="425">
        <f t="shared" si="22"/>
        <v>0</v>
      </c>
      <c r="N84" s="224"/>
      <c r="O84" s="262">
        <f>IFERROR(INDEX(BPC_NOTAS[#All],MATCH($C84,BPC_NOTAS[[#All],[FILA_COLUMNA]],0),2),0)</f>
        <v>0</v>
      </c>
      <c r="P84" s="19" t="str">
        <f t="shared" si="23"/>
        <v>Ok</v>
      </c>
      <c r="Q84" s="117" t="str">
        <f t="shared" si="33"/>
        <v/>
      </c>
      <c r="R84" s="402"/>
      <c r="S84" s="584" t="s">
        <v>1574</v>
      </c>
      <c r="T84" s="549" t="str">
        <f t="shared" si="24"/>
        <v>S1562_1</v>
      </c>
      <c r="U84" s="549" t="str">
        <f t="shared" si="25"/>
        <v>Envases y empaques</v>
      </c>
      <c r="V84" s="550" t="str">
        <f>IFERROR(-INDEX(BPC_NOTAS2[#All],MATCH($S84&amp;"_"&amp;V$65,BPC_NOTAS2[[#All],[FILA_COLUMNA]],0),2),"")</f>
        <v/>
      </c>
      <c r="W84" s="550" t="str">
        <f>IFERROR(-INDEX(BPC_NOTAS2[#All],MATCH($S84&amp;"_"&amp;W$65,BPC_NOTAS2[[#All],[FILA_COLUMNA]],0),2),"")</f>
        <v/>
      </c>
      <c r="X84" s="425">
        <f t="shared" si="26"/>
        <v>0</v>
      </c>
      <c r="Y84" s="553" t="str">
        <f>IFERROR(INDEX(BPC_COMENTARIOS2[#All],MATCH($S84&amp;"_"&amp;Y$65,BPC_COMENTARIOS2[[#All],[FILA_COLUMNA]],0),2),"")</f>
        <v/>
      </c>
      <c r="Z84" s="550" t="str">
        <f>IFERROR(-INDEX(BPC_NOTAS2[#All],MATCH($S84&amp;"_"&amp;Z$65,BPC_NOTAS2[[#All],[FILA_COLUMNA]],0),2),"")</f>
        <v/>
      </c>
      <c r="AA84" s="550" t="str">
        <f>IFERROR(-INDEX(BPC_NOTAS2[#All],MATCH($S84&amp;"_"&amp;AA$65,BPC_NOTAS2[[#All],[FILA_COLUMNA]],0),2),"")</f>
        <v/>
      </c>
      <c r="AB84" s="425">
        <f t="shared" si="27"/>
        <v>0</v>
      </c>
      <c r="AC84" s="425">
        <f t="shared" si="28"/>
        <v>0</v>
      </c>
      <c r="AD84" s="425">
        <f t="shared" si="29"/>
        <v>0</v>
      </c>
      <c r="AE84" s="360" t="e">
        <f ca="1">_xll.EPMCommentFullContext("",B84,$X$69,$A$4)</f>
        <v>#NAME?</v>
      </c>
      <c r="AF84" s="360"/>
      <c r="AG84" s="371"/>
      <c r="AH84" s="547" t="str">
        <f>INDEX(BPC_FILA_NOTA[#All],MATCH($B84,BPC_FILA_NOTA[[#All],[ID]],0),2)</f>
        <v>Envases y empaques[S1562_1]</v>
      </c>
      <c r="AI84" s="360" t="str">
        <f t="shared" si="30"/>
        <v>S1562_1]</v>
      </c>
      <c r="AJ84" s="360" t="str">
        <f t="shared" si="31"/>
        <v>S1562_1</v>
      </c>
      <c r="AK84" s="360" t="str">
        <f t="shared" si="32"/>
        <v>Envases y empaques</v>
      </c>
      <c r="AL84" s="360" t="e">
        <f ca="1">_xll.EPMSaveComment($N84, "ANEXO_NOTAS_XBRL",$B84,$N$69)</f>
        <v>#NAME?</v>
      </c>
      <c r="AM84" s="360" t="e">
        <f ca="1">_xll.EPMSaveComment($H84, "ANEXO_NOTAS_XBRL",$B84,"C11904002")</f>
        <v>#NAME?</v>
      </c>
      <c r="AN84" s="108"/>
    </row>
    <row r="85" spans="1:40" s="117" customFormat="1">
      <c r="A85" s="119">
        <f t="shared" si="16"/>
        <v>0</v>
      </c>
      <c r="B85" s="584" t="s">
        <v>1575</v>
      </c>
      <c r="C85" s="424" t="str">
        <f t="shared" si="17"/>
        <v>S1588_1</v>
      </c>
      <c r="D85" s="424" t="str">
        <f t="shared" si="18"/>
        <v>Propiedades, planta y equipo en transito</v>
      </c>
      <c r="E85" s="526"/>
      <c r="F85" s="526"/>
      <c r="G85" s="426">
        <f t="shared" si="19"/>
        <v>0</v>
      </c>
      <c r="H85" s="528"/>
      <c r="I85" s="526"/>
      <c r="J85" s="526"/>
      <c r="K85" s="426">
        <f t="shared" si="20"/>
        <v>0</v>
      </c>
      <c r="L85" s="425">
        <f t="shared" si="21"/>
        <v>0</v>
      </c>
      <c r="M85" s="425">
        <f t="shared" si="22"/>
        <v>0</v>
      </c>
      <c r="N85" s="224"/>
      <c r="O85" s="262">
        <f>IFERROR(INDEX(BPC_NOTAS[#All],MATCH($C85,BPC_NOTAS[[#All],[FILA_COLUMNA]],0),2),0)</f>
        <v>0</v>
      </c>
      <c r="P85" s="19" t="str">
        <f t="shared" si="23"/>
        <v>Ok</v>
      </c>
      <c r="Q85" s="117" t="str">
        <f t="shared" si="33"/>
        <v/>
      </c>
      <c r="R85" s="402"/>
      <c r="S85" s="584" t="s">
        <v>1575</v>
      </c>
      <c r="T85" s="549" t="str">
        <f t="shared" si="24"/>
        <v>S1588_1</v>
      </c>
      <c r="U85" s="549" t="str">
        <f t="shared" si="25"/>
        <v>Propiedades, planta y equipo en transito</v>
      </c>
      <c r="V85" s="550" t="str">
        <f>IFERROR(-INDEX(BPC_NOTAS2[#All],MATCH($S85&amp;"_"&amp;V$65,BPC_NOTAS2[[#All],[FILA_COLUMNA]],0),2),"")</f>
        <v/>
      </c>
      <c r="W85" s="550" t="str">
        <f>IFERROR(-INDEX(BPC_NOTAS2[#All],MATCH($S85&amp;"_"&amp;W$65,BPC_NOTAS2[[#All],[FILA_COLUMNA]],0),2),"")</f>
        <v/>
      </c>
      <c r="X85" s="425">
        <f t="shared" si="26"/>
        <v>0</v>
      </c>
      <c r="Y85" s="553" t="str">
        <f>IFERROR(INDEX(BPC_COMENTARIOS2[#All],MATCH($S85&amp;"_"&amp;Y$65,BPC_COMENTARIOS2[[#All],[FILA_COLUMNA]],0),2),"")</f>
        <v/>
      </c>
      <c r="Z85" s="550" t="str">
        <f>IFERROR(-INDEX(BPC_NOTAS2[#All],MATCH($S85&amp;"_"&amp;Z$65,BPC_NOTAS2[[#All],[FILA_COLUMNA]],0),2),"")</f>
        <v/>
      </c>
      <c r="AA85" s="550" t="str">
        <f>IFERROR(-INDEX(BPC_NOTAS2[#All],MATCH($S85&amp;"_"&amp;AA$65,BPC_NOTAS2[[#All],[FILA_COLUMNA]],0),2),"")</f>
        <v/>
      </c>
      <c r="AB85" s="425">
        <f t="shared" si="27"/>
        <v>0</v>
      </c>
      <c r="AC85" s="425">
        <f t="shared" si="28"/>
        <v>0</v>
      </c>
      <c r="AD85" s="425">
        <f t="shared" si="29"/>
        <v>0</v>
      </c>
      <c r="AE85" s="360" t="e">
        <f ca="1">_xll.EPMCommentFullContext("",B85,$X$69,$A$4)</f>
        <v>#NAME?</v>
      </c>
      <c r="AF85" s="360"/>
      <c r="AG85" s="371"/>
      <c r="AH85" s="547" t="str">
        <f>INDEX(BPC_FILA_NOTA[#All],MATCH($B85,BPC_FILA_NOTA[[#All],[ID]],0),2)</f>
        <v>Propiedades, planta y equipo en transito[S1588_1]</v>
      </c>
      <c r="AI85" s="360" t="str">
        <f t="shared" si="30"/>
        <v>S1588_1]</v>
      </c>
      <c r="AJ85" s="360" t="str">
        <f t="shared" si="31"/>
        <v>S1588_1</v>
      </c>
      <c r="AK85" s="360" t="str">
        <f t="shared" si="32"/>
        <v>Propiedades, planta y equipo en transito</v>
      </c>
      <c r="AL85" s="360" t="e">
        <f ca="1">_xll.EPMSaveComment($N85, "ANEXO_NOTAS_XBRL",$B85,$N$69)</f>
        <v>#NAME?</v>
      </c>
      <c r="AM85" s="360" t="e">
        <f ca="1">_xll.EPMSaveComment($H85, "ANEXO_NOTAS_XBRL",$B85,"C11904002")</f>
        <v>#NAME?</v>
      </c>
      <c r="AN85" s="108"/>
    </row>
    <row r="86" spans="1:40" s="117" customFormat="1">
      <c r="A86" s="119"/>
      <c r="B86" s="584" t="s">
        <v>1576</v>
      </c>
      <c r="C86" s="496" t="str">
        <f t="shared" si="17"/>
        <v xml:space="preserve"> </v>
      </c>
      <c r="D86" s="424" t="str">
        <f t="shared" si="18"/>
        <v>Total</v>
      </c>
      <c r="E86" s="270">
        <f>SUM(E71:E85)</f>
        <v>0</v>
      </c>
      <c r="F86" s="270">
        <f>SUM(F71:F85)</f>
        <v>0</v>
      </c>
      <c r="G86" s="426">
        <f t="shared" si="19"/>
        <v>0</v>
      </c>
      <c r="H86" s="528"/>
      <c r="I86" s="527">
        <f>SUM(I71:I85)</f>
        <v>0</v>
      </c>
      <c r="J86" s="527">
        <f>SUM(J71:J85)</f>
        <v>0</v>
      </c>
      <c r="K86" s="426">
        <f t="shared" si="20"/>
        <v>0</v>
      </c>
      <c r="L86" s="425">
        <f t="shared" si="21"/>
        <v>0</v>
      </c>
      <c r="M86" s="425">
        <f t="shared" si="22"/>
        <v>0</v>
      </c>
      <c r="N86" s="224"/>
      <c r="R86" s="402"/>
      <c r="S86" s="584" t="s">
        <v>1576</v>
      </c>
      <c r="T86" s="549" t="str">
        <f t="shared" si="24"/>
        <v xml:space="preserve"> </v>
      </c>
      <c r="U86" s="549" t="str">
        <f t="shared" si="25"/>
        <v>Total</v>
      </c>
      <c r="V86" s="527">
        <f>SUM(V71:V85)</f>
        <v>0</v>
      </c>
      <c r="W86" s="527">
        <f>SUM(W71:W85)</f>
        <v>0</v>
      </c>
      <c r="X86" s="425">
        <f t="shared" si="26"/>
        <v>0</v>
      </c>
      <c r="Y86" s="553" t="str">
        <f>IFERROR(INDEX(BPC_COMENTARIOS2[#All],MATCH($S86&amp;"_"&amp;Y$65,BPC_COMENTARIOS2[[#All],[FILA_COLUMNA]],0),2),"")</f>
        <v/>
      </c>
      <c r="Z86" s="527">
        <f>SUM(Z71:Z85)</f>
        <v>0</v>
      </c>
      <c r="AA86" s="527">
        <f>SUM(AA71:AA85)</f>
        <v>0</v>
      </c>
      <c r="AB86" s="425">
        <f t="shared" si="27"/>
        <v>0</v>
      </c>
      <c r="AC86" s="425">
        <f t="shared" si="28"/>
        <v>0</v>
      </c>
      <c r="AD86" s="425">
        <f t="shared" si="29"/>
        <v>0</v>
      </c>
      <c r="AE86" s="360" t="e">
        <f ca="1">_xll.EPMCommentFullContext("",B84,$X$69,$A$4)</f>
        <v>#NAME?</v>
      </c>
      <c r="AF86" s="360"/>
      <c r="AG86" s="371"/>
      <c r="AH86" s="360"/>
      <c r="AI86" s="360"/>
      <c r="AJ86" s="360" t="s">
        <v>451</v>
      </c>
      <c r="AK86" s="360" t="s">
        <v>35</v>
      </c>
      <c r="AL86" s="360"/>
      <c r="AM86" s="360"/>
      <c r="AN86" s="108"/>
    </row>
    <row r="87" spans="1:40" s="117" customFormat="1">
      <c r="A87" s="119"/>
      <c r="B87" s="20"/>
      <c r="C87" s="446"/>
      <c r="D87" s="446"/>
      <c r="E87" s="463"/>
      <c r="F87" s="446"/>
      <c r="G87" s="446"/>
      <c r="H87" s="446"/>
      <c r="I87" s="446"/>
      <c r="J87" s="446"/>
      <c r="K87" s="446"/>
      <c r="L87" s="446"/>
      <c r="M87" s="446"/>
      <c r="N87" s="446"/>
      <c r="O87" s="446"/>
      <c r="P87" s="446"/>
      <c r="Q87" s="446"/>
      <c r="R87" s="446"/>
      <c r="S87" s="446"/>
      <c r="T87" s="446"/>
      <c r="U87" s="446"/>
      <c r="V87" s="446"/>
      <c r="W87" s="446"/>
      <c r="X87" s="446"/>
      <c r="Y87" s="446"/>
      <c r="Z87" s="446"/>
      <c r="AA87" s="446"/>
      <c r="AB87" s="446"/>
      <c r="AC87" s="446"/>
      <c r="AD87" s="446"/>
      <c r="AE87" s="360"/>
      <c r="AF87" s="360"/>
      <c r="AG87" s="371"/>
      <c r="AH87" s="360"/>
      <c r="AI87" s="360"/>
      <c r="AJ87" s="360"/>
      <c r="AK87" s="360"/>
      <c r="AL87" s="360"/>
      <c r="AM87" s="360"/>
      <c r="AN87" s="108"/>
    </row>
    <row r="88" spans="1:40">
      <c r="B88" s="117"/>
      <c r="C88" s="446"/>
      <c r="D88" s="446"/>
      <c r="E88" s="446"/>
      <c r="F88" s="446"/>
      <c r="G88" s="446"/>
      <c r="H88" s="446"/>
      <c r="I88" s="446"/>
      <c r="J88" s="446"/>
      <c r="K88" s="446"/>
      <c r="L88" s="446"/>
      <c r="M88" s="446"/>
      <c r="N88" s="446"/>
      <c r="O88" s="446"/>
      <c r="P88" s="446"/>
      <c r="Q88" s="446"/>
      <c r="R88" s="446"/>
      <c r="S88" s="446"/>
      <c r="T88" s="446"/>
      <c r="U88" s="446"/>
      <c r="V88" s="446"/>
      <c r="W88" s="446"/>
      <c r="X88" s="446"/>
      <c r="Y88" s="446"/>
      <c r="Z88" s="446"/>
      <c r="AA88" s="446"/>
      <c r="AB88" s="446"/>
      <c r="AC88" s="446"/>
      <c r="AD88" s="446"/>
    </row>
    <row r="89" spans="1:40">
      <c r="B89" s="117"/>
      <c r="C89" s="446"/>
      <c r="D89" s="446"/>
      <c r="E89" s="446"/>
      <c r="F89" s="446"/>
      <c r="G89" s="446"/>
      <c r="H89" s="446"/>
      <c r="I89" s="446"/>
      <c r="J89" s="446"/>
      <c r="K89" s="446"/>
      <c r="L89" s="446"/>
      <c r="M89" s="446"/>
      <c r="N89" s="446"/>
      <c r="O89" s="446"/>
      <c r="P89" s="446"/>
      <c r="Q89" s="446"/>
      <c r="R89" s="446"/>
      <c r="S89" s="446"/>
      <c r="T89" s="446"/>
      <c r="U89" s="446"/>
      <c r="V89" s="446"/>
      <c r="W89" s="446"/>
      <c r="X89" s="446"/>
      <c r="Y89" s="446"/>
      <c r="Z89" s="446"/>
      <c r="AA89" s="446"/>
      <c r="AB89" s="446"/>
      <c r="AC89" s="446"/>
      <c r="AD89" s="446"/>
    </row>
    <row r="90" spans="1:40">
      <c r="B90" s="30">
        <v>4</v>
      </c>
      <c r="C90" s="472" t="s">
        <v>169</v>
      </c>
      <c r="D90" s="446"/>
      <c r="E90" s="446"/>
      <c r="F90" s="446"/>
      <c r="G90" s="446"/>
      <c r="H90" s="446"/>
      <c r="I90" s="446"/>
      <c r="J90" s="446"/>
      <c r="K90" s="446"/>
      <c r="L90" s="446"/>
      <c r="M90" s="446"/>
      <c r="N90" s="446"/>
      <c r="O90" s="446"/>
      <c r="P90" s="446"/>
      <c r="Q90" s="446"/>
      <c r="R90" s="446"/>
      <c r="S90" s="446"/>
      <c r="T90" s="446"/>
      <c r="U90" s="446"/>
      <c r="V90" s="446"/>
      <c r="W90" s="446"/>
      <c r="X90" s="446"/>
      <c r="Y90" s="446"/>
      <c r="Z90" s="446"/>
      <c r="AA90" s="446"/>
      <c r="AB90" s="446"/>
      <c r="AC90" s="446"/>
      <c r="AD90" s="446"/>
    </row>
    <row r="91" spans="1:40">
      <c r="B91" s="117"/>
      <c r="C91" s="446"/>
      <c r="D91" s="446"/>
      <c r="E91" s="446"/>
      <c r="F91" s="446"/>
      <c r="G91" s="446"/>
      <c r="H91" s="446"/>
      <c r="I91" s="446"/>
      <c r="J91" s="446"/>
      <c r="K91" s="446"/>
      <c r="L91" s="446"/>
      <c r="M91" s="446"/>
      <c r="N91" s="446"/>
      <c r="O91" s="446"/>
      <c r="P91" s="446"/>
      <c r="Q91" s="473"/>
      <c r="R91" s="473"/>
      <c r="S91" s="446"/>
      <c r="T91" s="446"/>
      <c r="U91" s="446"/>
      <c r="V91" s="446"/>
      <c r="W91" s="446"/>
      <c r="X91" s="446"/>
      <c r="Y91" s="446"/>
      <c r="Z91" s="446"/>
      <c r="AA91" s="446"/>
      <c r="AB91" s="446"/>
      <c r="AC91" s="446"/>
      <c r="AD91" s="446"/>
    </row>
    <row r="92" spans="1:40" ht="15.75" thickBot="1">
      <c r="B92" s="117"/>
      <c r="C92" s="117"/>
      <c r="D92" s="109"/>
      <c r="E92" s="108" t="s">
        <v>183</v>
      </c>
      <c r="F92" s="108" t="s">
        <v>1585</v>
      </c>
      <c r="G92" s="108" t="s">
        <v>1586</v>
      </c>
      <c r="H92" s="597" t="s">
        <v>167</v>
      </c>
      <c r="I92" s="108" t="s">
        <v>1611</v>
      </c>
      <c r="J92" s="108" t="s">
        <v>1612</v>
      </c>
      <c r="K92" s="108" t="s">
        <v>1613</v>
      </c>
      <c r="N92" s="108" t="s">
        <v>674</v>
      </c>
      <c r="O92" s="446"/>
      <c r="P92" s="446"/>
      <c r="Q92" s="446"/>
      <c r="R92" s="446"/>
      <c r="S92" s="446"/>
      <c r="T92" s="446"/>
      <c r="U92" s="446"/>
      <c r="V92" s="108" t="s">
        <v>183</v>
      </c>
      <c r="W92" s="108" t="s">
        <v>1585</v>
      </c>
      <c r="X92" s="108" t="s">
        <v>1586</v>
      </c>
      <c r="Y92" s="597" t="s">
        <v>167</v>
      </c>
      <c r="Z92" s="108" t="s">
        <v>1611</v>
      </c>
      <c r="AA92" s="108" t="s">
        <v>1612</v>
      </c>
      <c r="AB92" s="108" t="s">
        <v>1613</v>
      </c>
      <c r="AC92" s="446"/>
      <c r="AD92" s="446"/>
    </row>
    <row r="93" spans="1:40" ht="48">
      <c r="B93" s="575" t="s">
        <v>633</v>
      </c>
      <c r="C93" s="497" t="s">
        <v>14753</v>
      </c>
      <c r="D93" s="497" t="s">
        <v>184</v>
      </c>
      <c r="E93" s="548" t="str">
        <f>INDEX(BPC_COLUMNA_NOTA[[#All],[CD_COLUMNA]:[DESCRIPCION_LARGA]],MATCH(E$92,BPC_COLUMNA_NOTA[[#All],[CD_COLUMNA]],0),2)</f>
        <v>Costo en libros, al valor razonable</v>
      </c>
      <c r="F93" s="548" t="str">
        <f>INDEX(BPC_COLUMNA_NOTA[[#All],[CD_COLUMNA]:[DESCRIPCION_LARGA]],MATCH(F$92,BPC_COLUMNA_NOTA[[#All],[CD_COLUMNA]],0),2)</f>
        <v>Depreciación acumulada, del valor razonable</v>
      </c>
      <c r="G93" s="548" t="str">
        <f>INDEX(BPC_COLUMNA_NOTA[[#All],[CD_COLUMNA]:[DESCRIPCION_LARGA]],MATCH(G$92,BPC_COLUMNA_NOTA[[#All],[CD_COLUMNA]],0),2)</f>
        <v>Valor neto en libros</v>
      </c>
      <c r="H93" s="497" t="s">
        <v>14757</v>
      </c>
      <c r="I93" s="548" t="str">
        <f>INDEX(BPC_COLUMNA_NOTA[[#All],[CD_COLUMNA]:[DESCRIPCION_LARGA]],MATCH(I$92,BPC_COLUMNA_NOTA[[#All],[CD_COLUMNA]],0),2)</f>
        <v>Costo en libros Modelo del costo</v>
      </c>
      <c r="J93" s="548" t="str">
        <f>INDEX(BPC_COLUMNA_NOTA[[#All],[CD_COLUMNA]:[DESCRIPCION_LARGA]],MATCH(J$92,BPC_COLUMNA_NOTA[[#All],[CD_COLUMNA]],0),2)</f>
        <v>Depreciación acumulada Del valor del activo bajo el modelo costo</v>
      </c>
      <c r="K93" s="548" t="str">
        <f>INDEX(BPC_COLUMNA_NOTA[[#All],[CD_COLUMNA]:[DESCRIPCION_LARGA]],MATCH(K$92,BPC_COLUMNA_NOTA[[#All],[CD_COLUMNA]],0),2)</f>
        <v>Valor neto en libros</v>
      </c>
      <c r="L93" s="509" t="s">
        <v>14758</v>
      </c>
      <c r="M93" s="509" t="s">
        <v>14759</v>
      </c>
      <c r="N93" s="509" t="s">
        <v>14760</v>
      </c>
      <c r="Q93" s="117"/>
      <c r="T93" s="548" t="s">
        <v>14753</v>
      </c>
      <c r="U93" s="548" t="s">
        <v>184</v>
      </c>
      <c r="V93" s="548" t="str">
        <f>INDEX(BPC_COLUMNA_NOTA[[#All],[CD_COLUMNA]:[DESCRIPCION_LARGA]],MATCH(V$92,BPC_COLUMNA_NOTA[[#All],[CD_COLUMNA]],0),2)</f>
        <v>Costo en libros, al valor razonable</v>
      </c>
      <c r="W93" s="548" t="str">
        <f>INDEX(BPC_COLUMNA_NOTA[[#All],[CD_COLUMNA]:[DESCRIPCION_LARGA]],MATCH(W$92,BPC_COLUMNA_NOTA[[#All],[CD_COLUMNA]],0),2)</f>
        <v>Depreciación acumulada, del valor razonable</v>
      </c>
      <c r="X93" s="548" t="str">
        <f>INDEX(BPC_COLUMNA_NOTA[[#All],[CD_COLUMNA]:[DESCRIPCION_LARGA]],MATCH(X$92,BPC_COLUMNA_NOTA[[#All],[CD_COLUMNA]],0),2)</f>
        <v>Valor neto en libros</v>
      </c>
      <c r="Y93" s="510" t="s">
        <v>14757</v>
      </c>
      <c r="Z93" s="548" t="str">
        <f>INDEX(BPC_COLUMNA_NOTA[[#All],[CD_COLUMNA]:[DESCRIPCION_LARGA]],MATCH(Z$92,BPC_COLUMNA_NOTA[[#All],[CD_COLUMNA]],0),2)</f>
        <v>Costo en libros Modelo del costo</v>
      </c>
      <c r="AA93" s="548" t="str">
        <f>INDEX(BPC_COLUMNA_NOTA[[#All],[CD_COLUMNA]:[DESCRIPCION_LARGA]],MATCH(AA$92,BPC_COLUMNA_NOTA[[#All],[CD_COLUMNA]],0),2)</f>
        <v>Depreciación acumulada Del valor del activo bajo el modelo costo</v>
      </c>
      <c r="AB93" s="548" t="str">
        <f>INDEX(BPC_COLUMNA_NOTA[[#All],[CD_COLUMNA]:[DESCRIPCION_LARGA]],MATCH(AB$92,BPC_COLUMNA_NOTA[[#All],[CD_COLUMNA]],0),2)</f>
        <v>Valor neto en libros</v>
      </c>
      <c r="AC93" s="510" t="s">
        <v>14758</v>
      </c>
      <c r="AD93" s="510" t="s">
        <v>14759</v>
      </c>
      <c r="AL93" s="431" t="e">
        <f ca="1" xml:space="preserve"> _xll.FPMXLClient.TechnicalCategory.EPMLocalMember("Posee activos medidos al valor razonable","006","003")</f>
        <v>#NAME?</v>
      </c>
      <c r="AM93" s="431" t="s">
        <v>687</v>
      </c>
    </row>
    <row r="94" spans="1:40">
      <c r="A94" s="119">
        <f>IF(P94="Error",1,0)</f>
        <v>0</v>
      </c>
      <c r="B94" s="584" t="s">
        <v>1577</v>
      </c>
      <c r="C94" s="424" t="str">
        <f t="shared" ref="C94:D96" si="34">AJ94</f>
        <v>S1504_1PI</v>
      </c>
      <c r="D94" s="424" t="str">
        <f t="shared" si="34"/>
        <v xml:space="preserve">Terrenos </v>
      </c>
      <c r="E94" s="526"/>
      <c r="F94" s="526"/>
      <c r="G94" s="426">
        <f>SUM(E94:F94)</f>
        <v>0</v>
      </c>
      <c r="H94" s="223"/>
      <c r="I94" s="526"/>
      <c r="J94" s="526"/>
      <c r="K94" s="426">
        <f>SUM(I94:J94)</f>
        <v>0</v>
      </c>
      <c r="L94" s="425">
        <f t="shared" ref="L94:M96" si="35">IFERROR(SUM(E94,-I94),0)</f>
        <v>0</v>
      </c>
      <c r="M94" s="425">
        <f t="shared" si="35"/>
        <v>0</v>
      </c>
      <c r="N94" s="543"/>
      <c r="O94" s="262">
        <f>IFERROR(INDEX(BPC_NOTAS[#All],MATCH($C94,BPC_NOTAS[[#All],[FILA_COLUMNA]],0),2),0)</f>
        <v>0</v>
      </c>
      <c r="P94" s="19" t="str">
        <f>IF(Q94="","Ok","Error")</f>
        <v>Ok</v>
      </c>
      <c r="Q94" s="117" t="str">
        <f>IF(AND(O94&lt;&gt;0,N94=""),"Tiene Activos a valor razonable?",IF(N94="Si",IF(OR(G94=0,H94="",K94=0),"Las columnas G,H y K son obligatorias",
IF(G94&lt;&gt;O94,"El Valor de G y O tienen que ser iguales",IF(I94&gt;E94,"El I es Mayor que E",IF(AND(F94&lt;&gt;0,F94&gt;J94),"El valor de F es Mayor a J","")))),IF(OR(G94&lt;&gt;0,H94&lt;&gt;"",K94&lt;&gt;0),"Los valores debe ir en cero","")))&amp;IF(AND(O94=0,OR(G94&lt;&gt;0,H94&lt;&gt;"",K94&lt;&gt;0))," Los valores debe ir en cero","")</f>
        <v/>
      </c>
      <c r="R94" s="402"/>
      <c r="S94" s="584" t="s">
        <v>1577</v>
      </c>
      <c r="T94" s="549" t="str">
        <f t="shared" ref="T94:U96" si="36">AJ94</f>
        <v>S1504_1PI</v>
      </c>
      <c r="U94" s="549" t="str">
        <f t="shared" si="36"/>
        <v xml:space="preserve">Terrenos </v>
      </c>
      <c r="V94" s="550" t="str">
        <f>IFERROR(-INDEX(BPC_NOTAS2[#All],MATCH($S94&amp;"_"&amp;V$92,BPC_NOTAS2[[#All],[FILA_COLUMNA]],0),2),"")</f>
        <v/>
      </c>
      <c r="W94" s="550" t="str">
        <f>IFERROR(-INDEX(BPC_NOTAS2[#All],MATCH($S94&amp;"_"&amp;W$92,BPC_NOTAS2[[#All],[FILA_COLUMNA]],0),2),"")</f>
        <v/>
      </c>
      <c r="X94" s="425">
        <f>SUM(V94:W94)</f>
        <v>0</v>
      </c>
      <c r="Y94" s="553" t="str">
        <f>IFERROR(INDEX(BPC_COMENTARIOS2[#All],MATCH($S94&amp;"_"&amp;Y$92,BPC_COMENTARIOS2[[#All],[FILA_COLUMNA]],0),2),"")</f>
        <v/>
      </c>
      <c r="Z94" s="550" t="str">
        <f>IFERROR(-INDEX(BPC_NOTAS2[#All],MATCH($S94&amp;"_"&amp;Z$92,BPC_NOTAS2[[#All],[FILA_COLUMNA]],0),2),"")</f>
        <v/>
      </c>
      <c r="AA94" s="550" t="str">
        <f>IFERROR(-INDEX(BPC_NOTAS2[#All],MATCH($S94&amp;"_"&amp;AA$92,BPC_NOTAS2[[#All],[FILA_COLUMNA]],0),2),"")</f>
        <v/>
      </c>
      <c r="AB94" s="425">
        <f>SUM(Z94:AA94)</f>
        <v>0</v>
      </c>
      <c r="AC94" s="425">
        <f t="shared" ref="AC94:AD96" si="37">IFERROR(SUM(V94,-Z94),0)</f>
        <v>0</v>
      </c>
      <c r="AD94" s="425">
        <f t="shared" si="37"/>
        <v>0</v>
      </c>
      <c r="AE94" s="360" t="e">
        <f ca="1">_xll.EPMCommentFullContext("",B94,$X$92,$A$4)</f>
        <v>#NAME?</v>
      </c>
      <c r="AG94" s="360"/>
      <c r="AH94" s="547" t="str">
        <f>INDEX(BPC_FILA_NOTA[#All],MATCH($B94,BPC_FILA_NOTA[[#All],[ID]],0),2)</f>
        <v>Terrenos [S1504_1PI]</v>
      </c>
      <c r="AI94" s="360" t="str">
        <f>IFERROR(MID(AH94,FIND("[",AH94)+1,50),"")</f>
        <v>S1504_1PI]</v>
      </c>
      <c r="AJ94" s="360" t="str">
        <f>LEFT(AI94,LEN(AI94)-1)</f>
        <v>S1504_1PI</v>
      </c>
      <c r="AK94" s="360" t="str">
        <f>IFERROR(MID(AH94,1,FIND("[",AH94)-1),AH94)</f>
        <v xml:space="preserve">Terrenos </v>
      </c>
      <c r="AL94" s="360" t="e">
        <f ca="1">_xll.EPMSaveComment($N94, "ANEXO_NOTAS_XBRL",$B94,$N$69)</f>
        <v>#NAME?</v>
      </c>
      <c r="AM94" s="360" t="e">
        <f ca="1">_xll.EPMSaveComment($H94, "ANEXO_NOTAS_XBRL",$B94,"C11904002")</f>
        <v>#NAME?</v>
      </c>
    </row>
    <row r="95" spans="1:40">
      <c r="A95" s="119">
        <f>IF(P95="Error",1,0)</f>
        <v>0</v>
      </c>
      <c r="B95" s="584" t="s">
        <v>1578</v>
      </c>
      <c r="C95" s="424" t="str">
        <f t="shared" si="34"/>
        <v>S1516_1PI</v>
      </c>
      <c r="D95" s="424" t="str">
        <f t="shared" si="34"/>
        <v xml:space="preserve">Construcciones y edificaciones </v>
      </c>
      <c r="E95" s="526"/>
      <c r="F95" s="526"/>
      <c r="G95" s="426">
        <f>SUM(E95:F95)</f>
        <v>0</v>
      </c>
      <c r="H95" s="223"/>
      <c r="I95" s="526"/>
      <c r="J95" s="526"/>
      <c r="K95" s="426">
        <f>SUM(I95:J95)</f>
        <v>0</v>
      </c>
      <c r="L95" s="425">
        <f t="shared" si="35"/>
        <v>0</v>
      </c>
      <c r="M95" s="425">
        <f t="shared" si="35"/>
        <v>0</v>
      </c>
      <c r="N95" s="543"/>
      <c r="O95" s="262">
        <f>IFERROR(INDEX(BPC_NOTAS[#All],MATCH($C95,BPC_NOTAS[[#All],[FILA_COLUMNA]],0),2),0)</f>
        <v>0</v>
      </c>
      <c r="P95" s="19" t="str">
        <f>IF(Q95="","Ok","Error")</f>
        <v>Ok</v>
      </c>
      <c r="Q95" s="117" t="str">
        <f>IF(AND(O95&lt;&gt;0,N95=""),"Tiene Activos a valor razonable?",IF(N95="Si",IF(OR(G95=0,H95="",K95=0),"Las columnas G,H y K son obligatorias",
IF(G95&lt;&gt;O95,"El Valor de G y O tienen que ser iguales",IF(I95&gt;E95,"El I es Mayor que E",IF(AND(F95&lt;&gt;0,F95&gt;J95),"El valor de F es Mayor a J","")))),IF(OR(G95&lt;&gt;0,H95&lt;&gt;"",K95&lt;&gt;0),"Los valores debe ir en cero","")))&amp;IF(AND(O95=0,OR(G95&lt;&gt;0,H95&lt;&gt;"",K95&lt;&gt;0))," Los valores debe ir en cero","")</f>
        <v/>
      </c>
      <c r="R95" s="402"/>
      <c r="S95" s="584" t="s">
        <v>1578</v>
      </c>
      <c r="T95" s="549" t="str">
        <f t="shared" si="36"/>
        <v>S1516_1PI</v>
      </c>
      <c r="U95" s="549" t="str">
        <f t="shared" si="36"/>
        <v xml:space="preserve">Construcciones y edificaciones </v>
      </c>
      <c r="V95" s="550" t="str">
        <f>IFERROR(-INDEX(BPC_NOTAS2[#All],MATCH($S95&amp;"_"&amp;V$92,BPC_NOTAS2[[#All],[FILA_COLUMNA]],0),2),"")</f>
        <v/>
      </c>
      <c r="W95" s="550" t="str">
        <f>IFERROR(-INDEX(BPC_NOTAS2[#All],MATCH($S95&amp;"_"&amp;W$92,BPC_NOTAS2[[#All],[FILA_COLUMNA]],0),2),"")</f>
        <v/>
      </c>
      <c r="X95" s="425">
        <f>SUM(V95:W95)</f>
        <v>0</v>
      </c>
      <c r="Y95" s="553" t="str">
        <f>IFERROR(INDEX(BPC_COMENTARIOS2[#All],MATCH($S95&amp;"_"&amp;Y$92,BPC_COMENTARIOS2[[#All],[FILA_COLUMNA]],0),2),"")</f>
        <v/>
      </c>
      <c r="Z95" s="550" t="str">
        <f>IFERROR(-INDEX(BPC_NOTAS2[#All],MATCH($S95&amp;"_"&amp;Z$92,BPC_NOTAS2[[#All],[FILA_COLUMNA]],0),2),"")</f>
        <v/>
      </c>
      <c r="AA95" s="550" t="str">
        <f>IFERROR(-INDEX(BPC_NOTAS2[#All],MATCH($S95&amp;"_"&amp;AA$92,BPC_NOTAS2[[#All],[FILA_COLUMNA]],0),2),"")</f>
        <v/>
      </c>
      <c r="AB95" s="425">
        <f>SUM(Z95:AA95)</f>
        <v>0</v>
      </c>
      <c r="AC95" s="425">
        <f t="shared" si="37"/>
        <v>0</v>
      </c>
      <c r="AD95" s="425">
        <f t="shared" si="37"/>
        <v>0</v>
      </c>
      <c r="AE95" s="360" t="e">
        <f ca="1">_xll.EPMCommentFullContext("",B95,$X$92,$A$4)</f>
        <v>#NAME?</v>
      </c>
      <c r="AG95" s="360"/>
      <c r="AH95" s="547" t="str">
        <f>INDEX(BPC_FILA_NOTA[#All],MATCH($B95,BPC_FILA_NOTA[[#All],[ID]],0),2)</f>
        <v>Construcciones y edificaciones [S1516_1PI]</v>
      </c>
      <c r="AI95" s="360" t="str">
        <f>IFERROR(MID(AH95,FIND("[",AH95)+1,50),"")</f>
        <v>S1516_1PI]</v>
      </c>
      <c r="AJ95" s="360" t="str">
        <f>LEFT(AI95,LEN(AI95)-1)</f>
        <v>S1516_1PI</v>
      </c>
      <c r="AK95" s="360" t="str">
        <f>IFERROR(MID(AH95,1,FIND("[",AH95)-1),AH95)</f>
        <v xml:space="preserve">Construcciones y edificaciones </v>
      </c>
      <c r="AL95" s="360" t="e">
        <f ca="1">_xll.EPMSaveComment($N95, "ANEXO_NOTAS_XBRL",$B95,$N$69)</f>
        <v>#NAME?</v>
      </c>
      <c r="AM95" s="360" t="e">
        <f ca="1">_xll.EPMSaveComment($H95, "ANEXO_NOTAS_XBRL",$B95,"C11904002")</f>
        <v>#NAME?</v>
      </c>
    </row>
    <row r="96" spans="1:40">
      <c r="B96" s="584" t="s">
        <v>1579</v>
      </c>
      <c r="C96" s="496" t="str">
        <f t="shared" si="34"/>
        <v>S105_1</v>
      </c>
      <c r="D96" s="424" t="str">
        <f t="shared" si="34"/>
        <v>Total</v>
      </c>
      <c r="E96" s="527">
        <f>SUM(E94:E95)</f>
        <v>0</v>
      </c>
      <c r="F96" s="527">
        <f>SUM(F94:F95)</f>
        <v>0</v>
      </c>
      <c r="G96" s="426">
        <f>SUM(E96:F96)</f>
        <v>0</v>
      </c>
      <c r="H96" s="223"/>
      <c r="I96" s="527">
        <f>SUM(I94:I95)</f>
        <v>0</v>
      </c>
      <c r="J96" s="527">
        <f>SUM(J94:J95)</f>
        <v>0</v>
      </c>
      <c r="K96" s="426">
        <f>SUM(I96:J96)</f>
        <v>0</v>
      </c>
      <c r="L96" s="425">
        <f t="shared" si="35"/>
        <v>0</v>
      </c>
      <c r="M96" s="425">
        <f t="shared" si="35"/>
        <v>0</v>
      </c>
      <c r="N96" s="543"/>
      <c r="Q96" s="117"/>
      <c r="R96" s="402"/>
      <c r="S96" s="584" t="s">
        <v>1579</v>
      </c>
      <c r="T96" s="549" t="str">
        <f t="shared" si="36"/>
        <v>S105_1</v>
      </c>
      <c r="U96" s="549" t="str">
        <f t="shared" si="36"/>
        <v>Total</v>
      </c>
      <c r="V96" s="527">
        <f>SUM(V94:V95)</f>
        <v>0</v>
      </c>
      <c r="W96" s="527">
        <f>SUM(W94:W95)</f>
        <v>0</v>
      </c>
      <c r="X96" s="425">
        <f>SUM(V96:W96)</f>
        <v>0</v>
      </c>
      <c r="Y96" s="553" t="str">
        <f>IFERROR(INDEX(BPC_COMENTARIOS2[#All],MATCH($S96&amp;"_"&amp;Y$92,BPC_COMENTARIOS2[[#All],[FILA_COLUMNA]],0),2),"")</f>
        <v/>
      </c>
      <c r="Z96" s="527">
        <f>SUM(Z94:Z95)</f>
        <v>0</v>
      </c>
      <c r="AA96" s="527">
        <f>SUM(AA94:AA95)</f>
        <v>0</v>
      </c>
      <c r="AB96" s="425">
        <f>SUM(Z96:AA96)</f>
        <v>0</v>
      </c>
      <c r="AC96" s="425">
        <f t="shared" si="37"/>
        <v>0</v>
      </c>
      <c r="AD96" s="425">
        <f t="shared" si="37"/>
        <v>0</v>
      </c>
      <c r="AG96" s="360"/>
      <c r="AH96" s="547" t="str">
        <f>INDEX(BPC_FILA_NOTA[#All],MATCH($B96,BPC_FILA_NOTA[[#All],[ID]],0),2)</f>
        <v>Totales[S105_1]</v>
      </c>
      <c r="AI96" s="360" t="str">
        <f>IFERROR(MID(AH96,FIND("[",AH96)+1,50),"")</f>
        <v>S105_1]</v>
      </c>
      <c r="AJ96" s="360" t="str">
        <f>LEFT(AI96,LEN(AI96)-1)</f>
        <v>S105_1</v>
      </c>
      <c r="AK96" s="360" t="s">
        <v>35</v>
      </c>
      <c r="AL96" s="360"/>
      <c r="AM96" s="117"/>
    </row>
    <row r="97" spans="1:39">
      <c r="C97" s="470"/>
      <c r="D97" s="685"/>
      <c r="E97" s="686" t="s">
        <v>668</v>
      </c>
      <c r="F97" s="686">
        <v>4</v>
      </c>
      <c r="G97" s="685"/>
      <c r="H97" s="685"/>
      <c r="I97" s="685"/>
      <c r="J97" s="686">
        <v>4</v>
      </c>
      <c r="K97" s="470"/>
      <c r="L97" s="470"/>
      <c r="M97" s="470"/>
      <c r="N97" s="446"/>
      <c r="Q97" s="117"/>
      <c r="AG97" s="360"/>
      <c r="AH97" s="360"/>
      <c r="AI97" s="360"/>
      <c r="AJ97" s="360"/>
      <c r="AK97" s="360"/>
      <c r="AL97" s="360"/>
      <c r="AM97" s="117"/>
    </row>
    <row r="98" spans="1:39">
      <c r="C98" s="446"/>
      <c r="D98" s="446"/>
      <c r="E98" s="446"/>
      <c r="F98" s="446"/>
      <c r="G98" s="446"/>
      <c r="H98" s="446"/>
      <c r="I98" s="446"/>
      <c r="J98" s="446"/>
      <c r="K98" s="446"/>
      <c r="L98" s="446"/>
      <c r="M98" s="446"/>
      <c r="N98" s="446"/>
      <c r="O98" s="446"/>
      <c r="P98" s="446"/>
      <c r="Q98" s="117"/>
    </row>
    <row r="99" spans="1:39" hidden="1">
      <c r="C99" s="446"/>
      <c r="D99" s="446"/>
      <c r="E99" s="446"/>
      <c r="F99" s="446"/>
      <c r="G99" s="446"/>
      <c r="H99" s="446"/>
      <c r="I99" s="446"/>
      <c r="J99" s="446"/>
      <c r="K99" s="446"/>
      <c r="L99" s="446"/>
      <c r="M99" s="446"/>
      <c r="N99" s="446"/>
      <c r="O99" s="446"/>
      <c r="P99" s="446"/>
      <c r="Q99" s="117"/>
    </row>
    <row r="100" spans="1:39" hidden="1">
      <c r="C100" s="446"/>
      <c r="D100" s="446"/>
      <c r="E100" s="446"/>
      <c r="F100" s="446"/>
      <c r="G100" s="446"/>
      <c r="H100" s="446"/>
      <c r="I100" s="446"/>
      <c r="J100" s="446"/>
      <c r="K100" s="446"/>
      <c r="L100" s="446"/>
      <c r="M100" s="446"/>
      <c r="N100" s="446"/>
      <c r="O100" s="446"/>
      <c r="P100" s="446"/>
    </row>
    <row r="101" spans="1:39" hidden="1">
      <c r="C101" s="446"/>
      <c r="D101" s="446"/>
      <c r="E101" s="446"/>
      <c r="F101" s="446"/>
      <c r="G101" s="446"/>
      <c r="H101" s="446"/>
      <c r="I101" s="446"/>
      <c r="J101" s="446"/>
      <c r="K101" s="446"/>
      <c r="L101" s="446"/>
      <c r="M101" s="446"/>
      <c r="N101" s="446"/>
      <c r="O101" s="446"/>
      <c r="P101" s="446"/>
    </row>
    <row r="102" spans="1:39">
      <c r="C102" s="474" t="s">
        <v>170</v>
      </c>
      <c r="D102" s="446"/>
      <c r="E102" s="446"/>
      <c r="F102" s="446"/>
      <c r="G102" s="446"/>
      <c r="H102" s="446"/>
      <c r="I102" s="446"/>
      <c r="J102" s="446"/>
      <c r="K102" s="446"/>
      <c r="L102" s="446"/>
      <c r="M102" s="446"/>
      <c r="N102" s="446"/>
      <c r="O102" s="446"/>
      <c r="P102" s="446"/>
    </row>
    <row r="103" spans="1:39">
      <c r="C103" s="475" t="s">
        <v>171</v>
      </c>
    </row>
    <row r="104" spans="1:39">
      <c r="C104" s="81" t="s">
        <v>172</v>
      </c>
    </row>
    <row r="105" spans="1:39">
      <c r="C105" s="82" t="s">
        <v>173</v>
      </c>
    </row>
    <row r="107" spans="1:39">
      <c r="C107" s="83" t="s">
        <v>174</v>
      </c>
    </row>
    <row r="108" spans="1:39" s="446" customFormat="1">
      <c r="A108" s="463"/>
      <c r="AE108" s="468"/>
      <c r="AF108" s="468"/>
      <c r="AG108" s="468"/>
      <c r="AH108" s="468"/>
      <c r="AI108" s="468"/>
      <c r="AJ108" s="468"/>
      <c r="AK108" s="468"/>
      <c r="AL108" s="468"/>
    </row>
    <row r="109" spans="1:39" s="446" customFormat="1">
      <c r="A109" s="463"/>
      <c r="AE109" s="468"/>
      <c r="AF109" s="468"/>
      <c r="AG109" s="468"/>
      <c r="AH109" s="468"/>
      <c r="AI109" s="468"/>
      <c r="AJ109" s="468"/>
      <c r="AK109" s="468"/>
      <c r="AL109" s="468"/>
    </row>
    <row r="110" spans="1:39" s="446" customFormat="1">
      <c r="A110" s="463"/>
      <c r="AE110" s="468"/>
      <c r="AF110" s="468"/>
      <c r="AG110" s="468"/>
      <c r="AH110" s="468"/>
      <c r="AI110" s="468"/>
      <c r="AJ110" s="468"/>
      <c r="AK110" s="468"/>
      <c r="AL110" s="468"/>
    </row>
    <row r="111" spans="1:39" s="446" customFormat="1">
      <c r="A111" s="463"/>
      <c r="AE111" s="468"/>
      <c r="AF111" s="468"/>
      <c r="AG111" s="468"/>
      <c r="AH111" s="468"/>
      <c r="AI111" s="468"/>
      <c r="AJ111" s="468"/>
      <c r="AK111" s="468"/>
      <c r="AL111" s="468"/>
    </row>
    <row r="112" spans="1:39" s="446" customFormat="1">
      <c r="A112" s="463"/>
      <c r="AE112" s="468"/>
      <c r="AF112" s="468"/>
      <c r="AG112" s="468"/>
      <c r="AH112" s="468"/>
      <c r="AI112" s="468"/>
      <c r="AJ112" s="468"/>
      <c r="AK112" s="468"/>
      <c r="AL112" s="468"/>
    </row>
    <row r="113" spans="1:38" s="446" customFormat="1">
      <c r="A113" s="463"/>
      <c r="AE113" s="468"/>
      <c r="AF113" s="468"/>
      <c r="AG113" s="468"/>
      <c r="AH113" s="468"/>
      <c r="AI113" s="468"/>
      <c r="AJ113" s="468"/>
      <c r="AK113" s="468"/>
      <c r="AL113" s="468"/>
    </row>
    <row r="114" spans="1:38" s="446" customFormat="1">
      <c r="A114" s="463"/>
      <c r="AE114" s="468"/>
      <c r="AF114" s="468"/>
      <c r="AG114" s="468"/>
      <c r="AH114" s="468"/>
      <c r="AI114" s="468"/>
      <c r="AJ114" s="468"/>
      <c r="AK114" s="468"/>
      <c r="AL114" s="468"/>
    </row>
    <row r="115" spans="1:38" s="446" customFormat="1">
      <c r="A115" s="463"/>
      <c r="AE115" s="468"/>
      <c r="AF115" s="468"/>
      <c r="AG115" s="468"/>
      <c r="AH115" s="468"/>
      <c r="AI115" s="468"/>
      <c r="AJ115" s="468"/>
      <c r="AK115" s="468"/>
      <c r="AL115" s="468"/>
    </row>
    <row r="116" spans="1:38" s="446" customFormat="1">
      <c r="A116" s="463"/>
      <c r="AE116" s="468"/>
      <c r="AF116" s="468"/>
      <c r="AG116" s="468"/>
      <c r="AH116" s="468"/>
      <c r="AI116" s="468"/>
      <c r="AJ116" s="468"/>
      <c r="AK116" s="468"/>
      <c r="AL116" s="468"/>
    </row>
    <row r="117" spans="1:38" s="446" customFormat="1">
      <c r="A117" s="463"/>
      <c r="AE117" s="468"/>
      <c r="AF117" s="468"/>
      <c r="AG117" s="468"/>
      <c r="AH117" s="468"/>
      <c r="AI117" s="468"/>
      <c r="AJ117" s="468"/>
      <c r="AK117" s="468"/>
      <c r="AL117" s="468"/>
    </row>
    <row r="118" spans="1:38" s="446" customFormat="1">
      <c r="A118" s="463"/>
      <c r="AE118" s="468"/>
      <c r="AF118" s="468"/>
      <c r="AG118" s="468"/>
      <c r="AH118" s="468"/>
      <c r="AI118" s="468"/>
      <c r="AJ118" s="468"/>
      <c r="AK118" s="468"/>
      <c r="AL118" s="468"/>
    </row>
    <row r="119" spans="1:38" s="446" customFormat="1">
      <c r="A119" s="463"/>
      <c r="AE119" s="468"/>
      <c r="AF119" s="468"/>
      <c r="AG119" s="468"/>
      <c r="AH119" s="468"/>
      <c r="AI119" s="468"/>
      <c r="AJ119" s="468"/>
      <c r="AK119" s="468"/>
      <c r="AL119" s="468"/>
    </row>
    <row r="120" spans="1:38" s="446" customFormat="1">
      <c r="A120" s="463"/>
      <c r="AE120" s="468"/>
      <c r="AF120" s="468"/>
      <c r="AG120" s="468"/>
      <c r="AH120" s="468"/>
      <c r="AI120" s="468"/>
      <c r="AJ120" s="468"/>
      <c r="AK120" s="468"/>
      <c r="AL120" s="468"/>
    </row>
    <row r="121" spans="1:38" s="446" customFormat="1">
      <c r="A121" s="463"/>
      <c r="AE121" s="468"/>
      <c r="AF121" s="468"/>
      <c r="AG121" s="468"/>
      <c r="AH121" s="468"/>
      <c r="AI121" s="468"/>
      <c r="AJ121" s="468"/>
      <c r="AK121" s="468"/>
      <c r="AL121" s="468"/>
    </row>
    <row r="122" spans="1:38" s="446" customFormat="1">
      <c r="A122" s="463"/>
      <c r="AE122" s="468"/>
      <c r="AF122" s="468"/>
      <c r="AG122" s="468"/>
      <c r="AH122" s="468"/>
      <c r="AI122" s="468"/>
      <c r="AJ122" s="468"/>
      <c r="AK122" s="468"/>
      <c r="AL122" s="468"/>
    </row>
    <row r="123" spans="1:38" s="446" customFormat="1">
      <c r="A123" s="463"/>
      <c r="AE123" s="468"/>
      <c r="AF123" s="468"/>
      <c r="AG123" s="468"/>
      <c r="AH123" s="468"/>
      <c r="AI123" s="468"/>
      <c r="AJ123" s="468"/>
      <c r="AK123" s="468"/>
      <c r="AL123" s="468"/>
    </row>
    <row r="124" spans="1:38" s="446" customFormat="1">
      <c r="A124" s="463"/>
      <c r="AE124" s="468"/>
      <c r="AF124" s="468"/>
      <c r="AG124" s="468"/>
      <c r="AH124" s="468"/>
      <c r="AI124" s="468"/>
      <c r="AJ124" s="468"/>
      <c r="AK124" s="468"/>
      <c r="AL124" s="468"/>
    </row>
    <row r="125" spans="1:38" s="446" customFormat="1">
      <c r="A125" s="463"/>
      <c r="AE125" s="468"/>
      <c r="AF125" s="468"/>
      <c r="AG125" s="468"/>
      <c r="AH125" s="468"/>
      <c r="AI125" s="468"/>
      <c r="AJ125" s="468"/>
      <c r="AK125" s="468"/>
      <c r="AL125" s="468"/>
    </row>
    <row r="126" spans="1:38" s="446" customFormat="1">
      <c r="A126" s="463"/>
      <c r="AE126" s="468"/>
      <c r="AF126" s="468"/>
      <c r="AG126" s="468"/>
      <c r="AH126" s="468"/>
      <c r="AI126" s="468"/>
      <c r="AJ126" s="468"/>
      <c r="AK126" s="468"/>
      <c r="AL126" s="468"/>
    </row>
    <row r="127" spans="1:38" s="446" customFormat="1">
      <c r="A127" s="463"/>
      <c r="AE127" s="468"/>
      <c r="AF127" s="468"/>
      <c r="AG127" s="468"/>
      <c r="AH127" s="468"/>
      <c r="AI127" s="468"/>
      <c r="AJ127" s="468"/>
      <c r="AK127" s="468"/>
      <c r="AL127" s="468"/>
    </row>
    <row r="128" spans="1:38" s="446" customFormat="1">
      <c r="A128" s="463"/>
      <c r="AE128" s="468"/>
      <c r="AF128" s="468"/>
      <c r="AG128" s="468"/>
      <c r="AH128" s="468"/>
      <c r="AI128" s="468"/>
      <c r="AJ128" s="468"/>
      <c r="AK128" s="468"/>
      <c r="AL128" s="468"/>
    </row>
    <row r="129" spans="1:38" s="446" customFormat="1">
      <c r="A129" s="463"/>
      <c r="AE129" s="468"/>
      <c r="AF129" s="468"/>
      <c r="AG129" s="468"/>
      <c r="AH129" s="468"/>
      <c r="AI129" s="468"/>
      <c r="AJ129" s="468"/>
      <c r="AK129" s="468"/>
      <c r="AL129" s="468"/>
    </row>
    <row r="130" spans="1:38" s="446" customFormat="1">
      <c r="A130" s="463"/>
      <c r="AE130" s="468"/>
      <c r="AF130" s="468"/>
      <c r="AG130" s="468"/>
      <c r="AH130" s="468"/>
      <c r="AI130" s="468"/>
      <c r="AJ130" s="468"/>
      <c r="AK130" s="468"/>
      <c r="AL130" s="468"/>
    </row>
    <row r="131" spans="1:38" s="446" customFormat="1">
      <c r="A131" s="463"/>
      <c r="AE131" s="468"/>
      <c r="AF131" s="468"/>
      <c r="AG131" s="468"/>
      <c r="AH131" s="468"/>
      <c r="AI131" s="468"/>
      <c r="AJ131" s="468"/>
      <c r="AK131" s="468"/>
      <c r="AL131" s="468"/>
    </row>
    <row r="132" spans="1:38" s="446" customFormat="1">
      <c r="A132" s="463"/>
      <c r="AE132" s="468"/>
      <c r="AF132" s="468"/>
      <c r="AG132" s="468"/>
      <c r="AH132" s="468"/>
      <c r="AI132" s="468"/>
      <c r="AJ132" s="468"/>
      <c r="AK132" s="468"/>
      <c r="AL132" s="468"/>
    </row>
    <row r="133" spans="1:38" s="446" customFormat="1">
      <c r="A133" s="463"/>
      <c r="AE133" s="468"/>
      <c r="AF133" s="468"/>
      <c r="AG133" s="468"/>
      <c r="AH133" s="468"/>
      <c r="AI133" s="468"/>
      <c r="AJ133" s="468"/>
      <c r="AK133" s="468"/>
      <c r="AL133" s="468"/>
    </row>
    <row r="134" spans="1:38" s="446" customFormat="1">
      <c r="A134" s="463"/>
      <c r="AE134" s="468"/>
      <c r="AF134" s="468"/>
      <c r="AG134" s="468"/>
      <c r="AH134" s="468"/>
      <c r="AI134" s="468"/>
      <c r="AJ134" s="468"/>
      <c r="AK134" s="468"/>
      <c r="AL134" s="468"/>
    </row>
    <row r="135" spans="1:38" s="446" customFormat="1">
      <c r="A135" s="463"/>
      <c r="AE135" s="468"/>
      <c r="AF135" s="468"/>
      <c r="AG135" s="468"/>
      <c r="AH135" s="468"/>
      <c r="AI135" s="468"/>
      <c r="AJ135" s="468"/>
      <c r="AK135" s="468"/>
      <c r="AL135" s="468"/>
    </row>
    <row r="136" spans="1:38" s="446" customFormat="1">
      <c r="A136" s="463"/>
      <c r="AE136" s="468"/>
      <c r="AF136" s="468"/>
      <c r="AG136" s="468"/>
      <c r="AH136" s="468"/>
      <c r="AI136" s="468"/>
      <c r="AJ136" s="468"/>
      <c r="AK136" s="468"/>
      <c r="AL136" s="468"/>
    </row>
    <row r="137" spans="1:38" s="446" customFormat="1">
      <c r="A137" s="463"/>
      <c r="AE137" s="468"/>
      <c r="AF137" s="468"/>
      <c r="AG137" s="468"/>
      <c r="AH137" s="468"/>
      <c r="AI137" s="468"/>
      <c r="AJ137" s="468"/>
      <c r="AK137" s="468"/>
      <c r="AL137" s="468"/>
    </row>
    <row r="138" spans="1:38" s="446" customFormat="1">
      <c r="A138" s="463"/>
      <c r="AE138" s="468"/>
      <c r="AF138" s="468"/>
      <c r="AG138" s="468"/>
      <c r="AH138" s="468"/>
      <c r="AI138" s="468"/>
      <c r="AJ138" s="468"/>
      <c r="AK138" s="468"/>
      <c r="AL138" s="468"/>
    </row>
    <row r="139" spans="1:38" s="446" customFormat="1">
      <c r="A139" s="463"/>
      <c r="AE139" s="468"/>
      <c r="AF139" s="468"/>
      <c r="AG139" s="468"/>
      <c r="AH139" s="468"/>
      <c r="AI139" s="468"/>
      <c r="AJ139" s="468"/>
      <c r="AK139" s="468"/>
      <c r="AL139" s="468"/>
    </row>
    <row r="140" spans="1:38" s="446" customFormat="1">
      <c r="A140" s="463"/>
      <c r="AE140" s="468"/>
      <c r="AF140" s="468"/>
      <c r="AG140" s="468"/>
      <c r="AH140" s="468"/>
      <c r="AI140" s="468"/>
      <c r="AJ140" s="468"/>
      <c r="AK140" s="468"/>
      <c r="AL140" s="468"/>
    </row>
    <row r="141" spans="1:38" s="446" customFormat="1">
      <c r="A141" s="463"/>
      <c r="AE141" s="468"/>
      <c r="AF141" s="468"/>
      <c r="AG141" s="468"/>
      <c r="AH141" s="468"/>
      <c r="AI141" s="468"/>
      <c r="AJ141" s="468"/>
      <c r="AK141" s="468"/>
      <c r="AL141" s="468"/>
    </row>
    <row r="142" spans="1:38" s="446" customFormat="1">
      <c r="A142" s="463"/>
      <c r="AE142" s="468"/>
      <c r="AF142" s="468"/>
      <c r="AG142" s="468"/>
      <c r="AH142" s="468"/>
      <c r="AI142" s="468"/>
      <c r="AJ142" s="468"/>
      <c r="AK142" s="468"/>
      <c r="AL142" s="468"/>
    </row>
    <row r="143" spans="1:38" s="446" customFormat="1">
      <c r="A143" s="463"/>
      <c r="AE143" s="468"/>
      <c r="AF143" s="468"/>
      <c r="AG143" s="468"/>
      <c r="AH143" s="468"/>
      <c r="AI143" s="468"/>
      <c r="AJ143" s="468"/>
      <c r="AK143" s="468"/>
      <c r="AL143" s="468"/>
    </row>
    <row r="144" spans="1:38" s="446" customFormat="1">
      <c r="A144" s="463"/>
      <c r="AE144" s="468"/>
      <c r="AF144" s="468"/>
      <c r="AG144" s="468"/>
      <c r="AH144" s="468"/>
      <c r="AI144" s="468"/>
      <c r="AJ144" s="468"/>
      <c r="AK144" s="468"/>
      <c r="AL144" s="468"/>
    </row>
    <row r="145" spans="1:38" s="446" customFormat="1">
      <c r="A145" s="463"/>
      <c r="AE145" s="468"/>
      <c r="AF145" s="468"/>
      <c r="AG145" s="468"/>
      <c r="AH145" s="468"/>
      <c r="AI145" s="468"/>
      <c r="AJ145" s="468"/>
      <c r="AK145" s="468"/>
      <c r="AL145" s="468"/>
    </row>
    <row r="146" spans="1:38" s="446" customFormat="1">
      <c r="A146" s="463"/>
      <c r="AE146" s="468"/>
      <c r="AF146" s="468"/>
      <c r="AG146" s="468"/>
      <c r="AH146" s="468"/>
      <c r="AI146" s="468"/>
      <c r="AJ146" s="468"/>
      <c r="AK146" s="468"/>
      <c r="AL146" s="468"/>
    </row>
    <row r="147" spans="1:38" s="446" customFormat="1">
      <c r="A147" s="463"/>
      <c r="AE147" s="468"/>
      <c r="AF147" s="468"/>
      <c r="AG147" s="468"/>
      <c r="AH147" s="468"/>
      <c r="AI147" s="468"/>
      <c r="AJ147" s="468"/>
      <c r="AK147" s="468"/>
      <c r="AL147" s="468"/>
    </row>
    <row r="148" spans="1:38" s="446" customFormat="1">
      <c r="A148" s="463"/>
      <c r="AE148" s="468"/>
      <c r="AF148" s="468"/>
      <c r="AG148" s="468"/>
      <c r="AH148" s="468"/>
      <c r="AI148" s="468"/>
      <c r="AJ148" s="468"/>
      <c r="AK148" s="468"/>
      <c r="AL148" s="468"/>
    </row>
    <row r="149" spans="1:38" s="446" customFormat="1">
      <c r="A149" s="463"/>
      <c r="AE149" s="468"/>
      <c r="AF149" s="468"/>
      <c r="AG149" s="468"/>
      <c r="AH149" s="468"/>
      <c r="AI149" s="468"/>
      <c r="AJ149" s="468"/>
      <c r="AK149" s="468"/>
      <c r="AL149" s="468"/>
    </row>
    <row r="150" spans="1:38" s="446" customFormat="1">
      <c r="A150" s="463"/>
      <c r="AE150" s="468"/>
      <c r="AF150" s="468"/>
      <c r="AG150" s="468"/>
      <c r="AH150" s="468"/>
      <c r="AI150" s="468"/>
      <c r="AJ150" s="468"/>
      <c r="AK150" s="468"/>
      <c r="AL150" s="468"/>
    </row>
    <row r="151" spans="1:38" s="446" customFormat="1">
      <c r="A151" s="463"/>
      <c r="AE151" s="468"/>
      <c r="AF151" s="468"/>
      <c r="AG151" s="468"/>
      <c r="AH151" s="468"/>
      <c r="AI151" s="468"/>
      <c r="AJ151" s="468"/>
      <c r="AK151" s="468"/>
      <c r="AL151" s="468"/>
    </row>
    <row r="152" spans="1:38" s="446" customFormat="1">
      <c r="A152" s="463"/>
      <c r="AE152" s="468"/>
      <c r="AF152" s="468"/>
      <c r="AG152" s="468"/>
      <c r="AH152" s="468"/>
      <c r="AI152" s="468"/>
      <c r="AJ152" s="468"/>
      <c r="AK152" s="468"/>
      <c r="AL152" s="468"/>
    </row>
    <row r="153" spans="1:38" s="446" customFormat="1">
      <c r="A153" s="463"/>
      <c r="AE153" s="468"/>
      <c r="AF153" s="468"/>
      <c r="AG153" s="468"/>
      <c r="AH153" s="468"/>
      <c r="AI153" s="468"/>
      <c r="AJ153" s="468"/>
      <c r="AK153" s="468"/>
      <c r="AL153" s="468"/>
    </row>
    <row r="154" spans="1:38" s="446" customFormat="1">
      <c r="A154" s="463"/>
      <c r="AE154" s="468"/>
      <c r="AF154" s="468"/>
      <c r="AG154" s="468"/>
      <c r="AH154" s="468"/>
      <c r="AI154" s="468"/>
      <c r="AJ154" s="468"/>
      <c r="AK154" s="468"/>
      <c r="AL154" s="468"/>
    </row>
    <row r="155" spans="1:38" s="446" customFormat="1">
      <c r="A155" s="463"/>
      <c r="AE155" s="468"/>
      <c r="AF155" s="468"/>
      <c r="AG155" s="468"/>
      <c r="AH155" s="468"/>
      <c r="AI155" s="468"/>
      <c r="AJ155" s="468"/>
      <c r="AK155" s="468"/>
      <c r="AL155" s="468"/>
    </row>
    <row r="156" spans="1:38" s="446" customFormat="1">
      <c r="A156" s="463"/>
      <c r="AE156" s="468"/>
      <c r="AF156" s="468"/>
      <c r="AG156" s="468"/>
      <c r="AH156" s="468"/>
      <c r="AI156" s="468"/>
      <c r="AJ156" s="468"/>
      <c r="AK156" s="468"/>
      <c r="AL156" s="468"/>
    </row>
    <row r="157" spans="1:38" s="446" customFormat="1">
      <c r="A157" s="463"/>
      <c r="AE157" s="468"/>
      <c r="AF157" s="468"/>
      <c r="AG157" s="468"/>
      <c r="AH157" s="468"/>
      <c r="AI157" s="468"/>
      <c r="AJ157" s="468"/>
      <c r="AK157" s="468"/>
      <c r="AL157" s="468"/>
    </row>
    <row r="158" spans="1:38" s="446" customFormat="1">
      <c r="A158" s="463"/>
      <c r="AE158" s="468"/>
      <c r="AF158" s="468"/>
      <c r="AG158" s="468"/>
      <c r="AH158" s="468"/>
      <c r="AI158" s="468"/>
      <c r="AJ158" s="468"/>
      <c r="AK158" s="468"/>
      <c r="AL158" s="468"/>
    </row>
    <row r="159" spans="1:38" s="446" customFormat="1">
      <c r="A159" s="463"/>
      <c r="AE159" s="468"/>
      <c r="AF159" s="468"/>
      <c r="AG159" s="468"/>
      <c r="AH159" s="468"/>
      <c r="AI159" s="468"/>
      <c r="AJ159" s="468"/>
      <c r="AK159" s="468"/>
      <c r="AL159" s="468"/>
    </row>
    <row r="160" spans="1:38" s="446" customFormat="1">
      <c r="A160" s="463"/>
      <c r="AE160" s="468"/>
      <c r="AF160" s="468"/>
      <c r="AG160" s="468"/>
      <c r="AH160" s="468"/>
      <c r="AI160" s="468"/>
      <c r="AJ160" s="468"/>
      <c r="AK160" s="468"/>
      <c r="AL160" s="468"/>
    </row>
    <row r="161" spans="1:38" s="446" customFormat="1">
      <c r="A161" s="463"/>
      <c r="AE161" s="468"/>
      <c r="AF161" s="468"/>
      <c r="AG161" s="468"/>
      <c r="AH161" s="468"/>
      <c r="AI161" s="468"/>
      <c r="AJ161" s="468"/>
      <c r="AK161" s="468"/>
      <c r="AL161" s="468"/>
    </row>
    <row r="162" spans="1:38" s="446" customFormat="1">
      <c r="A162" s="463"/>
      <c r="AE162" s="468"/>
      <c r="AF162" s="468"/>
      <c r="AG162" s="468"/>
      <c r="AH162" s="468"/>
      <c r="AI162" s="468"/>
      <c r="AJ162" s="468"/>
      <c r="AK162" s="468"/>
      <c r="AL162" s="468"/>
    </row>
    <row r="163" spans="1:38" s="446" customFormat="1">
      <c r="A163" s="463"/>
      <c r="AE163" s="468"/>
      <c r="AF163" s="468"/>
      <c r="AG163" s="468"/>
      <c r="AH163" s="468"/>
      <c r="AI163" s="468"/>
      <c r="AJ163" s="468"/>
      <c r="AK163" s="468"/>
      <c r="AL163" s="468"/>
    </row>
    <row r="164" spans="1:38" s="446" customFormat="1">
      <c r="A164" s="463"/>
      <c r="AE164" s="468"/>
      <c r="AF164" s="468"/>
      <c r="AG164" s="468"/>
      <c r="AH164" s="468"/>
      <c r="AI164" s="468"/>
      <c r="AJ164" s="468"/>
      <c r="AK164" s="468"/>
      <c r="AL164" s="468"/>
    </row>
    <row r="165" spans="1:38" s="446" customFormat="1">
      <c r="A165" s="463"/>
      <c r="AE165" s="468"/>
      <c r="AF165" s="468"/>
      <c r="AG165" s="468"/>
      <c r="AH165" s="468"/>
      <c r="AI165" s="468"/>
      <c r="AJ165" s="468"/>
      <c r="AK165" s="468"/>
      <c r="AL165" s="468"/>
    </row>
    <row r="166" spans="1:38" s="446" customFormat="1">
      <c r="A166" s="463"/>
      <c r="AE166" s="468"/>
      <c r="AF166" s="468"/>
      <c r="AG166" s="468"/>
      <c r="AH166" s="468"/>
      <c r="AI166" s="468"/>
      <c r="AJ166" s="468"/>
      <c r="AK166" s="468"/>
      <c r="AL166" s="468"/>
    </row>
    <row r="167" spans="1:38" s="446" customFormat="1">
      <c r="A167" s="463"/>
      <c r="AE167" s="468"/>
      <c r="AF167" s="468"/>
      <c r="AG167" s="468"/>
      <c r="AH167" s="468"/>
      <c r="AI167" s="468"/>
      <c r="AJ167" s="468"/>
      <c r="AK167" s="468"/>
      <c r="AL167" s="468"/>
    </row>
    <row r="168" spans="1:38" s="446" customFormat="1">
      <c r="A168" s="463"/>
      <c r="AE168" s="468"/>
      <c r="AF168" s="468"/>
      <c r="AG168" s="468"/>
      <c r="AH168" s="468"/>
      <c r="AI168" s="468"/>
      <c r="AJ168" s="468"/>
      <c r="AK168" s="468"/>
      <c r="AL168" s="468"/>
    </row>
    <row r="169" spans="1:38" s="446" customFormat="1">
      <c r="A169" s="463"/>
      <c r="AE169" s="468"/>
      <c r="AF169" s="468"/>
      <c r="AG169" s="468"/>
      <c r="AH169" s="468"/>
      <c r="AI169" s="468"/>
      <c r="AJ169" s="468"/>
      <c r="AK169" s="468"/>
      <c r="AL169" s="468"/>
    </row>
    <row r="170" spans="1:38" s="446" customFormat="1">
      <c r="A170" s="463"/>
      <c r="AE170" s="468"/>
      <c r="AF170" s="468"/>
      <c r="AG170" s="468"/>
      <c r="AH170" s="468"/>
      <c r="AI170" s="468"/>
      <c r="AJ170" s="468"/>
      <c r="AK170" s="468"/>
      <c r="AL170" s="468"/>
    </row>
    <row r="171" spans="1:38" s="446" customFormat="1">
      <c r="A171" s="463"/>
      <c r="AE171" s="468"/>
      <c r="AF171" s="468"/>
      <c r="AG171" s="468"/>
      <c r="AH171" s="468"/>
      <c r="AI171" s="468"/>
      <c r="AJ171" s="468"/>
      <c r="AK171" s="468"/>
      <c r="AL171" s="468"/>
    </row>
    <row r="172" spans="1:38" s="446" customFormat="1">
      <c r="A172" s="463"/>
      <c r="AE172" s="468"/>
      <c r="AF172" s="468"/>
      <c r="AG172" s="468"/>
      <c r="AH172" s="468"/>
      <c r="AI172" s="468"/>
      <c r="AJ172" s="468"/>
      <c r="AK172" s="468"/>
      <c r="AL172" s="468"/>
    </row>
    <row r="173" spans="1:38" s="446" customFormat="1">
      <c r="A173" s="463"/>
      <c r="AE173" s="468"/>
      <c r="AF173" s="468"/>
      <c r="AG173" s="468"/>
      <c r="AH173" s="468"/>
      <c r="AI173" s="468"/>
      <c r="AJ173" s="468"/>
      <c r="AK173" s="468"/>
      <c r="AL173" s="468"/>
    </row>
    <row r="174" spans="1:38" s="446" customFormat="1">
      <c r="A174" s="463"/>
      <c r="AE174" s="468"/>
      <c r="AF174" s="468"/>
      <c r="AG174" s="468"/>
      <c r="AH174" s="468"/>
      <c r="AI174" s="468"/>
      <c r="AJ174" s="468"/>
      <c r="AK174" s="468"/>
      <c r="AL174" s="468"/>
    </row>
    <row r="175" spans="1:38" s="446" customFormat="1">
      <c r="A175" s="463"/>
      <c r="AE175" s="468"/>
      <c r="AF175" s="468"/>
      <c r="AG175" s="468"/>
      <c r="AH175" s="468"/>
      <c r="AI175" s="468"/>
      <c r="AJ175" s="468"/>
      <c r="AK175" s="468"/>
      <c r="AL175" s="468"/>
    </row>
    <row r="176" spans="1:38" s="446" customFormat="1">
      <c r="A176" s="463"/>
      <c r="AE176" s="468"/>
      <c r="AF176" s="468"/>
      <c r="AG176" s="468"/>
      <c r="AH176" s="468"/>
      <c r="AI176" s="468"/>
      <c r="AJ176" s="468"/>
      <c r="AK176" s="468"/>
      <c r="AL176" s="468"/>
    </row>
    <row r="177" spans="1:38" s="446" customFormat="1">
      <c r="A177" s="463"/>
      <c r="AE177" s="468"/>
      <c r="AF177" s="468"/>
      <c r="AG177" s="468"/>
      <c r="AH177" s="468"/>
      <c r="AI177" s="468"/>
      <c r="AJ177" s="468"/>
      <c r="AK177" s="468"/>
      <c r="AL177" s="468"/>
    </row>
    <row r="178" spans="1:38" s="446" customFormat="1">
      <c r="A178" s="463"/>
      <c r="AE178" s="468"/>
      <c r="AF178" s="468"/>
      <c r="AG178" s="468"/>
      <c r="AH178" s="468"/>
      <c r="AI178" s="468"/>
      <c r="AJ178" s="468"/>
      <c r="AK178" s="468"/>
      <c r="AL178" s="468"/>
    </row>
    <row r="179" spans="1:38" s="446" customFormat="1">
      <c r="A179" s="463"/>
      <c r="AE179" s="468"/>
      <c r="AF179" s="468"/>
      <c r="AG179" s="468"/>
      <c r="AH179" s="468"/>
      <c r="AI179" s="468"/>
      <c r="AJ179" s="468"/>
      <c r="AK179" s="468"/>
      <c r="AL179" s="468"/>
    </row>
    <row r="180" spans="1:38" s="446" customFormat="1">
      <c r="A180" s="463"/>
      <c r="AE180" s="468"/>
      <c r="AF180" s="468"/>
      <c r="AG180" s="468"/>
      <c r="AH180" s="468"/>
      <c r="AI180" s="468"/>
      <c r="AJ180" s="468"/>
      <c r="AK180" s="468"/>
      <c r="AL180" s="468"/>
    </row>
    <row r="181" spans="1:38" s="446" customFormat="1">
      <c r="A181" s="463"/>
      <c r="AE181" s="468"/>
      <c r="AF181" s="468"/>
      <c r="AG181" s="468"/>
      <c r="AH181" s="468"/>
      <c r="AI181" s="468"/>
      <c r="AJ181" s="468"/>
      <c r="AK181" s="468"/>
      <c r="AL181" s="468"/>
    </row>
    <row r="182" spans="1:38" s="446" customFormat="1">
      <c r="A182" s="463"/>
      <c r="AE182" s="468"/>
      <c r="AF182" s="468"/>
      <c r="AG182" s="468"/>
      <c r="AH182" s="468"/>
      <c r="AI182" s="468"/>
      <c r="AJ182" s="468"/>
      <c r="AK182" s="468"/>
      <c r="AL182" s="468"/>
    </row>
    <row r="183" spans="1:38" s="446" customFormat="1">
      <c r="A183" s="463"/>
      <c r="AE183" s="468"/>
      <c r="AF183" s="468"/>
      <c r="AG183" s="468"/>
      <c r="AH183" s="468"/>
      <c r="AI183" s="468"/>
      <c r="AJ183" s="468"/>
      <c r="AK183" s="468"/>
      <c r="AL183" s="468"/>
    </row>
    <row r="184" spans="1:38" s="446" customFormat="1">
      <c r="A184" s="463"/>
      <c r="AE184" s="468"/>
      <c r="AF184" s="468"/>
      <c r="AG184" s="468"/>
      <c r="AH184" s="468"/>
      <c r="AI184" s="468"/>
      <c r="AJ184" s="468"/>
      <c r="AK184" s="468"/>
      <c r="AL184" s="468"/>
    </row>
    <row r="185" spans="1:38" s="446" customFormat="1">
      <c r="A185" s="463"/>
      <c r="AE185" s="468"/>
      <c r="AF185" s="468"/>
      <c r="AG185" s="468"/>
      <c r="AH185" s="468"/>
      <c r="AI185" s="468"/>
      <c r="AJ185" s="468"/>
      <c r="AK185" s="468"/>
      <c r="AL185" s="468"/>
    </row>
    <row r="186" spans="1:38" s="446" customFormat="1">
      <c r="A186" s="463"/>
      <c r="AE186" s="468"/>
      <c r="AF186" s="468"/>
      <c r="AG186" s="468"/>
      <c r="AH186" s="468"/>
      <c r="AI186" s="468"/>
      <c r="AJ186" s="468"/>
      <c r="AK186" s="468"/>
      <c r="AL186" s="468"/>
    </row>
    <row r="187" spans="1:38" s="446" customFormat="1">
      <c r="A187" s="463"/>
      <c r="AE187" s="468"/>
      <c r="AF187" s="468"/>
      <c r="AG187" s="468"/>
      <c r="AH187" s="468"/>
      <c r="AI187" s="468"/>
      <c r="AJ187" s="468"/>
      <c r="AK187" s="468"/>
      <c r="AL187" s="468"/>
    </row>
    <row r="188" spans="1:38" s="446" customFormat="1">
      <c r="A188" s="463"/>
      <c r="AE188" s="468"/>
      <c r="AF188" s="468"/>
      <c r="AG188" s="468"/>
      <c r="AH188" s="468"/>
      <c r="AI188" s="468"/>
      <c r="AJ188" s="468"/>
      <c r="AK188" s="468"/>
      <c r="AL188" s="468"/>
    </row>
    <row r="189" spans="1:38" s="446" customFormat="1">
      <c r="A189" s="463"/>
      <c r="AE189" s="468"/>
      <c r="AF189" s="468"/>
      <c r="AG189" s="468"/>
      <c r="AH189" s="468"/>
      <c r="AI189" s="468"/>
      <c r="AJ189" s="468"/>
      <c r="AK189" s="468"/>
      <c r="AL189" s="468"/>
    </row>
    <row r="190" spans="1:38" s="446" customFormat="1">
      <c r="A190" s="463"/>
      <c r="AE190" s="468"/>
      <c r="AF190" s="468"/>
      <c r="AG190" s="468"/>
      <c r="AH190" s="468"/>
      <c r="AI190" s="468"/>
      <c r="AJ190" s="468"/>
      <c r="AK190" s="468"/>
      <c r="AL190" s="468"/>
    </row>
    <row r="191" spans="1:38" s="446" customFormat="1">
      <c r="A191" s="463"/>
      <c r="AE191" s="468"/>
      <c r="AF191" s="468"/>
      <c r="AG191" s="468"/>
      <c r="AH191" s="468"/>
      <c r="AI191" s="468"/>
      <c r="AJ191" s="468"/>
      <c r="AK191" s="468"/>
      <c r="AL191" s="468"/>
    </row>
    <row r="192" spans="1:38" s="446" customFormat="1">
      <c r="A192" s="463"/>
      <c r="AE192" s="468"/>
      <c r="AF192" s="468"/>
      <c r="AG192" s="468"/>
      <c r="AH192" s="468"/>
      <c r="AI192" s="468"/>
      <c r="AJ192" s="468"/>
      <c r="AK192" s="468"/>
      <c r="AL192" s="468"/>
    </row>
    <row r="193" spans="1:38" s="446" customFormat="1">
      <c r="A193" s="463"/>
      <c r="AE193" s="468"/>
      <c r="AF193" s="468"/>
      <c r="AG193" s="468"/>
      <c r="AH193" s="468"/>
      <c r="AI193" s="468"/>
      <c r="AJ193" s="468"/>
      <c r="AK193" s="468"/>
      <c r="AL193" s="468"/>
    </row>
    <row r="194" spans="1:38" s="446" customFormat="1">
      <c r="A194" s="463"/>
      <c r="AE194" s="468"/>
      <c r="AF194" s="468"/>
      <c r="AG194" s="468"/>
      <c r="AH194" s="468"/>
      <c r="AI194" s="468"/>
      <c r="AJ194" s="468"/>
      <c r="AK194" s="468"/>
      <c r="AL194" s="468"/>
    </row>
    <row r="195" spans="1:38" s="446" customFormat="1">
      <c r="A195" s="463"/>
      <c r="AE195" s="468"/>
      <c r="AF195" s="468"/>
      <c r="AG195" s="468"/>
      <c r="AH195" s="468"/>
      <c r="AI195" s="468"/>
      <c r="AJ195" s="468"/>
      <c r="AK195" s="468"/>
      <c r="AL195" s="468"/>
    </row>
    <row r="196" spans="1:38" s="446" customFormat="1">
      <c r="A196" s="463"/>
      <c r="AE196" s="468"/>
      <c r="AF196" s="468"/>
      <c r="AG196" s="468"/>
      <c r="AH196" s="468"/>
      <c r="AI196" s="468"/>
      <c r="AJ196" s="468"/>
      <c r="AK196" s="468"/>
      <c r="AL196" s="468"/>
    </row>
    <row r="197" spans="1:38" s="446" customFormat="1">
      <c r="A197" s="463"/>
      <c r="AE197" s="468"/>
      <c r="AF197" s="468"/>
      <c r="AG197" s="468"/>
      <c r="AH197" s="468"/>
      <c r="AI197" s="468"/>
      <c r="AJ197" s="468"/>
      <c r="AK197" s="468"/>
      <c r="AL197" s="468"/>
    </row>
    <row r="198" spans="1:38" s="446" customFormat="1">
      <c r="A198" s="463"/>
      <c r="AE198" s="468"/>
      <c r="AF198" s="468"/>
      <c r="AG198" s="468"/>
      <c r="AH198" s="468"/>
      <c r="AI198" s="468"/>
      <c r="AJ198" s="468"/>
      <c r="AK198" s="468"/>
      <c r="AL198" s="468"/>
    </row>
    <row r="199" spans="1:38" s="446" customFormat="1">
      <c r="A199" s="463"/>
      <c r="AE199" s="468"/>
      <c r="AF199" s="468"/>
      <c r="AG199" s="468"/>
      <c r="AH199" s="468"/>
      <c r="AI199" s="468"/>
      <c r="AJ199" s="468"/>
      <c r="AK199" s="468"/>
      <c r="AL199" s="468"/>
    </row>
    <row r="200" spans="1:38" s="446" customFormat="1">
      <c r="A200" s="463"/>
      <c r="AE200" s="468"/>
      <c r="AF200" s="468"/>
      <c r="AG200" s="468"/>
      <c r="AH200" s="468"/>
      <c r="AI200" s="468"/>
      <c r="AJ200" s="468"/>
      <c r="AK200" s="468"/>
      <c r="AL200" s="468"/>
    </row>
    <row r="201" spans="1:38" s="446" customFormat="1">
      <c r="A201" s="463"/>
      <c r="AE201" s="468"/>
      <c r="AF201" s="468"/>
      <c r="AG201" s="468"/>
      <c r="AH201" s="468"/>
      <c r="AI201" s="468"/>
      <c r="AJ201" s="468"/>
      <c r="AK201" s="468"/>
      <c r="AL201" s="468"/>
    </row>
    <row r="202" spans="1:38" s="446" customFormat="1">
      <c r="A202" s="463"/>
      <c r="AE202" s="468"/>
      <c r="AF202" s="468"/>
      <c r="AG202" s="468"/>
      <c r="AH202" s="468"/>
      <c r="AI202" s="468"/>
      <c r="AJ202" s="468"/>
      <c r="AK202" s="468"/>
      <c r="AL202" s="468"/>
    </row>
  </sheetData>
  <sheetProtection password="C07B" sheet="1" objects="1" scenarios="1"/>
  <dataConsolidate/>
  <mergeCells count="14">
    <mergeCell ref="C3:D3"/>
    <mergeCell ref="C4:D4"/>
    <mergeCell ref="C5:D5"/>
    <mergeCell ref="C6:D6"/>
    <mergeCell ref="C7:D7"/>
    <mergeCell ref="C10:D10"/>
    <mergeCell ref="B11:M11"/>
    <mergeCell ref="T15:X16"/>
    <mergeCell ref="C15:H16"/>
    <mergeCell ref="I66:K68"/>
    <mergeCell ref="E66:H68"/>
    <mergeCell ref="L66:M69"/>
    <mergeCell ref="C63:H64"/>
    <mergeCell ref="T11:AE11"/>
  </mergeCells>
  <conditionalFormatting sqref="AE37">
    <cfRule type="containsText" dxfId="33" priority="147" operator="containsText" text="OK">
      <formula>NOT(ISERROR(SEARCH("OK",AE37)))</formula>
    </cfRule>
    <cfRule type="cellIs" dxfId="32" priority="148" stopIfTrue="1" operator="equal">
      <formula>"ERROR"</formula>
    </cfRule>
  </conditionalFormatting>
  <conditionalFormatting sqref="AL27 AK24:AK26">
    <cfRule type="cellIs" dxfId="31" priority="146" operator="notEqual">
      <formula>""</formula>
    </cfRule>
  </conditionalFormatting>
  <conditionalFormatting sqref="AM27 AL24:AL26">
    <cfRule type="cellIs" dxfId="30" priority="145" operator="notEqual">
      <formula>""</formula>
    </cfRule>
  </conditionalFormatting>
  <conditionalFormatting sqref="AK27 AJ24:AJ26 M18">
    <cfRule type="cellIs" dxfId="29" priority="143" operator="equal">
      <formula>"ERROR"</formula>
    </cfRule>
    <cfRule type="cellIs" dxfId="28" priority="144" operator="equal">
      <formula>"OK"</formula>
    </cfRule>
  </conditionalFormatting>
  <conditionalFormatting sqref="AE19:AE34">
    <cfRule type="cellIs" dxfId="27" priority="141" operator="equal">
      <formula>"ERROR"</formula>
    </cfRule>
    <cfRule type="cellIs" dxfId="26" priority="142" operator="equal">
      <formula>"OK"</formula>
    </cfRule>
  </conditionalFormatting>
  <conditionalFormatting sqref="AH71:AH85">
    <cfRule type="cellIs" dxfId="25" priority="99" operator="equal">
      <formula>"ERROR"</formula>
    </cfRule>
    <cfRule type="cellIs" dxfId="24" priority="100" operator="equal">
      <formula>"OK"</formula>
    </cfRule>
  </conditionalFormatting>
  <conditionalFormatting sqref="AH94:AH96">
    <cfRule type="cellIs" dxfId="23" priority="73" operator="equal">
      <formula>"ERROR"</formula>
    </cfRule>
    <cfRule type="cellIs" dxfId="22" priority="74" operator="equal">
      <formula>"OK"</formula>
    </cfRule>
  </conditionalFormatting>
  <conditionalFormatting sqref="K19:K33">
    <cfRule type="containsText" dxfId="21" priority="53" operator="containsText" text="OK">
      <formula>NOT(ISERROR(SEARCH("OK",K19)))</formula>
    </cfRule>
    <cfRule type="containsText" dxfId="20" priority="54" operator="containsText" text="ERROR">
      <formula>NOT(ISERROR(SEARCH("ERROR",K19)))</formula>
    </cfRule>
    <cfRule type="expression" dxfId="19" priority="55">
      <formula>"ERROR"</formula>
    </cfRule>
    <cfRule type="colorScale" priority="56">
      <colorScale>
        <cfvo type="min"/>
        <cfvo type="max"/>
        <color rgb="FFFF0000"/>
        <color rgb="FFFFEF9C"/>
      </colorScale>
    </cfRule>
  </conditionalFormatting>
  <conditionalFormatting sqref="P71:P85">
    <cfRule type="containsText" dxfId="18" priority="33" operator="containsText" text="OK">
      <formula>NOT(ISERROR(SEARCH("OK",P71)))</formula>
    </cfRule>
    <cfRule type="containsText" dxfId="17" priority="34" operator="containsText" text="ERROR">
      <formula>NOT(ISERROR(SEARCH("ERROR",P71)))</formula>
    </cfRule>
    <cfRule type="expression" dxfId="16" priority="35">
      <formula>"ERROR"</formula>
    </cfRule>
    <cfRule type="colorScale" priority="36">
      <colorScale>
        <cfvo type="min"/>
        <cfvo type="max"/>
        <color rgb="FFFF0000"/>
        <color rgb="FFFFEF9C"/>
      </colorScale>
    </cfRule>
  </conditionalFormatting>
  <conditionalFormatting sqref="K42:K56">
    <cfRule type="containsText" dxfId="15" priority="9" operator="containsText" text="OK">
      <formula>NOT(ISERROR(SEARCH("OK",K42)))</formula>
    </cfRule>
    <cfRule type="containsText" dxfId="14" priority="10" operator="containsText" text="ERROR">
      <formula>NOT(ISERROR(SEARCH("ERROR",K42)))</formula>
    </cfRule>
    <cfRule type="expression" dxfId="13" priority="11">
      <formula>"ERROR"</formula>
    </cfRule>
    <cfRule type="colorScale" priority="12">
      <colorScale>
        <cfvo type="min"/>
        <cfvo type="max"/>
        <color rgb="FFFF0000"/>
        <color rgb="FFFFEF9C"/>
      </colorScale>
    </cfRule>
  </conditionalFormatting>
  <conditionalFormatting sqref="P94">
    <cfRule type="containsText" dxfId="12" priority="5" operator="containsText" text="OK">
      <formula>NOT(ISERROR(SEARCH("OK",P94)))</formula>
    </cfRule>
    <cfRule type="containsText" dxfId="11" priority="6" operator="containsText" text="ERROR">
      <formula>NOT(ISERROR(SEARCH("ERROR",P94)))</formula>
    </cfRule>
    <cfRule type="expression" dxfId="10" priority="7">
      <formula>"ERROR"</formula>
    </cfRule>
    <cfRule type="colorScale" priority="8">
      <colorScale>
        <cfvo type="min"/>
        <cfvo type="max"/>
        <color rgb="FFFF0000"/>
        <color rgb="FFFFEF9C"/>
      </colorScale>
    </cfRule>
  </conditionalFormatting>
  <conditionalFormatting sqref="P95">
    <cfRule type="containsText" dxfId="9" priority="1" operator="containsText" text="OK">
      <formula>NOT(ISERROR(SEARCH("OK",P95)))</formula>
    </cfRule>
    <cfRule type="containsText" dxfId="8" priority="2" operator="containsText" text="ERROR">
      <formula>NOT(ISERROR(SEARCH("ERROR",P95)))</formula>
    </cfRule>
    <cfRule type="expression" dxfId="7" priority="3">
      <formula>"ERROR"</formula>
    </cfRule>
    <cfRule type="colorScale" priority="4">
      <colorScale>
        <cfvo type="min"/>
        <cfvo type="max"/>
        <color rgb="FFFF0000"/>
        <color rgb="FFFFEF9C"/>
      </colorScale>
    </cfRule>
  </conditionalFormatting>
  <dataValidations count="1">
    <dataValidation type="date" allowBlank="1" showInputMessage="1" showErrorMessage="1" sqref="H71:H86 H94:H96 Y71:Y86 Y94:Y96">
      <formula1>1</formula1>
      <formula2>402133</formula2>
    </dataValidation>
  </dataValidations>
  <pageMargins left="0.7" right="0.7" top="0.75" bottom="0.75" header="0.3" footer="0.3"/>
  <pageSetup scale="10" orientation="portrait" r:id="rId1"/>
  <customProperties>
    <customPr name="CofConfiguration" r:id="rId2"/>
    <customPr name="CofWorksheetType" r:id="rId3"/>
    <customPr name="EpmWorksheetKeyString_GUID" r:id="rId4"/>
    <customPr name="FPMExcelClientCellBasedFunctionStatus" r:id="rId5"/>
    <customPr name="FPMExcelClientRefreshTime" r:id="rId6"/>
  </customProperties>
  <drawing r:id="rId7"/>
  <legacyDrawing r:id="rId8"/>
  <controls>
    <mc:AlternateContent xmlns:mc="http://schemas.openxmlformats.org/markup-compatibility/2006">
      <mc:Choice Requires="x14">
        <control shapeId="325633" r:id="rId9" name="FPMExcelClientSheetOptionstb1">
          <controlPr defaultSize="0" autoLine="0" r:id="rId10">
            <anchor moveWithCells="1" sizeWithCells="1">
              <from>
                <xdr:col>0</xdr:col>
                <xdr:colOff>0</xdr:colOff>
                <xdr:row>0</xdr:row>
                <xdr:rowOff>0</xdr:rowOff>
              </from>
              <to>
                <xdr:col>0</xdr:col>
                <xdr:colOff>0</xdr:colOff>
                <xdr:row>0</xdr:row>
                <xdr:rowOff>0</xdr:rowOff>
              </to>
            </anchor>
          </controlPr>
        </control>
      </mc:Choice>
      <mc:Fallback>
        <control shapeId="325633" r:id="rId9" name="FPMExcelClientSheetOptionstb1"/>
      </mc:Fallback>
    </mc:AlternateContent>
    <mc:AlternateContent xmlns:mc="http://schemas.openxmlformats.org/markup-compatibility/2006">
      <mc:Choice Requires="x14">
        <control shapeId="325634" r:id="rId11" name="ConnectionDescriptorsInfotb1">
          <controlPr defaultSize="0" autoLine="0" r:id="rId12">
            <anchor moveWithCells="1" sizeWithCells="1">
              <from>
                <xdr:col>0</xdr:col>
                <xdr:colOff>0</xdr:colOff>
                <xdr:row>0</xdr:row>
                <xdr:rowOff>0</xdr:rowOff>
              </from>
              <to>
                <xdr:col>0</xdr:col>
                <xdr:colOff>0</xdr:colOff>
                <xdr:row>0</xdr:row>
                <xdr:rowOff>0</xdr:rowOff>
              </to>
            </anchor>
          </controlPr>
        </control>
      </mc:Choice>
      <mc:Fallback>
        <control shapeId="325634" r:id="rId11" name="ConnectionDescriptorsInfotb1"/>
      </mc:Fallback>
    </mc:AlternateContent>
    <mc:AlternateContent xmlns:mc="http://schemas.openxmlformats.org/markup-compatibility/2006">
      <mc:Choice Requires="x14">
        <control shapeId="325635" r:id="rId13" name="MultipleReportManagerInfotb1">
          <controlPr defaultSize="0" autoLine="0" r:id="rId14">
            <anchor moveWithCells="1" sizeWithCells="1">
              <from>
                <xdr:col>0</xdr:col>
                <xdr:colOff>0</xdr:colOff>
                <xdr:row>0</xdr:row>
                <xdr:rowOff>0</xdr:rowOff>
              </from>
              <to>
                <xdr:col>0</xdr:col>
                <xdr:colOff>0</xdr:colOff>
                <xdr:row>0</xdr:row>
                <xdr:rowOff>0</xdr:rowOff>
              </to>
            </anchor>
          </controlPr>
        </control>
      </mc:Choice>
      <mc:Fallback>
        <control shapeId="325635" r:id="rId13" name="MultipleReportManagerInfotb1"/>
      </mc:Fallback>
    </mc:AlternateContent>
    <mc:AlternateContent xmlns:mc="http://schemas.openxmlformats.org/markup-compatibility/2006">
      <mc:Choice Requires="x14">
        <control shapeId="325636" r:id="rId15" name="AnalyzerDynReport000tb1">
          <controlPr defaultSize="0" autoLine="0" r:id="rId16">
            <anchor moveWithCells="1" sizeWithCells="1">
              <from>
                <xdr:col>0</xdr:col>
                <xdr:colOff>0</xdr:colOff>
                <xdr:row>0</xdr:row>
                <xdr:rowOff>0</xdr:rowOff>
              </from>
              <to>
                <xdr:col>0</xdr:col>
                <xdr:colOff>0</xdr:colOff>
                <xdr:row>0</xdr:row>
                <xdr:rowOff>0</xdr:rowOff>
              </to>
            </anchor>
          </controlPr>
        </control>
      </mc:Choice>
      <mc:Fallback>
        <control shapeId="325636" r:id="rId15" name="AnalyzerDynReport000tb1"/>
      </mc:Fallback>
    </mc:AlternateContent>
    <mc:AlternateContent xmlns:mc="http://schemas.openxmlformats.org/markup-compatibility/2006">
      <mc:Choice Requires="x14">
        <control shapeId="325637" r:id="rId17" name="ReportSubmitManagerControltb1">
          <controlPr defaultSize="0" autoLine="0" r:id="rId18">
            <anchor moveWithCells="1" sizeWithCells="1">
              <from>
                <xdr:col>0</xdr:col>
                <xdr:colOff>0</xdr:colOff>
                <xdr:row>0</xdr:row>
                <xdr:rowOff>0</xdr:rowOff>
              </from>
              <to>
                <xdr:col>0</xdr:col>
                <xdr:colOff>0</xdr:colOff>
                <xdr:row>0</xdr:row>
                <xdr:rowOff>0</xdr:rowOff>
              </to>
            </anchor>
          </controlPr>
        </control>
      </mc:Choice>
      <mc:Fallback>
        <control shapeId="325637" r:id="rId17" name="ReportSubmitManagerControltb1"/>
      </mc:Fallback>
    </mc:AlternateContent>
    <mc:AlternateContent xmlns:mc="http://schemas.openxmlformats.org/markup-compatibility/2006">
      <mc:Choice Requires="x14">
        <control shapeId="325638" r:id="rId19" name="ReportSubmitControl_1tb1">
          <controlPr defaultSize="0" autoLine="0" r:id="rId20">
            <anchor moveWithCells="1" sizeWithCells="1">
              <from>
                <xdr:col>0</xdr:col>
                <xdr:colOff>0</xdr:colOff>
                <xdr:row>0</xdr:row>
                <xdr:rowOff>0</xdr:rowOff>
              </from>
              <to>
                <xdr:col>0</xdr:col>
                <xdr:colOff>0</xdr:colOff>
                <xdr:row>0</xdr:row>
                <xdr:rowOff>0</xdr:rowOff>
              </to>
            </anchor>
          </controlPr>
        </control>
      </mc:Choice>
      <mc:Fallback>
        <control shapeId="325638" r:id="rId19" name="ReportSubmitControl_1tb1"/>
      </mc:Fallback>
    </mc:AlternateContent>
    <mc:AlternateContent xmlns:mc="http://schemas.openxmlformats.org/markup-compatibility/2006">
      <mc:Choice Requires="x14">
        <control shapeId="325639" r:id="rId21" name="ReportSubmitControl_2tb1">
          <controlPr defaultSize="0" autoLine="0" autoPict="0" r:id="rId22">
            <anchor moveWithCells="1" sizeWithCells="1">
              <from>
                <xdr:col>0</xdr:col>
                <xdr:colOff>0</xdr:colOff>
                <xdr:row>0</xdr:row>
                <xdr:rowOff>0</xdr:rowOff>
              </from>
              <to>
                <xdr:col>1</xdr:col>
                <xdr:colOff>733425</xdr:colOff>
                <xdr:row>0</xdr:row>
                <xdr:rowOff>0</xdr:rowOff>
              </to>
            </anchor>
          </controlPr>
        </control>
      </mc:Choice>
      <mc:Fallback>
        <control shapeId="325639" r:id="rId21" name="ReportSubmitControl_2tb1"/>
      </mc:Fallback>
    </mc:AlternateContent>
    <mc:AlternateContent xmlns:mc="http://schemas.openxmlformats.org/markup-compatibility/2006">
      <mc:Choice Requires="x14">
        <control shapeId="325641" r:id="rId23" name="AnalyzerDynReport001tb1">
          <controlPr defaultSize="0" autoLine="0" autoPict="0" r:id="rId24">
            <anchor moveWithCells="1" sizeWithCells="1">
              <from>
                <xdr:col>0</xdr:col>
                <xdr:colOff>0</xdr:colOff>
                <xdr:row>0</xdr:row>
                <xdr:rowOff>0</xdr:rowOff>
              </from>
              <to>
                <xdr:col>1</xdr:col>
                <xdr:colOff>733425</xdr:colOff>
                <xdr:row>0</xdr:row>
                <xdr:rowOff>0</xdr:rowOff>
              </to>
            </anchor>
          </controlPr>
        </control>
      </mc:Choice>
      <mc:Fallback>
        <control shapeId="325641" r:id="rId23" name="AnalyzerDynReport001tb1"/>
      </mc:Fallback>
    </mc:AlternateContent>
    <mc:AlternateContent xmlns:mc="http://schemas.openxmlformats.org/markup-compatibility/2006">
      <mc:Choice Requires="x14">
        <control shapeId="325644" r:id="rId25" name="ReportSubmitControl_4tb1">
          <controlPr defaultSize="0" autoLine="0" autoPict="0" r:id="rId26">
            <anchor moveWithCells="1" sizeWithCells="1">
              <from>
                <xdr:col>0</xdr:col>
                <xdr:colOff>0</xdr:colOff>
                <xdr:row>0</xdr:row>
                <xdr:rowOff>0</xdr:rowOff>
              </from>
              <to>
                <xdr:col>1</xdr:col>
                <xdr:colOff>733425</xdr:colOff>
                <xdr:row>0</xdr:row>
                <xdr:rowOff>0</xdr:rowOff>
              </to>
            </anchor>
          </controlPr>
        </control>
      </mc:Choice>
      <mc:Fallback>
        <control shapeId="325644" r:id="rId25" name="ReportSubmitControl_4tb1"/>
      </mc:Fallback>
    </mc:AlternateContent>
    <mc:AlternateContent xmlns:mc="http://schemas.openxmlformats.org/markup-compatibility/2006">
      <mc:Choice Requires="x14">
        <control shapeId="325645" r:id="rId27" name="AnalyzerDynReport003tb1">
          <controlPr defaultSize="0" autoLine="0" autoPict="0" r:id="rId28">
            <anchor moveWithCells="1" sizeWithCells="1">
              <from>
                <xdr:col>0</xdr:col>
                <xdr:colOff>0</xdr:colOff>
                <xdr:row>0</xdr:row>
                <xdr:rowOff>0</xdr:rowOff>
              </from>
              <to>
                <xdr:col>1</xdr:col>
                <xdr:colOff>733425</xdr:colOff>
                <xdr:row>0</xdr:row>
                <xdr:rowOff>0</xdr:rowOff>
              </to>
            </anchor>
          </controlPr>
        </control>
      </mc:Choice>
      <mc:Fallback>
        <control shapeId="325645" r:id="rId27" name="AnalyzerDynReport003tb1"/>
      </mc:Fallback>
    </mc:AlternateContent>
    <mc:AlternateContent xmlns:mc="http://schemas.openxmlformats.org/markup-compatibility/2006">
      <mc:Choice Requires="x14">
        <control shapeId="325648" r:id="rId29" name="ReportSubmitControl_5tb1">
          <controlPr defaultSize="0" autoLine="0" autoPict="0" r:id="rId30">
            <anchor moveWithCells="1" sizeWithCells="1">
              <from>
                <xdr:col>0</xdr:col>
                <xdr:colOff>0</xdr:colOff>
                <xdr:row>0</xdr:row>
                <xdr:rowOff>0</xdr:rowOff>
              </from>
              <to>
                <xdr:col>1</xdr:col>
                <xdr:colOff>733425</xdr:colOff>
                <xdr:row>0</xdr:row>
                <xdr:rowOff>0</xdr:rowOff>
              </to>
            </anchor>
          </controlPr>
        </control>
      </mc:Choice>
      <mc:Fallback>
        <control shapeId="325648" r:id="rId29" name="ReportSubmitControl_5tb1"/>
      </mc:Fallback>
    </mc:AlternateContent>
    <mc:AlternateContent xmlns:mc="http://schemas.openxmlformats.org/markup-compatibility/2006">
      <mc:Choice Requires="x14">
        <control shapeId="325649" r:id="rId31" name="AnalyzerDynReport004tb1">
          <controlPr defaultSize="0" autoLine="0" autoPict="0" r:id="rId32">
            <anchor moveWithCells="1" sizeWithCells="1">
              <from>
                <xdr:col>0</xdr:col>
                <xdr:colOff>0</xdr:colOff>
                <xdr:row>0</xdr:row>
                <xdr:rowOff>0</xdr:rowOff>
              </from>
              <to>
                <xdr:col>1</xdr:col>
                <xdr:colOff>733425</xdr:colOff>
                <xdr:row>0</xdr:row>
                <xdr:rowOff>0</xdr:rowOff>
              </to>
            </anchor>
          </controlPr>
        </control>
      </mc:Choice>
      <mc:Fallback>
        <control shapeId="325649" r:id="rId31" name="AnalyzerDynReport004tb1"/>
      </mc:Fallback>
    </mc:AlternateContent>
    <mc:AlternateContent xmlns:mc="http://schemas.openxmlformats.org/markup-compatibility/2006">
      <mc:Choice Requires="x14">
        <control shapeId="325651" r:id="rId33" name="AnalyzerDynReport005tb1">
          <controlPr defaultSize="0" autoLine="0" autoPict="0" r:id="rId34">
            <anchor moveWithCells="1" sizeWithCells="1">
              <from>
                <xdr:col>0</xdr:col>
                <xdr:colOff>0</xdr:colOff>
                <xdr:row>0</xdr:row>
                <xdr:rowOff>0</xdr:rowOff>
              </from>
              <to>
                <xdr:col>1</xdr:col>
                <xdr:colOff>733425</xdr:colOff>
                <xdr:row>0</xdr:row>
                <xdr:rowOff>0</xdr:rowOff>
              </to>
            </anchor>
          </controlPr>
        </control>
      </mc:Choice>
      <mc:Fallback>
        <control shapeId="325651" r:id="rId33" name="AnalyzerDynReport005tb1"/>
      </mc:Fallback>
    </mc:AlternateContent>
    <mc:AlternateContent xmlns:mc="http://schemas.openxmlformats.org/markup-compatibility/2006">
      <mc:Choice Requires="x14">
        <control shapeId="325667" r:id="rId35" name="AnalyzerDynReport006tb1">
          <controlPr defaultSize="0" autoLine="0" autoPict="0" r:id="rId36">
            <anchor moveWithCells="1" sizeWithCells="1">
              <from>
                <xdr:col>0</xdr:col>
                <xdr:colOff>0</xdr:colOff>
                <xdr:row>0</xdr:row>
                <xdr:rowOff>0</xdr:rowOff>
              </from>
              <to>
                <xdr:col>1</xdr:col>
                <xdr:colOff>914400</xdr:colOff>
                <xdr:row>0</xdr:row>
                <xdr:rowOff>0</xdr:rowOff>
              </to>
            </anchor>
          </controlPr>
        </control>
      </mc:Choice>
      <mc:Fallback>
        <control shapeId="325667" r:id="rId35" name="AnalyzerDynReport006tb1"/>
      </mc:Fallback>
    </mc:AlternateContent>
    <mc:AlternateContent xmlns:mc="http://schemas.openxmlformats.org/markup-compatibility/2006">
      <mc:Choice Requires="x14">
        <control shapeId="325669" r:id="rId37" name="AnalyzerDynReport008tb1">
          <controlPr defaultSize="0" autoLine="0" autoPict="0" r:id="rId38">
            <anchor moveWithCells="1" sizeWithCells="1">
              <from>
                <xdr:col>0</xdr:col>
                <xdr:colOff>0</xdr:colOff>
                <xdr:row>0</xdr:row>
                <xdr:rowOff>0</xdr:rowOff>
              </from>
              <to>
                <xdr:col>1</xdr:col>
                <xdr:colOff>914400</xdr:colOff>
                <xdr:row>0</xdr:row>
                <xdr:rowOff>0</xdr:rowOff>
              </to>
            </anchor>
          </controlPr>
        </control>
      </mc:Choice>
      <mc:Fallback>
        <control shapeId="325669" r:id="rId37" name="AnalyzerDynReport008tb1"/>
      </mc:Fallback>
    </mc:AlternateContent>
    <mc:AlternateContent xmlns:mc="http://schemas.openxmlformats.org/markup-compatibility/2006">
      <mc:Choice Requires="x14">
        <control shapeId="325671" r:id="rId39" name="AnalyzerDynReport009tb1">
          <controlPr defaultSize="0" autoLine="0" autoPict="0" r:id="rId40">
            <anchor moveWithCells="1" sizeWithCells="1">
              <from>
                <xdr:col>0</xdr:col>
                <xdr:colOff>0</xdr:colOff>
                <xdr:row>0</xdr:row>
                <xdr:rowOff>0</xdr:rowOff>
              </from>
              <to>
                <xdr:col>1</xdr:col>
                <xdr:colOff>914400</xdr:colOff>
                <xdr:row>0</xdr:row>
                <xdr:rowOff>0</xdr:rowOff>
              </to>
            </anchor>
          </controlPr>
        </control>
      </mc:Choice>
      <mc:Fallback>
        <control shapeId="325671" r:id="rId39" name="AnalyzerDynReport009tb1"/>
      </mc:Fallback>
    </mc:AlternateContent>
    <mc:AlternateContent xmlns:mc="http://schemas.openxmlformats.org/markup-compatibility/2006">
      <mc:Choice Requires="x14">
        <control shapeId="325673" r:id="rId41" name="Button 41">
          <controlPr defaultSize="0" print="0" autoFill="0" autoPict="0" macro="[0]!CONSULTAR_INFORMACION">
            <anchor moveWithCells="1" sizeWithCells="1">
              <from>
                <xdr:col>4</xdr:col>
                <xdr:colOff>314325</xdr:colOff>
                <xdr:row>1</xdr:row>
                <xdr:rowOff>171450</xdr:rowOff>
              </from>
              <to>
                <xdr:col>5</xdr:col>
                <xdr:colOff>1257300</xdr:colOff>
                <xdr:row>2</xdr:row>
                <xdr:rowOff>180975</xdr:rowOff>
              </to>
            </anchor>
          </controlPr>
        </control>
      </mc:Choice>
    </mc:AlternateContent>
    <mc:AlternateContent xmlns:mc="http://schemas.openxmlformats.org/markup-compatibility/2006">
      <mc:Choice Requires="x14">
        <control shapeId="325680" r:id="rId42" name="Button 48">
          <controlPr defaultSize="0" print="0" autoFill="0" autoPict="0" macro="[0]!GUARDAR_INFORMACION">
            <anchor moveWithCells="1" sizeWithCells="1">
              <from>
                <xdr:col>7</xdr:col>
                <xdr:colOff>323850</xdr:colOff>
                <xdr:row>0</xdr:row>
                <xdr:rowOff>133350</xdr:rowOff>
              </from>
              <to>
                <xdr:col>7</xdr:col>
                <xdr:colOff>2686050</xdr:colOff>
                <xdr:row>0</xdr:row>
                <xdr:rowOff>333375</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error="Por favor, elegir una fecha correcta. ">
          <x14:formula1>
            <xm:f>Resultados!$BG$6:$BG$37</xm:f>
          </x14:formula1>
          <xm:sqref>C4:D5</xm:sqref>
        </x14:dataValidation>
        <x14:dataValidation type="list" allowBlank="1" showErrorMessage="1" error="Por favor seleccione Si o no">
          <x14:formula1>
            <xm:f>Resultados!$A$67:$A$68</xm:f>
          </x14:formula1>
          <xm:sqref>N71:N86 N94:N96</xm:sqref>
        </x14:dataValidation>
        <x14:dataValidation type="list" allowBlank="1" showInputMessage="1" showErrorMessage="1" error="Por favor, Elegir una Entidad valida">
          <x14:formula1>
            <xm:f>Resultados!$BA$6:$BA$77</xm:f>
          </x14:formula1>
          <xm:sqref>C3:D3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H2055"/>
  <sheetViews>
    <sheetView topLeftCell="A1919" workbookViewId="0">
      <selection activeCell="E1938" sqref="E1938"/>
    </sheetView>
  </sheetViews>
  <sheetFormatPr baseColWidth="10" defaultRowHeight="15"/>
  <cols>
    <col min="1" max="2" width="11.42578125" style="27"/>
    <col min="3" max="3" width="9" bestFit="1" customWidth="1"/>
    <col min="4" max="4" width="10.140625" bestFit="1" customWidth="1"/>
    <col min="5" max="5" width="25" bestFit="1" customWidth="1"/>
  </cols>
  <sheetData>
    <row r="1" spans="1:8">
      <c r="A1" s="27" t="s">
        <v>699</v>
      </c>
      <c r="B1" s="27" t="s">
        <v>14860</v>
      </c>
      <c r="C1" s="27" t="s">
        <v>632</v>
      </c>
      <c r="D1" s="27" t="s">
        <v>14861</v>
      </c>
      <c r="E1" s="27" t="s">
        <v>701</v>
      </c>
      <c r="F1" t="s">
        <v>2034</v>
      </c>
    </row>
    <row r="2" spans="1:8">
      <c r="A2" s="27" t="str">
        <f>Resultados!$K$3</f>
        <v/>
      </c>
      <c r="B2" s="27" t="str">
        <f>Resultados!$K$4</f>
        <v/>
      </c>
      <c r="C2" s="568" t="str">
        <f>'900000'!$B22</f>
        <v>09901002</v>
      </c>
      <c r="D2" t="str">
        <f>'900000'!$C$19</f>
        <v>C09901002</v>
      </c>
      <c r="E2">
        <f>'900000'!$C22</f>
        <v>0</v>
      </c>
      <c r="F2" t="s">
        <v>19081</v>
      </c>
      <c r="H2" s="27"/>
    </row>
    <row r="3" spans="1:8">
      <c r="A3" s="27" t="str">
        <f>Resultados!$K$3</f>
        <v/>
      </c>
      <c r="B3" s="27" t="str">
        <f>Resultados!$K$4</f>
        <v/>
      </c>
      <c r="C3" s="568" t="str">
        <f>'900000'!$B23</f>
        <v>09901003</v>
      </c>
      <c r="D3" s="27" t="str">
        <f>'900000'!$C$19</f>
        <v>C09901002</v>
      </c>
      <c r="E3" s="27">
        <f>'900000'!$C23</f>
        <v>0</v>
      </c>
      <c r="F3" s="27" t="s">
        <v>19081</v>
      </c>
      <c r="H3" s="27"/>
    </row>
    <row r="4" spans="1:8">
      <c r="A4" s="27" t="str">
        <f>Resultados!$K$3</f>
        <v/>
      </c>
      <c r="B4" s="27" t="str">
        <f>Resultados!$K$4</f>
        <v/>
      </c>
      <c r="C4" s="568" t="str">
        <f>'900000'!$B24</f>
        <v>09901004</v>
      </c>
      <c r="D4" s="27" t="str">
        <f>'900000'!$C$19</f>
        <v>C09901002</v>
      </c>
      <c r="E4" s="27">
        <f>'900000'!$C24</f>
        <v>0</v>
      </c>
      <c r="F4" s="27" t="s">
        <v>19081</v>
      </c>
    </row>
    <row r="5" spans="1:8">
      <c r="A5" s="27" t="str">
        <f>Resultados!$K$3</f>
        <v/>
      </c>
      <c r="B5" s="27" t="str">
        <f>Resultados!$K$4</f>
        <v/>
      </c>
      <c r="C5" s="568" t="str">
        <f>'900000'!$B25</f>
        <v>09901005</v>
      </c>
      <c r="D5" s="27" t="str">
        <f>'900000'!$C$19</f>
        <v>C09901002</v>
      </c>
      <c r="E5" s="27">
        <f>'900000'!$C25</f>
        <v>0</v>
      </c>
      <c r="F5" s="27" t="s">
        <v>19081</v>
      </c>
    </row>
    <row r="6" spans="1:8">
      <c r="A6" s="27" t="str">
        <f>Resultados!$K$3</f>
        <v/>
      </c>
      <c r="B6" s="27" t="str">
        <f>Resultados!$K$4</f>
        <v/>
      </c>
      <c r="C6" s="568" t="str">
        <f>'900000'!$B26</f>
        <v>09901006</v>
      </c>
      <c r="D6" s="27" t="str">
        <f>'900000'!$C$19</f>
        <v>C09901002</v>
      </c>
      <c r="E6" s="27">
        <f>'900000'!$C26</f>
        <v>0</v>
      </c>
      <c r="F6" s="27" t="s">
        <v>19081</v>
      </c>
    </row>
    <row r="7" spans="1:8">
      <c r="A7" s="27" t="str">
        <f>Resultados!$K$3</f>
        <v/>
      </c>
      <c r="B7" s="27" t="str">
        <f>Resultados!$K$4</f>
        <v/>
      </c>
      <c r="C7" s="568" t="str">
        <f>'900000'!$B27</f>
        <v>09901007</v>
      </c>
      <c r="D7" s="27" t="str">
        <f>'900000'!$C$19</f>
        <v>C09901002</v>
      </c>
      <c r="E7" s="27">
        <f>'900000'!$C27</f>
        <v>0</v>
      </c>
      <c r="F7" s="27" t="s">
        <v>19081</v>
      </c>
    </row>
    <row r="8" spans="1:8">
      <c r="A8" s="27" t="str">
        <f>Resultados!$K$3</f>
        <v/>
      </c>
      <c r="B8" s="27" t="str">
        <f>Resultados!$K$4</f>
        <v/>
      </c>
      <c r="C8" s="568" t="str">
        <f>'900000'!$B28</f>
        <v>09901008</v>
      </c>
      <c r="D8" s="27" t="str">
        <f>'900000'!$C$19</f>
        <v>C09901002</v>
      </c>
      <c r="E8" s="27">
        <f>'900000'!$C28</f>
        <v>0</v>
      </c>
      <c r="F8" s="27" t="s">
        <v>19081</v>
      </c>
    </row>
    <row r="9" spans="1:8">
      <c r="A9" s="27" t="str">
        <f>Resultados!$K$3</f>
        <v/>
      </c>
      <c r="B9" s="27" t="str">
        <f>Resultados!$K$4</f>
        <v/>
      </c>
      <c r="C9" s="568" t="str">
        <f>'900000'!$B29</f>
        <v>09901009</v>
      </c>
      <c r="D9" s="27" t="str">
        <f>'900000'!$C$19</f>
        <v>C09901002</v>
      </c>
      <c r="E9" s="27">
        <f>'900000'!$C29</f>
        <v>0</v>
      </c>
      <c r="F9" s="27" t="s">
        <v>19081</v>
      </c>
    </row>
    <row r="10" spans="1:8">
      <c r="A10" s="27" t="str">
        <f>Resultados!$K$3</f>
        <v/>
      </c>
      <c r="B10" s="27" t="str">
        <f>Resultados!$K$4</f>
        <v/>
      </c>
      <c r="C10" s="568" t="str">
        <f>'900000'!$B30</f>
        <v>09901010</v>
      </c>
      <c r="D10" s="27" t="str">
        <f>'900000'!$C$19</f>
        <v>C09901002</v>
      </c>
      <c r="E10" s="27">
        <f>'900000'!$C30</f>
        <v>0</v>
      </c>
      <c r="F10" s="27" t="s">
        <v>19081</v>
      </c>
    </row>
    <row r="11" spans="1:8">
      <c r="A11" s="27" t="str">
        <f>Resultados!$K$3</f>
        <v/>
      </c>
      <c r="B11" s="27" t="str">
        <f>Resultados!$K$4</f>
        <v/>
      </c>
      <c r="C11" s="568" t="str">
        <f>'900000'!$B31</f>
        <v>09901011</v>
      </c>
      <c r="D11" s="27" t="str">
        <f>'900000'!$C$19</f>
        <v>C09901002</v>
      </c>
      <c r="E11" s="27">
        <f>'900000'!$C31</f>
        <v>0</v>
      </c>
      <c r="F11" s="27" t="s">
        <v>19081</v>
      </c>
    </row>
    <row r="12" spans="1:8">
      <c r="A12" s="27" t="str">
        <f>Resultados!$K$3</f>
        <v/>
      </c>
      <c r="B12" s="27" t="str">
        <f>Resultados!$K$4</f>
        <v/>
      </c>
      <c r="C12" s="568" t="str">
        <f>'900000'!$B32</f>
        <v>09901012</v>
      </c>
      <c r="D12" s="27" t="str">
        <f>'900000'!$C$19</f>
        <v>C09901002</v>
      </c>
      <c r="E12" s="27">
        <f>'900000'!$C32</f>
        <v>0</v>
      </c>
      <c r="F12" s="27" t="s">
        <v>19081</v>
      </c>
    </row>
    <row r="13" spans="1:8">
      <c r="A13" s="27" t="str">
        <f>Resultados!$K$3</f>
        <v/>
      </c>
      <c r="B13" s="27" t="str">
        <f>Resultados!$K$4</f>
        <v/>
      </c>
      <c r="C13" s="568" t="str">
        <f>'900000'!$B33</f>
        <v>09901013</v>
      </c>
      <c r="D13" s="27" t="str">
        <f>'900000'!$C$19</f>
        <v>C09901002</v>
      </c>
      <c r="E13" s="27">
        <f>'900000'!$C33</f>
        <v>0</v>
      </c>
      <c r="F13" s="27" t="s">
        <v>19081</v>
      </c>
    </row>
    <row r="14" spans="1:8">
      <c r="A14" s="27" t="str">
        <f>Resultados!$K$3</f>
        <v/>
      </c>
      <c r="B14" s="27" t="str">
        <f>Resultados!$K$4</f>
        <v/>
      </c>
      <c r="C14" s="568" t="str">
        <f>'900000'!$B34</f>
        <v>09901014</v>
      </c>
      <c r="D14" s="27" t="str">
        <f>'900000'!$C$19</f>
        <v>C09901002</v>
      </c>
      <c r="E14" s="27">
        <f>'900000'!$C34</f>
        <v>0</v>
      </c>
      <c r="F14" s="27" t="s">
        <v>19081</v>
      </c>
    </row>
    <row r="15" spans="1:8">
      <c r="A15" s="27" t="str">
        <f>Resultados!$K$3</f>
        <v/>
      </c>
      <c r="B15" s="27" t="str">
        <f>Resultados!$K$4</f>
        <v/>
      </c>
      <c r="C15" s="568" t="str">
        <f>'900000'!$B35</f>
        <v>09901015</v>
      </c>
      <c r="D15" s="27" t="str">
        <f>'900000'!$C$19</f>
        <v>C09901002</v>
      </c>
      <c r="E15" s="27">
        <f>'900000'!$C35</f>
        <v>0</v>
      </c>
      <c r="F15" s="27" t="s">
        <v>19081</v>
      </c>
    </row>
    <row r="16" spans="1:8">
      <c r="A16" s="27" t="str">
        <f>Resultados!$K$3</f>
        <v/>
      </c>
      <c r="B16" s="27" t="str">
        <f>Resultados!$K$4</f>
        <v/>
      </c>
      <c r="C16" s="568" t="str">
        <f>'900000'!$B36</f>
        <v>09901016</v>
      </c>
      <c r="D16" s="27" t="str">
        <f>'900000'!$C$19</f>
        <v>C09901002</v>
      </c>
      <c r="E16" s="27">
        <f>'900000'!$C36</f>
        <v>0</v>
      </c>
      <c r="F16" s="27" t="s">
        <v>19081</v>
      </c>
    </row>
    <row r="17" spans="1:6">
      <c r="A17" s="27" t="str">
        <f>Resultados!$K$3</f>
        <v/>
      </c>
      <c r="B17" s="27" t="str">
        <f>Resultados!$K$4</f>
        <v/>
      </c>
      <c r="C17" s="568" t="str">
        <f>'900000'!$B37</f>
        <v>09901017</v>
      </c>
      <c r="D17" s="27" t="str">
        <f>'900000'!$C$19</f>
        <v>C09901002</v>
      </c>
      <c r="E17" s="27">
        <f>'900000'!$C37</f>
        <v>0</v>
      </c>
      <c r="F17" s="27" t="s">
        <v>19081</v>
      </c>
    </row>
    <row r="18" spans="1:6">
      <c r="A18" s="27" t="str">
        <f>Resultados!$K$3</f>
        <v/>
      </c>
      <c r="B18" s="27" t="str">
        <f>Resultados!$K$4</f>
        <v/>
      </c>
      <c r="C18" s="568" t="str">
        <f>'900000'!$B38</f>
        <v>09901018</v>
      </c>
      <c r="D18" s="27" t="str">
        <f>'900000'!$C$19</f>
        <v>C09901002</v>
      </c>
      <c r="E18" s="27">
        <f>'900000'!$C38</f>
        <v>0</v>
      </c>
      <c r="F18" s="27" t="s">
        <v>19081</v>
      </c>
    </row>
    <row r="19" spans="1:6">
      <c r="A19" s="27" t="str">
        <f>Resultados!$K$3</f>
        <v/>
      </c>
      <c r="B19" s="27" t="str">
        <f>Resultados!$K$4</f>
        <v/>
      </c>
      <c r="C19" s="568" t="str">
        <f>'900000'!$B39</f>
        <v>09901019</v>
      </c>
      <c r="D19" s="27" t="str">
        <f>'900000'!$C$19</f>
        <v>C09901002</v>
      </c>
      <c r="E19" s="27">
        <f>'900000'!$C39</f>
        <v>0</v>
      </c>
      <c r="F19" s="27" t="s">
        <v>19081</v>
      </c>
    </row>
    <row r="20" spans="1:6">
      <c r="A20" s="27" t="str">
        <f>Resultados!$K$3</f>
        <v/>
      </c>
      <c r="B20" s="27" t="str">
        <f>Resultados!$K$4</f>
        <v/>
      </c>
      <c r="C20" s="568" t="str">
        <f>'900000'!$B40</f>
        <v>09901020</v>
      </c>
      <c r="D20" s="27" t="str">
        <f>'900000'!$C$19</f>
        <v>C09901002</v>
      </c>
      <c r="E20" s="27">
        <f>'900000'!$C40</f>
        <v>0</v>
      </c>
      <c r="F20" s="27" t="s">
        <v>19081</v>
      </c>
    </row>
    <row r="21" spans="1:6">
      <c r="A21" s="27" t="str">
        <f>Resultados!$K$3</f>
        <v/>
      </c>
      <c r="B21" s="27" t="str">
        <f>Resultados!$K$4</f>
        <v/>
      </c>
      <c r="C21" s="568" t="str">
        <f>'900000'!$B41</f>
        <v>09901021</v>
      </c>
      <c r="D21" s="27" t="str">
        <f>'900000'!$C$19</f>
        <v>C09901002</v>
      </c>
      <c r="E21" s="27">
        <f>'900000'!$C41</f>
        <v>0</v>
      </c>
      <c r="F21" s="27" t="s">
        <v>19081</v>
      </c>
    </row>
    <row r="22" spans="1:6">
      <c r="A22" s="27" t="str">
        <f>Resultados!$K$3</f>
        <v/>
      </c>
      <c r="B22" s="27" t="str">
        <f>Resultados!$K$4</f>
        <v/>
      </c>
      <c r="C22" s="568" t="str">
        <f>'900000'!$B42</f>
        <v>09901022</v>
      </c>
      <c r="D22" s="27" t="str">
        <f>'900000'!$C$19</f>
        <v>C09901002</v>
      </c>
      <c r="E22" s="27">
        <f>'900000'!$C42</f>
        <v>0</v>
      </c>
      <c r="F22" s="27" t="s">
        <v>19081</v>
      </c>
    </row>
    <row r="23" spans="1:6">
      <c r="A23" s="27" t="str">
        <f>Resultados!$K$3</f>
        <v/>
      </c>
      <c r="B23" s="27" t="str">
        <f>Resultados!$K$4</f>
        <v/>
      </c>
      <c r="C23" s="568" t="str">
        <f>'900000'!$B43</f>
        <v>09901023</v>
      </c>
      <c r="D23" s="27" t="str">
        <f>'900000'!$C$19</f>
        <v>C09901002</v>
      </c>
      <c r="E23" s="27">
        <f>'900000'!$C43</f>
        <v>0</v>
      </c>
      <c r="F23" s="27" t="s">
        <v>19081</v>
      </c>
    </row>
    <row r="24" spans="1:6">
      <c r="A24" s="27" t="str">
        <f>Resultados!$K$3</f>
        <v/>
      </c>
      <c r="B24" s="27" t="str">
        <f>Resultados!$K$4</f>
        <v/>
      </c>
      <c r="C24" s="568" t="str">
        <f>'900000'!$B44</f>
        <v>09901024</v>
      </c>
      <c r="D24" s="27" t="str">
        <f>'900000'!$C$19</f>
        <v>C09901002</v>
      </c>
      <c r="E24" s="27">
        <f>'900000'!$C44</f>
        <v>0</v>
      </c>
      <c r="F24" s="27" t="s">
        <v>19081</v>
      </c>
    </row>
    <row r="25" spans="1:6">
      <c r="A25" s="27" t="str">
        <f>Resultados!$K$3</f>
        <v/>
      </c>
      <c r="B25" s="27" t="str">
        <f>Resultados!$K$4</f>
        <v/>
      </c>
      <c r="C25" s="568" t="str">
        <f>'900000'!$B45</f>
        <v>09901025</v>
      </c>
      <c r="D25" s="27" t="str">
        <f>'900000'!$C$19</f>
        <v>C09901002</v>
      </c>
      <c r="E25" s="27">
        <f>'900000'!$C45</f>
        <v>0</v>
      </c>
      <c r="F25" s="27" t="s">
        <v>19081</v>
      </c>
    </row>
    <row r="26" spans="1:6">
      <c r="A26" s="27" t="str">
        <f>Resultados!$K$3</f>
        <v/>
      </c>
      <c r="B26" s="27" t="str">
        <f>Resultados!$K$4</f>
        <v/>
      </c>
      <c r="C26" s="568" t="str">
        <f>'900000'!$B46</f>
        <v>09901026</v>
      </c>
      <c r="D26" s="27" t="str">
        <f>'900000'!$C$19</f>
        <v>C09901002</v>
      </c>
      <c r="E26" s="27">
        <f>'900000'!$C46</f>
        <v>0</v>
      </c>
      <c r="F26" s="27" t="s">
        <v>19081</v>
      </c>
    </row>
    <row r="27" spans="1:6">
      <c r="A27" s="27" t="str">
        <f>Resultados!$K$3</f>
        <v/>
      </c>
      <c r="B27" s="27" t="str">
        <f>Resultados!$K$4</f>
        <v/>
      </c>
      <c r="C27" s="568" t="str">
        <f>'900000'!$B47</f>
        <v>09901027</v>
      </c>
      <c r="D27" s="27" t="str">
        <f>'900000'!$C$19</f>
        <v>C09901002</v>
      </c>
      <c r="E27" s="27">
        <f>'900000'!$C47</f>
        <v>0</v>
      </c>
      <c r="F27" s="27" t="s">
        <v>19081</v>
      </c>
    </row>
    <row r="28" spans="1:6">
      <c r="A28" s="27" t="str">
        <f>Resultados!$K$3</f>
        <v/>
      </c>
      <c r="B28" s="27" t="str">
        <f>Resultados!$K$4</f>
        <v/>
      </c>
      <c r="C28" s="568" t="str">
        <f>'900000'!$B48</f>
        <v>09901028</v>
      </c>
      <c r="D28" s="27" t="str">
        <f>'900000'!$C$19</f>
        <v>C09901002</v>
      </c>
      <c r="E28" s="27">
        <f>'900000'!$C48</f>
        <v>0</v>
      </c>
      <c r="F28" s="27" t="s">
        <v>19081</v>
      </c>
    </row>
    <row r="29" spans="1:6">
      <c r="A29" s="27" t="str">
        <f>Resultados!$K$3</f>
        <v/>
      </c>
      <c r="B29" s="27" t="str">
        <f>Resultados!$K$4</f>
        <v/>
      </c>
      <c r="C29" s="568" t="str">
        <f>'900000'!$B49</f>
        <v>09901029</v>
      </c>
      <c r="D29" s="27" t="str">
        <f>'900000'!$C$19</f>
        <v>C09901002</v>
      </c>
      <c r="E29" s="27">
        <f>'900000'!$C49</f>
        <v>0</v>
      </c>
      <c r="F29" s="27" t="s">
        <v>19081</v>
      </c>
    </row>
    <row r="30" spans="1:6">
      <c r="A30" s="27" t="str">
        <f>Resultados!$K$3</f>
        <v/>
      </c>
      <c r="B30" s="27" t="str">
        <f>Resultados!$K$4</f>
        <v/>
      </c>
      <c r="C30" s="568" t="str">
        <f>'900000'!$B50</f>
        <v>09901030</v>
      </c>
      <c r="D30" s="27" t="str">
        <f>'900000'!$C$19</f>
        <v>C09901002</v>
      </c>
      <c r="E30" s="27">
        <f>'900000'!$C50</f>
        <v>0</v>
      </c>
      <c r="F30" s="27" t="s">
        <v>19081</v>
      </c>
    </row>
    <row r="31" spans="1:6">
      <c r="A31" s="27" t="str">
        <f>Resultados!$K$3</f>
        <v/>
      </c>
      <c r="B31" s="27" t="str">
        <f>Resultados!$K$4</f>
        <v/>
      </c>
      <c r="C31" s="568" t="str">
        <f>'900000'!$B51</f>
        <v>09901031</v>
      </c>
      <c r="D31" s="27" t="str">
        <f>'900000'!$C$19</f>
        <v>C09901002</v>
      </c>
      <c r="E31" s="27">
        <f>'900000'!$C51</f>
        <v>0</v>
      </c>
      <c r="F31" s="27" t="s">
        <v>19081</v>
      </c>
    </row>
    <row r="32" spans="1:6">
      <c r="A32" s="27" t="str">
        <f>Resultados!$K$3</f>
        <v/>
      </c>
      <c r="B32" s="27" t="str">
        <f>Resultados!$K$4</f>
        <v/>
      </c>
      <c r="C32" s="568" t="str">
        <f>'900000'!$B52</f>
        <v>09901032</v>
      </c>
      <c r="D32" s="27" t="str">
        <f>'900000'!$C$19</f>
        <v>C09901002</v>
      </c>
      <c r="E32" s="27">
        <f>'900000'!$C52</f>
        <v>0</v>
      </c>
      <c r="F32" s="27" t="s">
        <v>19081</v>
      </c>
    </row>
    <row r="33" spans="1:6">
      <c r="A33" s="27" t="str">
        <f>Resultados!$K$3</f>
        <v/>
      </c>
      <c r="B33" s="27" t="str">
        <f>Resultados!$K$4</f>
        <v/>
      </c>
      <c r="C33" s="568" t="str">
        <f>'900000'!$B53</f>
        <v>09901033</v>
      </c>
      <c r="D33" s="27" t="str">
        <f>'900000'!$C$19</f>
        <v>C09901002</v>
      </c>
      <c r="E33" s="27">
        <f>'900000'!$C53</f>
        <v>0</v>
      </c>
      <c r="F33" s="27" t="s">
        <v>19081</v>
      </c>
    </row>
    <row r="34" spans="1:6">
      <c r="A34" s="27" t="str">
        <f>Resultados!$K$3</f>
        <v/>
      </c>
      <c r="B34" s="27" t="str">
        <f>Resultados!$K$4</f>
        <v/>
      </c>
      <c r="C34" s="568" t="str">
        <f>'900000'!$B54</f>
        <v>09901034</v>
      </c>
      <c r="D34" s="27" t="str">
        <f>'900000'!$C$19</f>
        <v>C09901002</v>
      </c>
      <c r="E34" s="27">
        <f>'900000'!$C54</f>
        <v>0</v>
      </c>
      <c r="F34" s="27" t="s">
        <v>19081</v>
      </c>
    </row>
    <row r="35" spans="1:6">
      <c r="A35" s="27" t="str">
        <f>Resultados!$K$3</f>
        <v/>
      </c>
      <c r="B35" s="27" t="str">
        <f>Resultados!$K$4</f>
        <v/>
      </c>
      <c r="C35" s="568" t="str">
        <f>'900000'!$B55</f>
        <v>09901035</v>
      </c>
      <c r="D35" s="27" t="str">
        <f>'900000'!$C$19</f>
        <v>C09901002</v>
      </c>
      <c r="E35" s="27">
        <f>'900000'!$C55</f>
        <v>0</v>
      </c>
      <c r="F35" s="27" t="s">
        <v>19081</v>
      </c>
    </row>
    <row r="36" spans="1:6">
      <c r="A36" s="27" t="str">
        <f>Resultados!$K$3</f>
        <v/>
      </c>
      <c r="B36" s="27" t="str">
        <f>Resultados!$K$4</f>
        <v/>
      </c>
      <c r="C36" s="568" t="str">
        <f>'900000'!$B56</f>
        <v>09901036</v>
      </c>
      <c r="D36" s="27" t="str">
        <f>'900000'!$C$19</f>
        <v>C09901002</v>
      </c>
      <c r="E36" s="27">
        <f>'900000'!$C56</f>
        <v>0</v>
      </c>
      <c r="F36" s="27" t="s">
        <v>19081</v>
      </c>
    </row>
    <row r="37" spans="1:6">
      <c r="A37" s="27" t="str">
        <f>Resultados!$K$3</f>
        <v/>
      </c>
      <c r="B37" s="27" t="str">
        <f>Resultados!$K$4</f>
        <v/>
      </c>
      <c r="C37" s="568" t="str">
        <f>'900000'!$B57</f>
        <v>09901037</v>
      </c>
      <c r="D37" s="27" t="str">
        <f>'900000'!$C$19</f>
        <v>C09901002</v>
      </c>
      <c r="E37" s="27">
        <f>'900000'!$C57</f>
        <v>0</v>
      </c>
      <c r="F37" s="27" t="s">
        <v>19081</v>
      </c>
    </row>
    <row r="38" spans="1:6">
      <c r="A38" s="27" t="str">
        <f>Resultados!$K$3</f>
        <v/>
      </c>
      <c r="B38" s="27" t="str">
        <f>Resultados!$K$4</f>
        <v/>
      </c>
      <c r="C38" s="568" t="str">
        <f>'900000'!$B58</f>
        <v>09901038</v>
      </c>
      <c r="D38" s="27" t="str">
        <f>'900000'!$C$19</f>
        <v>C09901002</v>
      </c>
      <c r="E38" s="27">
        <f>'900000'!$C58</f>
        <v>0</v>
      </c>
      <c r="F38" s="27" t="s">
        <v>19081</v>
      </c>
    </row>
    <row r="39" spans="1:6">
      <c r="A39" s="27" t="str">
        <f>Resultados!$K$3</f>
        <v/>
      </c>
      <c r="B39" s="27" t="str">
        <f>Resultados!$K$4</f>
        <v/>
      </c>
      <c r="C39" s="568" t="str">
        <f>'900000'!$B59</f>
        <v>09901039</v>
      </c>
      <c r="D39" s="27" t="str">
        <f>'900000'!$C$19</f>
        <v>C09901002</v>
      </c>
      <c r="E39" s="27">
        <f>'900000'!$C59</f>
        <v>0</v>
      </c>
      <c r="F39" s="27" t="s">
        <v>19081</v>
      </c>
    </row>
    <row r="40" spans="1:6">
      <c r="A40" s="27" t="str">
        <f>Resultados!$K$3</f>
        <v/>
      </c>
      <c r="B40" s="27" t="str">
        <f>Resultados!$K$4</f>
        <v/>
      </c>
      <c r="C40" s="568" t="str">
        <f>'900000'!$B60</f>
        <v>09901040</v>
      </c>
      <c r="D40" s="27" t="str">
        <f>'900000'!$C$19</f>
        <v>C09901002</v>
      </c>
      <c r="E40" s="27">
        <f>'900000'!$C60</f>
        <v>0</v>
      </c>
      <c r="F40" s="27" t="s">
        <v>19081</v>
      </c>
    </row>
    <row r="41" spans="1:6">
      <c r="A41" s="27" t="str">
        <f>Resultados!$K$3</f>
        <v/>
      </c>
      <c r="B41" s="27" t="str">
        <f>Resultados!$K$4</f>
        <v/>
      </c>
      <c r="C41" s="568" t="str">
        <f>'900000'!$B61</f>
        <v>09901041</v>
      </c>
      <c r="D41" s="27" t="str">
        <f>'900000'!$C$19</f>
        <v>C09901002</v>
      </c>
      <c r="E41" s="27">
        <f>'900000'!$C61</f>
        <v>0</v>
      </c>
      <c r="F41" s="27" t="s">
        <v>19081</v>
      </c>
    </row>
    <row r="42" spans="1:6">
      <c r="A42" s="27" t="str">
        <f>Resultados!$K$3</f>
        <v/>
      </c>
      <c r="B42" s="27" t="str">
        <f>Resultados!$K$4</f>
        <v/>
      </c>
      <c r="C42" s="568" t="str">
        <f>'900000'!$B62</f>
        <v>09901042</v>
      </c>
      <c r="D42" s="27" t="str">
        <f>'900000'!$C$19</f>
        <v>C09901002</v>
      </c>
      <c r="E42" s="27">
        <f>'900000'!$C62</f>
        <v>0</v>
      </c>
      <c r="F42" s="27" t="s">
        <v>19081</v>
      </c>
    </row>
    <row r="43" spans="1:6">
      <c r="A43" s="27" t="str">
        <f>Resultados!$K$3</f>
        <v/>
      </c>
      <c r="B43" s="27" t="str">
        <f>Resultados!$K$4</f>
        <v/>
      </c>
      <c r="C43" s="568" t="str">
        <f>'900000'!$B63</f>
        <v>09901043</v>
      </c>
      <c r="D43" s="27" t="str">
        <f>'900000'!$C$19</f>
        <v>C09901002</v>
      </c>
      <c r="E43" s="27">
        <f>'900000'!$C63</f>
        <v>0</v>
      </c>
      <c r="F43" s="27" t="s">
        <v>19081</v>
      </c>
    </row>
    <row r="44" spans="1:6">
      <c r="A44" s="27" t="str">
        <f>Resultados!$K$3</f>
        <v/>
      </c>
      <c r="B44" s="27" t="str">
        <f>Resultados!$K$4</f>
        <v/>
      </c>
      <c r="C44" s="568" t="str">
        <f>'900000'!$B64</f>
        <v>09901044</v>
      </c>
      <c r="D44" s="27" t="str">
        <f>'900000'!$C$19</f>
        <v>C09901002</v>
      </c>
      <c r="E44" s="27">
        <f>'900000'!$C64</f>
        <v>0</v>
      </c>
      <c r="F44" s="27" t="s">
        <v>19081</v>
      </c>
    </row>
    <row r="45" spans="1:6">
      <c r="A45" s="27" t="str">
        <f>Resultados!$K$3</f>
        <v/>
      </c>
      <c r="B45" s="27" t="str">
        <f>Resultados!$K$4</f>
        <v/>
      </c>
      <c r="C45" s="568" t="str">
        <f>'900000'!$B65</f>
        <v>09901045</v>
      </c>
      <c r="D45" s="27" t="str">
        <f>'900000'!$C$19</f>
        <v>C09901002</v>
      </c>
      <c r="E45" s="27">
        <f>'900000'!$C65</f>
        <v>0</v>
      </c>
      <c r="F45" s="27" t="s">
        <v>19081</v>
      </c>
    </row>
    <row r="46" spans="1:6">
      <c r="A46" s="27" t="str">
        <f>Resultados!$K$3</f>
        <v/>
      </c>
      <c r="B46" s="27" t="str">
        <f>Resultados!$K$4</f>
        <v/>
      </c>
      <c r="C46" s="568" t="str">
        <f>'900000'!$B66</f>
        <v>09901046</v>
      </c>
      <c r="D46" s="27" t="str">
        <f>'900000'!$C$19</f>
        <v>C09901002</v>
      </c>
      <c r="E46" s="27">
        <f>'900000'!$C66</f>
        <v>0</v>
      </c>
      <c r="F46" s="27" t="s">
        <v>19081</v>
      </c>
    </row>
    <row r="47" spans="1:6">
      <c r="A47" s="27" t="str">
        <f>Resultados!$K$3</f>
        <v/>
      </c>
      <c r="B47" s="27" t="str">
        <f>Resultados!$K$4</f>
        <v/>
      </c>
      <c r="C47" s="568" t="str">
        <f>'900000'!$B67</f>
        <v>09901047</v>
      </c>
      <c r="D47" s="27" t="str">
        <f>'900000'!$C$19</f>
        <v>C09901002</v>
      </c>
      <c r="E47" s="27">
        <f>'900000'!$C67</f>
        <v>0</v>
      </c>
      <c r="F47" s="27" t="s">
        <v>19081</v>
      </c>
    </row>
    <row r="48" spans="1:6">
      <c r="A48" s="27" t="str">
        <f>Resultados!$K$3</f>
        <v/>
      </c>
      <c r="B48" s="27" t="str">
        <f>Resultados!$K$4</f>
        <v/>
      </c>
      <c r="C48" s="568" t="str">
        <f>'900000'!$B68</f>
        <v>09901048</v>
      </c>
      <c r="D48" s="27" t="str">
        <f>'900000'!$C$19</f>
        <v>C09901002</v>
      </c>
      <c r="E48" s="27">
        <f>'900000'!$C68</f>
        <v>0</v>
      </c>
      <c r="F48" s="27" t="s">
        <v>19081</v>
      </c>
    </row>
    <row r="49" spans="1:6">
      <c r="A49" s="27" t="str">
        <f>Resultados!$K$3</f>
        <v/>
      </c>
      <c r="B49" s="27" t="str">
        <f>Resultados!$K$4</f>
        <v/>
      </c>
      <c r="C49" s="568" t="str">
        <f>'900000'!$B69</f>
        <v>09901049</v>
      </c>
      <c r="D49" s="27" t="str">
        <f>'900000'!$C$19</f>
        <v>C09901002</v>
      </c>
      <c r="E49" s="27">
        <f>'900000'!$C69</f>
        <v>0</v>
      </c>
      <c r="F49" s="27" t="s">
        <v>19081</v>
      </c>
    </row>
    <row r="50" spans="1:6">
      <c r="A50" s="27" t="str">
        <f>Resultados!$K$3</f>
        <v/>
      </c>
      <c r="B50" s="27" t="str">
        <f>Resultados!$K$4</f>
        <v/>
      </c>
      <c r="C50" s="568" t="str">
        <f>'900000'!$B70</f>
        <v>09901050</v>
      </c>
      <c r="D50" s="27" t="str">
        <f>'900000'!$C$19</f>
        <v>C09901002</v>
      </c>
      <c r="E50" s="27">
        <f>'900000'!$C70</f>
        <v>0</v>
      </c>
      <c r="F50" s="27" t="s">
        <v>19081</v>
      </c>
    </row>
    <row r="51" spans="1:6">
      <c r="A51" s="27" t="str">
        <f>Resultados!$K$3</f>
        <v/>
      </c>
      <c r="B51" s="27" t="str">
        <f>Resultados!$K$4</f>
        <v/>
      </c>
      <c r="C51" s="568" t="str">
        <f>'900000'!$B71</f>
        <v>09901051</v>
      </c>
      <c r="D51" s="27" t="str">
        <f>'900000'!$C$19</f>
        <v>C09901002</v>
      </c>
      <c r="E51" s="27">
        <f>'900000'!$C71</f>
        <v>0</v>
      </c>
      <c r="F51" s="27" t="s">
        <v>19081</v>
      </c>
    </row>
    <row r="52" spans="1:6">
      <c r="A52" s="27" t="str">
        <f>Resultados!$K$3</f>
        <v/>
      </c>
      <c r="B52" s="27" t="str">
        <f>Resultados!$K$4</f>
        <v/>
      </c>
      <c r="C52" s="568" t="str">
        <f>'900000'!$B72</f>
        <v>09901052</v>
      </c>
      <c r="D52" s="27" t="str">
        <f>'900000'!$C$19</f>
        <v>C09901002</v>
      </c>
      <c r="E52" s="27">
        <f>'900000'!$C72</f>
        <v>0</v>
      </c>
      <c r="F52" s="27" t="s">
        <v>19081</v>
      </c>
    </row>
    <row r="53" spans="1:6">
      <c r="A53" s="27" t="str">
        <f>Resultados!$K$3</f>
        <v/>
      </c>
      <c r="B53" s="27" t="str">
        <f>Resultados!$K$4</f>
        <v/>
      </c>
      <c r="C53" s="568" t="str">
        <f>'900000'!$B73</f>
        <v>09901053</v>
      </c>
      <c r="D53" s="27" t="str">
        <f>'900000'!$C$19</f>
        <v>C09901002</v>
      </c>
      <c r="E53" s="27">
        <f>'900000'!$C73</f>
        <v>0</v>
      </c>
      <c r="F53" s="27" t="s">
        <v>19081</v>
      </c>
    </row>
    <row r="54" spans="1:6">
      <c r="A54" s="27" t="str">
        <f>Resultados!$K$3</f>
        <v/>
      </c>
      <c r="B54" s="27" t="str">
        <f>Resultados!$K$4</f>
        <v/>
      </c>
      <c r="C54" s="568" t="str">
        <f>'900000'!$B74</f>
        <v>09901054</v>
      </c>
      <c r="D54" s="27" t="str">
        <f>'900000'!$C$19</f>
        <v>C09901002</v>
      </c>
      <c r="E54" s="27">
        <f>'900000'!$C74</f>
        <v>0</v>
      </c>
      <c r="F54" s="27" t="s">
        <v>19081</v>
      </c>
    </row>
    <row r="55" spans="1:6">
      <c r="A55" s="27" t="str">
        <f>Resultados!$K$3</f>
        <v/>
      </c>
      <c r="B55" s="27" t="str">
        <f>Resultados!$K$4</f>
        <v/>
      </c>
      <c r="C55" s="568" t="str">
        <f>'900000'!$B75</f>
        <v>09901055</v>
      </c>
      <c r="D55" s="27" t="str">
        <f>'900000'!$C$19</f>
        <v>C09901002</v>
      </c>
      <c r="E55" s="27">
        <f>'900000'!$C75</f>
        <v>0</v>
      </c>
      <c r="F55" s="27" t="s">
        <v>19081</v>
      </c>
    </row>
    <row r="56" spans="1:6">
      <c r="A56" s="27" t="str">
        <f>Resultados!$K$3</f>
        <v/>
      </c>
      <c r="B56" s="27" t="str">
        <f>Resultados!$K$4</f>
        <v/>
      </c>
      <c r="C56" s="568" t="str">
        <f>'900000'!$B76</f>
        <v>09901056</v>
      </c>
      <c r="D56" s="27" t="str">
        <f>'900000'!$C$19</f>
        <v>C09901002</v>
      </c>
      <c r="E56" s="27">
        <f>'900000'!$C76</f>
        <v>0</v>
      </c>
      <c r="F56" s="27" t="s">
        <v>19081</v>
      </c>
    </row>
    <row r="57" spans="1:6">
      <c r="A57" s="27" t="str">
        <f>Resultados!$K$3</f>
        <v/>
      </c>
      <c r="B57" s="27" t="str">
        <f>Resultados!$K$4</f>
        <v/>
      </c>
      <c r="C57" s="568" t="str">
        <f>'900000'!$B77</f>
        <v>09901057</v>
      </c>
      <c r="D57" s="27" t="str">
        <f>'900000'!$C$19</f>
        <v>C09901002</v>
      </c>
      <c r="E57" s="27">
        <f>'900000'!$C77</f>
        <v>0</v>
      </c>
      <c r="F57" s="27" t="s">
        <v>19081</v>
      </c>
    </row>
    <row r="58" spans="1:6">
      <c r="A58" s="27" t="str">
        <f>Resultados!$K$3</f>
        <v/>
      </c>
      <c r="B58" s="27" t="str">
        <f>Resultados!$K$4</f>
        <v/>
      </c>
      <c r="C58" s="568" t="str">
        <f>'900000'!$B78</f>
        <v>09901058</v>
      </c>
      <c r="D58" s="27" t="str">
        <f>'900000'!$C$19</f>
        <v>C09901002</v>
      </c>
      <c r="E58" s="27">
        <f>'900000'!$C78</f>
        <v>0</v>
      </c>
      <c r="F58" s="27" t="s">
        <v>19081</v>
      </c>
    </row>
    <row r="59" spans="1:6">
      <c r="A59" s="27" t="str">
        <f>Resultados!$K$3</f>
        <v/>
      </c>
      <c r="B59" s="27" t="str">
        <f>Resultados!$K$4</f>
        <v/>
      </c>
      <c r="C59" s="568" t="str">
        <f>'900000'!$B79</f>
        <v>09901059</v>
      </c>
      <c r="D59" s="27" t="str">
        <f>'900000'!$C$19</f>
        <v>C09901002</v>
      </c>
      <c r="E59" s="27">
        <f>'900000'!$C79</f>
        <v>0</v>
      </c>
      <c r="F59" s="27" t="s">
        <v>19081</v>
      </c>
    </row>
    <row r="60" spans="1:6">
      <c r="A60" s="27" t="str">
        <f>Resultados!$K$3</f>
        <v/>
      </c>
      <c r="B60" s="27" t="str">
        <f>Resultados!$K$4</f>
        <v/>
      </c>
      <c r="C60" s="568" t="str">
        <f>'900000'!$B80</f>
        <v>09901060</v>
      </c>
      <c r="D60" s="27" t="str">
        <f>'900000'!$C$19</f>
        <v>C09901002</v>
      </c>
      <c r="E60" s="27">
        <f>'900000'!$C80</f>
        <v>0</v>
      </c>
      <c r="F60" s="27" t="s">
        <v>19081</v>
      </c>
    </row>
    <row r="61" spans="1:6">
      <c r="A61" s="27" t="str">
        <f>Resultados!$K$3</f>
        <v/>
      </c>
      <c r="B61" s="27" t="str">
        <f>Resultados!$K$4</f>
        <v/>
      </c>
      <c r="C61" s="568" t="str">
        <f>'900000'!$B81</f>
        <v>09901061</v>
      </c>
      <c r="D61" s="27" t="str">
        <f>'900000'!$C$19</f>
        <v>C09901002</v>
      </c>
      <c r="E61" s="27">
        <f>'900000'!$C81</f>
        <v>0</v>
      </c>
      <c r="F61" s="27" t="s">
        <v>19081</v>
      </c>
    </row>
    <row r="62" spans="1:6">
      <c r="A62" s="27" t="str">
        <f>Resultados!$K$3</f>
        <v/>
      </c>
      <c r="B62" s="27" t="str">
        <f>Resultados!$K$4</f>
        <v/>
      </c>
      <c r="C62" s="568" t="str">
        <f>'900000'!$B82</f>
        <v>09901062</v>
      </c>
      <c r="D62" s="27" t="str">
        <f>'900000'!$C$19</f>
        <v>C09901002</v>
      </c>
      <c r="E62" s="27">
        <f>'900000'!$C82</f>
        <v>0</v>
      </c>
      <c r="F62" s="27" t="s">
        <v>19081</v>
      </c>
    </row>
    <row r="63" spans="1:6">
      <c r="A63" s="27" t="str">
        <f>Resultados!$K$3</f>
        <v/>
      </c>
      <c r="B63" s="27" t="str">
        <f>Resultados!$K$4</f>
        <v/>
      </c>
      <c r="C63" s="568" t="str">
        <f>'900000'!$B83</f>
        <v>09901063</v>
      </c>
      <c r="D63" s="27" t="str">
        <f>'900000'!$C$19</f>
        <v>C09901002</v>
      </c>
      <c r="E63" s="27">
        <f>'900000'!$C83</f>
        <v>0</v>
      </c>
      <c r="F63" s="27" t="s">
        <v>19081</v>
      </c>
    </row>
    <row r="64" spans="1:6">
      <c r="A64" s="27" t="str">
        <f>Resultados!$K$3</f>
        <v/>
      </c>
      <c r="B64" s="27" t="str">
        <f>Resultados!$K$4</f>
        <v/>
      </c>
      <c r="C64" s="568" t="str">
        <f>'900000'!$B84</f>
        <v>09901064</v>
      </c>
      <c r="D64" s="27" t="str">
        <f>'900000'!$C$19</f>
        <v>C09901002</v>
      </c>
      <c r="E64" s="27">
        <f>'900000'!$C84</f>
        <v>0</v>
      </c>
      <c r="F64" s="27" t="s">
        <v>19081</v>
      </c>
    </row>
    <row r="65" spans="1:6">
      <c r="A65" s="27" t="str">
        <f>Resultados!$K$3</f>
        <v/>
      </c>
      <c r="B65" s="27" t="str">
        <f>Resultados!$K$4</f>
        <v/>
      </c>
      <c r="C65" s="568" t="str">
        <f>'900000'!$B85</f>
        <v>09901065</v>
      </c>
      <c r="D65" s="27" t="str">
        <f>'900000'!$C$19</f>
        <v>C09901002</v>
      </c>
      <c r="E65" s="27">
        <f>'900000'!$C85</f>
        <v>0</v>
      </c>
      <c r="F65" s="27" t="s">
        <v>19081</v>
      </c>
    </row>
    <row r="66" spans="1:6">
      <c r="A66" s="27" t="str">
        <f>Resultados!$K$3</f>
        <v/>
      </c>
      <c r="B66" s="27" t="str">
        <f>Resultados!$K$4</f>
        <v/>
      </c>
      <c r="C66" s="568" t="str">
        <f>'900000'!$B86</f>
        <v>09901066</v>
      </c>
      <c r="D66" s="27" t="str">
        <f>'900000'!$C$19</f>
        <v>C09901002</v>
      </c>
      <c r="E66" s="27">
        <f>'900000'!$C86</f>
        <v>0</v>
      </c>
      <c r="F66" s="27" t="s">
        <v>19081</v>
      </c>
    </row>
    <row r="67" spans="1:6">
      <c r="A67" s="27" t="str">
        <f>Resultados!$K$3</f>
        <v/>
      </c>
      <c r="B67" s="27" t="str">
        <f>Resultados!$K$4</f>
        <v/>
      </c>
      <c r="C67" s="568" t="str">
        <f>'900000'!$B87</f>
        <v>09901067</v>
      </c>
      <c r="D67" s="27" t="str">
        <f>'900000'!$C$19</f>
        <v>C09901002</v>
      </c>
      <c r="E67" s="27">
        <f>'900000'!$C87</f>
        <v>0</v>
      </c>
      <c r="F67" s="27" t="s">
        <v>19081</v>
      </c>
    </row>
    <row r="68" spans="1:6">
      <c r="A68" s="27" t="str">
        <f>Resultados!$K$3</f>
        <v/>
      </c>
      <c r="B68" s="27" t="str">
        <f>Resultados!$K$4</f>
        <v/>
      </c>
      <c r="C68" s="568" t="str">
        <f>'900000'!$B88</f>
        <v>09901068</v>
      </c>
      <c r="D68" s="27" t="str">
        <f>'900000'!$C$19</f>
        <v>C09901002</v>
      </c>
      <c r="E68" s="27">
        <f>'900000'!$C88</f>
        <v>0</v>
      </c>
      <c r="F68" s="27" t="s">
        <v>19081</v>
      </c>
    </row>
    <row r="69" spans="1:6">
      <c r="A69" s="27" t="str">
        <f>Resultados!$K$3</f>
        <v/>
      </c>
      <c r="B69" s="27" t="str">
        <f>Resultados!$K$4</f>
        <v/>
      </c>
      <c r="C69" s="568" t="str">
        <f>'900000'!$B89</f>
        <v>09901069</v>
      </c>
      <c r="D69" s="27" t="str">
        <f>'900000'!$C$19</f>
        <v>C09901002</v>
      </c>
      <c r="E69" s="27">
        <f>'900000'!$C89</f>
        <v>0</v>
      </c>
      <c r="F69" s="27" t="s">
        <v>19081</v>
      </c>
    </row>
    <row r="70" spans="1:6">
      <c r="A70" s="27" t="str">
        <f>Resultados!$K$3</f>
        <v/>
      </c>
      <c r="B70" s="27" t="str">
        <f>Resultados!$K$4</f>
        <v/>
      </c>
      <c r="C70" s="568" t="str">
        <f>'900000'!$B90</f>
        <v>09901070</v>
      </c>
      <c r="D70" s="27" t="str">
        <f>'900000'!$C$19</f>
        <v>C09901002</v>
      </c>
      <c r="E70" s="27">
        <f>'900000'!$C90</f>
        <v>0</v>
      </c>
      <c r="F70" s="27" t="s">
        <v>19081</v>
      </c>
    </row>
    <row r="71" spans="1:6">
      <c r="A71" s="27" t="str">
        <f>Resultados!$K$3</f>
        <v/>
      </c>
      <c r="B71" s="27" t="str">
        <f>Resultados!$K$4</f>
        <v/>
      </c>
      <c r="C71" s="568" t="str">
        <f>'900000'!$B91</f>
        <v>09901071</v>
      </c>
      <c r="D71" s="27" t="str">
        <f>'900000'!$C$19</f>
        <v>C09901002</v>
      </c>
      <c r="E71" s="27">
        <f>'900000'!$C91</f>
        <v>0</v>
      </c>
      <c r="F71" s="27" t="s">
        <v>19081</v>
      </c>
    </row>
    <row r="72" spans="1:6">
      <c r="A72" s="27" t="str">
        <f>Resultados!$K$3</f>
        <v/>
      </c>
      <c r="B72" s="27" t="str">
        <f>Resultados!$K$4</f>
        <v/>
      </c>
      <c r="C72" s="568" t="str">
        <f>'900000'!$B92</f>
        <v>09901072</v>
      </c>
      <c r="D72" s="27" t="str">
        <f>'900000'!$C$19</f>
        <v>C09901002</v>
      </c>
      <c r="E72" s="27">
        <f>'900000'!$C92</f>
        <v>0</v>
      </c>
      <c r="F72" s="27" t="s">
        <v>19081</v>
      </c>
    </row>
    <row r="73" spans="1:6">
      <c r="A73" s="27" t="str">
        <f>Resultados!$K$3</f>
        <v/>
      </c>
      <c r="B73" s="27" t="str">
        <f>Resultados!$K$4</f>
        <v/>
      </c>
      <c r="C73" s="568" t="str">
        <f>'900000'!$B93</f>
        <v>09901073</v>
      </c>
      <c r="D73" s="27" t="str">
        <f>'900000'!$C$19</f>
        <v>C09901002</v>
      </c>
      <c r="E73" s="27">
        <f>'900000'!$C93</f>
        <v>0</v>
      </c>
      <c r="F73" s="27" t="s">
        <v>19081</v>
      </c>
    </row>
    <row r="74" spans="1:6">
      <c r="A74" s="27" t="str">
        <f>Resultados!$K$3</f>
        <v/>
      </c>
      <c r="B74" s="27" t="str">
        <f>Resultados!$K$4</f>
        <v/>
      </c>
      <c r="C74" s="568" t="str">
        <f>'900000'!$B94</f>
        <v>09901074</v>
      </c>
      <c r="D74" s="27" t="str">
        <f>'900000'!$C$19</f>
        <v>C09901002</v>
      </c>
      <c r="E74" s="27">
        <f>'900000'!$C94</f>
        <v>0</v>
      </c>
      <c r="F74" s="27" t="s">
        <v>19081</v>
      </c>
    </row>
    <row r="75" spans="1:6">
      <c r="A75" s="27" t="str">
        <f>Resultados!$K$3</f>
        <v/>
      </c>
      <c r="B75" s="27" t="str">
        <f>Resultados!$K$4</f>
        <v/>
      </c>
      <c r="C75" s="568" t="str">
        <f>'900000'!$B95</f>
        <v>09901075</v>
      </c>
      <c r="D75" s="27" t="str">
        <f>'900000'!$C$19</f>
        <v>C09901002</v>
      </c>
      <c r="E75" s="27">
        <f>'900000'!$C95</f>
        <v>0</v>
      </c>
      <c r="F75" s="27" t="s">
        <v>19081</v>
      </c>
    </row>
    <row r="76" spans="1:6">
      <c r="A76" s="27" t="str">
        <f>Resultados!$K$3</f>
        <v/>
      </c>
      <c r="B76" s="27" t="str">
        <f>Resultados!$K$4</f>
        <v/>
      </c>
      <c r="C76" s="568" t="str">
        <f>'900000'!$B96</f>
        <v>09901076</v>
      </c>
      <c r="D76" s="27" t="str">
        <f>'900000'!$C$19</f>
        <v>C09901002</v>
      </c>
      <c r="E76" s="27">
        <f>'900000'!$C96</f>
        <v>0</v>
      </c>
      <c r="F76" s="27" t="s">
        <v>19081</v>
      </c>
    </row>
    <row r="77" spans="1:6">
      <c r="A77" s="27" t="str">
        <f>Resultados!$K$3</f>
        <v/>
      </c>
      <c r="B77" s="27" t="str">
        <f>Resultados!$K$4</f>
        <v/>
      </c>
      <c r="C77" s="568" t="str">
        <f>'900000'!$B97</f>
        <v>09901077</v>
      </c>
      <c r="D77" s="27" t="str">
        <f>'900000'!$C$19</f>
        <v>C09901002</v>
      </c>
      <c r="E77" s="27">
        <f>'900000'!$C97</f>
        <v>0</v>
      </c>
      <c r="F77" s="27" t="s">
        <v>19081</v>
      </c>
    </row>
    <row r="78" spans="1:6">
      <c r="A78" s="27" t="str">
        <f>Resultados!$K$3</f>
        <v/>
      </c>
      <c r="B78" s="27" t="str">
        <f>Resultados!$K$4</f>
        <v/>
      </c>
      <c r="C78" s="568" t="str">
        <f>'900000'!$B98</f>
        <v>09901078</v>
      </c>
      <c r="D78" s="27" t="str">
        <f>'900000'!$C$19</f>
        <v>C09901002</v>
      </c>
      <c r="E78" s="27">
        <f>'900000'!$C98</f>
        <v>0</v>
      </c>
      <c r="F78" s="27" t="s">
        <v>19081</v>
      </c>
    </row>
    <row r="79" spans="1:6">
      <c r="A79" s="27" t="str">
        <f>Resultados!$K$3</f>
        <v/>
      </c>
      <c r="B79" s="27" t="str">
        <f>Resultados!$K$4</f>
        <v/>
      </c>
      <c r="C79" s="568" t="str">
        <f>'900000'!$B99</f>
        <v>09901079</v>
      </c>
      <c r="D79" s="27" t="str">
        <f>'900000'!$C$19</f>
        <v>C09901002</v>
      </c>
      <c r="E79" s="27">
        <f>'900000'!$C99</f>
        <v>0</v>
      </c>
      <c r="F79" s="27" t="s">
        <v>19081</v>
      </c>
    </row>
    <row r="80" spans="1:6">
      <c r="A80" s="27" t="str">
        <f>Resultados!$K$3</f>
        <v/>
      </c>
      <c r="B80" s="27" t="str">
        <f>Resultados!$K$4</f>
        <v/>
      </c>
      <c r="C80" s="568" t="str">
        <f>'900000'!$B100</f>
        <v>09901080</v>
      </c>
      <c r="D80" s="27" t="str">
        <f>'900000'!$C$19</f>
        <v>C09901002</v>
      </c>
      <c r="E80" s="27">
        <f>'900000'!$C100</f>
        <v>0</v>
      </c>
      <c r="F80" s="27" t="s">
        <v>19081</v>
      </c>
    </row>
    <row r="81" spans="1:6">
      <c r="A81" s="27" t="str">
        <f>Resultados!$K$3</f>
        <v/>
      </c>
      <c r="B81" s="27" t="str">
        <f>Resultados!$K$4</f>
        <v/>
      </c>
      <c r="C81" s="568" t="str">
        <f>'900000'!$B101</f>
        <v>09901081</v>
      </c>
      <c r="D81" s="27" t="str">
        <f>'900000'!$C$19</f>
        <v>C09901002</v>
      </c>
      <c r="E81" s="27">
        <f>'900000'!$C101</f>
        <v>0</v>
      </c>
      <c r="F81" s="27" t="s">
        <v>19081</v>
      </c>
    </row>
    <row r="82" spans="1:6">
      <c r="A82" s="27" t="str">
        <f>Resultados!$K$3</f>
        <v/>
      </c>
      <c r="B82" s="27" t="str">
        <f>Resultados!$K$4</f>
        <v/>
      </c>
      <c r="C82" s="568" t="str">
        <f>'900000'!$B102</f>
        <v>09901082</v>
      </c>
      <c r="D82" s="27" t="str">
        <f>'900000'!$C$19</f>
        <v>C09901002</v>
      </c>
      <c r="E82" s="27">
        <f>'900000'!$C102</f>
        <v>0</v>
      </c>
      <c r="F82" s="27" t="s">
        <v>19081</v>
      </c>
    </row>
    <row r="83" spans="1:6">
      <c r="A83" s="27" t="str">
        <f>Resultados!$K$3</f>
        <v/>
      </c>
      <c r="B83" s="27" t="str">
        <f>Resultados!$K$4</f>
        <v/>
      </c>
      <c r="C83" s="568" t="str">
        <f>'900000'!$B103</f>
        <v>09901083</v>
      </c>
      <c r="D83" s="27" t="str">
        <f>'900000'!$C$19</f>
        <v>C09901002</v>
      </c>
      <c r="E83" s="27">
        <f>'900000'!$C103</f>
        <v>0</v>
      </c>
      <c r="F83" s="27" t="s">
        <v>19081</v>
      </c>
    </row>
    <row r="84" spans="1:6">
      <c r="A84" s="27" t="str">
        <f>Resultados!$K$3</f>
        <v/>
      </c>
      <c r="B84" s="27" t="str">
        <f>Resultados!$K$4</f>
        <v/>
      </c>
      <c r="C84" s="568" t="str">
        <f>'900000'!$B104</f>
        <v>09901084</v>
      </c>
      <c r="D84" s="27" t="str">
        <f>'900000'!$C$19</f>
        <v>C09901002</v>
      </c>
      <c r="E84" s="27">
        <f>'900000'!$C104</f>
        <v>0</v>
      </c>
      <c r="F84" s="27" t="s">
        <v>19081</v>
      </c>
    </row>
    <row r="85" spans="1:6">
      <c r="A85" s="27" t="str">
        <f>Resultados!$K$3</f>
        <v/>
      </c>
      <c r="B85" s="27" t="str">
        <f>Resultados!$K$4</f>
        <v/>
      </c>
      <c r="C85" s="568" t="str">
        <f>'900000'!$B105</f>
        <v>09901085</v>
      </c>
      <c r="D85" s="27" t="str">
        <f>'900000'!$C$19</f>
        <v>C09901002</v>
      </c>
      <c r="E85" s="27">
        <f>'900000'!$C105</f>
        <v>0</v>
      </c>
      <c r="F85" s="27" t="s">
        <v>19081</v>
      </c>
    </row>
    <row r="86" spans="1:6">
      <c r="A86" s="27" t="str">
        <f>Resultados!$K$3</f>
        <v/>
      </c>
      <c r="B86" s="27" t="str">
        <f>Resultados!$K$4</f>
        <v/>
      </c>
      <c r="C86" s="568" t="str">
        <f>'900000'!$B106</f>
        <v>09901086</v>
      </c>
      <c r="D86" s="27" t="str">
        <f>'900000'!$C$19</f>
        <v>C09901002</v>
      </c>
      <c r="E86" s="27">
        <f>'900000'!$C106</f>
        <v>0</v>
      </c>
      <c r="F86" s="27" t="s">
        <v>19081</v>
      </c>
    </row>
    <row r="87" spans="1:6">
      <c r="A87" s="27" t="str">
        <f>Resultados!$K$3</f>
        <v/>
      </c>
      <c r="B87" s="27" t="str">
        <f>Resultados!$K$4</f>
        <v/>
      </c>
      <c r="C87" s="568" t="str">
        <f>'900000'!$B107</f>
        <v>09901087</v>
      </c>
      <c r="D87" s="27" t="str">
        <f>'900000'!$C$19</f>
        <v>C09901002</v>
      </c>
      <c r="E87" s="27">
        <f>'900000'!$C107</f>
        <v>0</v>
      </c>
      <c r="F87" s="27" t="s">
        <v>19081</v>
      </c>
    </row>
    <row r="88" spans="1:6">
      <c r="A88" s="27" t="str">
        <f>Resultados!$K$3</f>
        <v/>
      </c>
      <c r="B88" s="27" t="str">
        <f>Resultados!$K$4</f>
        <v/>
      </c>
      <c r="C88" s="568" t="str">
        <f>'900000'!$B108</f>
        <v>09901088</v>
      </c>
      <c r="D88" s="27" t="str">
        <f>'900000'!$C$19</f>
        <v>C09901002</v>
      </c>
      <c r="E88" s="27">
        <f>'900000'!$C108</f>
        <v>0</v>
      </c>
      <c r="F88" s="27" t="s">
        <v>19081</v>
      </c>
    </row>
    <row r="89" spans="1:6">
      <c r="A89" s="27" t="str">
        <f>Resultados!$K$3</f>
        <v/>
      </c>
      <c r="B89" s="27" t="str">
        <f>Resultados!$K$4</f>
        <v/>
      </c>
      <c r="C89" s="568" t="str">
        <f>'900000'!$B109</f>
        <v>09901089</v>
      </c>
      <c r="D89" s="27" t="str">
        <f>'900000'!$C$19</f>
        <v>C09901002</v>
      </c>
      <c r="E89" s="27">
        <f>'900000'!$C109</f>
        <v>0</v>
      </c>
      <c r="F89" s="27" t="s">
        <v>19081</v>
      </c>
    </row>
    <row r="90" spans="1:6">
      <c r="A90" s="27" t="str">
        <f>Resultados!$K$3</f>
        <v/>
      </c>
      <c r="B90" s="27" t="str">
        <f>Resultados!$K$4</f>
        <v/>
      </c>
      <c r="C90" s="568" t="str">
        <f>'900000'!$B110</f>
        <v>09901090</v>
      </c>
      <c r="D90" s="27" t="str">
        <f>'900000'!$C$19</f>
        <v>C09901002</v>
      </c>
      <c r="E90" s="27">
        <f>'900000'!$C110</f>
        <v>0</v>
      </c>
      <c r="F90" s="27" t="s">
        <v>19081</v>
      </c>
    </row>
    <row r="91" spans="1:6">
      <c r="A91" s="27" t="str">
        <f>Resultados!$K$3</f>
        <v/>
      </c>
      <c r="B91" s="27" t="str">
        <f>Resultados!$K$4</f>
        <v/>
      </c>
      <c r="C91" s="568" t="str">
        <f>'900000'!$B111</f>
        <v>09901091</v>
      </c>
      <c r="D91" s="27" t="str">
        <f>'900000'!$C$19</f>
        <v>C09901002</v>
      </c>
      <c r="E91" s="27">
        <f>'900000'!$C111</f>
        <v>0</v>
      </c>
      <c r="F91" s="27" t="s">
        <v>19081</v>
      </c>
    </row>
    <row r="92" spans="1:6">
      <c r="A92" s="27" t="str">
        <f>Resultados!$K$3</f>
        <v/>
      </c>
      <c r="B92" s="27" t="str">
        <f>Resultados!$K$4</f>
        <v/>
      </c>
      <c r="C92" s="568" t="str">
        <f>'900000'!$B112</f>
        <v>09901092</v>
      </c>
      <c r="D92" s="27" t="str">
        <f>'900000'!$C$19</f>
        <v>C09901002</v>
      </c>
      <c r="E92" s="27">
        <f>'900000'!$C112</f>
        <v>0</v>
      </c>
      <c r="F92" s="27" t="s">
        <v>19081</v>
      </c>
    </row>
    <row r="93" spans="1:6">
      <c r="A93" s="27" t="str">
        <f>Resultados!$K$3</f>
        <v/>
      </c>
      <c r="B93" s="27" t="str">
        <f>Resultados!$K$4</f>
        <v/>
      </c>
      <c r="C93" s="568" t="str">
        <f>'900000'!$B113</f>
        <v>09901093</v>
      </c>
      <c r="D93" s="27" t="str">
        <f>'900000'!$C$19</f>
        <v>C09901002</v>
      </c>
      <c r="E93" s="27">
        <f>'900000'!$C113</f>
        <v>0</v>
      </c>
      <c r="F93" s="27" t="s">
        <v>19081</v>
      </c>
    </row>
    <row r="94" spans="1:6">
      <c r="A94" s="27" t="str">
        <f>Resultados!$K$3</f>
        <v/>
      </c>
      <c r="B94" s="27" t="str">
        <f>Resultados!$K$4</f>
        <v/>
      </c>
      <c r="C94" s="568" t="str">
        <f>'900000'!$B114</f>
        <v>09901094</v>
      </c>
      <c r="D94" s="27" t="str">
        <f>'900000'!$C$19</f>
        <v>C09901002</v>
      </c>
      <c r="E94" s="27">
        <f>'900000'!$C114</f>
        <v>0</v>
      </c>
      <c r="F94" s="27" t="s">
        <v>19081</v>
      </c>
    </row>
    <row r="95" spans="1:6">
      <c r="A95" s="27" t="str">
        <f>Resultados!$K$3</f>
        <v/>
      </c>
      <c r="B95" s="27" t="str">
        <f>Resultados!$K$4</f>
        <v/>
      </c>
      <c r="C95" s="568" t="str">
        <f>'900000'!$B115</f>
        <v>09901095</v>
      </c>
      <c r="D95" s="27" t="str">
        <f>'900000'!$C$19</f>
        <v>C09901002</v>
      </c>
      <c r="E95" s="27">
        <f>'900000'!$C115</f>
        <v>0</v>
      </c>
      <c r="F95" s="27" t="s">
        <v>19081</v>
      </c>
    </row>
    <row r="96" spans="1:6">
      <c r="A96" s="27" t="str">
        <f>Resultados!$K$3</f>
        <v/>
      </c>
      <c r="B96" s="27" t="str">
        <f>Resultados!$K$4</f>
        <v/>
      </c>
      <c r="C96" s="568" t="str">
        <f>'900000'!$B116</f>
        <v>09901096</v>
      </c>
      <c r="D96" s="27" t="str">
        <f>'900000'!$C$19</f>
        <v>C09901002</v>
      </c>
      <c r="E96" s="27">
        <f>'900000'!$C116</f>
        <v>0</v>
      </c>
      <c r="F96" s="27" t="s">
        <v>19081</v>
      </c>
    </row>
    <row r="97" spans="1:6">
      <c r="A97" s="27" t="str">
        <f>Resultados!$K$3</f>
        <v/>
      </c>
      <c r="B97" s="27" t="str">
        <f>Resultados!$K$4</f>
        <v/>
      </c>
      <c r="C97" s="568" t="str">
        <f>'900000'!$B117</f>
        <v>09901097</v>
      </c>
      <c r="D97" s="27" t="str">
        <f>'900000'!$C$19</f>
        <v>C09901002</v>
      </c>
      <c r="E97" s="27">
        <f>'900000'!$C117</f>
        <v>0</v>
      </c>
      <c r="F97" s="27" t="s">
        <v>19081</v>
      </c>
    </row>
    <row r="98" spans="1:6">
      <c r="A98" s="27" t="str">
        <f>Resultados!$K$3</f>
        <v/>
      </c>
      <c r="B98" s="27" t="str">
        <f>Resultados!$K$4</f>
        <v/>
      </c>
      <c r="C98" s="568" t="str">
        <f>'900000'!$B118</f>
        <v>09901098</v>
      </c>
      <c r="D98" s="27" t="str">
        <f>'900000'!$C$19</f>
        <v>C09901002</v>
      </c>
      <c r="E98" s="27">
        <f>'900000'!$C118</f>
        <v>0</v>
      </c>
      <c r="F98" s="27" t="s">
        <v>19081</v>
      </c>
    </row>
    <row r="99" spans="1:6">
      <c r="A99" s="27" t="str">
        <f>Resultados!$K$3</f>
        <v/>
      </c>
      <c r="B99" s="27" t="str">
        <f>Resultados!$K$4</f>
        <v/>
      </c>
      <c r="C99" s="568" t="str">
        <f>'900000'!$B119</f>
        <v>09901099</v>
      </c>
      <c r="D99" s="27" t="str">
        <f>'900000'!$C$19</f>
        <v>C09901002</v>
      </c>
      <c r="E99" s="27">
        <f>'900000'!$C119</f>
        <v>0</v>
      </c>
      <c r="F99" s="27" t="s">
        <v>19081</v>
      </c>
    </row>
    <row r="100" spans="1:6">
      <c r="A100" s="27" t="str">
        <f>Resultados!$K$3</f>
        <v/>
      </c>
      <c r="B100" s="27" t="str">
        <f>Resultados!$K$4</f>
        <v/>
      </c>
      <c r="C100" s="568" t="str">
        <f>'900000'!$B120</f>
        <v>09901100</v>
      </c>
      <c r="D100" s="27" t="str">
        <f>'900000'!$C$19</f>
        <v>C09901002</v>
      </c>
      <c r="E100" s="27">
        <f>'900000'!$C120</f>
        <v>0</v>
      </c>
      <c r="F100" s="27" t="s">
        <v>19081</v>
      </c>
    </row>
    <row r="101" spans="1:6">
      <c r="A101" s="27" t="str">
        <f>Resultados!$K$3</f>
        <v/>
      </c>
      <c r="B101" s="27" t="str">
        <f>Resultados!$K$4</f>
        <v/>
      </c>
      <c r="C101" s="568" t="str">
        <f>'900000'!$B121</f>
        <v>09901101</v>
      </c>
      <c r="D101" s="27" t="str">
        <f>'900000'!$C$19</f>
        <v>C09901002</v>
      </c>
      <c r="E101" s="27">
        <f>'900000'!$C121</f>
        <v>0</v>
      </c>
      <c r="F101" s="27" t="s">
        <v>19081</v>
      </c>
    </row>
    <row r="102" spans="1:6">
      <c r="A102" s="27" t="str">
        <f>Resultados!$K$3</f>
        <v/>
      </c>
      <c r="B102" s="27" t="str">
        <f>Resultados!$K$4</f>
        <v/>
      </c>
      <c r="C102" s="568" t="str">
        <f>'900000'!$B22</f>
        <v>09901002</v>
      </c>
      <c r="D102" t="str">
        <f>'900000'!$D$19</f>
        <v>C09901003</v>
      </c>
      <c r="E102">
        <f>'900000'!$D22</f>
        <v>0</v>
      </c>
      <c r="F102" s="27" t="s">
        <v>19081</v>
      </c>
    </row>
    <row r="103" spans="1:6">
      <c r="A103" s="27" t="str">
        <f>Resultados!$K$3</f>
        <v/>
      </c>
      <c r="B103" s="27" t="str">
        <f>Resultados!$K$4</f>
        <v/>
      </c>
      <c r="C103" s="568" t="str">
        <f>'900000'!$B23</f>
        <v>09901003</v>
      </c>
      <c r="D103" s="27" t="str">
        <f>'900000'!$D$19</f>
        <v>C09901003</v>
      </c>
      <c r="E103" s="27">
        <f>'900000'!$D23</f>
        <v>0</v>
      </c>
      <c r="F103" s="27" t="s">
        <v>19081</v>
      </c>
    </row>
    <row r="104" spans="1:6">
      <c r="A104" s="27" t="str">
        <f>Resultados!$K$3</f>
        <v/>
      </c>
      <c r="B104" s="27" t="str">
        <f>Resultados!$K$4</f>
        <v/>
      </c>
      <c r="C104" s="568" t="str">
        <f>'900000'!$B24</f>
        <v>09901004</v>
      </c>
      <c r="D104" s="27" t="str">
        <f>'900000'!$D$19</f>
        <v>C09901003</v>
      </c>
      <c r="E104" s="27">
        <f>'900000'!$D24</f>
        <v>0</v>
      </c>
      <c r="F104" s="27" t="s">
        <v>19081</v>
      </c>
    </row>
    <row r="105" spans="1:6">
      <c r="A105" s="27" t="str">
        <f>Resultados!$K$3</f>
        <v/>
      </c>
      <c r="B105" s="27" t="str">
        <f>Resultados!$K$4</f>
        <v/>
      </c>
      <c r="C105" s="568" t="str">
        <f>'900000'!$B25</f>
        <v>09901005</v>
      </c>
      <c r="D105" s="27" t="str">
        <f>'900000'!$D$19</f>
        <v>C09901003</v>
      </c>
      <c r="E105" s="27">
        <f>'900000'!$D25</f>
        <v>0</v>
      </c>
      <c r="F105" s="27" t="s">
        <v>19081</v>
      </c>
    </row>
    <row r="106" spans="1:6">
      <c r="A106" s="27" t="str">
        <f>Resultados!$K$3</f>
        <v/>
      </c>
      <c r="B106" s="27" t="str">
        <f>Resultados!$K$4</f>
        <v/>
      </c>
      <c r="C106" s="568" t="str">
        <f>'900000'!$B26</f>
        <v>09901006</v>
      </c>
      <c r="D106" s="27" t="str">
        <f>'900000'!$D$19</f>
        <v>C09901003</v>
      </c>
      <c r="E106" s="27">
        <f>'900000'!$D26</f>
        <v>0</v>
      </c>
      <c r="F106" s="27" t="s">
        <v>19081</v>
      </c>
    </row>
    <row r="107" spans="1:6">
      <c r="A107" s="27" t="str">
        <f>Resultados!$K$3</f>
        <v/>
      </c>
      <c r="B107" s="27" t="str">
        <f>Resultados!$K$4</f>
        <v/>
      </c>
      <c r="C107" s="568" t="str">
        <f>'900000'!$B27</f>
        <v>09901007</v>
      </c>
      <c r="D107" s="27" t="str">
        <f>'900000'!$D$19</f>
        <v>C09901003</v>
      </c>
      <c r="E107" s="27">
        <f>'900000'!$D27</f>
        <v>0</v>
      </c>
      <c r="F107" s="27" t="s">
        <v>19081</v>
      </c>
    </row>
    <row r="108" spans="1:6">
      <c r="A108" s="27" t="str">
        <f>Resultados!$K$3</f>
        <v/>
      </c>
      <c r="B108" s="27" t="str">
        <f>Resultados!$K$4</f>
        <v/>
      </c>
      <c r="C108" s="568" t="str">
        <f>'900000'!$B28</f>
        <v>09901008</v>
      </c>
      <c r="D108" s="27" t="str">
        <f>'900000'!$D$19</f>
        <v>C09901003</v>
      </c>
      <c r="E108" s="27">
        <f>'900000'!$D28</f>
        <v>0</v>
      </c>
      <c r="F108" s="27" t="s">
        <v>19081</v>
      </c>
    </row>
    <row r="109" spans="1:6">
      <c r="A109" s="27" t="str">
        <f>Resultados!$K$3</f>
        <v/>
      </c>
      <c r="B109" s="27" t="str">
        <f>Resultados!$K$4</f>
        <v/>
      </c>
      <c r="C109" s="568" t="str">
        <f>'900000'!$B29</f>
        <v>09901009</v>
      </c>
      <c r="D109" s="27" t="str">
        <f>'900000'!$D$19</f>
        <v>C09901003</v>
      </c>
      <c r="E109" s="27">
        <f>'900000'!$D29</f>
        <v>0</v>
      </c>
      <c r="F109" s="27" t="s">
        <v>19081</v>
      </c>
    </row>
    <row r="110" spans="1:6">
      <c r="A110" s="27" t="str">
        <f>Resultados!$K$3</f>
        <v/>
      </c>
      <c r="B110" s="27" t="str">
        <f>Resultados!$K$4</f>
        <v/>
      </c>
      <c r="C110" s="568" t="str">
        <f>'900000'!$B30</f>
        <v>09901010</v>
      </c>
      <c r="D110" s="27" t="str">
        <f>'900000'!$D$19</f>
        <v>C09901003</v>
      </c>
      <c r="E110" s="27">
        <f>'900000'!$D30</f>
        <v>0</v>
      </c>
      <c r="F110" s="27" t="s">
        <v>19081</v>
      </c>
    </row>
    <row r="111" spans="1:6">
      <c r="A111" s="27" t="str">
        <f>Resultados!$K$3</f>
        <v/>
      </c>
      <c r="B111" s="27" t="str">
        <f>Resultados!$K$4</f>
        <v/>
      </c>
      <c r="C111" s="568" t="str">
        <f>'900000'!$B31</f>
        <v>09901011</v>
      </c>
      <c r="D111" s="27" t="str">
        <f>'900000'!$D$19</f>
        <v>C09901003</v>
      </c>
      <c r="E111" s="27">
        <f>'900000'!$D31</f>
        <v>0</v>
      </c>
      <c r="F111" s="27" t="s">
        <v>19081</v>
      </c>
    </row>
    <row r="112" spans="1:6">
      <c r="A112" s="27" t="str">
        <f>Resultados!$K$3</f>
        <v/>
      </c>
      <c r="B112" s="27" t="str">
        <f>Resultados!$K$4</f>
        <v/>
      </c>
      <c r="C112" s="568" t="str">
        <f>'900000'!$B32</f>
        <v>09901012</v>
      </c>
      <c r="D112" s="27" t="str">
        <f>'900000'!$D$19</f>
        <v>C09901003</v>
      </c>
      <c r="E112" s="27">
        <f>'900000'!$D32</f>
        <v>0</v>
      </c>
      <c r="F112" s="27" t="s">
        <v>19081</v>
      </c>
    </row>
    <row r="113" spans="1:6">
      <c r="A113" s="27" t="str">
        <f>Resultados!$K$3</f>
        <v/>
      </c>
      <c r="B113" s="27" t="str">
        <f>Resultados!$K$4</f>
        <v/>
      </c>
      <c r="C113" s="568" t="str">
        <f>'900000'!$B33</f>
        <v>09901013</v>
      </c>
      <c r="D113" s="27" t="str">
        <f>'900000'!$D$19</f>
        <v>C09901003</v>
      </c>
      <c r="E113" s="27">
        <f>'900000'!$D33</f>
        <v>0</v>
      </c>
      <c r="F113" s="27" t="s">
        <v>19081</v>
      </c>
    </row>
    <row r="114" spans="1:6">
      <c r="A114" s="27" t="str">
        <f>Resultados!$K$3</f>
        <v/>
      </c>
      <c r="B114" s="27" t="str">
        <f>Resultados!$K$4</f>
        <v/>
      </c>
      <c r="C114" s="568" t="str">
        <f>'900000'!$B34</f>
        <v>09901014</v>
      </c>
      <c r="D114" s="27" t="str">
        <f>'900000'!$D$19</f>
        <v>C09901003</v>
      </c>
      <c r="E114" s="27">
        <f>'900000'!$D34</f>
        <v>0</v>
      </c>
      <c r="F114" s="27" t="s">
        <v>19081</v>
      </c>
    </row>
    <row r="115" spans="1:6">
      <c r="A115" s="27" t="str">
        <f>Resultados!$K$3</f>
        <v/>
      </c>
      <c r="B115" s="27" t="str">
        <f>Resultados!$K$4</f>
        <v/>
      </c>
      <c r="C115" s="568" t="str">
        <f>'900000'!$B35</f>
        <v>09901015</v>
      </c>
      <c r="D115" s="27" t="str">
        <f>'900000'!$D$19</f>
        <v>C09901003</v>
      </c>
      <c r="E115" s="27">
        <f>'900000'!$D35</f>
        <v>0</v>
      </c>
      <c r="F115" s="27" t="s">
        <v>19081</v>
      </c>
    </row>
    <row r="116" spans="1:6">
      <c r="A116" s="27" t="str">
        <f>Resultados!$K$3</f>
        <v/>
      </c>
      <c r="B116" s="27" t="str">
        <f>Resultados!$K$4</f>
        <v/>
      </c>
      <c r="C116" s="568" t="str">
        <f>'900000'!$B36</f>
        <v>09901016</v>
      </c>
      <c r="D116" s="27" t="str">
        <f>'900000'!$D$19</f>
        <v>C09901003</v>
      </c>
      <c r="E116" s="27">
        <f>'900000'!$D36</f>
        <v>0</v>
      </c>
      <c r="F116" s="27" t="s">
        <v>19081</v>
      </c>
    </row>
    <row r="117" spans="1:6">
      <c r="A117" s="27" t="str">
        <f>Resultados!$K$3</f>
        <v/>
      </c>
      <c r="B117" s="27" t="str">
        <f>Resultados!$K$4</f>
        <v/>
      </c>
      <c r="C117" s="568" t="str">
        <f>'900000'!$B37</f>
        <v>09901017</v>
      </c>
      <c r="D117" s="27" t="str">
        <f>'900000'!$D$19</f>
        <v>C09901003</v>
      </c>
      <c r="E117" s="27">
        <f>'900000'!$D37</f>
        <v>0</v>
      </c>
      <c r="F117" s="27" t="s">
        <v>19081</v>
      </c>
    </row>
    <row r="118" spans="1:6">
      <c r="A118" s="27" t="str">
        <f>Resultados!$K$3</f>
        <v/>
      </c>
      <c r="B118" s="27" t="str">
        <f>Resultados!$K$4</f>
        <v/>
      </c>
      <c r="C118" s="568" t="str">
        <f>'900000'!$B38</f>
        <v>09901018</v>
      </c>
      <c r="D118" s="27" t="str">
        <f>'900000'!$D$19</f>
        <v>C09901003</v>
      </c>
      <c r="E118" s="27">
        <f>'900000'!$D38</f>
        <v>0</v>
      </c>
      <c r="F118" s="27" t="s">
        <v>19081</v>
      </c>
    </row>
    <row r="119" spans="1:6">
      <c r="A119" s="27" t="str">
        <f>Resultados!$K$3</f>
        <v/>
      </c>
      <c r="B119" s="27" t="str">
        <f>Resultados!$K$4</f>
        <v/>
      </c>
      <c r="C119" s="568" t="str">
        <f>'900000'!$B39</f>
        <v>09901019</v>
      </c>
      <c r="D119" s="27" t="str">
        <f>'900000'!$D$19</f>
        <v>C09901003</v>
      </c>
      <c r="E119" s="27">
        <f>'900000'!$D39</f>
        <v>0</v>
      </c>
      <c r="F119" s="27" t="s">
        <v>19081</v>
      </c>
    </row>
    <row r="120" spans="1:6">
      <c r="A120" s="27" t="str">
        <f>Resultados!$K$3</f>
        <v/>
      </c>
      <c r="B120" s="27" t="str">
        <f>Resultados!$K$4</f>
        <v/>
      </c>
      <c r="C120" s="568" t="str">
        <f>'900000'!$B40</f>
        <v>09901020</v>
      </c>
      <c r="D120" s="27" t="str">
        <f>'900000'!$D$19</f>
        <v>C09901003</v>
      </c>
      <c r="E120" s="27">
        <f>'900000'!$D40</f>
        <v>0</v>
      </c>
      <c r="F120" s="27" t="s">
        <v>19081</v>
      </c>
    </row>
    <row r="121" spans="1:6">
      <c r="A121" s="27" t="str">
        <f>Resultados!$K$3</f>
        <v/>
      </c>
      <c r="B121" s="27" t="str">
        <f>Resultados!$K$4</f>
        <v/>
      </c>
      <c r="C121" s="568" t="str">
        <f>'900000'!$B41</f>
        <v>09901021</v>
      </c>
      <c r="D121" s="27" t="str">
        <f>'900000'!$D$19</f>
        <v>C09901003</v>
      </c>
      <c r="E121" s="27">
        <f>'900000'!$D41</f>
        <v>0</v>
      </c>
      <c r="F121" s="27" t="s">
        <v>19081</v>
      </c>
    </row>
    <row r="122" spans="1:6">
      <c r="A122" s="27" t="str">
        <f>Resultados!$K$3</f>
        <v/>
      </c>
      <c r="B122" s="27" t="str">
        <f>Resultados!$K$4</f>
        <v/>
      </c>
      <c r="C122" s="568" t="str">
        <f>'900000'!$B42</f>
        <v>09901022</v>
      </c>
      <c r="D122" s="27" t="str">
        <f>'900000'!$D$19</f>
        <v>C09901003</v>
      </c>
      <c r="E122" s="27">
        <f>'900000'!$D42</f>
        <v>0</v>
      </c>
      <c r="F122" s="27" t="s">
        <v>19081</v>
      </c>
    </row>
    <row r="123" spans="1:6">
      <c r="A123" s="27" t="str">
        <f>Resultados!$K$3</f>
        <v/>
      </c>
      <c r="B123" s="27" t="str">
        <f>Resultados!$K$4</f>
        <v/>
      </c>
      <c r="C123" s="568" t="str">
        <f>'900000'!$B43</f>
        <v>09901023</v>
      </c>
      <c r="D123" s="27" t="str">
        <f>'900000'!$D$19</f>
        <v>C09901003</v>
      </c>
      <c r="E123" s="27">
        <f>'900000'!$D43</f>
        <v>0</v>
      </c>
      <c r="F123" s="27" t="s">
        <v>19081</v>
      </c>
    </row>
    <row r="124" spans="1:6">
      <c r="A124" s="27" t="str">
        <f>Resultados!$K$3</f>
        <v/>
      </c>
      <c r="B124" s="27" t="str">
        <f>Resultados!$K$4</f>
        <v/>
      </c>
      <c r="C124" s="568" t="str">
        <f>'900000'!$B44</f>
        <v>09901024</v>
      </c>
      <c r="D124" s="27" t="str">
        <f>'900000'!$D$19</f>
        <v>C09901003</v>
      </c>
      <c r="E124" s="27">
        <f>'900000'!$D44</f>
        <v>0</v>
      </c>
      <c r="F124" s="27" t="s">
        <v>19081</v>
      </c>
    </row>
    <row r="125" spans="1:6">
      <c r="A125" s="27" t="str">
        <f>Resultados!$K$3</f>
        <v/>
      </c>
      <c r="B125" s="27" t="str">
        <f>Resultados!$K$4</f>
        <v/>
      </c>
      <c r="C125" s="568" t="str">
        <f>'900000'!$B45</f>
        <v>09901025</v>
      </c>
      <c r="D125" s="27" t="str">
        <f>'900000'!$D$19</f>
        <v>C09901003</v>
      </c>
      <c r="E125" s="27">
        <f>'900000'!$D45</f>
        <v>0</v>
      </c>
      <c r="F125" s="27" t="s">
        <v>19081</v>
      </c>
    </row>
    <row r="126" spans="1:6">
      <c r="A126" s="27" t="str">
        <f>Resultados!$K$3</f>
        <v/>
      </c>
      <c r="B126" s="27" t="str">
        <f>Resultados!$K$4</f>
        <v/>
      </c>
      <c r="C126" s="568" t="str">
        <f>'900000'!$B46</f>
        <v>09901026</v>
      </c>
      <c r="D126" s="27" t="str">
        <f>'900000'!$D$19</f>
        <v>C09901003</v>
      </c>
      <c r="E126" s="27">
        <f>'900000'!$D46</f>
        <v>0</v>
      </c>
      <c r="F126" s="27" t="s">
        <v>19081</v>
      </c>
    </row>
    <row r="127" spans="1:6">
      <c r="A127" s="27" t="str">
        <f>Resultados!$K$3</f>
        <v/>
      </c>
      <c r="B127" s="27" t="str">
        <f>Resultados!$K$4</f>
        <v/>
      </c>
      <c r="C127" s="568" t="str">
        <f>'900000'!$B47</f>
        <v>09901027</v>
      </c>
      <c r="D127" s="27" t="str">
        <f>'900000'!$D$19</f>
        <v>C09901003</v>
      </c>
      <c r="E127" s="27">
        <f>'900000'!$D47</f>
        <v>0</v>
      </c>
      <c r="F127" s="27" t="s">
        <v>19081</v>
      </c>
    </row>
    <row r="128" spans="1:6">
      <c r="A128" s="27" t="str">
        <f>Resultados!$K$3</f>
        <v/>
      </c>
      <c r="B128" s="27" t="str">
        <f>Resultados!$K$4</f>
        <v/>
      </c>
      <c r="C128" s="568" t="str">
        <f>'900000'!$B48</f>
        <v>09901028</v>
      </c>
      <c r="D128" s="27" t="str">
        <f>'900000'!$D$19</f>
        <v>C09901003</v>
      </c>
      <c r="E128" s="27">
        <f>'900000'!$D48</f>
        <v>0</v>
      </c>
      <c r="F128" s="27" t="s">
        <v>19081</v>
      </c>
    </row>
    <row r="129" spans="1:6">
      <c r="A129" s="27" t="str">
        <f>Resultados!$K$3</f>
        <v/>
      </c>
      <c r="B129" s="27" t="str">
        <f>Resultados!$K$4</f>
        <v/>
      </c>
      <c r="C129" s="568" t="str">
        <f>'900000'!$B49</f>
        <v>09901029</v>
      </c>
      <c r="D129" s="27" t="str">
        <f>'900000'!$D$19</f>
        <v>C09901003</v>
      </c>
      <c r="E129" s="27">
        <f>'900000'!$D49</f>
        <v>0</v>
      </c>
      <c r="F129" s="27" t="s">
        <v>19081</v>
      </c>
    </row>
    <row r="130" spans="1:6">
      <c r="A130" s="27" t="str">
        <f>Resultados!$K$3</f>
        <v/>
      </c>
      <c r="B130" s="27" t="str">
        <f>Resultados!$K$4</f>
        <v/>
      </c>
      <c r="C130" s="568" t="str">
        <f>'900000'!$B50</f>
        <v>09901030</v>
      </c>
      <c r="D130" s="27" t="str">
        <f>'900000'!$D$19</f>
        <v>C09901003</v>
      </c>
      <c r="E130" s="27">
        <f>'900000'!$D50</f>
        <v>0</v>
      </c>
      <c r="F130" s="27" t="s">
        <v>19081</v>
      </c>
    </row>
    <row r="131" spans="1:6">
      <c r="A131" s="27" t="str">
        <f>Resultados!$K$3</f>
        <v/>
      </c>
      <c r="B131" s="27" t="str">
        <f>Resultados!$K$4</f>
        <v/>
      </c>
      <c r="C131" s="568" t="str">
        <f>'900000'!$B51</f>
        <v>09901031</v>
      </c>
      <c r="D131" s="27" t="str">
        <f>'900000'!$D$19</f>
        <v>C09901003</v>
      </c>
      <c r="E131" s="27">
        <f>'900000'!$D51</f>
        <v>0</v>
      </c>
      <c r="F131" s="27" t="s">
        <v>19081</v>
      </c>
    </row>
    <row r="132" spans="1:6">
      <c r="A132" s="27" t="str">
        <f>Resultados!$K$3</f>
        <v/>
      </c>
      <c r="B132" s="27" t="str">
        <f>Resultados!$K$4</f>
        <v/>
      </c>
      <c r="C132" s="568" t="str">
        <f>'900000'!$B52</f>
        <v>09901032</v>
      </c>
      <c r="D132" s="27" t="str">
        <f>'900000'!$D$19</f>
        <v>C09901003</v>
      </c>
      <c r="E132" s="27">
        <f>'900000'!$D52</f>
        <v>0</v>
      </c>
      <c r="F132" s="27" t="s">
        <v>19081</v>
      </c>
    </row>
    <row r="133" spans="1:6">
      <c r="A133" s="27" t="str">
        <f>Resultados!$K$3</f>
        <v/>
      </c>
      <c r="B133" s="27" t="str">
        <f>Resultados!$K$4</f>
        <v/>
      </c>
      <c r="C133" s="568" t="str">
        <f>'900000'!$B53</f>
        <v>09901033</v>
      </c>
      <c r="D133" s="27" t="str">
        <f>'900000'!$D$19</f>
        <v>C09901003</v>
      </c>
      <c r="E133" s="27">
        <f>'900000'!$D53</f>
        <v>0</v>
      </c>
      <c r="F133" s="27" t="s">
        <v>19081</v>
      </c>
    </row>
    <row r="134" spans="1:6">
      <c r="A134" s="27" t="str">
        <f>Resultados!$K$3</f>
        <v/>
      </c>
      <c r="B134" s="27" t="str">
        <f>Resultados!$K$4</f>
        <v/>
      </c>
      <c r="C134" s="568" t="str">
        <f>'900000'!$B54</f>
        <v>09901034</v>
      </c>
      <c r="D134" s="27" t="str">
        <f>'900000'!$D$19</f>
        <v>C09901003</v>
      </c>
      <c r="E134" s="27">
        <f>'900000'!$D54</f>
        <v>0</v>
      </c>
      <c r="F134" s="27" t="s">
        <v>19081</v>
      </c>
    </row>
    <row r="135" spans="1:6">
      <c r="A135" s="27" t="str">
        <f>Resultados!$K$3</f>
        <v/>
      </c>
      <c r="B135" s="27" t="str">
        <f>Resultados!$K$4</f>
        <v/>
      </c>
      <c r="C135" s="568" t="str">
        <f>'900000'!$B55</f>
        <v>09901035</v>
      </c>
      <c r="D135" s="27" t="str">
        <f>'900000'!$D$19</f>
        <v>C09901003</v>
      </c>
      <c r="E135" s="27">
        <f>'900000'!$D55</f>
        <v>0</v>
      </c>
      <c r="F135" s="27" t="s">
        <v>19081</v>
      </c>
    </row>
    <row r="136" spans="1:6">
      <c r="A136" s="27" t="str">
        <f>Resultados!$K$3</f>
        <v/>
      </c>
      <c r="B136" s="27" t="str">
        <f>Resultados!$K$4</f>
        <v/>
      </c>
      <c r="C136" s="568" t="str">
        <f>'900000'!$B56</f>
        <v>09901036</v>
      </c>
      <c r="D136" s="27" t="str">
        <f>'900000'!$D$19</f>
        <v>C09901003</v>
      </c>
      <c r="E136" s="27">
        <f>'900000'!$D56</f>
        <v>0</v>
      </c>
      <c r="F136" s="27" t="s">
        <v>19081</v>
      </c>
    </row>
    <row r="137" spans="1:6">
      <c r="A137" s="27" t="str">
        <f>Resultados!$K$3</f>
        <v/>
      </c>
      <c r="B137" s="27" t="str">
        <f>Resultados!$K$4</f>
        <v/>
      </c>
      <c r="C137" s="568" t="str">
        <f>'900000'!$B57</f>
        <v>09901037</v>
      </c>
      <c r="D137" s="27" t="str">
        <f>'900000'!$D$19</f>
        <v>C09901003</v>
      </c>
      <c r="E137" s="27">
        <f>'900000'!$D57</f>
        <v>0</v>
      </c>
      <c r="F137" s="27" t="s">
        <v>19081</v>
      </c>
    </row>
    <row r="138" spans="1:6">
      <c r="A138" s="27" t="str">
        <f>Resultados!$K$3</f>
        <v/>
      </c>
      <c r="B138" s="27" t="str">
        <f>Resultados!$K$4</f>
        <v/>
      </c>
      <c r="C138" s="568" t="str">
        <f>'900000'!$B58</f>
        <v>09901038</v>
      </c>
      <c r="D138" s="27" t="str">
        <f>'900000'!$D$19</f>
        <v>C09901003</v>
      </c>
      <c r="E138" s="27">
        <f>'900000'!$D58</f>
        <v>0</v>
      </c>
      <c r="F138" s="27" t="s">
        <v>19081</v>
      </c>
    </row>
    <row r="139" spans="1:6">
      <c r="A139" s="27" t="str">
        <f>Resultados!$K$3</f>
        <v/>
      </c>
      <c r="B139" s="27" t="str">
        <f>Resultados!$K$4</f>
        <v/>
      </c>
      <c r="C139" s="568" t="str">
        <f>'900000'!$B59</f>
        <v>09901039</v>
      </c>
      <c r="D139" s="27" t="str">
        <f>'900000'!$D$19</f>
        <v>C09901003</v>
      </c>
      <c r="E139" s="27">
        <f>'900000'!$D59</f>
        <v>0</v>
      </c>
      <c r="F139" s="27" t="s">
        <v>19081</v>
      </c>
    </row>
    <row r="140" spans="1:6">
      <c r="A140" s="27" t="str">
        <f>Resultados!$K$3</f>
        <v/>
      </c>
      <c r="B140" s="27" t="str">
        <f>Resultados!$K$4</f>
        <v/>
      </c>
      <c r="C140" s="568" t="str">
        <f>'900000'!$B60</f>
        <v>09901040</v>
      </c>
      <c r="D140" s="27" t="str">
        <f>'900000'!$D$19</f>
        <v>C09901003</v>
      </c>
      <c r="E140" s="27">
        <f>'900000'!$D60</f>
        <v>0</v>
      </c>
      <c r="F140" s="27" t="s">
        <v>19081</v>
      </c>
    </row>
    <row r="141" spans="1:6">
      <c r="A141" s="27" t="str">
        <f>Resultados!$K$3</f>
        <v/>
      </c>
      <c r="B141" s="27" t="str">
        <f>Resultados!$K$4</f>
        <v/>
      </c>
      <c r="C141" s="568" t="str">
        <f>'900000'!$B61</f>
        <v>09901041</v>
      </c>
      <c r="D141" s="27" t="str">
        <f>'900000'!$D$19</f>
        <v>C09901003</v>
      </c>
      <c r="E141" s="27">
        <f>'900000'!$D61</f>
        <v>0</v>
      </c>
      <c r="F141" s="27" t="s">
        <v>19081</v>
      </c>
    </row>
    <row r="142" spans="1:6">
      <c r="A142" s="27" t="str">
        <f>Resultados!$K$3</f>
        <v/>
      </c>
      <c r="B142" s="27" t="str">
        <f>Resultados!$K$4</f>
        <v/>
      </c>
      <c r="C142" s="568" t="str">
        <f>'900000'!$B62</f>
        <v>09901042</v>
      </c>
      <c r="D142" s="27" t="str">
        <f>'900000'!$D$19</f>
        <v>C09901003</v>
      </c>
      <c r="E142" s="27">
        <f>'900000'!$D62</f>
        <v>0</v>
      </c>
      <c r="F142" s="27" t="s">
        <v>19081</v>
      </c>
    </row>
    <row r="143" spans="1:6">
      <c r="A143" s="27" t="str">
        <f>Resultados!$K$3</f>
        <v/>
      </c>
      <c r="B143" s="27" t="str">
        <f>Resultados!$K$4</f>
        <v/>
      </c>
      <c r="C143" s="568" t="str">
        <f>'900000'!$B63</f>
        <v>09901043</v>
      </c>
      <c r="D143" s="27" t="str">
        <f>'900000'!$D$19</f>
        <v>C09901003</v>
      </c>
      <c r="E143" s="27">
        <f>'900000'!$D63</f>
        <v>0</v>
      </c>
      <c r="F143" s="27" t="s">
        <v>19081</v>
      </c>
    </row>
    <row r="144" spans="1:6">
      <c r="A144" s="27" t="str">
        <f>Resultados!$K$3</f>
        <v/>
      </c>
      <c r="B144" s="27" t="str">
        <f>Resultados!$K$4</f>
        <v/>
      </c>
      <c r="C144" s="568" t="str">
        <f>'900000'!$B64</f>
        <v>09901044</v>
      </c>
      <c r="D144" s="27" t="str">
        <f>'900000'!$D$19</f>
        <v>C09901003</v>
      </c>
      <c r="E144" s="27">
        <f>'900000'!$D64</f>
        <v>0</v>
      </c>
      <c r="F144" s="27" t="s">
        <v>19081</v>
      </c>
    </row>
    <row r="145" spans="1:6">
      <c r="A145" s="27" t="str">
        <f>Resultados!$K$3</f>
        <v/>
      </c>
      <c r="B145" s="27" t="str">
        <f>Resultados!$K$4</f>
        <v/>
      </c>
      <c r="C145" s="568" t="str">
        <f>'900000'!$B65</f>
        <v>09901045</v>
      </c>
      <c r="D145" s="27" t="str">
        <f>'900000'!$D$19</f>
        <v>C09901003</v>
      </c>
      <c r="E145" s="27">
        <f>'900000'!$D65</f>
        <v>0</v>
      </c>
      <c r="F145" s="27" t="s">
        <v>19081</v>
      </c>
    </row>
    <row r="146" spans="1:6">
      <c r="A146" s="27" t="str">
        <f>Resultados!$K$3</f>
        <v/>
      </c>
      <c r="B146" s="27" t="str">
        <f>Resultados!$K$4</f>
        <v/>
      </c>
      <c r="C146" s="568" t="str">
        <f>'900000'!$B66</f>
        <v>09901046</v>
      </c>
      <c r="D146" s="27" t="str">
        <f>'900000'!$D$19</f>
        <v>C09901003</v>
      </c>
      <c r="E146" s="27">
        <f>'900000'!$D66</f>
        <v>0</v>
      </c>
      <c r="F146" s="27" t="s">
        <v>19081</v>
      </c>
    </row>
    <row r="147" spans="1:6">
      <c r="A147" s="27" t="str">
        <f>Resultados!$K$3</f>
        <v/>
      </c>
      <c r="B147" s="27" t="str">
        <f>Resultados!$K$4</f>
        <v/>
      </c>
      <c r="C147" s="568" t="str">
        <f>'900000'!$B67</f>
        <v>09901047</v>
      </c>
      <c r="D147" s="27" t="str">
        <f>'900000'!$D$19</f>
        <v>C09901003</v>
      </c>
      <c r="E147" s="27">
        <f>'900000'!$D67</f>
        <v>0</v>
      </c>
      <c r="F147" s="27" t="s">
        <v>19081</v>
      </c>
    </row>
    <row r="148" spans="1:6">
      <c r="A148" s="27" t="str">
        <f>Resultados!$K$3</f>
        <v/>
      </c>
      <c r="B148" s="27" t="str">
        <f>Resultados!$K$4</f>
        <v/>
      </c>
      <c r="C148" s="568" t="str">
        <f>'900000'!$B68</f>
        <v>09901048</v>
      </c>
      <c r="D148" s="27" t="str">
        <f>'900000'!$D$19</f>
        <v>C09901003</v>
      </c>
      <c r="E148" s="27">
        <f>'900000'!$D68</f>
        <v>0</v>
      </c>
      <c r="F148" s="27" t="s">
        <v>19081</v>
      </c>
    </row>
    <row r="149" spans="1:6">
      <c r="A149" s="27" t="str">
        <f>Resultados!$K$3</f>
        <v/>
      </c>
      <c r="B149" s="27" t="str">
        <f>Resultados!$K$4</f>
        <v/>
      </c>
      <c r="C149" s="568" t="str">
        <f>'900000'!$B69</f>
        <v>09901049</v>
      </c>
      <c r="D149" s="27" t="str">
        <f>'900000'!$D$19</f>
        <v>C09901003</v>
      </c>
      <c r="E149" s="27">
        <f>'900000'!$D69</f>
        <v>0</v>
      </c>
      <c r="F149" s="27" t="s">
        <v>19081</v>
      </c>
    </row>
    <row r="150" spans="1:6">
      <c r="A150" s="27" t="str">
        <f>Resultados!$K$3</f>
        <v/>
      </c>
      <c r="B150" s="27" t="str">
        <f>Resultados!$K$4</f>
        <v/>
      </c>
      <c r="C150" s="568" t="str">
        <f>'900000'!$B70</f>
        <v>09901050</v>
      </c>
      <c r="D150" s="27" t="str">
        <f>'900000'!$D$19</f>
        <v>C09901003</v>
      </c>
      <c r="E150" s="27">
        <f>'900000'!$D70</f>
        <v>0</v>
      </c>
      <c r="F150" s="27" t="s">
        <v>19081</v>
      </c>
    </row>
    <row r="151" spans="1:6">
      <c r="A151" s="27" t="str">
        <f>Resultados!$K$3</f>
        <v/>
      </c>
      <c r="B151" s="27" t="str">
        <f>Resultados!$K$4</f>
        <v/>
      </c>
      <c r="C151" s="568" t="str">
        <f>'900000'!$B71</f>
        <v>09901051</v>
      </c>
      <c r="D151" s="27" t="str">
        <f>'900000'!$D$19</f>
        <v>C09901003</v>
      </c>
      <c r="E151" s="27">
        <f>'900000'!$D71</f>
        <v>0</v>
      </c>
      <c r="F151" s="27" t="s">
        <v>19081</v>
      </c>
    </row>
    <row r="152" spans="1:6">
      <c r="A152" s="27" t="str">
        <f>Resultados!$K$3</f>
        <v/>
      </c>
      <c r="B152" s="27" t="str">
        <f>Resultados!$K$4</f>
        <v/>
      </c>
      <c r="C152" s="568" t="str">
        <f>'900000'!$B72</f>
        <v>09901052</v>
      </c>
      <c r="D152" s="27" t="str">
        <f>'900000'!$D$19</f>
        <v>C09901003</v>
      </c>
      <c r="E152" s="27">
        <f>'900000'!$D72</f>
        <v>0</v>
      </c>
      <c r="F152" s="27" t="s">
        <v>19081</v>
      </c>
    </row>
    <row r="153" spans="1:6">
      <c r="A153" s="27" t="str">
        <f>Resultados!$K$3</f>
        <v/>
      </c>
      <c r="B153" s="27" t="str">
        <f>Resultados!$K$4</f>
        <v/>
      </c>
      <c r="C153" s="568" t="str">
        <f>'900000'!$B73</f>
        <v>09901053</v>
      </c>
      <c r="D153" s="27" t="str">
        <f>'900000'!$D$19</f>
        <v>C09901003</v>
      </c>
      <c r="E153" s="27">
        <f>'900000'!$D73</f>
        <v>0</v>
      </c>
      <c r="F153" s="27" t="s">
        <v>19081</v>
      </c>
    </row>
    <row r="154" spans="1:6">
      <c r="A154" s="27" t="str">
        <f>Resultados!$K$3</f>
        <v/>
      </c>
      <c r="B154" s="27" t="str">
        <f>Resultados!$K$4</f>
        <v/>
      </c>
      <c r="C154" s="568" t="str">
        <f>'900000'!$B74</f>
        <v>09901054</v>
      </c>
      <c r="D154" s="27" t="str">
        <f>'900000'!$D$19</f>
        <v>C09901003</v>
      </c>
      <c r="E154" s="27">
        <f>'900000'!$D74</f>
        <v>0</v>
      </c>
      <c r="F154" s="27" t="s">
        <v>19081</v>
      </c>
    </row>
    <row r="155" spans="1:6">
      <c r="A155" s="27" t="str">
        <f>Resultados!$K$3</f>
        <v/>
      </c>
      <c r="B155" s="27" t="str">
        <f>Resultados!$K$4</f>
        <v/>
      </c>
      <c r="C155" s="568" t="str">
        <f>'900000'!$B75</f>
        <v>09901055</v>
      </c>
      <c r="D155" s="27" t="str">
        <f>'900000'!$D$19</f>
        <v>C09901003</v>
      </c>
      <c r="E155" s="27">
        <f>'900000'!$D75</f>
        <v>0</v>
      </c>
      <c r="F155" s="27" t="s">
        <v>19081</v>
      </c>
    </row>
    <row r="156" spans="1:6">
      <c r="A156" s="27" t="str">
        <f>Resultados!$K$3</f>
        <v/>
      </c>
      <c r="B156" s="27" t="str">
        <f>Resultados!$K$4</f>
        <v/>
      </c>
      <c r="C156" s="568" t="str">
        <f>'900000'!$B76</f>
        <v>09901056</v>
      </c>
      <c r="D156" s="27" t="str">
        <f>'900000'!$D$19</f>
        <v>C09901003</v>
      </c>
      <c r="E156" s="27">
        <f>'900000'!$D76</f>
        <v>0</v>
      </c>
      <c r="F156" s="27" t="s">
        <v>19081</v>
      </c>
    </row>
    <row r="157" spans="1:6">
      <c r="A157" s="27" t="str">
        <f>Resultados!$K$3</f>
        <v/>
      </c>
      <c r="B157" s="27" t="str">
        <f>Resultados!$K$4</f>
        <v/>
      </c>
      <c r="C157" s="568" t="str">
        <f>'900000'!$B77</f>
        <v>09901057</v>
      </c>
      <c r="D157" s="27" t="str">
        <f>'900000'!$D$19</f>
        <v>C09901003</v>
      </c>
      <c r="E157" s="27">
        <f>'900000'!$D77</f>
        <v>0</v>
      </c>
      <c r="F157" s="27" t="s">
        <v>19081</v>
      </c>
    </row>
    <row r="158" spans="1:6">
      <c r="A158" s="27" t="str">
        <f>Resultados!$K$3</f>
        <v/>
      </c>
      <c r="B158" s="27" t="str">
        <f>Resultados!$K$4</f>
        <v/>
      </c>
      <c r="C158" s="568" t="str">
        <f>'900000'!$B78</f>
        <v>09901058</v>
      </c>
      <c r="D158" s="27" t="str">
        <f>'900000'!$D$19</f>
        <v>C09901003</v>
      </c>
      <c r="E158" s="27">
        <f>'900000'!$D78</f>
        <v>0</v>
      </c>
      <c r="F158" s="27" t="s">
        <v>19081</v>
      </c>
    </row>
    <row r="159" spans="1:6">
      <c r="A159" s="27" t="str">
        <f>Resultados!$K$3</f>
        <v/>
      </c>
      <c r="B159" s="27" t="str">
        <f>Resultados!$K$4</f>
        <v/>
      </c>
      <c r="C159" s="568" t="str">
        <f>'900000'!$B79</f>
        <v>09901059</v>
      </c>
      <c r="D159" s="27" t="str">
        <f>'900000'!$D$19</f>
        <v>C09901003</v>
      </c>
      <c r="E159" s="27">
        <f>'900000'!$D79</f>
        <v>0</v>
      </c>
      <c r="F159" s="27" t="s">
        <v>19081</v>
      </c>
    </row>
    <row r="160" spans="1:6">
      <c r="A160" s="27" t="str">
        <f>Resultados!$K$3</f>
        <v/>
      </c>
      <c r="B160" s="27" t="str">
        <f>Resultados!$K$4</f>
        <v/>
      </c>
      <c r="C160" s="568" t="str">
        <f>'900000'!$B80</f>
        <v>09901060</v>
      </c>
      <c r="D160" s="27" t="str">
        <f>'900000'!$D$19</f>
        <v>C09901003</v>
      </c>
      <c r="E160" s="27">
        <f>'900000'!$D80</f>
        <v>0</v>
      </c>
      <c r="F160" s="27" t="s">
        <v>19081</v>
      </c>
    </row>
    <row r="161" spans="1:6">
      <c r="A161" s="27" t="str">
        <f>Resultados!$K$3</f>
        <v/>
      </c>
      <c r="B161" s="27" t="str">
        <f>Resultados!$K$4</f>
        <v/>
      </c>
      <c r="C161" s="568" t="str">
        <f>'900000'!$B81</f>
        <v>09901061</v>
      </c>
      <c r="D161" s="27" t="str">
        <f>'900000'!$D$19</f>
        <v>C09901003</v>
      </c>
      <c r="E161" s="27">
        <f>'900000'!$D81</f>
        <v>0</v>
      </c>
      <c r="F161" s="27" t="s">
        <v>19081</v>
      </c>
    </row>
    <row r="162" spans="1:6">
      <c r="A162" s="27" t="str">
        <f>Resultados!$K$3</f>
        <v/>
      </c>
      <c r="B162" s="27" t="str">
        <f>Resultados!$K$4</f>
        <v/>
      </c>
      <c r="C162" s="568" t="str">
        <f>'900000'!$B82</f>
        <v>09901062</v>
      </c>
      <c r="D162" s="27" t="str">
        <f>'900000'!$D$19</f>
        <v>C09901003</v>
      </c>
      <c r="E162" s="27">
        <f>'900000'!$D82</f>
        <v>0</v>
      </c>
      <c r="F162" s="27" t="s">
        <v>19081</v>
      </c>
    </row>
    <row r="163" spans="1:6">
      <c r="A163" s="27" t="str">
        <f>Resultados!$K$3</f>
        <v/>
      </c>
      <c r="B163" s="27" t="str">
        <f>Resultados!$K$4</f>
        <v/>
      </c>
      <c r="C163" s="568" t="str">
        <f>'900000'!$B83</f>
        <v>09901063</v>
      </c>
      <c r="D163" s="27" t="str">
        <f>'900000'!$D$19</f>
        <v>C09901003</v>
      </c>
      <c r="E163" s="27">
        <f>'900000'!$D83</f>
        <v>0</v>
      </c>
      <c r="F163" s="27" t="s">
        <v>19081</v>
      </c>
    </row>
    <row r="164" spans="1:6">
      <c r="A164" s="27" t="str">
        <f>Resultados!$K$3</f>
        <v/>
      </c>
      <c r="B164" s="27" t="str">
        <f>Resultados!$K$4</f>
        <v/>
      </c>
      <c r="C164" s="568" t="str">
        <f>'900000'!$B84</f>
        <v>09901064</v>
      </c>
      <c r="D164" s="27" t="str">
        <f>'900000'!$D$19</f>
        <v>C09901003</v>
      </c>
      <c r="E164" s="27">
        <f>'900000'!$D84</f>
        <v>0</v>
      </c>
      <c r="F164" s="27" t="s">
        <v>19081</v>
      </c>
    </row>
    <row r="165" spans="1:6">
      <c r="A165" s="27" t="str">
        <f>Resultados!$K$3</f>
        <v/>
      </c>
      <c r="B165" s="27" t="str">
        <f>Resultados!$K$4</f>
        <v/>
      </c>
      <c r="C165" s="568" t="str">
        <f>'900000'!$B85</f>
        <v>09901065</v>
      </c>
      <c r="D165" s="27" t="str">
        <f>'900000'!$D$19</f>
        <v>C09901003</v>
      </c>
      <c r="E165" s="27">
        <f>'900000'!$D85</f>
        <v>0</v>
      </c>
      <c r="F165" s="27" t="s">
        <v>19081</v>
      </c>
    </row>
    <row r="166" spans="1:6">
      <c r="A166" s="27" t="str">
        <f>Resultados!$K$3</f>
        <v/>
      </c>
      <c r="B166" s="27" t="str">
        <f>Resultados!$K$4</f>
        <v/>
      </c>
      <c r="C166" s="568" t="str">
        <f>'900000'!$B86</f>
        <v>09901066</v>
      </c>
      <c r="D166" s="27" t="str">
        <f>'900000'!$D$19</f>
        <v>C09901003</v>
      </c>
      <c r="E166" s="27">
        <f>'900000'!$D86</f>
        <v>0</v>
      </c>
      <c r="F166" s="27" t="s">
        <v>19081</v>
      </c>
    </row>
    <row r="167" spans="1:6">
      <c r="A167" s="27" t="str">
        <f>Resultados!$K$3</f>
        <v/>
      </c>
      <c r="B167" s="27" t="str">
        <f>Resultados!$K$4</f>
        <v/>
      </c>
      <c r="C167" s="568" t="str">
        <f>'900000'!$B87</f>
        <v>09901067</v>
      </c>
      <c r="D167" s="27" t="str">
        <f>'900000'!$D$19</f>
        <v>C09901003</v>
      </c>
      <c r="E167" s="27">
        <f>'900000'!$D87</f>
        <v>0</v>
      </c>
      <c r="F167" s="27" t="s">
        <v>19081</v>
      </c>
    </row>
    <row r="168" spans="1:6">
      <c r="A168" s="27" t="str">
        <f>Resultados!$K$3</f>
        <v/>
      </c>
      <c r="B168" s="27" t="str">
        <f>Resultados!$K$4</f>
        <v/>
      </c>
      <c r="C168" s="568" t="str">
        <f>'900000'!$B88</f>
        <v>09901068</v>
      </c>
      <c r="D168" s="27" t="str">
        <f>'900000'!$D$19</f>
        <v>C09901003</v>
      </c>
      <c r="E168" s="27">
        <f>'900000'!$D88</f>
        <v>0</v>
      </c>
      <c r="F168" s="27" t="s">
        <v>19081</v>
      </c>
    </row>
    <row r="169" spans="1:6">
      <c r="A169" s="27" t="str">
        <f>Resultados!$K$3</f>
        <v/>
      </c>
      <c r="B169" s="27" t="str">
        <f>Resultados!$K$4</f>
        <v/>
      </c>
      <c r="C169" s="568" t="str">
        <f>'900000'!$B89</f>
        <v>09901069</v>
      </c>
      <c r="D169" s="27" t="str">
        <f>'900000'!$D$19</f>
        <v>C09901003</v>
      </c>
      <c r="E169" s="27">
        <f>'900000'!$D89</f>
        <v>0</v>
      </c>
      <c r="F169" s="27" t="s">
        <v>19081</v>
      </c>
    </row>
    <row r="170" spans="1:6">
      <c r="A170" s="27" t="str">
        <f>Resultados!$K$3</f>
        <v/>
      </c>
      <c r="B170" s="27" t="str">
        <f>Resultados!$K$4</f>
        <v/>
      </c>
      <c r="C170" s="568" t="str">
        <f>'900000'!$B90</f>
        <v>09901070</v>
      </c>
      <c r="D170" s="27" t="str">
        <f>'900000'!$D$19</f>
        <v>C09901003</v>
      </c>
      <c r="E170" s="27">
        <f>'900000'!$D90</f>
        <v>0</v>
      </c>
      <c r="F170" s="27" t="s">
        <v>19081</v>
      </c>
    </row>
    <row r="171" spans="1:6">
      <c r="A171" s="27" t="str">
        <f>Resultados!$K$3</f>
        <v/>
      </c>
      <c r="B171" s="27" t="str">
        <f>Resultados!$K$4</f>
        <v/>
      </c>
      <c r="C171" s="568" t="str">
        <f>'900000'!$B91</f>
        <v>09901071</v>
      </c>
      <c r="D171" s="27" t="str">
        <f>'900000'!$D$19</f>
        <v>C09901003</v>
      </c>
      <c r="E171" s="27">
        <f>'900000'!$D91</f>
        <v>0</v>
      </c>
      <c r="F171" s="27" t="s">
        <v>19081</v>
      </c>
    </row>
    <row r="172" spans="1:6">
      <c r="A172" s="27" t="str">
        <f>Resultados!$K$3</f>
        <v/>
      </c>
      <c r="B172" s="27" t="str">
        <f>Resultados!$K$4</f>
        <v/>
      </c>
      <c r="C172" s="568" t="str">
        <f>'900000'!$B92</f>
        <v>09901072</v>
      </c>
      <c r="D172" s="27" t="str">
        <f>'900000'!$D$19</f>
        <v>C09901003</v>
      </c>
      <c r="E172" s="27">
        <f>'900000'!$D92</f>
        <v>0</v>
      </c>
      <c r="F172" s="27" t="s">
        <v>19081</v>
      </c>
    </row>
    <row r="173" spans="1:6">
      <c r="A173" s="27" t="str">
        <f>Resultados!$K$3</f>
        <v/>
      </c>
      <c r="B173" s="27" t="str">
        <f>Resultados!$K$4</f>
        <v/>
      </c>
      <c r="C173" s="568" t="str">
        <f>'900000'!$B93</f>
        <v>09901073</v>
      </c>
      <c r="D173" s="27" t="str">
        <f>'900000'!$D$19</f>
        <v>C09901003</v>
      </c>
      <c r="E173" s="27">
        <f>'900000'!$D93</f>
        <v>0</v>
      </c>
      <c r="F173" s="27" t="s">
        <v>19081</v>
      </c>
    </row>
    <row r="174" spans="1:6">
      <c r="A174" s="27" t="str">
        <f>Resultados!$K$3</f>
        <v/>
      </c>
      <c r="B174" s="27" t="str">
        <f>Resultados!$K$4</f>
        <v/>
      </c>
      <c r="C174" s="568" t="str">
        <f>'900000'!$B94</f>
        <v>09901074</v>
      </c>
      <c r="D174" s="27" t="str">
        <f>'900000'!$D$19</f>
        <v>C09901003</v>
      </c>
      <c r="E174" s="27">
        <f>'900000'!$D94</f>
        <v>0</v>
      </c>
      <c r="F174" s="27" t="s">
        <v>19081</v>
      </c>
    </row>
    <row r="175" spans="1:6">
      <c r="A175" s="27" t="str">
        <f>Resultados!$K$3</f>
        <v/>
      </c>
      <c r="B175" s="27" t="str">
        <f>Resultados!$K$4</f>
        <v/>
      </c>
      <c r="C175" s="568" t="str">
        <f>'900000'!$B95</f>
        <v>09901075</v>
      </c>
      <c r="D175" s="27" t="str">
        <f>'900000'!$D$19</f>
        <v>C09901003</v>
      </c>
      <c r="E175" s="27">
        <f>'900000'!$D95</f>
        <v>0</v>
      </c>
      <c r="F175" s="27" t="s">
        <v>19081</v>
      </c>
    </row>
    <row r="176" spans="1:6">
      <c r="A176" s="27" t="str">
        <f>Resultados!$K$3</f>
        <v/>
      </c>
      <c r="B176" s="27" t="str">
        <f>Resultados!$K$4</f>
        <v/>
      </c>
      <c r="C176" s="568" t="str">
        <f>'900000'!$B96</f>
        <v>09901076</v>
      </c>
      <c r="D176" s="27" t="str">
        <f>'900000'!$D$19</f>
        <v>C09901003</v>
      </c>
      <c r="E176" s="27">
        <f>'900000'!$D96</f>
        <v>0</v>
      </c>
      <c r="F176" s="27" t="s">
        <v>19081</v>
      </c>
    </row>
    <row r="177" spans="1:6">
      <c r="A177" s="27" t="str">
        <f>Resultados!$K$3</f>
        <v/>
      </c>
      <c r="B177" s="27" t="str">
        <f>Resultados!$K$4</f>
        <v/>
      </c>
      <c r="C177" s="568" t="str">
        <f>'900000'!$B97</f>
        <v>09901077</v>
      </c>
      <c r="D177" s="27" t="str">
        <f>'900000'!$D$19</f>
        <v>C09901003</v>
      </c>
      <c r="E177" s="27">
        <f>'900000'!$D97</f>
        <v>0</v>
      </c>
      <c r="F177" s="27" t="s">
        <v>19081</v>
      </c>
    </row>
    <row r="178" spans="1:6">
      <c r="A178" s="27" t="str">
        <f>Resultados!$K$3</f>
        <v/>
      </c>
      <c r="B178" s="27" t="str">
        <f>Resultados!$K$4</f>
        <v/>
      </c>
      <c r="C178" s="568" t="str">
        <f>'900000'!$B98</f>
        <v>09901078</v>
      </c>
      <c r="D178" s="27" t="str">
        <f>'900000'!$D$19</f>
        <v>C09901003</v>
      </c>
      <c r="E178" s="27">
        <f>'900000'!$D98</f>
        <v>0</v>
      </c>
      <c r="F178" s="27" t="s">
        <v>19081</v>
      </c>
    </row>
    <row r="179" spans="1:6">
      <c r="A179" s="27" t="str">
        <f>Resultados!$K$3</f>
        <v/>
      </c>
      <c r="B179" s="27" t="str">
        <f>Resultados!$K$4</f>
        <v/>
      </c>
      <c r="C179" s="568" t="str">
        <f>'900000'!$B99</f>
        <v>09901079</v>
      </c>
      <c r="D179" s="27" t="str">
        <f>'900000'!$D$19</f>
        <v>C09901003</v>
      </c>
      <c r="E179" s="27">
        <f>'900000'!$D99</f>
        <v>0</v>
      </c>
      <c r="F179" s="27" t="s">
        <v>19081</v>
      </c>
    </row>
    <row r="180" spans="1:6">
      <c r="A180" s="27" t="str">
        <f>Resultados!$K$3</f>
        <v/>
      </c>
      <c r="B180" s="27" t="str">
        <f>Resultados!$K$4</f>
        <v/>
      </c>
      <c r="C180" s="568" t="str">
        <f>'900000'!$B100</f>
        <v>09901080</v>
      </c>
      <c r="D180" s="27" t="str">
        <f>'900000'!$D$19</f>
        <v>C09901003</v>
      </c>
      <c r="E180" s="27">
        <f>'900000'!$D100</f>
        <v>0</v>
      </c>
      <c r="F180" s="27" t="s">
        <v>19081</v>
      </c>
    </row>
    <row r="181" spans="1:6">
      <c r="A181" s="27" t="str">
        <f>Resultados!$K$3</f>
        <v/>
      </c>
      <c r="B181" s="27" t="str">
        <f>Resultados!$K$4</f>
        <v/>
      </c>
      <c r="C181" s="568" t="str">
        <f>'900000'!$B101</f>
        <v>09901081</v>
      </c>
      <c r="D181" s="27" t="str">
        <f>'900000'!$D$19</f>
        <v>C09901003</v>
      </c>
      <c r="E181" s="27">
        <f>'900000'!$D101</f>
        <v>0</v>
      </c>
      <c r="F181" s="27" t="s">
        <v>19081</v>
      </c>
    </row>
    <row r="182" spans="1:6">
      <c r="A182" s="27" t="str">
        <f>Resultados!$K$3</f>
        <v/>
      </c>
      <c r="B182" s="27" t="str">
        <f>Resultados!$K$4</f>
        <v/>
      </c>
      <c r="C182" s="568" t="str">
        <f>'900000'!$B102</f>
        <v>09901082</v>
      </c>
      <c r="D182" s="27" t="str">
        <f>'900000'!$D$19</f>
        <v>C09901003</v>
      </c>
      <c r="E182" s="27">
        <f>'900000'!$D102</f>
        <v>0</v>
      </c>
      <c r="F182" s="27" t="s">
        <v>19081</v>
      </c>
    </row>
    <row r="183" spans="1:6">
      <c r="A183" s="27" t="str">
        <f>Resultados!$K$3</f>
        <v/>
      </c>
      <c r="B183" s="27" t="str">
        <f>Resultados!$K$4</f>
        <v/>
      </c>
      <c r="C183" s="568" t="str">
        <f>'900000'!$B103</f>
        <v>09901083</v>
      </c>
      <c r="D183" s="27" t="str">
        <f>'900000'!$D$19</f>
        <v>C09901003</v>
      </c>
      <c r="E183" s="27">
        <f>'900000'!$D103</f>
        <v>0</v>
      </c>
      <c r="F183" s="27" t="s">
        <v>19081</v>
      </c>
    </row>
    <row r="184" spans="1:6">
      <c r="A184" s="27" t="str">
        <f>Resultados!$K$3</f>
        <v/>
      </c>
      <c r="B184" s="27" t="str">
        <f>Resultados!$K$4</f>
        <v/>
      </c>
      <c r="C184" s="568" t="str">
        <f>'900000'!$B104</f>
        <v>09901084</v>
      </c>
      <c r="D184" s="27" t="str">
        <f>'900000'!$D$19</f>
        <v>C09901003</v>
      </c>
      <c r="E184" s="27">
        <f>'900000'!$D104</f>
        <v>0</v>
      </c>
      <c r="F184" s="27" t="s">
        <v>19081</v>
      </c>
    </row>
    <row r="185" spans="1:6">
      <c r="A185" s="27" t="str">
        <f>Resultados!$K$3</f>
        <v/>
      </c>
      <c r="B185" s="27" t="str">
        <f>Resultados!$K$4</f>
        <v/>
      </c>
      <c r="C185" s="568" t="str">
        <f>'900000'!$B105</f>
        <v>09901085</v>
      </c>
      <c r="D185" s="27" t="str">
        <f>'900000'!$D$19</f>
        <v>C09901003</v>
      </c>
      <c r="E185" s="27">
        <f>'900000'!$D105</f>
        <v>0</v>
      </c>
      <c r="F185" s="27" t="s">
        <v>19081</v>
      </c>
    </row>
    <row r="186" spans="1:6">
      <c r="A186" s="27" t="str">
        <f>Resultados!$K$3</f>
        <v/>
      </c>
      <c r="B186" s="27" t="str">
        <f>Resultados!$K$4</f>
        <v/>
      </c>
      <c r="C186" s="568" t="str">
        <f>'900000'!$B106</f>
        <v>09901086</v>
      </c>
      <c r="D186" s="27" t="str">
        <f>'900000'!$D$19</f>
        <v>C09901003</v>
      </c>
      <c r="E186" s="27">
        <f>'900000'!$D106</f>
        <v>0</v>
      </c>
      <c r="F186" s="27" t="s">
        <v>19081</v>
      </c>
    </row>
    <row r="187" spans="1:6">
      <c r="A187" s="27" t="str">
        <f>Resultados!$K$3</f>
        <v/>
      </c>
      <c r="B187" s="27" t="str">
        <f>Resultados!$K$4</f>
        <v/>
      </c>
      <c r="C187" s="568" t="str">
        <f>'900000'!$B107</f>
        <v>09901087</v>
      </c>
      <c r="D187" s="27" t="str">
        <f>'900000'!$D$19</f>
        <v>C09901003</v>
      </c>
      <c r="E187" s="27">
        <f>'900000'!$D107</f>
        <v>0</v>
      </c>
      <c r="F187" s="27" t="s">
        <v>19081</v>
      </c>
    </row>
    <row r="188" spans="1:6">
      <c r="A188" s="27" t="str">
        <f>Resultados!$K$3</f>
        <v/>
      </c>
      <c r="B188" s="27" t="str">
        <f>Resultados!$K$4</f>
        <v/>
      </c>
      <c r="C188" s="568" t="str">
        <f>'900000'!$B108</f>
        <v>09901088</v>
      </c>
      <c r="D188" s="27" t="str">
        <f>'900000'!$D$19</f>
        <v>C09901003</v>
      </c>
      <c r="E188" s="27">
        <f>'900000'!$D108</f>
        <v>0</v>
      </c>
      <c r="F188" s="27" t="s">
        <v>19081</v>
      </c>
    </row>
    <row r="189" spans="1:6">
      <c r="A189" s="27" t="str">
        <f>Resultados!$K$3</f>
        <v/>
      </c>
      <c r="B189" s="27" t="str">
        <f>Resultados!$K$4</f>
        <v/>
      </c>
      <c r="C189" s="568" t="str">
        <f>'900000'!$B109</f>
        <v>09901089</v>
      </c>
      <c r="D189" s="27" t="str">
        <f>'900000'!$D$19</f>
        <v>C09901003</v>
      </c>
      <c r="E189" s="27">
        <f>'900000'!$D109</f>
        <v>0</v>
      </c>
      <c r="F189" s="27" t="s">
        <v>19081</v>
      </c>
    </row>
    <row r="190" spans="1:6">
      <c r="A190" s="27" t="str">
        <f>Resultados!$K$3</f>
        <v/>
      </c>
      <c r="B190" s="27" t="str">
        <f>Resultados!$K$4</f>
        <v/>
      </c>
      <c r="C190" s="568" t="str">
        <f>'900000'!$B110</f>
        <v>09901090</v>
      </c>
      <c r="D190" s="27" t="str">
        <f>'900000'!$D$19</f>
        <v>C09901003</v>
      </c>
      <c r="E190" s="27">
        <f>'900000'!$D110</f>
        <v>0</v>
      </c>
      <c r="F190" s="27" t="s">
        <v>19081</v>
      </c>
    </row>
    <row r="191" spans="1:6">
      <c r="A191" s="27" t="str">
        <f>Resultados!$K$3</f>
        <v/>
      </c>
      <c r="B191" s="27" t="str">
        <f>Resultados!$K$4</f>
        <v/>
      </c>
      <c r="C191" s="568" t="str">
        <f>'900000'!$B111</f>
        <v>09901091</v>
      </c>
      <c r="D191" s="27" t="str">
        <f>'900000'!$D$19</f>
        <v>C09901003</v>
      </c>
      <c r="E191" s="27">
        <f>'900000'!$D111</f>
        <v>0</v>
      </c>
      <c r="F191" s="27" t="s">
        <v>19081</v>
      </c>
    </row>
    <row r="192" spans="1:6">
      <c r="A192" s="27" t="str">
        <f>Resultados!$K$3</f>
        <v/>
      </c>
      <c r="B192" s="27" t="str">
        <f>Resultados!$K$4</f>
        <v/>
      </c>
      <c r="C192" s="568" t="str">
        <f>'900000'!$B112</f>
        <v>09901092</v>
      </c>
      <c r="D192" s="27" t="str">
        <f>'900000'!$D$19</f>
        <v>C09901003</v>
      </c>
      <c r="E192" s="27">
        <f>'900000'!$D112</f>
        <v>0</v>
      </c>
      <c r="F192" s="27" t="s">
        <v>19081</v>
      </c>
    </row>
    <row r="193" spans="1:6">
      <c r="A193" s="27" t="str">
        <f>Resultados!$K$3</f>
        <v/>
      </c>
      <c r="B193" s="27" t="str">
        <f>Resultados!$K$4</f>
        <v/>
      </c>
      <c r="C193" s="568" t="str">
        <f>'900000'!$B113</f>
        <v>09901093</v>
      </c>
      <c r="D193" s="27" t="str">
        <f>'900000'!$D$19</f>
        <v>C09901003</v>
      </c>
      <c r="E193" s="27">
        <f>'900000'!$D113</f>
        <v>0</v>
      </c>
      <c r="F193" s="27" t="s">
        <v>19081</v>
      </c>
    </row>
    <row r="194" spans="1:6">
      <c r="A194" s="27" t="str">
        <f>Resultados!$K$3</f>
        <v/>
      </c>
      <c r="B194" s="27" t="str">
        <f>Resultados!$K$4</f>
        <v/>
      </c>
      <c r="C194" s="568" t="str">
        <f>'900000'!$B114</f>
        <v>09901094</v>
      </c>
      <c r="D194" s="27" t="str">
        <f>'900000'!$D$19</f>
        <v>C09901003</v>
      </c>
      <c r="E194" s="27">
        <f>'900000'!$D114</f>
        <v>0</v>
      </c>
      <c r="F194" s="27" t="s">
        <v>19081</v>
      </c>
    </row>
    <row r="195" spans="1:6">
      <c r="A195" s="27" t="str">
        <f>Resultados!$K$3</f>
        <v/>
      </c>
      <c r="B195" s="27" t="str">
        <f>Resultados!$K$4</f>
        <v/>
      </c>
      <c r="C195" s="568" t="str">
        <f>'900000'!$B115</f>
        <v>09901095</v>
      </c>
      <c r="D195" s="27" t="str">
        <f>'900000'!$D$19</f>
        <v>C09901003</v>
      </c>
      <c r="E195" s="27">
        <f>'900000'!$D115</f>
        <v>0</v>
      </c>
      <c r="F195" s="27" t="s">
        <v>19081</v>
      </c>
    </row>
    <row r="196" spans="1:6">
      <c r="A196" s="27" t="str">
        <f>Resultados!$K$3</f>
        <v/>
      </c>
      <c r="B196" s="27" t="str">
        <f>Resultados!$K$4</f>
        <v/>
      </c>
      <c r="C196" s="568" t="str">
        <f>'900000'!$B116</f>
        <v>09901096</v>
      </c>
      <c r="D196" s="27" t="str">
        <f>'900000'!$D$19</f>
        <v>C09901003</v>
      </c>
      <c r="E196" s="27">
        <f>'900000'!$D116</f>
        <v>0</v>
      </c>
      <c r="F196" s="27" t="s">
        <v>19081</v>
      </c>
    </row>
    <row r="197" spans="1:6">
      <c r="A197" s="27" t="str">
        <f>Resultados!$K$3</f>
        <v/>
      </c>
      <c r="B197" s="27" t="str">
        <f>Resultados!$K$4</f>
        <v/>
      </c>
      <c r="C197" s="568" t="str">
        <f>'900000'!$B117</f>
        <v>09901097</v>
      </c>
      <c r="D197" s="27" t="str">
        <f>'900000'!$D$19</f>
        <v>C09901003</v>
      </c>
      <c r="E197" s="27">
        <f>'900000'!$D117</f>
        <v>0</v>
      </c>
      <c r="F197" s="27" t="s">
        <v>19081</v>
      </c>
    </row>
    <row r="198" spans="1:6">
      <c r="A198" s="27" t="str">
        <f>Resultados!$K$3</f>
        <v/>
      </c>
      <c r="B198" s="27" t="str">
        <f>Resultados!$K$4</f>
        <v/>
      </c>
      <c r="C198" s="568" t="str">
        <f>'900000'!$B118</f>
        <v>09901098</v>
      </c>
      <c r="D198" s="27" t="str">
        <f>'900000'!$D$19</f>
        <v>C09901003</v>
      </c>
      <c r="E198" s="27">
        <f>'900000'!$D118</f>
        <v>0</v>
      </c>
      <c r="F198" s="27" t="s">
        <v>19081</v>
      </c>
    </row>
    <row r="199" spans="1:6">
      <c r="A199" s="27" t="str">
        <f>Resultados!$K$3</f>
        <v/>
      </c>
      <c r="B199" s="27" t="str">
        <f>Resultados!$K$4</f>
        <v/>
      </c>
      <c r="C199" s="568" t="str">
        <f>'900000'!$B119</f>
        <v>09901099</v>
      </c>
      <c r="D199" s="27" t="str">
        <f>'900000'!$D$19</f>
        <v>C09901003</v>
      </c>
      <c r="E199" s="27">
        <f>'900000'!$D119</f>
        <v>0</v>
      </c>
      <c r="F199" s="27" t="s">
        <v>19081</v>
      </c>
    </row>
    <row r="200" spans="1:6">
      <c r="A200" s="27" t="str">
        <f>Resultados!$K$3</f>
        <v/>
      </c>
      <c r="B200" s="27" t="str">
        <f>Resultados!$K$4</f>
        <v/>
      </c>
      <c r="C200" s="568" t="str">
        <f>'900000'!$B120</f>
        <v>09901100</v>
      </c>
      <c r="D200" s="27" t="str">
        <f>'900000'!$D$19</f>
        <v>C09901003</v>
      </c>
      <c r="E200" s="27">
        <f>'900000'!$D120</f>
        <v>0</v>
      </c>
      <c r="F200" s="27" t="s">
        <v>19081</v>
      </c>
    </row>
    <row r="201" spans="1:6">
      <c r="A201" s="27" t="str">
        <f>Resultados!$K$3</f>
        <v/>
      </c>
      <c r="B201" s="27" t="str">
        <f>Resultados!$K$4</f>
        <v/>
      </c>
      <c r="C201" s="568" t="str">
        <f>'900000'!$B121</f>
        <v>09901101</v>
      </c>
      <c r="D201" s="27" t="str">
        <f>'900000'!$D$19</f>
        <v>C09901003</v>
      </c>
      <c r="E201" s="27">
        <f>'900000'!$D121</f>
        <v>0</v>
      </c>
      <c r="F201" s="27" t="s">
        <v>19081</v>
      </c>
    </row>
    <row r="202" spans="1:6">
      <c r="A202" s="27" t="str">
        <f>Resultados!$K$3</f>
        <v/>
      </c>
      <c r="B202" s="27" t="str">
        <f>Resultados!$K$4</f>
        <v/>
      </c>
      <c r="C202" s="568" t="str">
        <f>'900000'!$B22</f>
        <v>09901002</v>
      </c>
      <c r="D202" t="str">
        <f>'900000'!$E$19</f>
        <v>C09901004</v>
      </c>
      <c r="E202" t="str">
        <f>'900000'!$E22</f>
        <v/>
      </c>
      <c r="F202" s="27" t="s">
        <v>19081</v>
      </c>
    </row>
    <row r="203" spans="1:6">
      <c r="A203" s="27" t="str">
        <f>Resultados!$K$3</f>
        <v/>
      </c>
      <c r="B203" s="27" t="str">
        <f>Resultados!$K$4</f>
        <v/>
      </c>
      <c r="C203" s="568" t="str">
        <f>'900000'!$B23</f>
        <v>09901003</v>
      </c>
      <c r="D203" s="27" t="str">
        <f>'900000'!$E$19</f>
        <v>C09901004</v>
      </c>
      <c r="E203" s="27" t="str">
        <f>'900000'!$E23</f>
        <v/>
      </c>
      <c r="F203" s="27" t="s">
        <v>19081</v>
      </c>
    </row>
    <row r="204" spans="1:6">
      <c r="A204" s="27" t="str">
        <f>Resultados!$K$3</f>
        <v/>
      </c>
      <c r="B204" s="27" t="str">
        <f>Resultados!$K$4</f>
        <v/>
      </c>
      <c r="C204" s="568" t="str">
        <f>'900000'!$B24</f>
        <v>09901004</v>
      </c>
      <c r="D204" s="27" t="str">
        <f>'900000'!$E$19</f>
        <v>C09901004</v>
      </c>
      <c r="E204" s="27" t="str">
        <f>'900000'!$E24</f>
        <v/>
      </c>
      <c r="F204" s="27" t="s">
        <v>19081</v>
      </c>
    </row>
    <row r="205" spans="1:6">
      <c r="A205" s="27" t="str">
        <f>Resultados!$K$3</f>
        <v/>
      </c>
      <c r="B205" s="27" t="str">
        <f>Resultados!$K$4</f>
        <v/>
      </c>
      <c r="C205" s="568" t="str">
        <f>'900000'!$B25</f>
        <v>09901005</v>
      </c>
      <c r="D205" s="27" t="str">
        <f>'900000'!$E$19</f>
        <v>C09901004</v>
      </c>
      <c r="E205" s="27" t="str">
        <f>'900000'!$E25</f>
        <v/>
      </c>
      <c r="F205" s="27" t="s">
        <v>19081</v>
      </c>
    </row>
    <row r="206" spans="1:6">
      <c r="A206" s="27" t="str">
        <f>Resultados!$K$3</f>
        <v/>
      </c>
      <c r="B206" s="27" t="str">
        <f>Resultados!$K$4</f>
        <v/>
      </c>
      <c r="C206" s="568" t="str">
        <f>'900000'!$B26</f>
        <v>09901006</v>
      </c>
      <c r="D206" s="27" t="str">
        <f>'900000'!$E$19</f>
        <v>C09901004</v>
      </c>
      <c r="E206" s="27" t="str">
        <f>'900000'!$E26</f>
        <v/>
      </c>
      <c r="F206" s="27" t="s">
        <v>19081</v>
      </c>
    </row>
    <row r="207" spans="1:6">
      <c r="A207" s="27" t="str">
        <f>Resultados!$K$3</f>
        <v/>
      </c>
      <c r="B207" s="27" t="str">
        <f>Resultados!$K$4</f>
        <v/>
      </c>
      <c r="C207" s="568" t="str">
        <f>'900000'!$B27</f>
        <v>09901007</v>
      </c>
      <c r="D207" s="27" t="str">
        <f>'900000'!$E$19</f>
        <v>C09901004</v>
      </c>
      <c r="E207" s="27" t="str">
        <f>'900000'!$E27</f>
        <v/>
      </c>
      <c r="F207" s="27" t="s">
        <v>19081</v>
      </c>
    </row>
    <row r="208" spans="1:6">
      <c r="A208" s="27" t="str">
        <f>Resultados!$K$3</f>
        <v/>
      </c>
      <c r="B208" s="27" t="str">
        <f>Resultados!$K$4</f>
        <v/>
      </c>
      <c r="C208" s="568" t="str">
        <f>'900000'!$B28</f>
        <v>09901008</v>
      </c>
      <c r="D208" s="27" t="str">
        <f>'900000'!$E$19</f>
        <v>C09901004</v>
      </c>
      <c r="E208" s="27" t="str">
        <f>'900000'!$E28</f>
        <v/>
      </c>
      <c r="F208" s="27" t="s">
        <v>19081</v>
      </c>
    </row>
    <row r="209" spans="1:6">
      <c r="A209" s="27" t="str">
        <f>Resultados!$K$3</f>
        <v/>
      </c>
      <c r="B209" s="27" t="str">
        <f>Resultados!$K$4</f>
        <v/>
      </c>
      <c r="C209" s="568" t="str">
        <f>'900000'!$B29</f>
        <v>09901009</v>
      </c>
      <c r="D209" s="27" t="str">
        <f>'900000'!$E$19</f>
        <v>C09901004</v>
      </c>
      <c r="E209" s="27" t="str">
        <f>'900000'!$E29</f>
        <v/>
      </c>
      <c r="F209" s="27" t="s">
        <v>19081</v>
      </c>
    </row>
    <row r="210" spans="1:6">
      <c r="A210" s="27" t="str">
        <f>Resultados!$K$3</f>
        <v/>
      </c>
      <c r="B210" s="27" t="str">
        <f>Resultados!$K$4</f>
        <v/>
      </c>
      <c r="C210" s="568" t="str">
        <f>'900000'!$B30</f>
        <v>09901010</v>
      </c>
      <c r="D210" s="27" t="str">
        <f>'900000'!$E$19</f>
        <v>C09901004</v>
      </c>
      <c r="E210" s="27" t="str">
        <f>'900000'!$E30</f>
        <v/>
      </c>
      <c r="F210" s="27" t="s">
        <v>19081</v>
      </c>
    </row>
    <row r="211" spans="1:6">
      <c r="A211" s="27" t="str">
        <f>Resultados!$K$3</f>
        <v/>
      </c>
      <c r="B211" s="27" t="str">
        <f>Resultados!$K$4</f>
        <v/>
      </c>
      <c r="C211" s="568" t="str">
        <f>'900000'!$B31</f>
        <v>09901011</v>
      </c>
      <c r="D211" s="27" t="str">
        <f>'900000'!$E$19</f>
        <v>C09901004</v>
      </c>
      <c r="E211" s="27" t="str">
        <f>'900000'!$E31</f>
        <v/>
      </c>
      <c r="F211" s="27" t="s">
        <v>19081</v>
      </c>
    </row>
    <row r="212" spans="1:6">
      <c r="A212" s="27" t="str">
        <f>Resultados!$K$3</f>
        <v/>
      </c>
      <c r="B212" s="27" t="str">
        <f>Resultados!$K$4</f>
        <v/>
      </c>
      <c r="C212" s="568" t="str">
        <f>'900000'!$B32</f>
        <v>09901012</v>
      </c>
      <c r="D212" s="27" t="str">
        <f>'900000'!$E$19</f>
        <v>C09901004</v>
      </c>
      <c r="E212" s="27" t="str">
        <f>'900000'!$E32</f>
        <v/>
      </c>
      <c r="F212" s="27" t="s">
        <v>19081</v>
      </c>
    </row>
    <row r="213" spans="1:6">
      <c r="A213" s="27" t="str">
        <f>Resultados!$K$3</f>
        <v/>
      </c>
      <c r="B213" s="27" t="str">
        <f>Resultados!$K$4</f>
        <v/>
      </c>
      <c r="C213" s="568" t="str">
        <f>'900000'!$B33</f>
        <v>09901013</v>
      </c>
      <c r="D213" s="27" t="str">
        <f>'900000'!$E$19</f>
        <v>C09901004</v>
      </c>
      <c r="E213" s="27" t="str">
        <f>'900000'!$E33</f>
        <v/>
      </c>
      <c r="F213" s="27" t="s">
        <v>19081</v>
      </c>
    </row>
    <row r="214" spans="1:6">
      <c r="A214" s="27" t="str">
        <f>Resultados!$K$3</f>
        <v/>
      </c>
      <c r="B214" s="27" t="str">
        <f>Resultados!$K$4</f>
        <v/>
      </c>
      <c r="C214" s="568" t="str">
        <f>'900000'!$B34</f>
        <v>09901014</v>
      </c>
      <c r="D214" s="27" t="str">
        <f>'900000'!$E$19</f>
        <v>C09901004</v>
      </c>
      <c r="E214" s="27" t="str">
        <f>'900000'!$E34</f>
        <v/>
      </c>
      <c r="F214" s="27" t="s">
        <v>19081</v>
      </c>
    </row>
    <row r="215" spans="1:6">
      <c r="A215" s="27" t="str">
        <f>Resultados!$K$3</f>
        <v/>
      </c>
      <c r="B215" s="27" t="str">
        <f>Resultados!$K$4</f>
        <v/>
      </c>
      <c r="C215" s="568" t="str">
        <f>'900000'!$B35</f>
        <v>09901015</v>
      </c>
      <c r="D215" s="27" t="str">
        <f>'900000'!$E$19</f>
        <v>C09901004</v>
      </c>
      <c r="E215" s="27" t="str">
        <f>'900000'!$E35</f>
        <v/>
      </c>
      <c r="F215" s="27" t="s">
        <v>19081</v>
      </c>
    </row>
    <row r="216" spans="1:6">
      <c r="A216" s="27" t="str">
        <f>Resultados!$K$3</f>
        <v/>
      </c>
      <c r="B216" s="27" t="str">
        <f>Resultados!$K$4</f>
        <v/>
      </c>
      <c r="C216" s="568" t="str">
        <f>'900000'!$B36</f>
        <v>09901016</v>
      </c>
      <c r="D216" s="27" t="str">
        <f>'900000'!$E$19</f>
        <v>C09901004</v>
      </c>
      <c r="E216" s="27" t="str">
        <f>'900000'!$E36</f>
        <v/>
      </c>
      <c r="F216" s="27" t="s">
        <v>19081</v>
      </c>
    </row>
    <row r="217" spans="1:6">
      <c r="A217" s="27" t="str">
        <f>Resultados!$K$3</f>
        <v/>
      </c>
      <c r="B217" s="27" t="str">
        <f>Resultados!$K$4</f>
        <v/>
      </c>
      <c r="C217" s="568" t="str">
        <f>'900000'!$B37</f>
        <v>09901017</v>
      </c>
      <c r="D217" s="27" t="str">
        <f>'900000'!$E$19</f>
        <v>C09901004</v>
      </c>
      <c r="E217" s="27" t="str">
        <f>'900000'!$E37</f>
        <v/>
      </c>
      <c r="F217" s="27" t="s">
        <v>19081</v>
      </c>
    </row>
    <row r="218" spans="1:6">
      <c r="A218" s="27" t="str">
        <f>Resultados!$K$3</f>
        <v/>
      </c>
      <c r="B218" s="27" t="str">
        <f>Resultados!$K$4</f>
        <v/>
      </c>
      <c r="C218" s="568" t="str">
        <f>'900000'!$B38</f>
        <v>09901018</v>
      </c>
      <c r="D218" s="27" t="str">
        <f>'900000'!$E$19</f>
        <v>C09901004</v>
      </c>
      <c r="E218" s="27" t="str">
        <f>'900000'!$E38</f>
        <v/>
      </c>
      <c r="F218" s="27" t="s">
        <v>19081</v>
      </c>
    </row>
    <row r="219" spans="1:6">
      <c r="A219" s="27" t="str">
        <f>Resultados!$K$3</f>
        <v/>
      </c>
      <c r="B219" s="27" t="str">
        <f>Resultados!$K$4</f>
        <v/>
      </c>
      <c r="C219" s="568" t="str">
        <f>'900000'!$B39</f>
        <v>09901019</v>
      </c>
      <c r="D219" s="27" t="str">
        <f>'900000'!$E$19</f>
        <v>C09901004</v>
      </c>
      <c r="E219" s="27" t="str">
        <f>'900000'!$E39</f>
        <v/>
      </c>
      <c r="F219" s="27" t="s">
        <v>19081</v>
      </c>
    </row>
    <row r="220" spans="1:6">
      <c r="A220" s="27" t="str">
        <f>Resultados!$K$3</f>
        <v/>
      </c>
      <c r="B220" s="27" t="str">
        <f>Resultados!$K$4</f>
        <v/>
      </c>
      <c r="C220" s="568" t="str">
        <f>'900000'!$B40</f>
        <v>09901020</v>
      </c>
      <c r="D220" s="27" t="str">
        <f>'900000'!$E$19</f>
        <v>C09901004</v>
      </c>
      <c r="E220" s="27" t="str">
        <f>'900000'!$E40</f>
        <v/>
      </c>
      <c r="F220" s="27" t="s">
        <v>19081</v>
      </c>
    </row>
    <row r="221" spans="1:6">
      <c r="A221" s="27" t="str">
        <f>Resultados!$K$3</f>
        <v/>
      </c>
      <c r="B221" s="27" t="str">
        <f>Resultados!$K$4</f>
        <v/>
      </c>
      <c r="C221" s="568" t="str">
        <f>'900000'!$B41</f>
        <v>09901021</v>
      </c>
      <c r="D221" s="27" t="str">
        <f>'900000'!$E$19</f>
        <v>C09901004</v>
      </c>
      <c r="E221" s="27" t="str">
        <f>'900000'!$E41</f>
        <v/>
      </c>
      <c r="F221" s="27" t="s">
        <v>19081</v>
      </c>
    </row>
    <row r="222" spans="1:6">
      <c r="A222" s="27" t="str">
        <f>Resultados!$K$3</f>
        <v/>
      </c>
      <c r="B222" s="27" t="str">
        <f>Resultados!$K$4</f>
        <v/>
      </c>
      <c r="C222" s="568" t="str">
        <f>'900000'!$B42</f>
        <v>09901022</v>
      </c>
      <c r="D222" s="27" t="str">
        <f>'900000'!$E$19</f>
        <v>C09901004</v>
      </c>
      <c r="E222" s="27" t="str">
        <f>'900000'!$E42</f>
        <v/>
      </c>
      <c r="F222" s="27" t="s">
        <v>19081</v>
      </c>
    </row>
    <row r="223" spans="1:6">
      <c r="A223" s="27" t="str">
        <f>Resultados!$K$3</f>
        <v/>
      </c>
      <c r="B223" s="27" t="str">
        <f>Resultados!$K$4</f>
        <v/>
      </c>
      <c r="C223" s="568" t="str">
        <f>'900000'!$B43</f>
        <v>09901023</v>
      </c>
      <c r="D223" s="27" t="str">
        <f>'900000'!$E$19</f>
        <v>C09901004</v>
      </c>
      <c r="E223" s="27" t="str">
        <f>'900000'!$E43</f>
        <v/>
      </c>
      <c r="F223" s="27" t="s">
        <v>19081</v>
      </c>
    </row>
    <row r="224" spans="1:6">
      <c r="A224" s="27" t="str">
        <f>Resultados!$K$3</f>
        <v/>
      </c>
      <c r="B224" s="27" t="str">
        <f>Resultados!$K$4</f>
        <v/>
      </c>
      <c r="C224" s="568" t="str">
        <f>'900000'!$B44</f>
        <v>09901024</v>
      </c>
      <c r="D224" s="27" t="str">
        <f>'900000'!$E$19</f>
        <v>C09901004</v>
      </c>
      <c r="E224" s="27" t="str">
        <f>'900000'!$E44</f>
        <v/>
      </c>
      <c r="F224" s="27" t="s">
        <v>19081</v>
      </c>
    </row>
    <row r="225" spans="1:6">
      <c r="A225" s="27" t="str">
        <f>Resultados!$K$3</f>
        <v/>
      </c>
      <c r="B225" s="27" t="str">
        <f>Resultados!$K$4</f>
        <v/>
      </c>
      <c r="C225" s="568" t="str">
        <f>'900000'!$B45</f>
        <v>09901025</v>
      </c>
      <c r="D225" s="27" t="str">
        <f>'900000'!$E$19</f>
        <v>C09901004</v>
      </c>
      <c r="E225" s="27" t="str">
        <f>'900000'!$E45</f>
        <v/>
      </c>
      <c r="F225" s="27" t="s">
        <v>19081</v>
      </c>
    </row>
    <row r="226" spans="1:6">
      <c r="A226" s="27" t="str">
        <f>Resultados!$K$3</f>
        <v/>
      </c>
      <c r="B226" s="27" t="str">
        <f>Resultados!$K$4</f>
        <v/>
      </c>
      <c r="C226" s="568" t="str">
        <f>'900000'!$B46</f>
        <v>09901026</v>
      </c>
      <c r="D226" s="27" t="str">
        <f>'900000'!$E$19</f>
        <v>C09901004</v>
      </c>
      <c r="E226" s="27" t="str">
        <f>'900000'!$E46</f>
        <v/>
      </c>
      <c r="F226" s="27" t="s">
        <v>19081</v>
      </c>
    </row>
    <row r="227" spans="1:6">
      <c r="A227" s="27" t="str">
        <f>Resultados!$K$3</f>
        <v/>
      </c>
      <c r="B227" s="27" t="str">
        <f>Resultados!$K$4</f>
        <v/>
      </c>
      <c r="C227" s="568" t="str">
        <f>'900000'!$B47</f>
        <v>09901027</v>
      </c>
      <c r="D227" s="27" t="str">
        <f>'900000'!$E$19</f>
        <v>C09901004</v>
      </c>
      <c r="E227" s="27" t="str">
        <f>'900000'!$E47</f>
        <v/>
      </c>
      <c r="F227" s="27" t="s">
        <v>19081</v>
      </c>
    </row>
    <row r="228" spans="1:6">
      <c r="A228" s="27" t="str">
        <f>Resultados!$K$3</f>
        <v/>
      </c>
      <c r="B228" s="27" t="str">
        <f>Resultados!$K$4</f>
        <v/>
      </c>
      <c r="C228" s="568" t="str">
        <f>'900000'!$B48</f>
        <v>09901028</v>
      </c>
      <c r="D228" s="27" t="str">
        <f>'900000'!$E$19</f>
        <v>C09901004</v>
      </c>
      <c r="E228" s="27" t="str">
        <f>'900000'!$E48</f>
        <v/>
      </c>
      <c r="F228" s="27" t="s">
        <v>19081</v>
      </c>
    </row>
    <row r="229" spans="1:6">
      <c r="A229" s="27" t="str">
        <f>Resultados!$K$3</f>
        <v/>
      </c>
      <c r="B229" s="27" t="str">
        <f>Resultados!$K$4</f>
        <v/>
      </c>
      <c r="C229" s="568" t="str">
        <f>'900000'!$B49</f>
        <v>09901029</v>
      </c>
      <c r="D229" s="27" t="str">
        <f>'900000'!$E$19</f>
        <v>C09901004</v>
      </c>
      <c r="E229" s="27" t="str">
        <f>'900000'!$E49</f>
        <v/>
      </c>
      <c r="F229" s="27" t="s">
        <v>19081</v>
      </c>
    </row>
    <row r="230" spans="1:6">
      <c r="A230" s="27" t="str">
        <f>Resultados!$K$3</f>
        <v/>
      </c>
      <c r="B230" s="27" t="str">
        <f>Resultados!$K$4</f>
        <v/>
      </c>
      <c r="C230" s="568" t="str">
        <f>'900000'!$B50</f>
        <v>09901030</v>
      </c>
      <c r="D230" s="27" t="str">
        <f>'900000'!$E$19</f>
        <v>C09901004</v>
      </c>
      <c r="E230" s="27" t="str">
        <f>'900000'!$E50</f>
        <v/>
      </c>
      <c r="F230" s="27" t="s">
        <v>19081</v>
      </c>
    </row>
    <row r="231" spans="1:6">
      <c r="A231" s="27" t="str">
        <f>Resultados!$K$3</f>
        <v/>
      </c>
      <c r="B231" s="27" t="str">
        <f>Resultados!$K$4</f>
        <v/>
      </c>
      <c r="C231" s="568" t="str">
        <f>'900000'!$B51</f>
        <v>09901031</v>
      </c>
      <c r="D231" s="27" t="str">
        <f>'900000'!$E$19</f>
        <v>C09901004</v>
      </c>
      <c r="E231" s="27" t="str">
        <f>'900000'!$E51</f>
        <v/>
      </c>
      <c r="F231" s="27" t="s">
        <v>19081</v>
      </c>
    </row>
    <row r="232" spans="1:6">
      <c r="A232" s="27" t="str">
        <f>Resultados!$K$3</f>
        <v/>
      </c>
      <c r="B232" s="27" t="str">
        <f>Resultados!$K$4</f>
        <v/>
      </c>
      <c r="C232" s="568" t="str">
        <f>'900000'!$B52</f>
        <v>09901032</v>
      </c>
      <c r="D232" s="27" t="str">
        <f>'900000'!$E$19</f>
        <v>C09901004</v>
      </c>
      <c r="E232" s="27" t="str">
        <f>'900000'!$E52</f>
        <v/>
      </c>
      <c r="F232" s="27" t="s">
        <v>19081</v>
      </c>
    </row>
    <row r="233" spans="1:6">
      <c r="A233" s="27" t="str">
        <f>Resultados!$K$3</f>
        <v/>
      </c>
      <c r="B233" s="27" t="str">
        <f>Resultados!$K$4</f>
        <v/>
      </c>
      <c r="C233" s="568" t="str">
        <f>'900000'!$B53</f>
        <v>09901033</v>
      </c>
      <c r="D233" s="27" t="str">
        <f>'900000'!$E$19</f>
        <v>C09901004</v>
      </c>
      <c r="E233" s="27" t="str">
        <f>'900000'!$E53</f>
        <v/>
      </c>
      <c r="F233" s="27" t="s">
        <v>19081</v>
      </c>
    </row>
    <row r="234" spans="1:6">
      <c r="A234" s="27" t="str">
        <f>Resultados!$K$3</f>
        <v/>
      </c>
      <c r="B234" s="27" t="str">
        <f>Resultados!$K$4</f>
        <v/>
      </c>
      <c r="C234" s="568" t="str">
        <f>'900000'!$B54</f>
        <v>09901034</v>
      </c>
      <c r="D234" s="27" t="str">
        <f>'900000'!$E$19</f>
        <v>C09901004</v>
      </c>
      <c r="E234" s="27" t="str">
        <f>'900000'!$E54</f>
        <v/>
      </c>
      <c r="F234" s="27" t="s">
        <v>19081</v>
      </c>
    </row>
    <row r="235" spans="1:6">
      <c r="A235" s="27" t="str">
        <f>Resultados!$K$3</f>
        <v/>
      </c>
      <c r="B235" s="27" t="str">
        <f>Resultados!$K$4</f>
        <v/>
      </c>
      <c r="C235" s="568" t="str">
        <f>'900000'!$B55</f>
        <v>09901035</v>
      </c>
      <c r="D235" s="27" t="str">
        <f>'900000'!$E$19</f>
        <v>C09901004</v>
      </c>
      <c r="E235" s="27" t="str">
        <f>'900000'!$E55</f>
        <v/>
      </c>
      <c r="F235" s="27" t="s">
        <v>19081</v>
      </c>
    </row>
    <row r="236" spans="1:6">
      <c r="A236" s="27" t="str">
        <f>Resultados!$K$3</f>
        <v/>
      </c>
      <c r="B236" s="27" t="str">
        <f>Resultados!$K$4</f>
        <v/>
      </c>
      <c r="C236" s="568" t="str">
        <f>'900000'!$B56</f>
        <v>09901036</v>
      </c>
      <c r="D236" s="27" t="str">
        <f>'900000'!$E$19</f>
        <v>C09901004</v>
      </c>
      <c r="E236" s="27" t="str">
        <f>'900000'!$E56</f>
        <v/>
      </c>
      <c r="F236" s="27" t="s">
        <v>19081</v>
      </c>
    </row>
    <row r="237" spans="1:6">
      <c r="A237" s="27" t="str">
        <f>Resultados!$K$3</f>
        <v/>
      </c>
      <c r="B237" s="27" t="str">
        <f>Resultados!$K$4</f>
        <v/>
      </c>
      <c r="C237" s="568" t="str">
        <f>'900000'!$B57</f>
        <v>09901037</v>
      </c>
      <c r="D237" s="27" t="str">
        <f>'900000'!$E$19</f>
        <v>C09901004</v>
      </c>
      <c r="E237" s="27" t="str">
        <f>'900000'!$E57</f>
        <v/>
      </c>
      <c r="F237" s="27" t="s">
        <v>19081</v>
      </c>
    </row>
    <row r="238" spans="1:6">
      <c r="A238" s="27" t="str">
        <f>Resultados!$K$3</f>
        <v/>
      </c>
      <c r="B238" s="27" t="str">
        <f>Resultados!$K$4</f>
        <v/>
      </c>
      <c r="C238" s="568" t="str">
        <f>'900000'!$B58</f>
        <v>09901038</v>
      </c>
      <c r="D238" s="27" t="str">
        <f>'900000'!$E$19</f>
        <v>C09901004</v>
      </c>
      <c r="E238" s="27" t="str">
        <f>'900000'!$E58</f>
        <v/>
      </c>
      <c r="F238" s="27" t="s">
        <v>19081</v>
      </c>
    </row>
    <row r="239" spans="1:6">
      <c r="A239" s="27" t="str">
        <f>Resultados!$K$3</f>
        <v/>
      </c>
      <c r="B239" s="27" t="str">
        <f>Resultados!$K$4</f>
        <v/>
      </c>
      <c r="C239" s="568" t="str">
        <f>'900000'!$B59</f>
        <v>09901039</v>
      </c>
      <c r="D239" s="27" t="str">
        <f>'900000'!$E$19</f>
        <v>C09901004</v>
      </c>
      <c r="E239" s="27" t="str">
        <f>'900000'!$E59</f>
        <v/>
      </c>
      <c r="F239" s="27" t="s">
        <v>19081</v>
      </c>
    </row>
    <row r="240" spans="1:6">
      <c r="A240" s="27" t="str">
        <f>Resultados!$K$3</f>
        <v/>
      </c>
      <c r="B240" s="27" t="str">
        <f>Resultados!$K$4</f>
        <v/>
      </c>
      <c r="C240" s="568" t="str">
        <f>'900000'!$B60</f>
        <v>09901040</v>
      </c>
      <c r="D240" s="27" t="str">
        <f>'900000'!$E$19</f>
        <v>C09901004</v>
      </c>
      <c r="E240" s="27" t="str">
        <f>'900000'!$E60</f>
        <v/>
      </c>
      <c r="F240" s="27" t="s">
        <v>19081</v>
      </c>
    </row>
    <row r="241" spans="1:6">
      <c r="A241" s="27" t="str">
        <f>Resultados!$K$3</f>
        <v/>
      </c>
      <c r="B241" s="27" t="str">
        <f>Resultados!$K$4</f>
        <v/>
      </c>
      <c r="C241" s="568" t="str">
        <f>'900000'!$B61</f>
        <v>09901041</v>
      </c>
      <c r="D241" s="27" t="str">
        <f>'900000'!$E$19</f>
        <v>C09901004</v>
      </c>
      <c r="E241" s="27" t="str">
        <f>'900000'!$E61</f>
        <v/>
      </c>
      <c r="F241" s="27" t="s">
        <v>19081</v>
      </c>
    </row>
    <row r="242" spans="1:6">
      <c r="A242" s="27" t="str">
        <f>Resultados!$K$3</f>
        <v/>
      </c>
      <c r="B242" s="27" t="str">
        <f>Resultados!$K$4</f>
        <v/>
      </c>
      <c r="C242" s="568" t="str">
        <f>'900000'!$B62</f>
        <v>09901042</v>
      </c>
      <c r="D242" s="27" t="str">
        <f>'900000'!$E$19</f>
        <v>C09901004</v>
      </c>
      <c r="E242" s="27" t="str">
        <f>'900000'!$E62</f>
        <v/>
      </c>
      <c r="F242" s="27" t="s">
        <v>19081</v>
      </c>
    </row>
    <row r="243" spans="1:6">
      <c r="A243" s="27" t="str">
        <f>Resultados!$K$3</f>
        <v/>
      </c>
      <c r="B243" s="27" t="str">
        <f>Resultados!$K$4</f>
        <v/>
      </c>
      <c r="C243" s="568" t="str">
        <f>'900000'!$B63</f>
        <v>09901043</v>
      </c>
      <c r="D243" s="27" t="str">
        <f>'900000'!$E$19</f>
        <v>C09901004</v>
      </c>
      <c r="E243" s="27" t="str">
        <f>'900000'!$E63</f>
        <v/>
      </c>
      <c r="F243" s="27" t="s">
        <v>19081</v>
      </c>
    </row>
    <row r="244" spans="1:6">
      <c r="A244" s="27" t="str">
        <f>Resultados!$K$3</f>
        <v/>
      </c>
      <c r="B244" s="27" t="str">
        <f>Resultados!$K$4</f>
        <v/>
      </c>
      <c r="C244" s="568" t="str">
        <f>'900000'!$B64</f>
        <v>09901044</v>
      </c>
      <c r="D244" s="27" t="str">
        <f>'900000'!$E$19</f>
        <v>C09901004</v>
      </c>
      <c r="E244" s="27" t="str">
        <f>'900000'!$E64</f>
        <v/>
      </c>
      <c r="F244" s="27" t="s">
        <v>19081</v>
      </c>
    </row>
    <row r="245" spans="1:6">
      <c r="A245" s="27" t="str">
        <f>Resultados!$K$3</f>
        <v/>
      </c>
      <c r="B245" s="27" t="str">
        <f>Resultados!$K$4</f>
        <v/>
      </c>
      <c r="C245" s="568" t="str">
        <f>'900000'!$B65</f>
        <v>09901045</v>
      </c>
      <c r="D245" s="27" t="str">
        <f>'900000'!$E$19</f>
        <v>C09901004</v>
      </c>
      <c r="E245" s="27" t="str">
        <f>'900000'!$E65</f>
        <v/>
      </c>
      <c r="F245" s="27" t="s">
        <v>19081</v>
      </c>
    </row>
    <row r="246" spans="1:6">
      <c r="A246" s="27" t="str">
        <f>Resultados!$K$3</f>
        <v/>
      </c>
      <c r="B246" s="27" t="str">
        <f>Resultados!$K$4</f>
        <v/>
      </c>
      <c r="C246" s="568" t="str">
        <f>'900000'!$B66</f>
        <v>09901046</v>
      </c>
      <c r="D246" s="27" t="str">
        <f>'900000'!$E$19</f>
        <v>C09901004</v>
      </c>
      <c r="E246" s="27" t="str">
        <f>'900000'!$E66</f>
        <v/>
      </c>
      <c r="F246" s="27" t="s">
        <v>19081</v>
      </c>
    </row>
    <row r="247" spans="1:6">
      <c r="A247" s="27" t="str">
        <f>Resultados!$K$3</f>
        <v/>
      </c>
      <c r="B247" s="27" t="str">
        <f>Resultados!$K$4</f>
        <v/>
      </c>
      <c r="C247" s="568" t="str">
        <f>'900000'!$B67</f>
        <v>09901047</v>
      </c>
      <c r="D247" s="27" t="str">
        <f>'900000'!$E$19</f>
        <v>C09901004</v>
      </c>
      <c r="E247" s="27" t="str">
        <f>'900000'!$E67</f>
        <v/>
      </c>
      <c r="F247" s="27" t="s">
        <v>19081</v>
      </c>
    </row>
    <row r="248" spans="1:6">
      <c r="A248" s="27" t="str">
        <f>Resultados!$K$3</f>
        <v/>
      </c>
      <c r="B248" s="27" t="str">
        <f>Resultados!$K$4</f>
        <v/>
      </c>
      <c r="C248" s="568" t="str">
        <f>'900000'!$B68</f>
        <v>09901048</v>
      </c>
      <c r="D248" s="27" t="str">
        <f>'900000'!$E$19</f>
        <v>C09901004</v>
      </c>
      <c r="E248" s="27" t="str">
        <f>'900000'!$E68</f>
        <v/>
      </c>
      <c r="F248" s="27" t="s">
        <v>19081</v>
      </c>
    </row>
    <row r="249" spans="1:6">
      <c r="A249" s="27" t="str">
        <f>Resultados!$K$3</f>
        <v/>
      </c>
      <c r="B249" s="27" t="str">
        <f>Resultados!$K$4</f>
        <v/>
      </c>
      <c r="C249" s="568" t="str">
        <f>'900000'!$B69</f>
        <v>09901049</v>
      </c>
      <c r="D249" s="27" t="str">
        <f>'900000'!$E$19</f>
        <v>C09901004</v>
      </c>
      <c r="E249" s="27" t="str">
        <f>'900000'!$E69</f>
        <v/>
      </c>
      <c r="F249" s="27" t="s">
        <v>19081</v>
      </c>
    </row>
    <row r="250" spans="1:6">
      <c r="A250" s="27" t="str">
        <f>Resultados!$K$3</f>
        <v/>
      </c>
      <c r="B250" s="27" t="str">
        <f>Resultados!$K$4</f>
        <v/>
      </c>
      <c r="C250" s="568" t="str">
        <f>'900000'!$B70</f>
        <v>09901050</v>
      </c>
      <c r="D250" s="27" t="str">
        <f>'900000'!$E$19</f>
        <v>C09901004</v>
      </c>
      <c r="E250" s="27" t="str">
        <f>'900000'!$E70</f>
        <v/>
      </c>
      <c r="F250" s="27" t="s">
        <v>19081</v>
      </c>
    </row>
    <row r="251" spans="1:6">
      <c r="A251" s="27" t="str">
        <f>Resultados!$K$3</f>
        <v/>
      </c>
      <c r="B251" s="27" t="str">
        <f>Resultados!$K$4</f>
        <v/>
      </c>
      <c r="C251" s="568" t="str">
        <f>'900000'!$B71</f>
        <v>09901051</v>
      </c>
      <c r="D251" s="27" t="str">
        <f>'900000'!$E$19</f>
        <v>C09901004</v>
      </c>
      <c r="E251" s="27" t="str">
        <f>'900000'!$E71</f>
        <v/>
      </c>
      <c r="F251" s="27" t="s">
        <v>19081</v>
      </c>
    </row>
    <row r="252" spans="1:6">
      <c r="A252" s="27" t="str">
        <f>Resultados!$K$3</f>
        <v/>
      </c>
      <c r="B252" s="27" t="str">
        <f>Resultados!$K$4</f>
        <v/>
      </c>
      <c r="C252" s="568" t="str">
        <f>'900000'!$B72</f>
        <v>09901052</v>
      </c>
      <c r="D252" s="27" t="str">
        <f>'900000'!$E$19</f>
        <v>C09901004</v>
      </c>
      <c r="E252" s="27" t="str">
        <f>'900000'!$E72</f>
        <v/>
      </c>
      <c r="F252" s="27" t="s">
        <v>19081</v>
      </c>
    </row>
    <row r="253" spans="1:6">
      <c r="A253" s="27" t="str">
        <f>Resultados!$K$3</f>
        <v/>
      </c>
      <c r="B253" s="27" t="str">
        <f>Resultados!$K$4</f>
        <v/>
      </c>
      <c r="C253" s="568" t="str">
        <f>'900000'!$B73</f>
        <v>09901053</v>
      </c>
      <c r="D253" s="27" t="str">
        <f>'900000'!$E$19</f>
        <v>C09901004</v>
      </c>
      <c r="E253" s="27" t="str">
        <f>'900000'!$E73</f>
        <v/>
      </c>
      <c r="F253" s="27" t="s">
        <v>19081</v>
      </c>
    </row>
    <row r="254" spans="1:6">
      <c r="A254" s="27" t="str">
        <f>Resultados!$K$3</f>
        <v/>
      </c>
      <c r="B254" s="27" t="str">
        <f>Resultados!$K$4</f>
        <v/>
      </c>
      <c r="C254" s="568" t="str">
        <f>'900000'!$B74</f>
        <v>09901054</v>
      </c>
      <c r="D254" s="27" t="str">
        <f>'900000'!$E$19</f>
        <v>C09901004</v>
      </c>
      <c r="E254" s="27" t="str">
        <f>'900000'!$E74</f>
        <v/>
      </c>
      <c r="F254" s="27" t="s">
        <v>19081</v>
      </c>
    </row>
    <row r="255" spans="1:6">
      <c r="A255" s="27" t="str">
        <f>Resultados!$K$3</f>
        <v/>
      </c>
      <c r="B255" s="27" t="str">
        <f>Resultados!$K$4</f>
        <v/>
      </c>
      <c r="C255" s="568" t="str">
        <f>'900000'!$B75</f>
        <v>09901055</v>
      </c>
      <c r="D255" s="27" t="str">
        <f>'900000'!$E$19</f>
        <v>C09901004</v>
      </c>
      <c r="E255" s="27" t="str">
        <f>'900000'!$E75</f>
        <v/>
      </c>
      <c r="F255" s="27" t="s">
        <v>19081</v>
      </c>
    </row>
    <row r="256" spans="1:6">
      <c r="A256" s="27" t="str">
        <f>Resultados!$K$3</f>
        <v/>
      </c>
      <c r="B256" s="27" t="str">
        <f>Resultados!$K$4</f>
        <v/>
      </c>
      <c r="C256" s="568" t="str">
        <f>'900000'!$B76</f>
        <v>09901056</v>
      </c>
      <c r="D256" s="27" t="str">
        <f>'900000'!$E$19</f>
        <v>C09901004</v>
      </c>
      <c r="E256" s="27" t="str">
        <f>'900000'!$E76</f>
        <v/>
      </c>
      <c r="F256" s="27" t="s">
        <v>19081</v>
      </c>
    </row>
    <row r="257" spans="1:6">
      <c r="A257" s="27" t="str">
        <f>Resultados!$K$3</f>
        <v/>
      </c>
      <c r="B257" s="27" t="str">
        <f>Resultados!$K$4</f>
        <v/>
      </c>
      <c r="C257" s="568" t="str">
        <f>'900000'!$B77</f>
        <v>09901057</v>
      </c>
      <c r="D257" s="27" t="str">
        <f>'900000'!$E$19</f>
        <v>C09901004</v>
      </c>
      <c r="E257" s="27" t="str">
        <f>'900000'!$E77</f>
        <v/>
      </c>
      <c r="F257" s="27" t="s">
        <v>19081</v>
      </c>
    </row>
    <row r="258" spans="1:6">
      <c r="A258" s="27" t="str">
        <f>Resultados!$K$3</f>
        <v/>
      </c>
      <c r="B258" s="27" t="str">
        <f>Resultados!$K$4</f>
        <v/>
      </c>
      <c r="C258" s="568" t="str">
        <f>'900000'!$B78</f>
        <v>09901058</v>
      </c>
      <c r="D258" s="27" t="str">
        <f>'900000'!$E$19</f>
        <v>C09901004</v>
      </c>
      <c r="E258" s="27" t="str">
        <f>'900000'!$E78</f>
        <v/>
      </c>
      <c r="F258" s="27" t="s">
        <v>19081</v>
      </c>
    </row>
    <row r="259" spans="1:6">
      <c r="A259" s="27" t="str">
        <f>Resultados!$K$3</f>
        <v/>
      </c>
      <c r="B259" s="27" t="str">
        <f>Resultados!$K$4</f>
        <v/>
      </c>
      <c r="C259" s="568" t="str">
        <f>'900000'!$B79</f>
        <v>09901059</v>
      </c>
      <c r="D259" s="27" t="str">
        <f>'900000'!$E$19</f>
        <v>C09901004</v>
      </c>
      <c r="E259" s="27" t="str">
        <f>'900000'!$E79</f>
        <v/>
      </c>
      <c r="F259" s="27" t="s">
        <v>19081</v>
      </c>
    </row>
    <row r="260" spans="1:6">
      <c r="A260" s="27" t="str">
        <f>Resultados!$K$3</f>
        <v/>
      </c>
      <c r="B260" s="27" t="str">
        <f>Resultados!$K$4</f>
        <v/>
      </c>
      <c r="C260" s="568" t="str">
        <f>'900000'!$B80</f>
        <v>09901060</v>
      </c>
      <c r="D260" s="27" t="str">
        <f>'900000'!$E$19</f>
        <v>C09901004</v>
      </c>
      <c r="E260" s="27" t="str">
        <f>'900000'!$E80</f>
        <v/>
      </c>
      <c r="F260" s="27" t="s">
        <v>19081</v>
      </c>
    </row>
    <row r="261" spans="1:6">
      <c r="A261" s="27" t="str">
        <f>Resultados!$K$3</f>
        <v/>
      </c>
      <c r="B261" s="27" t="str">
        <f>Resultados!$K$4</f>
        <v/>
      </c>
      <c r="C261" s="568" t="str">
        <f>'900000'!$B81</f>
        <v>09901061</v>
      </c>
      <c r="D261" s="27" t="str">
        <f>'900000'!$E$19</f>
        <v>C09901004</v>
      </c>
      <c r="E261" s="27" t="str">
        <f>'900000'!$E81</f>
        <v/>
      </c>
      <c r="F261" s="27" t="s">
        <v>19081</v>
      </c>
    </row>
    <row r="262" spans="1:6">
      <c r="A262" s="27" t="str">
        <f>Resultados!$K$3</f>
        <v/>
      </c>
      <c r="B262" s="27" t="str">
        <f>Resultados!$K$4</f>
        <v/>
      </c>
      <c r="C262" s="568" t="str">
        <f>'900000'!$B82</f>
        <v>09901062</v>
      </c>
      <c r="D262" s="27" t="str">
        <f>'900000'!$E$19</f>
        <v>C09901004</v>
      </c>
      <c r="E262" s="27" t="str">
        <f>'900000'!$E82</f>
        <v/>
      </c>
      <c r="F262" s="27" t="s">
        <v>19081</v>
      </c>
    </row>
    <row r="263" spans="1:6">
      <c r="A263" s="27" t="str">
        <f>Resultados!$K$3</f>
        <v/>
      </c>
      <c r="B263" s="27" t="str">
        <f>Resultados!$K$4</f>
        <v/>
      </c>
      <c r="C263" s="568" t="str">
        <f>'900000'!$B83</f>
        <v>09901063</v>
      </c>
      <c r="D263" s="27" t="str">
        <f>'900000'!$E$19</f>
        <v>C09901004</v>
      </c>
      <c r="E263" s="27" t="str">
        <f>'900000'!$E83</f>
        <v/>
      </c>
      <c r="F263" s="27" t="s">
        <v>19081</v>
      </c>
    </row>
    <row r="264" spans="1:6">
      <c r="A264" s="27" t="str">
        <f>Resultados!$K$3</f>
        <v/>
      </c>
      <c r="B264" s="27" t="str">
        <f>Resultados!$K$4</f>
        <v/>
      </c>
      <c r="C264" s="568" t="str">
        <f>'900000'!$B84</f>
        <v>09901064</v>
      </c>
      <c r="D264" s="27" t="str">
        <f>'900000'!$E$19</f>
        <v>C09901004</v>
      </c>
      <c r="E264" s="27" t="str">
        <f>'900000'!$E84</f>
        <v/>
      </c>
      <c r="F264" s="27" t="s">
        <v>19081</v>
      </c>
    </row>
    <row r="265" spans="1:6">
      <c r="A265" s="27" t="str">
        <f>Resultados!$K$3</f>
        <v/>
      </c>
      <c r="B265" s="27" t="str">
        <f>Resultados!$K$4</f>
        <v/>
      </c>
      <c r="C265" s="568" t="str">
        <f>'900000'!$B85</f>
        <v>09901065</v>
      </c>
      <c r="D265" s="27" t="str">
        <f>'900000'!$E$19</f>
        <v>C09901004</v>
      </c>
      <c r="E265" s="27" t="str">
        <f>'900000'!$E85</f>
        <v/>
      </c>
      <c r="F265" s="27" t="s">
        <v>19081</v>
      </c>
    </row>
    <row r="266" spans="1:6">
      <c r="A266" s="27" t="str">
        <f>Resultados!$K$3</f>
        <v/>
      </c>
      <c r="B266" s="27" t="str">
        <f>Resultados!$K$4</f>
        <v/>
      </c>
      <c r="C266" s="568" t="str">
        <f>'900000'!$B86</f>
        <v>09901066</v>
      </c>
      <c r="D266" s="27" t="str">
        <f>'900000'!$E$19</f>
        <v>C09901004</v>
      </c>
      <c r="E266" s="27" t="str">
        <f>'900000'!$E86</f>
        <v/>
      </c>
      <c r="F266" s="27" t="s">
        <v>19081</v>
      </c>
    </row>
    <row r="267" spans="1:6">
      <c r="A267" s="27" t="str">
        <f>Resultados!$K$3</f>
        <v/>
      </c>
      <c r="B267" s="27" t="str">
        <f>Resultados!$K$4</f>
        <v/>
      </c>
      <c r="C267" s="568" t="str">
        <f>'900000'!$B87</f>
        <v>09901067</v>
      </c>
      <c r="D267" s="27" t="str">
        <f>'900000'!$E$19</f>
        <v>C09901004</v>
      </c>
      <c r="E267" s="27" t="str">
        <f>'900000'!$E87</f>
        <v/>
      </c>
      <c r="F267" s="27" t="s">
        <v>19081</v>
      </c>
    </row>
    <row r="268" spans="1:6">
      <c r="A268" s="27" t="str">
        <f>Resultados!$K$3</f>
        <v/>
      </c>
      <c r="B268" s="27" t="str">
        <f>Resultados!$K$4</f>
        <v/>
      </c>
      <c r="C268" s="568" t="str">
        <f>'900000'!$B88</f>
        <v>09901068</v>
      </c>
      <c r="D268" s="27" t="str">
        <f>'900000'!$E$19</f>
        <v>C09901004</v>
      </c>
      <c r="E268" s="27" t="str">
        <f>'900000'!$E88</f>
        <v/>
      </c>
      <c r="F268" s="27" t="s">
        <v>19081</v>
      </c>
    </row>
    <row r="269" spans="1:6">
      <c r="A269" s="27" t="str">
        <f>Resultados!$K$3</f>
        <v/>
      </c>
      <c r="B269" s="27" t="str">
        <f>Resultados!$K$4</f>
        <v/>
      </c>
      <c r="C269" s="568" t="str">
        <f>'900000'!$B89</f>
        <v>09901069</v>
      </c>
      <c r="D269" s="27" t="str">
        <f>'900000'!$E$19</f>
        <v>C09901004</v>
      </c>
      <c r="E269" s="27" t="str">
        <f>'900000'!$E89</f>
        <v/>
      </c>
      <c r="F269" s="27" t="s">
        <v>19081</v>
      </c>
    </row>
    <row r="270" spans="1:6">
      <c r="A270" s="27" t="str">
        <f>Resultados!$K$3</f>
        <v/>
      </c>
      <c r="B270" s="27" t="str">
        <f>Resultados!$K$4</f>
        <v/>
      </c>
      <c r="C270" s="568" t="str">
        <f>'900000'!$B90</f>
        <v>09901070</v>
      </c>
      <c r="D270" s="27" t="str">
        <f>'900000'!$E$19</f>
        <v>C09901004</v>
      </c>
      <c r="E270" s="27" t="str">
        <f>'900000'!$E90</f>
        <v/>
      </c>
      <c r="F270" s="27" t="s">
        <v>19081</v>
      </c>
    </row>
    <row r="271" spans="1:6">
      <c r="A271" s="27" t="str">
        <f>Resultados!$K$3</f>
        <v/>
      </c>
      <c r="B271" s="27" t="str">
        <f>Resultados!$K$4</f>
        <v/>
      </c>
      <c r="C271" s="568" t="str">
        <f>'900000'!$B91</f>
        <v>09901071</v>
      </c>
      <c r="D271" s="27" t="str">
        <f>'900000'!$E$19</f>
        <v>C09901004</v>
      </c>
      <c r="E271" s="27" t="str">
        <f>'900000'!$E91</f>
        <v/>
      </c>
      <c r="F271" s="27" t="s">
        <v>19081</v>
      </c>
    </row>
    <row r="272" spans="1:6">
      <c r="A272" s="27" t="str">
        <f>Resultados!$K$3</f>
        <v/>
      </c>
      <c r="B272" s="27" t="str">
        <f>Resultados!$K$4</f>
        <v/>
      </c>
      <c r="C272" s="568" t="str">
        <f>'900000'!$B92</f>
        <v>09901072</v>
      </c>
      <c r="D272" s="27" t="str">
        <f>'900000'!$E$19</f>
        <v>C09901004</v>
      </c>
      <c r="E272" s="27" t="str">
        <f>'900000'!$E92</f>
        <v/>
      </c>
      <c r="F272" s="27" t="s">
        <v>19081</v>
      </c>
    </row>
    <row r="273" spans="1:6">
      <c r="A273" s="27" t="str">
        <f>Resultados!$K$3</f>
        <v/>
      </c>
      <c r="B273" s="27" t="str">
        <f>Resultados!$K$4</f>
        <v/>
      </c>
      <c r="C273" s="568" t="str">
        <f>'900000'!$B93</f>
        <v>09901073</v>
      </c>
      <c r="D273" s="27" t="str">
        <f>'900000'!$E$19</f>
        <v>C09901004</v>
      </c>
      <c r="E273" s="27" t="str">
        <f>'900000'!$E93</f>
        <v/>
      </c>
      <c r="F273" s="27" t="s">
        <v>19081</v>
      </c>
    </row>
    <row r="274" spans="1:6">
      <c r="A274" s="27" t="str">
        <f>Resultados!$K$3</f>
        <v/>
      </c>
      <c r="B274" s="27" t="str">
        <f>Resultados!$K$4</f>
        <v/>
      </c>
      <c r="C274" s="568" t="str">
        <f>'900000'!$B94</f>
        <v>09901074</v>
      </c>
      <c r="D274" s="27" t="str">
        <f>'900000'!$E$19</f>
        <v>C09901004</v>
      </c>
      <c r="E274" s="27" t="str">
        <f>'900000'!$E94</f>
        <v/>
      </c>
      <c r="F274" s="27" t="s">
        <v>19081</v>
      </c>
    </row>
    <row r="275" spans="1:6">
      <c r="A275" s="27" t="str">
        <f>Resultados!$K$3</f>
        <v/>
      </c>
      <c r="B275" s="27" t="str">
        <f>Resultados!$K$4</f>
        <v/>
      </c>
      <c r="C275" s="568" t="str">
        <f>'900000'!$B95</f>
        <v>09901075</v>
      </c>
      <c r="D275" s="27" t="str">
        <f>'900000'!$E$19</f>
        <v>C09901004</v>
      </c>
      <c r="E275" s="27" t="str">
        <f>'900000'!$E95</f>
        <v/>
      </c>
      <c r="F275" s="27" t="s">
        <v>19081</v>
      </c>
    </row>
    <row r="276" spans="1:6">
      <c r="A276" s="27" t="str">
        <f>Resultados!$K$3</f>
        <v/>
      </c>
      <c r="B276" s="27" t="str">
        <f>Resultados!$K$4</f>
        <v/>
      </c>
      <c r="C276" s="568" t="str">
        <f>'900000'!$B96</f>
        <v>09901076</v>
      </c>
      <c r="D276" s="27" t="str">
        <f>'900000'!$E$19</f>
        <v>C09901004</v>
      </c>
      <c r="E276" s="27" t="str">
        <f>'900000'!$E96</f>
        <v/>
      </c>
      <c r="F276" s="27" t="s">
        <v>19081</v>
      </c>
    </row>
    <row r="277" spans="1:6">
      <c r="A277" s="27" t="str">
        <f>Resultados!$K$3</f>
        <v/>
      </c>
      <c r="B277" s="27" t="str">
        <f>Resultados!$K$4</f>
        <v/>
      </c>
      <c r="C277" s="568" t="str">
        <f>'900000'!$B97</f>
        <v>09901077</v>
      </c>
      <c r="D277" s="27" t="str">
        <f>'900000'!$E$19</f>
        <v>C09901004</v>
      </c>
      <c r="E277" s="27" t="str">
        <f>'900000'!$E97</f>
        <v/>
      </c>
      <c r="F277" s="27" t="s">
        <v>19081</v>
      </c>
    </row>
    <row r="278" spans="1:6">
      <c r="A278" s="27" t="str">
        <f>Resultados!$K$3</f>
        <v/>
      </c>
      <c r="B278" s="27" t="str">
        <f>Resultados!$K$4</f>
        <v/>
      </c>
      <c r="C278" s="568" t="str">
        <f>'900000'!$B98</f>
        <v>09901078</v>
      </c>
      <c r="D278" s="27" t="str">
        <f>'900000'!$E$19</f>
        <v>C09901004</v>
      </c>
      <c r="E278" s="27" t="str">
        <f>'900000'!$E98</f>
        <v/>
      </c>
      <c r="F278" s="27" t="s">
        <v>19081</v>
      </c>
    </row>
    <row r="279" spans="1:6">
      <c r="A279" s="27" t="str">
        <f>Resultados!$K$3</f>
        <v/>
      </c>
      <c r="B279" s="27" t="str">
        <f>Resultados!$K$4</f>
        <v/>
      </c>
      <c r="C279" s="568" t="str">
        <f>'900000'!$B99</f>
        <v>09901079</v>
      </c>
      <c r="D279" s="27" t="str">
        <f>'900000'!$E$19</f>
        <v>C09901004</v>
      </c>
      <c r="E279" s="27" t="str">
        <f>'900000'!$E99</f>
        <v/>
      </c>
      <c r="F279" s="27" t="s">
        <v>19081</v>
      </c>
    </row>
    <row r="280" spans="1:6">
      <c r="A280" s="27" t="str">
        <f>Resultados!$K$3</f>
        <v/>
      </c>
      <c r="B280" s="27" t="str">
        <f>Resultados!$K$4</f>
        <v/>
      </c>
      <c r="C280" s="568" t="str">
        <f>'900000'!$B100</f>
        <v>09901080</v>
      </c>
      <c r="D280" s="27" t="str">
        <f>'900000'!$E$19</f>
        <v>C09901004</v>
      </c>
      <c r="E280" s="27" t="str">
        <f>'900000'!$E100</f>
        <v/>
      </c>
      <c r="F280" s="27" t="s">
        <v>19081</v>
      </c>
    </row>
    <row r="281" spans="1:6">
      <c r="A281" s="27" t="str">
        <f>Resultados!$K$3</f>
        <v/>
      </c>
      <c r="B281" s="27" t="str">
        <f>Resultados!$K$4</f>
        <v/>
      </c>
      <c r="C281" s="568" t="str">
        <f>'900000'!$B101</f>
        <v>09901081</v>
      </c>
      <c r="D281" s="27" t="str">
        <f>'900000'!$E$19</f>
        <v>C09901004</v>
      </c>
      <c r="E281" s="27" t="str">
        <f>'900000'!$E101</f>
        <v/>
      </c>
      <c r="F281" s="27" t="s">
        <v>19081</v>
      </c>
    </row>
    <row r="282" spans="1:6">
      <c r="A282" s="27" t="str">
        <f>Resultados!$K$3</f>
        <v/>
      </c>
      <c r="B282" s="27" t="str">
        <f>Resultados!$K$4</f>
        <v/>
      </c>
      <c r="C282" s="568" t="str">
        <f>'900000'!$B102</f>
        <v>09901082</v>
      </c>
      <c r="D282" s="27" t="str">
        <f>'900000'!$E$19</f>
        <v>C09901004</v>
      </c>
      <c r="E282" s="27" t="str">
        <f>'900000'!$E102</f>
        <v/>
      </c>
      <c r="F282" s="27" t="s">
        <v>19081</v>
      </c>
    </row>
    <row r="283" spans="1:6">
      <c r="A283" s="27" t="str">
        <f>Resultados!$K$3</f>
        <v/>
      </c>
      <c r="B283" s="27" t="str">
        <f>Resultados!$K$4</f>
        <v/>
      </c>
      <c r="C283" s="568" t="str">
        <f>'900000'!$B103</f>
        <v>09901083</v>
      </c>
      <c r="D283" s="27" t="str">
        <f>'900000'!$E$19</f>
        <v>C09901004</v>
      </c>
      <c r="E283" s="27" t="str">
        <f>'900000'!$E103</f>
        <v/>
      </c>
      <c r="F283" s="27" t="s">
        <v>19081</v>
      </c>
    </row>
    <row r="284" spans="1:6">
      <c r="A284" s="27" t="str">
        <f>Resultados!$K$3</f>
        <v/>
      </c>
      <c r="B284" s="27" t="str">
        <f>Resultados!$K$4</f>
        <v/>
      </c>
      <c r="C284" s="568" t="str">
        <f>'900000'!$B104</f>
        <v>09901084</v>
      </c>
      <c r="D284" s="27" t="str">
        <f>'900000'!$E$19</f>
        <v>C09901004</v>
      </c>
      <c r="E284" s="27" t="str">
        <f>'900000'!$E104</f>
        <v/>
      </c>
      <c r="F284" s="27" t="s">
        <v>19081</v>
      </c>
    </row>
    <row r="285" spans="1:6">
      <c r="A285" s="27" t="str">
        <f>Resultados!$K$3</f>
        <v/>
      </c>
      <c r="B285" s="27" t="str">
        <f>Resultados!$K$4</f>
        <v/>
      </c>
      <c r="C285" s="568" t="str">
        <f>'900000'!$B105</f>
        <v>09901085</v>
      </c>
      <c r="D285" s="27" t="str">
        <f>'900000'!$E$19</f>
        <v>C09901004</v>
      </c>
      <c r="E285" s="27" t="str">
        <f>'900000'!$E105</f>
        <v/>
      </c>
      <c r="F285" s="27" t="s">
        <v>19081</v>
      </c>
    </row>
    <row r="286" spans="1:6">
      <c r="A286" s="27" t="str">
        <f>Resultados!$K$3</f>
        <v/>
      </c>
      <c r="B286" s="27" t="str">
        <f>Resultados!$K$4</f>
        <v/>
      </c>
      <c r="C286" s="568" t="str">
        <f>'900000'!$B106</f>
        <v>09901086</v>
      </c>
      <c r="D286" s="27" t="str">
        <f>'900000'!$E$19</f>
        <v>C09901004</v>
      </c>
      <c r="E286" s="27" t="str">
        <f>'900000'!$E106</f>
        <v/>
      </c>
      <c r="F286" s="27" t="s">
        <v>19081</v>
      </c>
    </row>
    <row r="287" spans="1:6">
      <c r="A287" s="27" t="str">
        <f>Resultados!$K$3</f>
        <v/>
      </c>
      <c r="B287" s="27" t="str">
        <f>Resultados!$K$4</f>
        <v/>
      </c>
      <c r="C287" s="568" t="str">
        <f>'900000'!$B107</f>
        <v>09901087</v>
      </c>
      <c r="D287" s="27" t="str">
        <f>'900000'!$E$19</f>
        <v>C09901004</v>
      </c>
      <c r="E287" s="27" t="str">
        <f>'900000'!$E107</f>
        <v/>
      </c>
      <c r="F287" s="27" t="s">
        <v>19081</v>
      </c>
    </row>
    <row r="288" spans="1:6">
      <c r="A288" s="27" t="str">
        <f>Resultados!$K$3</f>
        <v/>
      </c>
      <c r="B288" s="27" t="str">
        <f>Resultados!$K$4</f>
        <v/>
      </c>
      <c r="C288" s="568" t="str">
        <f>'900000'!$B108</f>
        <v>09901088</v>
      </c>
      <c r="D288" s="27" t="str">
        <f>'900000'!$E$19</f>
        <v>C09901004</v>
      </c>
      <c r="E288" s="27" t="str">
        <f>'900000'!$E108</f>
        <v/>
      </c>
      <c r="F288" s="27" t="s">
        <v>19081</v>
      </c>
    </row>
    <row r="289" spans="1:6">
      <c r="A289" s="27" t="str">
        <f>Resultados!$K$3</f>
        <v/>
      </c>
      <c r="B289" s="27" t="str">
        <f>Resultados!$K$4</f>
        <v/>
      </c>
      <c r="C289" s="568" t="str">
        <f>'900000'!$B109</f>
        <v>09901089</v>
      </c>
      <c r="D289" s="27" t="str">
        <f>'900000'!$E$19</f>
        <v>C09901004</v>
      </c>
      <c r="E289" s="27" t="str">
        <f>'900000'!$E109</f>
        <v/>
      </c>
      <c r="F289" s="27" t="s">
        <v>19081</v>
      </c>
    </row>
    <row r="290" spans="1:6">
      <c r="A290" s="27" t="str">
        <f>Resultados!$K$3</f>
        <v/>
      </c>
      <c r="B290" s="27" t="str">
        <f>Resultados!$K$4</f>
        <v/>
      </c>
      <c r="C290" s="568" t="str">
        <f>'900000'!$B110</f>
        <v>09901090</v>
      </c>
      <c r="D290" s="27" t="str">
        <f>'900000'!$E$19</f>
        <v>C09901004</v>
      </c>
      <c r="E290" s="27" t="str">
        <f>'900000'!$E110</f>
        <v/>
      </c>
      <c r="F290" s="27" t="s">
        <v>19081</v>
      </c>
    </row>
    <row r="291" spans="1:6">
      <c r="A291" s="27" t="str">
        <f>Resultados!$K$3</f>
        <v/>
      </c>
      <c r="B291" s="27" t="str">
        <f>Resultados!$K$4</f>
        <v/>
      </c>
      <c r="C291" s="568" t="str">
        <f>'900000'!$B111</f>
        <v>09901091</v>
      </c>
      <c r="D291" s="27" t="str">
        <f>'900000'!$E$19</f>
        <v>C09901004</v>
      </c>
      <c r="E291" s="27" t="str">
        <f>'900000'!$E111</f>
        <v/>
      </c>
      <c r="F291" s="27" t="s">
        <v>19081</v>
      </c>
    </row>
    <row r="292" spans="1:6">
      <c r="A292" s="27" t="str">
        <f>Resultados!$K$3</f>
        <v/>
      </c>
      <c r="B292" s="27" t="str">
        <f>Resultados!$K$4</f>
        <v/>
      </c>
      <c r="C292" s="568" t="str">
        <f>'900000'!$B112</f>
        <v>09901092</v>
      </c>
      <c r="D292" s="27" t="str">
        <f>'900000'!$E$19</f>
        <v>C09901004</v>
      </c>
      <c r="E292" s="27" t="str">
        <f>'900000'!$E112</f>
        <v/>
      </c>
      <c r="F292" s="27" t="s">
        <v>19081</v>
      </c>
    </row>
    <row r="293" spans="1:6">
      <c r="A293" s="27" t="str">
        <f>Resultados!$K$3</f>
        <v/>
      </c>
      <c r="B293" s="27" t="str">
        <f>Resultados!$K$4</f>
        <v/>
      </c>
      <c r="C293" s="568" t="str">
        <f>'900000'!$B113</f>
        <v>09901093</v>
      </c>
      <c r="D293" s="27" t="str">
        <f>'900000'!$E$19</f>
        <v>C09901004</v>
      </c>
      <c r="E293" s="27" t="str">
        <f>'900000'!$E113</f>
        <v/>
      </c>
      <c r="F293" s="27" t="s">
        <v>19081</v>
      </c>
    </row>
    <row r="294" spans="1:6">
      <c r="A294" s="27" t="str">
        <f>Resultados!$K$3</f>
        <v/>
      </c>
      <c r="B294" s="27" t="str">
        <f>Resultados!$K$4</f>
        <v/>
      </c>
      <c r="C294" s="568" t="str">
        <f>'900000'!$B114</f>
        <v>09901094</v>
      </c>
      <c r="D294" s="27" t="str">
        <f>'900000'!$E$19</f>
        <v>C09901004</v>
      </c>
      <c r="E294" s="27" t="str">
        <f>'900000'!$E114</f>
        <v/>
      </c>
      <c r="F294" s="27" t="s">
        <v>19081</v>
      </c>
    </row>
    <row r="295" spans="1:6">
      <c r="A295" s="27" t="str">
        <f>Resultados!$K$3</f>
        <v/>
      </c>
      <c r="B295" s="27" t="str">
        <f>Resultados!$K$4</f>
        <v/>
      </c>
      <c r="C295" s="568" t="str">
        <f>'900000'!$B115</f>
        <v>09901095</v>
      </c>
      <c r="D295" s="27" t="str">
        <f>'900000'!$E$19</f>
        <v>C09901004</v>
      </c>
      <c r="E295" s="27" t="str">
        <f>'900000'!$E115</f>
        <v/>
      </c>
      <c r="F295" s="27" t="s">
        <v>19081</v>
      </c>
    </row>
    <row r="296" spans="1:6">
      <c r="A296" s="27" t="str">
        <f>Resultados!$K$3</f>
        <v/>
      </c>
      <c r="B296" s="27" t="str">
        <f>Resultados!$K$4</f>
        <v/>
      </c>
      <c r="C296" s="568" t="str">
        <f>'900000'!$B116</f>
        <v>09901096</v>
      </c>
      <c r="D296" s="27" t="str">
        <f>'900000'!$E$19</f>
        <v>C09901004</v>
      </c>
      <c r="E296" s="27" t="str">
        <f>'900000'!$E116</f>
        <v/>
      </c>
      <c r="F296" s="27" t="s">
        <v>19081</v>
      </c>
    </row>
    <row r="297" spans="1:6">
      <c r="A297" s="27" t="str">
        <f>Resultados!$K$3</f>
        <v/>
      </c>
      <c r="B297" s="27" t="str">
        <f>Resultados!$K$4</f>
        <v/>
      </c>
      <c r="C297" s="568" t="str">
        <f>'900000'!$B117</f>
        <v>09901097</v>
      </c>
      <c r="D297" s="27" t="str">
        <f>'900000'!$E$19</f>
        <v>C09901004</v>
      </c>
      <c r="E297" s="27" t="str">
        <f>'900000'!$E117</f>
        <v/>
      </c>
      <c r="F297" s="27" t="s">
        <v>19081</v>
      </c>
    </row>
    <row r="298" spans="1:6">
      <c r="A298" s="27" t="str">
        <f>Resultados!$K$3</f>
        <v/>
      </c>
      <c r="B298" s="27" t="str">
        <f>Resultados!$K$4</f>
        <v/>
      </c>
      <c r="C298" s="568" t="str">
        <f>'900000'!$B118</f>
        <v>09901098</v>
      </c>
      <c r="D298" s="27" t="str">
        <f>'900000'!$E$19</f>
        <v>C09901004</v>
      </c>
      <c r="E298" s="27" t="str">
        <f>'900000'!$E118</f>
        <v/>
      </c>
      <c r="F298" s="27" t="s">
        <v>19081</v>
      </c>
    </row>
    <row r="299" spans="1:6">
      <c r="A299" s="27" t="str">
        <f>Resultados!$K$3</f>
        <v/>
      </c>
      <c r="B299" s="27" t="str">
        <f>Resultados!$K$4</f>
        <v/>
      </c>
      <c r="C299" s="568" t="str">
        <f>'900000'!$B119</f>
        <v>09901099</v>
      </c>
      <c r="D299" s="27" t="str">
        <f>'900000'!$E$19</f>
        <v>C09901004</v>
      </c>
      <c r="E299" s="27" t="str">
        <f>'900000'!$E119</f>
        <v/>
      </c>
      <c r="F299" s="27" t="s">
        <v>19081</v>
      </c>
    </row>
    <row r="300" spans="1:6">
      <c r="A300" s="27" t="str">
        <f>Resultados!$K$3</f>
        <v/>
      </c>
      <c r="B300" s="27" t="str">
        <f>Resultados!$K$4</f>
        <v/>
      </c>
      <c r="C300" s="568" t="str">
        <f>'900000'!$B120</f>
        <v>09901100</v>
      </c>
      <c r="D300" s="27" t="str">
        <f>'900000'!$E$19</f>
        <v>C09901004</v>
      </c>
      <c r="E300" s="27" t="str">
        <f>'900000'!$E120</f>
        <v/>
      </c>
      <c r="F300" s="27" t="s">
        <v>19081</v>
      </c>
    </row>
    <row r="301" spans="1:6">
      <c r="A301" s="27" t="str">
        <f>Resultados!$K$3</f>
        <v/>
      </c>
      <c r="B301" s="27" t="str">
        <f>Resultados!$K$4</f>
        <v/>
      </c>
      <c r="C301" s="568" t="str">
        <f>'900000'!$B121</f>
        <v>09901101</v>
      </c>
      <c r="D301" s="27" t="str">
        <f>'900000'!$E$19</f>
        <v>C09901004</v>
      </c>
      <c r="E301" s="27" t="str">
        <f>'900000'!$E121</f>
        <v/>
      </c>
      <c r="F301" s="27" t="s">
        <v>19081</v>
      </c>
    </row>
    <row r="302" spans="1:6">
      <c r="A302" s="27" t="str">
        <f>Resultados!$K$3</f>
        <v/>
      </c>
      <c r="B302" s="27" t="str">
        <f>Resultados!$K$4</f>
        <v/>
      </c>
      <c r="C302" s="568" t="str">
        <f>'900000'!$B22</f>
        <v>09901002</v>
      </c>
      <c r="D302" t="str">
        <f>'900000'!$F$19</f>
        <v>C09901005</v>
      </c>
      <c r="E302">
        <f>'900000'!$F22</f>
        <v>0</v>
      </c>
      <c r="F302" s="27" t="s">
        <v>19081</v>
      </c>
    </row>
    <row r="303" spans="1:6">
      <c r="A303" s="27" t="str">
        <f>Resultados!$K$3</f>
        <v/>
      </c>
      <c r="B303" s="27" t="str">
        <f>Resultados!$K$4</f>
        <v/>
      </c>
      <c r="C303" s="568" t="str">
        <f>'900000'!$B23</f>
        <v>09901003</v>
      </c>
      <c r="D303" s="27" t="str">
        <f>'900000'!$F$19</f>
        <v>C09901005</v>
      </c>
      <c r="E303" s="27">
        <f>'900000'!$F23</f>
        <v>0</v>
      </c>
      <c r="F303" s="27" t="s">
        <v>19081</v>
      </c>
    </row>
    <row r="304" spans="1:6">
      <c r="A304" s="27" t="str">
        <f>Resultados!$K$3</f>
        <v/>
      </c>
      <c r="B304" s="27" t="str">
        <f>Resultados!$K$4</f>
        <v/>
      </c>
      <c r="C304" s="568" t="str">
        <f>'900000'!$B24</f>
        <v>09901004</v>
      </c>
      <c r="D304" s="27" t="str">
        <f>'900000'!$F$19</f>
        <v>C09901005</v>
      </c>
      <c r="E304" s="27">
        <f>'900000'!$F24</f>
        <v>0</v>
      </c>
      <c r="F304" s="27" t="s">
        <v>19081</v>
      </c>
    </row>
    <row r="305" spans="1:6">
      <c r="A305" s="27" t="str">
        <f>Resultados!$K$3</f>
        <v/>
      </c>
      <c r="B305" s="27" t="str">
        <f>Resultados!$K$4</f>
        <v/>
      </c>
      <c r="C305" s="568" t="str">
        <f>'900000'!$B25</f>
        <v>09901005</v>
      </c>
      <c r="D305" s="27" t="str">
        <f>'900000'!$F$19</f>
        <v>C09901005</v>
      </c>
      <c r="E305" s="27">
        <f>'900000'!$F25</f>
        <v>0</v>
      </c>
      <c r="F305" s="27" t="s">
        <v>19081</v>
      </c>
    </row>
    <row r="306" spans="1:6">
      <c r="A306" s="27" t="str">
        <f>Resultados!$K$3</f>
        <v/>
      </c>
      <c r="B306" s="27" t="str">
        <f>Resultados!$K$4</f>
        <v/>
      </c>
      <c r="C306" s="568" t="str">
        <f>'900000'!$B26</f>
        <v>09901006</v>
      </c>
      <c r="D306" s="27" t="str">
        <f>'900000'!$F$19</f>
        <v>C09901005</v>
      </c>
      <c r="E306" s="27">
        <f>'900000'!$F26</f>
        <v>0</v>
      </c>
      <c r="F306" s="27" t="s">
        <v>19081</v>
      </c>
    </row>
    <row r="307" spans="1:6">
      <c r="A307" s="27" t="str">
        <f>Resultados!$K$3</f>
        <v/>
      </c>
      <c r="B307" s="27" t="str">
        <f>Resultados!$K$4</f>
        <v/>
      </c>
      <c r="C307" s="568" t="str">
        <f>'900000'!$B27</f>
        <v>09901007</v>
      </c>
      <c r="D307" s="27" t="str">
        <f>'900000'!$F$19</f>
        <v>C09901005</v>
      </c>
      <c r="E307" s="27">
        <f>'900000'!$F27</f>
        <v>0</v>
      </c>
      <c r="F307" s="27" t="s">
        <v>19081</v>
      </c>
    </row>
    <row r="308" spans="1:6">
      <c r="A308" s="27" t="str">
        <f>Resultados!$K$3</f>
        <v/>
      </c>
      <c r="B308" s="27" t="str">
        <f>Resultados!$K$4</f>
        <v/>
      </c>
      <c r="C308" s="568" t="str">
        <f>'900000'!$B28</f>
        <v>09901008</v>
      </c>
      <c r="D308" s="27" t="str">
        <f>'900000'!$F$19</f>
        <v>C09901005</v>
      </c>
      <c r="E308" s="27">
        <f>'900000'!$F28</f>
        <v>0</v>
      </c>
      <c r="F308" s="27" t="s">
        <v>19081</v>
      </c>
    </row>
    <row r="309" spans="1:6">
      <c r="A309" s="27" t="str">
        <f>Resultados!$K$3</f>
        <v/>
      </c>
      <c r="B309" s="27" t="str">
        <f>Resultados!$K$4</f>
        <v/>
      </c>
      <c r="C309" s="568" t="str">
        <f>'900000'!$B29</f>
        <v>09901009</v>
      </c>
      <c r="D309" s="27" t="str">
        <f>'900000'!$F$19</f>
        <v>C09901005</v>
      </c>
      <c r="E309" s="27">
        <f>'900000'!$F29</f>
        <v>0</v>
      </c>
      <c r="F309" s="27" t="s">
        <v>19081</v>
      </c>
    </row>
    <row r="310" spans="1:6">
      <c r="A310" s="27" t="str">
        <f>Resultados!$K$3</f>
        <v/>
      </c>
      <c r="B310" s="27" t="str">
        <f>Resultados!$K$4</f>
        <v/>
      </c>
      <c r="C310" s="568" t="str">
        <f>'900000'!$B30</f>
        <v>09901010</v>
      </c>
      <c r="D310" s="27" t="str">
        <f>'900000'!$F$19</f>
        <v>C09901005</v>
      </c>
      <c r="E310" s="27">
        <f>'900000'!$F30</f>
        <v>0</v>
      </c>
      <c r="F310" s="27" t="s">
        <v>19081</v>
      </c>
    </row>
    <row r="311" spans="1:6">
      <c r="A311" s="27" t="str">
        <f>Resultados!$K$3</f>
        <v/>
      </c>
      <c r="B311" s="27" t="str">
        <f>Resultados!$K$4</f>
        <v/>
      </c>
      <c r="C311" s="568" t="str">
        <f>'900000'!$B31</f>
        <v>09901011</v>
      </c>
      <c r="D311" s="27" t="str">
        <f>'900000'!$F$19</f>
        <v>C09901005</v>
      </c>
      <c r="E311" s="27">
        <f>'900000'!$F31</f>
        <v>0</v>
      </c>
      <c r="F311" s="27" t="s">
        <v>19081</v>
      </c>
    </row>
    <row r="312" spans="1:6">
      <c r="A312" s="27" t="str">
        <f>Resultados!$K$3</f>
        <v/>
      </c>
      <c r="B312" s="27" t="str">
        <f>Resultados!$K$4</f>
        <v/>
      </c>
      <c r="C312" s="568" t="str">
        <f>'900000'!$B32</f>
        <v>09901012</v>
      </c>
      <c r="D312" s="27" t="str">
        <f>'900000'!$F$19</f>
        <v>C09901005</v>
      </c>
      <c r="E312" s="27">
        <f>'900000'!$F32</f>
        <v>0</v>
      </c>
      <c r="F312" s="27" t="s">
        <v>19081</v>
      </c>
    </row>
    <row r="313" spans="1:6">
      <c r="A313" s="27" t="str">
        <f>Resultados!$K$3</f>
        <v/>
      </c>
      <c r="B313" s="27" t="str">
        <f>Resultados!$K$4</f>
        <v/>
      </c>
      <c r="C313" s="568" t="str">
        <f>'900000'!$B33</f>
        <v>09901013</v>
      </c>
      <c r="D313" s="27" t="str">
        <f>'900000'!$F$19</f>
        <v>C09901005</v>
      </c>
      <c r="E313" s="27">
        <f>'900000'!$F33</f>
        <v>0</v>
      </c>
      <c r="F313" s="27" t="s">
        <v>19081</v>
      </c>
    </row>
    <row r="314" spans="1:6">
      <c r="A314" s="27" t="str">
        <f>Resultados!$K$3</f>
        <v/>
      </c>
      <c r="B314" s="27" t="str">
        <f>Resultados!$K$4</f>
        <v/>
      </c>
      <c r="C314" s="568" t="str">
        <f>'900000'!$B34</f>
        <v>09901014</v>
      </c>
      <c r="D314" s="27" t="str">
        <f>'900000'!$F$19</f>
        <v>C09901005</v>
      </c>
      <c r="E314" s="27">
        <f>'900000'!$F34</f>
        <v>0</v>
      </c>
      <c r="F314" s="27" t="s">
        <v>19081</v>
      </c>
    </row>
    <row r="315" spans="1:6">
      <c r="A315" s="27" t="str">
        <f>Resultados!$K$3</f>
        <v/>
      </c>
      <c r="B315" s="27" t="str">
        <f>Resultados!$K$4</f>
        <v/>
      </c>
      <c r="C315" s="568" t="str">
        <f>'900000'!$B35</f>
        <v>09901015</v>
      </c>
      <c r="D315" s="27" t="str">
        <f>'900000'!$F$19</f>
        <v>C09901005</v>
      </c>
      <c r="E315" s="27">
        <f>'900000'!$F35</f>
        <v>0</v>
      </c>
      <c r="F315" s="27" t="s">
        <v>19081</v>
      </c>
    </row>
    <row r="316" spans="1:6">
      <c r="A316" s="27" t="str">
        <f>Resultados!$K$3</f>
        <v/>
      </c>
      <c r="B316" s="27" t="str">
        <f>Resultados!$K$4</f>
        <v/>
      </c>
      <c r="C316" s="568" t="str">
        <f>'900000'!$B36</f>
        <v>09901016</v>
      </c>
      <c r="D316" s="27" t="str">
        <f>'900000'!$F$19</f>
        <v>C09901005</v>
      </c>
      <c r="E316" s="27">
        <f>'900000'!$F36</f>
        <v>0</v>
      </c>
      <c r="F316" s="27" t="s">
        <v>19081</v>
      </c>
    </row>
    <row r="317" spans="1:6">
      <c r="A317" s="27" t="str">
        <f>Resultados!$K$3</f>
        <v/>
      </c>
      <c r="B317" s="27" t="str">
        <f>Resultados!$K$4</f>
        <v/>
      </c>
      <c r="C317" s="568" t="str">
        <f>'900000'!$B37</f>
        <v>09901017</v>
      </c>
      <c r="D317" s="27" t="str">
        <f>'900000'!$F$19</f>
        <v>C09901005</v>
      </c>
      <c r="E317" s="27">
        <f>'900000'!$F37</f>
        <v>0</v>
      </c>
      <c r="F317" s="27" t="s">
        <v>19081</v>
      </c>
    </row>
    <row r="318" spans="1:6">
      <c r="A318" s="27" t="str">
        <f>Resultados!$K$3</f>
        <v/>
      </c>
      <c r="B318" s="27" t="str">
        <f>Resultados!$K$4</f>
        <v/>
      </c>
      <c r="C318" s="568" t="str">
        <f>'900000'!$B38</f>
        <v>09901018</v>
      </c>
      <c r="D318" s="27" t="str">
        <f>'900000'!$F$19</f>
        <v>C09901005</v>
      </c>
      <c r="E318" s="27">
        <f>'900000'!$F38</f>
        <v>0</v>
      </c>
      <c r="F318" s="27" t="s">
        <v>19081</v>
      </c>
    </row>
    <row r="319" spans="1:6">
      <c r="A319" s="27" t="str">
        <f>Resultados!$K$3</f>
        <v/>
      </c>
      <c r="B319" s="27" t="str">
        <f>Resultados!$K$4</f>
        <v/>
      </c>
      <c r="C319" s="568" t="str">
        <f>'900000'!$B39</f>
        <v>09901019</v>
      </c>
      <c r="D319" s="27" t="str">
        <f>'900000'!$F$19</f>
        <v>C09901005</v>
      </c>
      <c r="E319" s="27">
        <f>'900000'!$F39</f>
        <v>0</v>
      </c>
      <c r="F319" s="27" t="s">
        <v>19081</v>
      </c>
    </row>
    <row r="320" spans="1:6">
      <c r="A320" s="27" t="str">
        <f>Resultados!$K$3</f>
        <v/>
      </c>
      <c r="B320" s="27" t="str">
        <f>Resultados!$K$4</f>
        <v/>
      </c>
      <c r="C320" s="568" t="str">
        <f>'900000'!$B40</f>
        <v>09901020</v>
      </c>
      <c r="D320" s="27" t="str">
        <f>'900000'!$F$19</f>
        <v>C09901005</v>
      </c>
      <c r="E320" s="27">
        <f>'900000'!$F40</f>
        <v>0</v>
      </c>
      <c r="F320" s="27" t="s">
        <v>19081</v>
      </c>
    </row>
    <row r="321" spans="1:6">
      <c r="A321" s="27" t="str">
        <f>Resultados!$K$3</f>
        <v/>
      </c>
      <c r="B321" s="27" t="str">
        <f>Resultados!$K$4</f>
        <v/>
      </c>
      <c r="C321" s="568" t="str">
        <f>'900000'!$B41</f>
        <v>09901021</v>
      </c>
      <c r="D321" s="27" t="str">
        <f>'900000'!$F$19</f>
        <v>C09901005</v>
      </c>
      <c r="E321" s="27">
        <f>'900000'!$F41</f>
        <v>0</v>
      </c>
      <c r="F321" s="27" t="s">
        <v>19081</v>
      </c>
    </row>
    <row r="322" spans="1:6">
      <c r="A322" s="27" t="str">
        <f>Resultados!$K$3</f>
        <v/>
      </c>
      <c r="B322" s="27" t="str">
        <f>Resultados!$K$4</f>
        <v/>
      </c>
      <c r="C322" s="568" t="str">
        <f>'900000'!$B42</f>
        <v>09901022</v>
      </c>
      <c r="D322" s="27" t="str">
        <f>'900000'!$F$19</f>
        <v>C09901005</v>
      </c>
      <c r="E322" s="27">
        <f>'900000'!$F42</f>
        <v>0</v>
      </c>
      <c r="F322" s="27" t="s">
        <v>19081</v>
      </c>
    </row>
    <row r="323" spans="1:6">
      <c r="A323" s="27" t="str">
        <f>Resultados!$K$3</f>
        <v/>
      </c>
      <c r="B323" s="27" t="str">
        <f>Resultados!$K$4</f>
        <v/>
      </c>
      <c r="C323" s="568" t="str">
        <f>'900000'!$B43</f>
        <v>09901023</v>
      </c>
      <c r="D323" s="27" t="str">
        <f>'900000'!$F$19</f>
        <v>C09901005</v>
      </c>
      <c r="E323" s="27">
        <f>'900000'!$F43</f>
        <v>0</v>
      </c>
      <c r="F323" s="27" t="s">
        <v>19081</v>
      </c>
    </row>
    <row r="324" spans="1:6">
      <c r="A324" s="27" t="str">
        <f>Resultados!$K$3</f>
        <v/>
      </c>
      <c r="B324" s="27" t="str">
        <f>Resultados!$K$4</f>
        <v/>
      </c>
      <c r="C324" s="568" t="str">
        <f>'900000'!$B44</f>
        <v>09901024</v>
      </c>
      <c r="D324" s="27" t="str">
        <f>'900000'!$F$19</f>
        <v>C09901005</v>
      </c>
      <c r="E324" s="27">
        <f>'900000'!$F44</f>
        <v>0</v>
      </c>
      <c r="F324" s="27" t="s">
        <v>19081</v>
      </c>
    </row>
    <row r="325" spans="1:6">
      <c r="A325" s="27" t="str">
        <f>Resultados!$K$3</f>
        <v/>
      </c>
      <c r="B325" s="27" t="str">
        <f>Resultados!$K$4</f>
        <v/>
      </c>
      <c r="C325" s="568" t="str">
        <f>'900000'!$B45</f>
        <v>09901025</v>
      </c>
      <c r="D325" s="27" t="str">
        <f>'900000'!$F$19</f>
        <v>C09901005</v>
      </c>
      <c r="E325" s="27">
        <f>'900000'!$F45</f>
        <v>0</v>
      </c>
      <c r="F325" s="27" t="s">
        <v>19081</v>
      </c>
    </row>
    <row r="326" spans="1:6">
      <c r="A326" s="27" t="str">
        <f>Resultados!$K$3</f>
        <v/>
      </c>
      <c r="B326" s="27" t="str">
        <f>Resultados!$K$4</f>
        <v/>
      </c>
      <c r="C326" s="568" t="str">
        <f>'900000'!$B46</f>
        <v>09901026</v>
      </c>
      <c r="D326" s="27" t="str">
        <f>'900000'!$F$19</f>
        <v>C09901005</v>
      </c>
      <c r="E326" s="27">
        <f>'900000'!$F46</f>
        <v>0</v>
      </c>
      <c r="F326" s="27" t="s">
        <v>19081</v>
      </c>
    </row>
    <row r="327" spans="1:6">
      <c r="A327" s="27" t="str">
        <f>Resultados!$K$3</f>
        <v/>
      </c>
      <c r="B327" s="27" t="str">
        <f>Resultados!$K$4</f>
        <v/>
      </c>
      <c r="C327" s="568" t="str">
        <f>'900000'!$B47</f>
        <v>09901027</v>
      </c>
      <c r="D327" s="27" t="str">
        <f>'900000'!$F$19</f>
        <v>C09901005</v>
      </c>
      <c r="E327" s="27">
        <f>'900000'!$F47</f>
        <v>0</v>
      </c>
      <c r="F327" s="27" t="s">
        <v>19081</v>
      </c>
    </row>
    <row r="328" spans="1:6">
      <c r="A328" s="27" t="str">
        <f>Resultados!$K$3</f>
        <v/>
      </c>
      <c r="B328" s="27" t="str">
        <f>Resultados!$K$4</f>
        <v/>
      </c>
      <c r="C328" s="568" t="str">
        <f>'900000'!$B48</f>
        <v>09901028</v>
      </c>
      <c r="D328" s="27" t="str">
        <f>'900000'!$F$19</f>
        <v>C09901005</v>
      </c>
      <c r="E328" s="27">
        <f>'900000'!$F48</f>
        <v>0</v>
      </c>
      <c r="F328" s="27" t="s">
        <v>19081</v>
      </c>
    </row>
    <row r="329" spans="1:6">
      <c r="A329" s="27" t="str">
        <f>Resultados!$K$3</f>
        <v/>
      </c>
      <c r="B329" s="27" t="str">
        <f>Resultados!$K$4</f>
        <v/>
      </c>
      <c r="C329" s="568" t="str">
        <f>'900000'!$B49</f>
        <v>09901029</v>
      </c>
      <c r="D329" s="27" t="str">
        <f>'900000'!$F$19</f>
        <v>C09901005</v>
      </c>
      <c r="E329" s="27">
        <f>'900000'!$F49</f>
        <v>0</v>
      </c>
      <c r="F329" s="27" t="s">
        <v>19081</v>
      </c>
    </row>
    <row r="330" spans="1:6">
      <c r="A330" s="27" t="str">
        <f>Resultados!$K$3</f>
        <v/>
      </c>
      <c r="B330" s="27" t="str">
        <f>Resultados!$K$4</f>
        <v/>
      </c>
      <c r="C330" s="568" t="str">
        <f>'900000'!$B50</f>
        <v>09901030</v>
      </c>
      <c r="D330" s="27" t="str">
        <f>'900000'!$F$19</f>
        <v>C09901005</v>
      </c>
      <c r="E330" s="27">
        <f>'900000'!$F50</f>
        <v>0</v>
      </c>
      <c r="F330" s="27" t="s">
        <v>19081</v>
      </c>
    </row>
    <row r="331" spans="1:6">
      <c r="A331" s="27" t="str">
        <f>Resultados!$K$3</f>
        <v/>
      </c>
      <c r="B331" s="27" t="str">
        <f>Resultados!$K$4</f>
        <v/>
      </c>
      <c r="C331" s="568" t="str">
        <f>'900000'!$B51</f>
        <v>09901031</v>
      </c>
      <c r="D331" s="27" t="str">
        <f>'900000'!$F$19</f>
        <v>C09901005</v>
      </c>
      <c r="E331" s="27">
        <f>'900000'!$F51</f>
        <v>0</v>
      </c>
      <c r="F331" s="27" t="s">
        <v>19081</v>
      </c>
    </row>
    <row r="332" spans="1:6">
      <c r="A332" s="27" t="str">
        <f>Resultados!$K$3</f>
        <v/>
      </c>
      <c r="B332" s="27" t="str">
        <f>Resultados!$K$4</f>
        <v/>
      </c>
      <c r="C332" s="568" t="str">
        <f>'900000'!$B52</f>
        <v>09901032</v>
      </c>
      <c r="D332" s="27" t="str">
        <f>'900000'!$F$19</f>
        <v>C09901005</v>
      </c>
      <c r="E332" s="27">
        <f>'900000'!$F52</f>
        <v>0</v>
      </c>
      <c r="F332" s="27" t="s">
        <v>19081</v>
      </c>
    </row>
    <row r="333" spans="1:6">
      <c r="A333" s="27" t="str">
        <f>Resultados!$K$3</f>
        <v/>
      </c>
      <c r="B333" s="27" t="str">
        <f>Resultados!$K$4</f>
        <v/>
      </c>
      <c r="C333" s="568" t="str">
        <f>'900000'!$B53</f>
        <v>09901033</v>
      </c>
      <c r="D333" s="27" t="str">
        <f>'900000'!$F$19</f>
        <v>C09901005</v>
      </c>
      <c r="E333" s="27">
        <f>'900000'!$F53</f>
        <v>0</v>
      </c>
      <c r="F333" s="27" t="s">
        <v>19081</v>
      </c>
    </row>
    <row r="334" spans="1:6">
      <c r="A334" s="27" t="str">
        <f>Resultados!$K$3</f>
        <v/>
      </c>
      <c r="B334" s="27" t="str">
        <f>Resultados!$K$4</f>
        <v/>
      </c>
      <c r="C334" s="568" t="str">
        <f>'900000'!$B54</f>
        <v>09901034</v>
      </c>
      <c r="D334" s="27" t="str">
        <f>'900000'!$F$19</f>
        <v>C09901005</v>
      </c>
      <c r="E334" s="27">
        <f>'900000'!$F54</f>
        <v>0</v>
      </c>
      <c r="F334" s="27" t="s">
        <v>19081</v>
      </c>
    </row>
    <row r="335" spans="1:6">
      <c r="A335" s="27" t="str">
        <f>Resultados!$K$3</f>
        <v/>
      </c>
      <c r="B335" s="27" t="str">
        <f>Resultados!$K$4</f>
        <v/>
      </c>
      <c r="C335" s="568" t="str">
        <f>'900000'!$B55</f>
        <v>09901035</v>
      </c>
      <c r="D335" s="27" t="str">
        <f>'900000'!$F$19</f>
        <v>C09901005</v>
      </c>
      <c r="E335" s="27">
        <f>'900000'!$F55</f>
        <v>0</v>
      </c>
      <c r="F335" s="27" t="s">
        <v>19081</v>
      </c>
    </row>
    <row r="336" spans="1:6">
      <c r="A336" s="27" t="str">
        <f>Resultados!$K$3</f>
        <v/>
      </c>
      <c r="B336" s="27" t="str">
        <f>Resultados!$K$4</f>
        <v/>
      </c>
      <c r="C336" s="568" t="str">
        <f>'900000'!$B56</f>
        <v>09901036</v>
      </c>
      <c r="D336" s="27" t="str">
        <f>'900000'!$F$19</f>
        <v>C09901005</v>
      </c>
      <c r="E336" s="27">
        <f>'900000'!$F56</f>
        <v>0</v>
      </c>
      <c r="F336" s="27" t="s">
        <v>19081</v>
      </c>
    </row>
    <row r="337" spans="1:6">
      <c r="A337" s="27" t="str">
        <f>Resultados!$K$3</f>
        <v/>
      </c>
      <c r="B337" s="27" t="str">
        <f>Resultados!$K$4</f>
        <v/>
      </c>
      <c r="C337" s="568" t="str">
        <f>'900000'!$B57</f>
        <v>09901037</v>
      </c>
      <c r="D337" s="27" t="str">
        <f>'900000'!$F$19</f>
        <v>C09901005</v>
      </c>
      <c r="E337" s="27">
        <f>'900000'!$F57</f>
        <v>0</v>
      </c>
      <c r="F337" s="27" t="s">
        <v>19081</v>
      </c>
    </row>
    <row r="338" spans="1:6">
      <c r="A338" s="27" t="str">
        <f>Resultados!$K$3</f>
        <v/>
      </c>
      <c r="B338" s="27" t="str">
        <f>Resultados!$K$4</f>
        <v/>
      </c>
      <c r="C338" s="568" t="str">
        <f>'900000'!$B58</f>
        <v>09901038</v>
      </c>
      <c r="D338" s="27" t="str">
        <f>'900000'!$F$19</f>
        <v>C09901005</v>
      </c>
      <c r="E338" s="27">
        <f>'900000'!$F58</f>
        <v>0</v>
      </c>
      <c r="F338" s="27" t="s">
        <v>19081</v>
      </c>
    </row>
    <row r="339" spans="1:6">
      <c r="A339" s="27" t="str">
        <f>Resultados!$K$3</f>
        <v/>
      </c>
      <c r="B339" s="27" t="str">
        <f>Resultados!$K$4</f>
        <v/>
      </c>
      <c r="C339" s="568" t="str">
        <f>'900000'!$B59</f>
        <v>09901039</v>
      </c>
      <c r="D339" s="27" t="str">
        <f>'900000'!$F$19</f>
        <v>C09901005</v>
      </c>
      <c r="E339" s="27">
        <f>'900000'!$F59</f>
        <v>0</v>
      </c>
      <c r="F339" s="27" t="s">
        <v>19081</v>
      </c>
    </row>
    <row r="340" spans="1:6">
      <c r="A340" s="27" t="str">
        <f>Resultados!$K$3</f>
        <v/>
      </c>
      <c r="B340" s="27" t="str">
        <f>Resultados!$K$4</f>
        <v/>
      </c>
      <c r="C340" s="568" t="str">
        <f>'900000'!$B60</f>
        <v>09901040</v>
      </c>
      <c r="D340" s="27" t="str">
        <f>'900000'!$F$19</f>
        <v>C09901005</v>
      </c>
      <c r="E340" s="27">
        <f>'900000'!$F60</f>
        <v>0</v>
      </c>
      <c r="F340" s="27" t="s">
        <v>19081</v>
      </c>
    </row>
    <row r="341" spans="1:6">
      <c r="A341" s="27" t="str">
        <f>Resultados!$K$3</f>
        <v/>
      </c>
      <c r="B341" s="27" t="str">
        <f>Resultados!$K$4</f>
        <v/>
      </c>
      <c r="C341" s="568" t="str">
        <f>'900000'!$B61</f>
        <v>09901041</v>
      </c>
      <c r="D341" s="27" t="str">
        <f>'900000'!$F$19</f>
        <v>C09901005</v>
      </c>
      <c r="E341" s="27">
        <f>'900000'!$F61</f>
        <v>0</v>
      </c>
      <c r="F341" s="27" t="s">
        <v>19081</v>
      </c>
    </row>
    <row r="342" spans="1:6">
      <c r="A342" s="27" t="str">
        <f>Resultados!$K$3</f>
        <v/>
      </c>
      <c r="B342" s="27" t="str">
        <f>Resultados!$K$4</f>
        <v/>
      </c>
      <c r="C342" s="568" t="str">
        <f>'900000'!$B62</f>
        <v>09901042</v>
      </c>
      <c r="D342" s="27" t="str">
        <f>'900000'!$F$19</f>
        <v>C09901005</v>
      </c>
      <c r="E342" s="27">
        <f>'900000'!$F62</f>
        <v>0</v>
      </c>
      <c r="F342" s="27" t="s">
        <v>19081</v>
      </c>
    </row>
    <row r="343" spans="1:6">
      <c r="A343" s="27" t="str">
        <f>Resultados!$K$3</f>
        <v/>
      </c>
      <c r="B343" s="27" t="str">
        <f>Resultados!$K$4</f>
        <v/>
      </c>
      <c r="C343" s="568" t="str">
        <f>'900000'!$B63</f>
        <v>09901043</v>
      </c>
      <c r="D343" s="27" t="str">
        <f>'900000'!$F$19</f>
        <v>C09901005</v>
      </c>
      <c r="E343" s="27">
        <f>'900000'!$F63</f>
        <v>0</v>
      </c>
      <c r="F343" s="27" t="s">
        <v>19081</v>
      </c>
    </row>
    <row r="344" spans="1:6">
      <c r="A344" s="27" t="str">
        <f>Resultados!$K$3</f>
        <v/>
      </c>
      <c r="B344" s="27" t="str">
        <f>Resultados!$K$4</f>
        <v/>
      </c>
      <c r="C344" s="568" t="str">
        <f>'900000'!$B64</f>
        <v>09901044</v>
      </c>
      <c r="D344" s="27" t="str">
        <f>'900000'!$F$19</f>
        <v>C09901005</v>
      </c>
      <c r="E344" s="27">
        <f>'900000'!$F64</f>
        <v>0</v>
      </c>
      <c r="F344" s="27" t="s">
        <v>19081</v>
      </c>
    </row>
    <row r="345" spans="1:6">
      <c r="A345" s="27" t="str">
        <f>Resultados!$K$3</f>
        <v/>
      </c>
      <c r="B345" s="27" t="str">
        <f>Resultados!$K$4</f>
        <v/>
      </c>
      <c r="C345" s="568" t="str">
        <f>'900000'!$B65</f>
        <v>09901045</v>
      </c>
      <c r="D345" s="27" t="str">
        <f>'900000'!$F$19</f>
        <v>C09901005</v>
      </c>
      <c r="E345" s="27">
        <f>'900000'!$F65</f>
        <v>0</v>
      </c>
      <c r="F345" s="27" t="s">
        <v>19081</v>
      </c>
    </row>
    <row r="346" spans="1:6">
      <c r="A346" s="27" t="str">
        <f>Resultados!$K$3</f>
        <v/>
      </c>
      <c r="B346" s="27" t="str">
        <f>Resultados!$K$4</f>
        <v/>
      </c>
      <c r="C346" s="568" t="str">
        <f>'900000'!$B66</f>
        <v>09901046</v>
      </c>
      <c r="D346" s="27" t="str">
        <f>'900000'!$F$19</f>
        <v>C09901005</v>
      </c>
      <c r="E346" s="27">
        <f>'900000'!$F66</f>
        <v>0</v>
      </c>
      <c r="F346" s="27" t="s">
        <v>19081</v>
      </c>
    </row>
    <row r="347" spans="1:6">
      <c r="A347" s="27" t="str">
        <f>Resultados!$K$3</f>
        <v/>
      </c>
      <c r="B347" s="27" t="str">
        <f>Resultados!$K$4</f>
        <v/>
      </c>
      <c r="C347" s="568" t="str">
        <f>'900000'!$B67</f>
        <v>09901047</v>
      </c>
      <c r="D347" s="27" t="str">
        <f>'900000'!$F$19</f>
        <v>C09901005</v>
      </c>
      <c r="E347" s="27">
        <f>'900000'!$F67</f>
        <v>0</v>
      </c>
      <c r="F347" s="27" t="s">
        <v>19081</v>
      </c>
    </row>
    <row r="348" spans="1:6">
      <c r="A348" s="27" t="str">
        <f>Resultados!$K$3</f>
        <v/>
      </c>
      <c r="B348" s="27" t="str">
        <f>Resultados!$K$4</f>
        <v/>
      </c>
      <c r="C348" s="568" t="str">
        <f>'900000'!$B68</f>
        <v>09901048</v>
      </c>
      <c r="D348" s="27" t="str">
        <f>'900000'!$F$19</f>
        <v>C09901005</v>
      </c>
      <c r="E348" s="27">
        <f>'900000'!$F68</f>
        <v>0</v>
      </c>
      <c r="F348" s="27" t="s">
        <v>19081</v>
      </c>
    </row>
    <row r="349" spans="1:6">
      <c r="A349" s="27" t="str">
        <f>Resultados!$K$3</f>
        <v/>
      </c>
      <c r="B349" s="27" t="str">
        <f>Resultados!$K$4</f>
        <v/>
      </c>
      <c r="C349" s="568" t="str">
        <f>'900000'!$B69</f>
        <v>09901049</v>
      </c>
      <c r="D349" s="27" t="str">
        <f>'900000'!$F$19</f>
        <v>C09901005</v>
      </c>
      <c r="E349" s="27">
        <f>'900000'!$F69</f>
        <v>0</v>
      </c>
      <c r="F349" s="27" t="s">
        <v>19081</v>
      </c>
    </row>
    <row r="350" spans="1:6">
      <c r="A350" s="27" t="str">
        <f>Resultados!$K$3</f>
        <v/>
      </c>
      <c r="B350" s="27" t="str">
        <f>Resultados!$K$4</f>
        <v/>
      </c>
      <c r="C350" s="568" t="str">
        <f>'900000'!$B70</f>
        <v>09901050</v>
      </c>
      <c r="D350" s="27" t="str">
        <f>'900000'!$F$19</f>
        <v>C09901005</v>
      </c>
      <c r="E350" s="27">
        <f>'900000'!$F70</f>
        <v>0</v>
      </c>
      <c r="F350" s="27" t="s">
        <v>19081</v>
      </c>
    </row>
    <row r="351" spans="1:6">
      <c r="A351" s="27" t="str">
        <f>Resultados!$K$3</f>
        <v/>
      </c>
      <c r="B351" s="27" t="str">
        <f>Resultados!$K$4</f>
        <v/>
      </c>
      <c r="C351" s="568" t="str">
        <f>'900000'!$B71</f>
        <v>09901051</v>
      </c>
      <c r="D351" s="27" t="str">
        <f>'900000'!$F$19</f>
        <v>C09901005</v>
      </c>
      <c r="E351" s="27">
        <f>'900000'!$F71</f>
        <v>0</v>
      </c>
      <c r="F351" s="27" t="s">
        <v>19081</v>
      </c>
    </row>
    <row r="352" spans="1:6">
      <c r="A352" s="27" t="str">
        <f>Resultados!$K$3</f>
        <v/>
      </c>
      <c r="B352" s="27" t="str">
        <f>Resultados!$K$4</f>
        <v/>
      </c>
      <c r="C352" s="568" t="str">
        <f>'900000'!$B72</f>
        <v>09901052</v>
      </c>
      <c r="D352" s="27" t="str">
        <f>'900000'!$F$19</f>
        <v>C09901005</v>
      </c>
      <c r="E352" s="27">
        <f>'900000'!$F72</f>
        <v>0</v>
      </c>
      <c r="F352" s="27" t="s">
        <v>19081</v>
      </c>
    </row>
    <row r="353" spans="1:6">
      <c r="A353" s="27" t="str">
        <f>Resultados!$K$3</f>
        <v/>
      </c>
      <c r="B353" s="27" t="str">
        <f>Resultados!$K$4</f>
        <v/>
      </c>
      <c r="C353" s="568" t="str">
        <f>'900000'!$B73</f>
        <v>09901053</v>
      </c>
      <c r="D353" s="27" t="str">
        <f>'900000'!$F$19</f>
        <v>C09901005</v>
      </c>
      <c r="E353" s="27">
        <f>'900000'!$F73</f>
        <v>0</v>
      </c>
      <c r="F353" s="27" t="s">
        <v>19081</v>
      </c>
    </row>
    <row r="354" spans="1:6">
      <c r="A354" s="27" t="str">
        <f>Resultados!$K$3</f>
        <v/>
      </c>
      <c r="B354" s="27" t="str">
        <f>Resultados!$K$4</f>
        <v/>
      </c>
      <c r="C354" s="568" t="str">
        <f>'900000'!$B74</f>
        <v>09901054</v>
      </c>
      <c r="D354" s="27" t="str">
        <f>'900000'!$F$19</f>
        <v>C09901005</v>
      </c>
      <c r="E354" s="27">
        <f>'900000'!$F74</f>
        <v>0</v>
      </c>
      <c r="F354" s="27" t="s">
        <v>19081</v>
      </c>
    </row>
    <row r="355" spans="1:6">
      <c r="A355" s="27" t="str">
        <f>Resultados!$K$3</f>
        <v/>
      </c>
      <c r="B355" s="27" t="str">
        <f>Resultados!$K$4</f>
        <v/>
      </c>
      <c r="C355" s="568" t="str">
        <f>'900000'!$B75</f>
        <v>09901055</v>
      </c>
      <c r="D355" s="27" t="str">
        <f>'900000'!$F$19</f>
        <v>C09901005</v>
      </c>
      <c r="E355" s="27">
        <f>'900000'!$F75</f>
        <v>0</v>
      </c>
      <c r="F355" s="27" t="s">
        <v>19081</v>
      </c>
    </row>
    <row r="356" spans="1:6">
      <c r="A356" s="27" t="str">
        <f>Resultados!$K$3</f>
        <v/>
      </c>
      <c r="B356" s="27" t="str">
        <f>Resultados!$K$4</f>
        <v/>
      </c>
      <c r="C356" s="568" t="str">
        <f>'900000'!$B76</f>
        <v>09901056</v>
      </c>
      <c r="D356" s="27" t="str">
        <f>'900000'!$F$19</f>
        <v>C09901005</v>
      </c>
      <c r="E356" s="27">
        <f>'900000'!$F76</f>
        <v>0</v>
      </c>
      <c r="F356" s="27" t="s">
        <v>19081</v>
      </c>
    </row>
    <row r="357" spans="1:6">
      <c r="A357" s="27" t="str">
        <f>Resultados!$K$3</f>
        <v/>
      </c>
      <c r="B357" s="27" t="str">
        <f>Resultados!$K$4</f>
        <v/>
      </c>
      <c r="C357" s="568" t="str">
        <f>'900000'!$B77</f>
        <v>09901057</v>
      </c>
      <c r="D357" s="27" t="str">
        <f>'900000'!$F$19</f>
        <v>C09901005</v>
      </c>
      <c r="E357" s="27">
        <f>'900000'!$F77</f>
        <v>0</v>
      </c>
      <c r="F357" s="27" t="s">
        <v>19081</v>
      </c>
    </row>
    <row r="358" spans="1:6">
      <c r="A358" s="27" t="str">
        <f>Resultados!$K$3</f>
        <v/>
      </c>
      <c r="B358" s="27" t="str">
        <f>Resultados!$K$4</f>
        <v/>
      </c>
      <c r="C358" s="568" t="str">
        <f>'900000'!$B78</f>
        <v>09901058</v>
      </c>
      <c r="D358" s="27" t="str">
        <f>'900000'!$F$19</f>
        <v>C09901005</v>
      </c>
      <c r="E358" s="27">
        <f>'900000'!$F78</f>
        <v>0</v>
      </c>
      <c r="F358" s="27" t="s">
        <v>19081</v>
      </c>
    </row>
    <row r="359" spans="1:6">
      <c r="A359" s="27" t="str">
        <f>Resultados!$K$3</f>
        <v/>
      </c>
      <c r="B359" s="27" t="str">
        <f>Resultados!$K$4</f>
        <v/>
      </c>
      <c r="C359" s="568" t="str">
        <f>'900000'!$B79</f>
        <v>09901059</v>
      </c>
      <c r="D359" s="27" t="str">
        <f>'900000'!$F$19</f>
        <v>C09901005</v>
      </c>
      <c r="E359" s="27">
        <f>'900000'!$F79</f>
        <v>0</v>
      </c>
      <c r="F359" s="27" t="s">
        <v>19081</v>
      </c>
    </row>
    <row r="360" spans="1:6">
      <c r="A360" s="27" t="str">
        <f>Resultados!$K$3</f>
        <v/>
      </c>
      <c r="B360" s="27" t="str">
        <f>Resultados!$K$4</f>
        <v/>
      </c>
      <c r="C360" s="568" t="str">
        <f>'900000'!$B80</f>
        <v>09901060</v>
      </c>
      <c r="D360" s="27" t="str">
        <f>'900000'!$F$19</f>
        <v>C09901005</v>
      </c>
      <c r="E360" s="27">
        <f>'900000'!$F80</f>
        <v>0</v>
      </c>
      <c r="F360" s="27" t="s">
        <v>19081</v>
      </c>
    </row>
    <row r="361" spans="1:6">
      <c r="A361" s="27" t="str">
        <f>Resultados!$K$3</f>
        <v/>
      </c>
      <c r="B361" s="27" t="str">
        <f>Resultados!$K$4</f>
        <v/>
      </c>
      <c r="C361" s="568" t="str">
        <f>'900000'!$B81</f>
        <v>09901061</v>
      </c>
      <c r="D361" s="27" t="str">
        <f>'900000'!$F$19</f>
        <v>C09901005</v>
      </c>
      <c r="E361" s="27">
        <f>'900000'!$F81</f>
        <v>0</v>
      </c>
      <c r="F361" s="27" t="s">
        <v>19081</v>
      </c>
    </row>
    <row r="362" spans="1:6">
      <c r="A362" s="27" t="str">
        <f>Resultados!$K$3</f>
        <v/>
      </c>
      <c r="B362" s="27" t="str">
        <f>Resultados!$K$4</f>
        <v/>
      </c>
      <c r="C362" s="568" t="str">
        <f>'900000'!$B82</f>
        <v>09901062</v>
      </c>
      <c r="D362" s="27" t="str">
        <f>'900000'!$F$19</f>
        <v>C09901005</v>
      </c>
      <c r="E362" s="27">
        <f>'900000'!$F82</f>
        <v>0</v>
      </c>
      <c r="F362" s="27" t="s">
        <v>19081</v>
      </c>
    </row>
    <row r="363" spans="1:6">
      <c r="A363" s="27" t="str">
        <f>Resultados!$K$3</f>
        <v/>
      </c>
      <c r="B363" s="27" t="str">
        <f>Resultados!$K$4</f>
        <v/>
      </c>
      <c r="C363" s="568" t="str">
        <f>'900000'!$B83</f>
        <v>09901063</v>
      </c>
      <c r="D363" s="27" t="str">
        <f>'900000'!$F$19</f>
        <v>C09901005</v>
      </c>
      <c r="E363" s="27">
        <f>'900000'!$F83</f>
        <v>0</v>
      </c>
      <c r="F363" s="27" t="s">
        <v>19081</v>
      </c>
    </row>
    <row r="364" spans="1:6">
      <c r="A364" s="27" t="str">
        <f>Resultados!$K$3</f>
        <v/>
      </c>
      <c r="B364" s="27" t="str">
        <f>Resultados!$K$4</f>
        <v/>
      </c>
      <c r="C364" s="568" t="str">
        <f>'900000'!$B84</f>
        <v>09901064</v>
      </c>
      <c r="D364" s="27" t="str">
        <f>'900000'!$F$19</f>
        <v>C09901005</v>
      </c>
      <c r="E364" s="27">
        <f>'900000'!$F84</f>
        <v>0</v>
      </c>
      <c r="F364" s="27" t="s">
        <v>19081</v>
      </c>
    </row>
    <row r="365" spans="1:6">
      <c r="A365" s="27" t="str">
        <f>Resultados!$K$3</f>
        <v/>
      </c>
      <c r="B365" s="27" t="str">
        <f>Resultados!$K$4</f>
        <v/>
      </c>
      <c r="C365" s="568" t="str">
        <f>'900000'!$B85</f>
        <v>09901065</v>
      </c>
      <c r="D365" s="27" t="str">
        <f>'900000'!$F$19</f>
        <v>C09901005</v>
      </c>
      <c r="E365" s="27">
        <f>'900000'!$F85</f>
        <v>0</v>
      </c>
      <c r="F365" s="27" t="s">
        <v>19081</v>
      </c>
    </row>
    <row r="366" spans="1:6">
      <c r="A366" s="27" t="str">
        <f>Resultados!$K$3</f>
        <v/>
      </c>
      <c r="B366" s="27" t="str">
        <f>Resultados!$K$4</f>
        <v/>
      </c>
      <c r="C366" s="568" t="str">
        <f>'900000'!$B86</f>
        <v>09901066</v>
      </c>
      <c r="D366" s="27" t="str">
        <f>'900000'!$F$19</f>
        <v>C09901005</v>
      </c>
      <c r="E366" s="27">
        <f>'900000'!$F86</f>
        <v>0</v>
      </c>
      <c r="F366" s="27" t="s">
        <v>19081</v>
      </c>
    </row>
    <row r="367" spans="1:6">
      <c r="A367" s="27" t="str">
        <f>Resultados!$K$3</f>
        <v/>
      </c>
      <c r="B367" s="27" t="str">
        <f>Resultados!$K$4</f>
        <v/>
      </c>
      <c r="C367" s="568" t="str">
        <f>'900000'!$B87</f>
        <v>09901067</v>
      </c>
      <c r="D367" s="27" t="str">
        <f>'900000'!$F$19</f>
        <v>C09901005</v>
      </c>
      <c r="E367" s="27">
        <f>'900000'!$F87</f>
        <v>0</v>
      </c>
      <c r="F367" s="27" t="s">
        <v>19081</v>
      </c>
    </row>
    <row r="368" spans="1:6">
      <c r="A368" s="27" t="str">
        <f>Resultados!$K$3</f>
        <v/>
      </c>
      <c r="B368" s="27" t="str">
        <f>Resultados!$K$4</f>
        <v/>
      </c>
      <c r="C368" s="568" t="str">
        <f>'900000'!$B88</f>
        <v>09901068</v>
      </c>
      <c r="D368" s="27" t="str">
        <f>'900000'!$F$19</f>
        <v>C09901005</v>
      </c>
      <c r="E368" s="27">
        <f>'900000'!$F88</f>
        <v>0</v>
      </c>
      <c r="F368" s="27" t="s">
        <v>19081</v>
      </c>
    </row>
    <row r="369" spans="1:6">
      <c r="A369" s="27" t="str">
        <f>Resultados!$K$3</f>
        <v/>
      </c>
      <c r="B369" s="27" t="str">
        <f>Resultados!$K$4</f>
        <v/>
      </c>
      <c r="C369" s="568" t="str">
        <f>'900000'!$B89</f>
        <v>09901069</v>
      </c>
      <c r="D369" s="27" t="str">
        <f>'900000'!$F$19</f>
        <v>C09901005</v>
      </c>
      <c r="E369" s="27">
        <f>'900000'!$F89</f>
        <v>0</v>
      </c>
      <c r="F369" s="27" t="s">
        <v>19081</v>
      </c>
    </row>
    <row r="370" spans="1:6">
      <c r="A370" s="27" t="str">
        <f>Resultados!$K$3</f>
        <v/>
      </c>
      <c r="B370" s="27" t="str">
        <f>Resultados!$K$4</f>
        <v/>
      </c>
      <c r="C370" s="568" t="str">
        <f>'900000'!$B90</f>
        <v>09901070</v>
      </c>
      <c r="D370" s="27" t="str">
        <f>'900000'!$F$19</f>
        <v>C09901005</v>
      </c>
      <c r="E370" s="27">
        <f>'900000'!$F90</f>
        <v>0</v>
      </c>
      <c r="F370" s="27" t="s">
        <v>19081</v>
      </c>
    </row>
    <row r="371" spans="1:6">
      <c r="A371" s="27" t="str">
        <f>Resultados!$K$3</f>
        <v/>
      </c>
      <c r="B371" s="27" t="str">
        <f>Resultados!$K$4</f>
        <v/>
      </c>
      <c r="C371" s="568" t="str">
        <f>'900000'!$B91</f>
        <v>09901071</v>
      </c>
      <c r="D371" s="27" t="str">
        <f>'900000'!$F$19</f>
        <v>C09901005</v>
      </c>
      <c r="E371" s="27">
        <f>'900000'!$F91</f>
        <v>0</v>
      </c>
      <c r="F371" s="27" t="s">
        <v>19081</v>
      </c>
    </row>
    <row r="372" spans="1:6">
      <c r="A372" s="27" t="str">
        <f>Resultados!$K$3</f>
        <v/>
      </c>
      <c r="B372" s="27" t="str">
        <f>Resultados!$K$4</f>
        <v/>
      </c>
      <c r="C372" s="568" t="str">
        <f>'900000'!$B92</f>
        <v>09901072</v>
      </c>
      <c r="D372" s="27" t="str">
        <f>'900000'!$F$19</f>
        <v>C09901005</v>
      </c>
      <c r="E372" s="27">
        <f>'900000'!$F92</f>
        <v>0</v>
      </c>
      <c r="F372" s="27" t="s">
        <v>19081</v>
      </c>
    </row>
    <row r="373" spans="1:6">
      <c r="A373" s="27" t="str">
        <f>Resultados!$K$3</f>
        <v/>
      </c>
      <c r="B373" s="27" t="str">
        <f>Resultados!$K$4</f>
        <v/>
      </c>
      <c r="C373" s="568" t="str">
        <f>'900000'!$B93</f>
        <v>09901073</v>
      </c>
      <c r="D373" s="27" t="str">
        <f>'900000'!$F$19</f>
        <v>C09901005</v>
      </c>
      <c r="E373" s="27">
        <f>'900000'!$F93</f>
        <v>0</v>
      </c>
      <c r="F373" s="27" t="s">
        <v>19081</v>
      </c>
    </row>
    <row r="374" spans="1:6">
      <c r="A374" s="27" t="str">
        <f>Resultados!$K$3</f>
        <v/>
      </c>
      <c r="B374" s="27" t="str">
        <f>Resultados!$K$4</f>
        <v/>
      </c>
      <c r="C374" s="568" t="str">
        <f>'900000'!$B94</f>
        <v>09901074</v>
      </c>
      <c r="D374" s="27" t="str">
        <f>'900000'!$F$19</f>
        <v>C09901005</v>
      </c>
      <c r="E374" s="27">
        <f>'900000'!$F94</f>
        <v>0</v>
      </c>
      <c r="F374" s="27" t="s">
        <v>19081</v>
      </c>
    </row>
    <row r="375" spans="1:6">
      <c r="A375" s="27" t="str">
        <f>Resultados!$K$3</f>
        <v/>
      </c>
      <c r="B375" s="27" t="str">
        <f>Resultados!$K$4</f>
        <v/>
      </c>
      <c r="C375" s="568" t="str">
        <f>'900000'!$B95</f>
        <v>09901075</v>
      </c>
      <c r="D375" s="27" t="str">
        <f>'900000'!$F$19</f>
        <v>C09901005</v>
      </c>
      <c r="E375" s="27">
        <f>'900000'!$F95</f>
        <v>0</v>
      </c>
      <c r="F375" s="27" t="s">
        <v>19081</v>
      </c>
    </row>
    <row r="376" spans="1:6">
      <c r="A376" s="27" t="str">
        <f>Resultados!$K$3</f>
        <v/>
      </c>
      <c r="B376" s="27" t="str">
        <f>Resultados!$K$4</f>
        <v/>
      </c>
      <c r="C376" s="568" t="str">
        <f>'900000'!$B96</f>
        <v>09901076</v>
      </c>
      <c r="D376" s="27" t="str">
        <f>'900000'!$F$19</f>
        <v>C09901005</v>
      </c>
      <c r="E376" s="27">
        <f>'900000'!$F96</f>
        <v>0</v>
      </c>
      <c r="F376" s="27" t="s">
        <v>19081</v>
      </c>
    </row>
    <row r="377" spans="1:6">
      <c r="A377" s="27" t="str">
        <f>Resultados!$K$3</f>
        <v/>
      </c>
      <c r="B377" s="27" t="str">
        <f>Resultados!$K$4</f>
        <v/>
      </c>
      <c r="C377" s="568" t="str">
        <f>'900000'!$B97</f>
        <v>09901077</v>
      </c>
      <c r="D377" s="27" t="str">
        <f>'900000'!$F$19</f>
        <v>C09901005</v>
      </c>
      <c r="E377" s="27">
        <f>'900000'!$F97</f>
        <v>0</v>
      </c>
      <c r="F377" s="27" t="s">
        <v>19081</v>
      </c>
    </row>
    <row r="378" spans="1:6">
      <c r="A378" s="27" t="str">
        <f>Resultados!$K$3</f>
        <v/>
      </c>
      <c r="B378" s="27" t="str">
        <f>Resultados!$K$4</f>
        <v/>
      </c>
      <c r="C378" s="568" t="str">
        <f>'900000'!$B98</f>
        <v>09901078</v>
      </c>
      <c r="D378" s="27" t="str">
        <f>'900000'!$F$19</f>
        <v>C09901005</v>
      </c>
      <c r="E378" s="27">
        <f>'900000'!$F98</f>
        <v>0</v>
      </c>
      <c r="F378" s="27" t="s">
        <v>19081</v>
      </c>
    </row>
    <row r="379" spans="1:6">
      <c r="A379" s="27" t="str">
        <f>Resultados!$K$3</f>
        <v/>
      </c>
      <c r="B379" s="27" t="str">
        <f>Resultados!$K$4</f>
        <v/>
      </c>
      <c r="C379" s="568" t="str">
        <f>'900000'!$B99</f>
        <v>09901079</v>
      </c>
      <c r="D379" s="27" t="str">
        <f>'900000'!$F$19</f>
        <v>C09901005</v>
      </c>
      <c r="E379" s="27">
        <f>'900000'!$F99</f>
        <v>0</v>
      </c>
      <c r="F379" s="27" t="s">
        <v>19081</v>
      </c>
    </row>
    <row r="380" spans="1:6">
      <c r="A380" s="27" t="str">
        <f>Resultados!$K$3</f>
        <v/>
      </c>
      <c r="B380" s="27" t="str">
        <f>Resultados!$K$4</f>
        <v/>
      </c>
      <c r="C380" s="568" t="str">
        <f>'900000'!$B100</f>
        <v>09901080</v>
      </c>
      <c r="D380" s="27" t="str">
        <f>'900000'!$F$19</f>
        <v>C09901005</v>
      </c>
      <c r="E380" s="27">
        <f>'900000'!$F100</f>
        <v>0</v>
      </c>
      <c r="F380" s="27" t="s">
        <v>19081</v>
      </c>
    </row>
    <row r="381" spans="1:6">
      <c r="A381" s="27" t="str">
        <f>Resultados!$K$3</f>
        <v/>
      </c>
      <c r="B381" s="27" t="str">
        <f>Resultados!$K$4</f>
        <v/>
      </c>
      <c r="C381" s="568" t="str">
        <f>'900000'!$B101</f>
        <v>09901081</v>
      </c>
      <c r="D381" s="27" t="str">
        <f>'900000'!$F$19</f>
        <v>C09901005</v>
      </c>
      <c r="E381" s="27">
        <f>'900000'!$F101</f>
        <v>0</v>
      </c>
      <c r="F381" s="27" t="s">
        <v>19081</v>
      </c>
    </row>
    <row r="382" spans="1:6">
      <c r="A382" s="27" t="str">
        <f>Resultados!$K$3</f>
        <v/>
      </c>
      <c r="B382" s="27" t="str">
        <f>Resultados!$K$4</f>
        <v/>
      </c>
      <c r="C382" s="568" t="str">
        <f>'900000'!$B102</f>
        <v>09901082</v>
      </c>
      <c r="D382" s="27" t="str">
        <f>'900000'!$F$19</f>
        <v>C09901005</v>
      </c>
      <c r="E382" s="27">
        <f>'900000'!$F102</f>
        <v>0</v>
      </c>
      <c r="F382" s="27" t="s">
        <v>19081</v>
      </c>
    </row>
    <row r="383" spans="1:6">
      <c r="A383" s="27" t="str">
        <f>Resultados!$K$3</f>
        <v/>
      </c>
      <c r="B383" s="27" t="str">
        <f>Resultados!$K$4</f>
        <v/>
      </c>
      <c r="C383" s="568" t="str">
        <f>'900000'!$B103</f>
        <v>09901083</v>
      </c>
      <c r="D383" s="27" t="str">
        <f>'900000'!$F$19</f>
        <v>C09901005</v>
      </c>
      <c r="E383" s="27">
        <f>'900000'!$F103</f>
        <v>0</v>
      </c>
      <c r="F383" s="27" t="s">
        <v>19081</v>
      </c>
    </row>
    <row r="384" spans="1:6">
      <c r="A384" s="27" t="str">
        <f>Resultados!$K$3</f>
        <v/>
      </c>
      <c r="B384" s="27" t="str">
        <f>Resultados!$K$4</f>
        <v/>
      </c>
      <c r="C384" s="568" t="str">
        <f>'900000'!$B104</f>
        <v>09901084</v>
      </c>
      <c r="D384" s="27" t="str">
        <f>'900000'!$F$19</f>
        <v>C09901005</v>
      </c>
      <c r="E384" s="27">
        <f>'900000'!$F104</f>
        <v>0</v>
      </c>
      <c r="F384" s="27" t="s">
        <v>19081</v>
      </c>
    </row>
    <row r="385" spans="1:6">
      <c r="A385" s="27" t="str">
        <f>Resultados!$K$3</f>
        <v/>
      </c>
      <c r="B385" s="27" t="str">
        <f>Resultados!$K$4</f>
        <v/>
      </c>
      <c r="C385" s="568" t="str">
        <f>'900000'!$B105</f>
        <v>09901085</v>
      </c>
      <c r="D385" s="27" t="str">
        <f>'900000'!$F$19</f>
        <v>C09901005</v>
      </c>
      <c r="E385" s="27">
        <f>'900000'!$F105</f>
        <v>0</v>
      </c>
      <c r="F385" s="27" t="s">
        <v>19081</v>
      </c>
    </row>
    <row r="386" spans="1:6">
      <c r="A386" s="27" t="str">
        <f>Resultados!$K$3</f>
        <v/>
      </c>
      <c r="B386" s="27" t="str">
        <f>Resultados!$K$4</f>
        <v/>
      </c>
      <c r="C386" s="568" t="str">
        <f>'900000'!$B106</f>
        <v>09901086</v>
      </c>
      <c r="D386" s="27" t="str">
        <f>'900000'!$F$19</f>
        <v>C09901005</v>
      </c>
      <c r="E386" s="27">
        <f>'900000'!$F106</f>
        <v>0</v>
      </c>
      <c r="F386" s="27" t="s">
        <v>19081</v>
      </c>
    </row>
    <row r="387" spans="1:6">
      <c r="A387" s="27" t="str">
        <f>Resultados!$K$3</f>
        <v/>
      </c>
      <c r="B387" s="27" t="str">
        <f>Resultados!$K$4</f>
        <v/>
      </c>
      <c r="C387" s="568" t="str">
        <f>'900000'!$B107</f>
        <v>09901087</v>
      </c>
      <c r="D387" s="27" t="str">
        <f>'900000'!$F$19</f>
        <v>C09901005</v>
      </c>
      <c r="E387" s="27">
        <f>'900000'!$F107</f>
        <v>0</v>
      </c>
      <c r="F387" s="27" t="s">
        <v>19081</v>
      </c>
    </row>
    <row r="388" spans="1:6">
      <c r="A388" s="27" t="str">
        <f>Resultados!$K$3</f>
        <v/>
      </c>
      <c r="B388" s="27" t="str">
        <f>Resultados!$K$4</f>
        <v/>
      </c>
      <c r="C388" s="568" t="str">
        <f>'900000'!$B108</f>
        <v>09901088</v>
      </c>
      <c r="D388" s="27" t="str">
        <f>'900000'!$F$19</f>
        <v>C09901005</v>
      </c>
      <c r="E388" s="27">
        <f>'900000'!$F108</f>
        <v>0</v>
      </c>
      <c r="F388" s="27" t="s">
        <v>19081</v>
      </c>
    </row>
    <row r="389" spans="1:6">
      <c r="A389" s="27" t="str">
        <f>Resultados!$K$3</f>
        <v/>
      </c>
      <c r="B389" s="27" t="str">
        <f>Resultados!$K$4</f>
        <v/>
      </c>
      <c r="C389" s="568" t="str">
        <f>'900000'!$B109</f>
        <v>09901089</v>
      </c>
      <c r="D389" s="27" t="str">
        <f>'900000'!$F$19</f>
        <v>C09901005</v>
      </c>
      <c r="E389" s="27">
        <f>'900000'!$F109</f>
        <v>0</v>
      </c>
      <c r="F389" s="27" t="s">
        <v>19081</v>
      </c>
    </row>
    <row r="390" spans="1:6">
      <c r="A390" s="27" t="str">
        <f>Resultados!$K$3</f>
        <v/>
      </c>
      <c r="B390" s="27" t="str">
        <f>Resultados!$K$4</f>
        <v/>
      </c>
      <c r="C390" s="568" t="str">
        <f>'900000'!$B110</f>
        <v>09901090</v>
      </c>
      <c r="D390" s="27" t="str">
        <f>'900000'!$F$19</f>
        <v>C09901005</v>
      </c>
      <c r="E390" s="27">
        <f>'900000'!$F110</f>
        <v>0</v>
      </c>
      <c r="F390" s="27" t="s">
        <v>19081</v>
      </c>
    </row>
    <row r="391" spans="1:6">
      <c r="A391" s="27" t="str">
        <f>Resultados!$K$3</f>
        <v/>
      </c>
      <c r="B391" s="27" t="str">
        <f>Resultados!$K$4</f>
        <v/>
      </c>
      <c r="C391" s="568" t="str">
        <f>'900000'!$B111</f>
        <v>09901091</v>
      </c>
      <c r="D391" s="27" t="str">
        <f>'900000'!$F$19</f>
        <v>C09901005</v>
      </c>
      <c r="E391" s="27">
        <f>'900000'!$F111</f>
        <v>0</v>
      </c>
      <c r="F391" s="27" t="s">
        <v>19081</v>
      </c>
    </row>
    <row r="392" spans="1:6">
      <c r="A392" s="27" t="str">
        <f>Resultados!$K$3</f>
        <v/>
      </c>
      <c r="B392" s="27" t="str">
        <f>Resultados!$K$4</f>
        <v/>
      </c>
      <c r="C392" s="568" t="str">
        <f>'900000'!$B112</f>
        <v>09901092</v>
      </c>
      <c r="D392" s="27" t="str">
        <f>'900000'!$F$19</f>
        <v>C09901005</v>
      </c>
      <c r="E392" s="27">
        <f>'900000'!$F112</f>
        <v>0</v>
      </c>
      <c r="F392" s="27" t="s">
        <v>19081</v>
      </c>
    </row>
    <row r="393" spans="1:6">
      <c r="A393" s="27" t="str">
        <f>Resultados!$K$3</f>
        <v/>
      </c>
      <c r="B393" s="27" t="str">
        <f>Resultados!$K$4</f>
        <v/>
      </c>
      <c r="C393" s="568" t="str">
        <f>'900000'!$B113</f>
        <v>09901093</v>
      </c>
      <c r="D393" s="27" t="str">
        <f>'900000'!$F$19</f>
        <v>C09901005</v>
      </c>
      <c r="E393" s="27">
        <f>'900000'!$F113</f>
        <v>0</v>
      </c>
      <c r="F393" s="27" t="s">
        <v>19081</v>
      </c>
    </row>
    <row r="394" spans="1:6">
      <c r="A394" s="27" t="str">
        <f>Resultados!$K$3</f>
        <v/>
      </c>
      <c r="B394" s="27" t="str">
        <f>Resultados!$K$4</f>
        <v/>
      </c>
      <c r="C394" s="568" t="str">
        <f>'900000'!$B114</f>
        <v>09901094</v>
      </c>
      <c r="D394" s="27" t="str">
        <f>'900000'!$F$19</f>
        <v>C09901005</v>
      </c>
      <c r="E394" s="27">
        <f>'900000'!$F114</f>
        <v>0</v>
      </c>
      <c r="F394" s="27" t="s">
        <v>19081</v>
      </c>
    </row>
    <row r="395" spans="1:6">
      <c r="A395" s="27" t="str">
        <f>Resultados!$K$3</f>
        <v/>
      </c>
      <c r="B395" s="27" t="str">
        <f>Resultados!$K$4</f>
        <v/>
      </c>
      <c r="C395" s="568" t="str">
        <f>'900000'!$B115</f>
        <v>09901095</v>
      </c>
      <c r="D395" s="27" t="str">
        <f>'900000'!$F$19</f>
        <v>C09901005</v>
      </c>
      <c r="E395" s="27">
        <f>'900000'!$F115</f>
        <v>0</v>
      </c>
      <c r="F395" s="27" t="s">
        <v>19081</v>
      </c>
    </row>
    <row r="396" spans="1:6">
      <c r="A396" s="27" t="str">
        <f>Resultados!$K$3</f>
        <v/>
      </c>
      <c r="B396" s="27" t="str">
        <f>Resultados!$K$4</f>
        <v/>
      </c>
      <c r="C396" s="568" t="str">
        <f>'900000'!$B116</f>
        <v>09901096</v>
      </c>
      <c r="D396" s="27" t="str">
        <f>'900000'!$F$19</f>
        <v>C09901005</v>
      </c>
      <c r="E396" s="27">
        <f>'900000'!$F116</f>
        <v>0</v>
      </c>
      <c r="F396" s="27" t="s">
        <v>19081</v>
      </c>
    </row>
    <row r="397" spans="1:6">
      <c r="A397" s="27" t="str">
        <f>Resultados!$K$3</f>
        <v/>
      </c>
      <c r="B397" s="27" t="str">
        <f>Resultados!$K$4</f>
        <v/>
      </c>
      <c r="C397" s="568" t="str">
        <f>'900000'!$B117</f>
        <v>09901097</v>
      </c>
      <c r="D397" s="27" t="str">
        <f>'900000'!$F$19</f>
        <v>C09901005</v>
      </c>
      <c r="E397" s="27">
        <f>'900000'!$F117</f>
        <v>0</v>
      </c>
      <c r="F397" s="27" t="s">
        <v>19081</v>
      </c>
    </row>
    <row r="398" spans="1:6">
      <c r="A398" s="27" t="str">
        <f>Resultados!$K$3</f>
        <v/>
      </c>
      <c r="B398" s="27" t="str">
        <f>Resultados!$K$4</f>
        <v/>
      </c>
      <c r="C398" s="568" t="str">
        <f>'900000'!$B118</f>
        <v>09901098</v>
      </c>
      <c r="D398" s="27" t="str">
        <f>'900000'!$F$19</f>
        <v>C09901005</v>
      </c>
      <c r="E398" s="27">
        <f>'900000'!$F118</f>
        <v>0</v>
      </c>
      <c r="F398" s="27" t="s">
        <v>19081</v>
      </c>
    </row>
    <row r="399" spans="1:6">
      <c r="A399" s="27" t="str">
        <f>Resultados!$K$3</f>
        <v/>
      </c>
      <c r="B399" s="27" t="str">
        <f>Resultados!$K$4</f>
        <v/>
      </c>
      <c r="C399" s="568" t="str">
        <f>'900000'!$B119</f>
        <v>09901099</v>
      </c>
      <c r="D399" s="27" t="str">
        <f>'900000'!$F$19</f>
        <v>C09901005</v>
      </c>
      <c r="E399" s="27">
        <f>'900000'!$F119</f>
        <v>0</v>
      </c>
      <c r="F399" s="27" t="s">
        <v>19081</v>
      </c>
    </row>
    <row r="400" spans="1:6">
      <c r="A400" s="27" t="str">
        <f>Resultados!$K$3</f>
        <v/>
      </c>
      <c r="B400" s="27" t="str">
        <f>Resultados!$K$4</f>
        <v/>
      </c>
      <c r="C400" s="568" t="str">
        <f>'900000'!$B120</f>
        <v>09901100</v>
      </c>
      <c r="D400" s="27" t="str">
        <f>'900000'!$F$19</f>
        <v>C09901005</v>
      </c>
      <c r="E400" s="27">
        <f>'900000'!$F120</f>
        <v>0</v>
      </c>
      <c r="F400" s="27" t="s">
        <v>19081</v>
      </c>
    </row>
    <row r="401" spans="1:6">
      <c r="A401" s="27" t="str">
        <f>Resultados!$K$3</f>
        <v/>
      </c>
      <c r="B401" s="27" t="str">
        <f>Resultados!$K$4</f>
        <v/>
      </c>
      <c r="C401" s="568" t="str">
        <f>'900000'!$B121</f>
        <v>09901101</v>
      </c>
      <c r="D401" s="27" t="str">
        <f>'900000'!$F$19</f>
        <v>C09901005</v>
      </c>
      <c r="E401" s="27">
        <f>'900000'!$F121</f>
        <v>0</v>
      </c>
      <c r="F401" s="27" t="s">
        <v>19081</v>
      </c>
    </row>
    <row r="402" spans="1:6">
      <c r="A402" s="27" t="str">
        <f>Resultados!$K$3</f>
        <v/>
      </c>
      <c r="B402" s="27" t="str">
        <f>Resultados!$K$4</f>
        <v/>
      </c>
      <c r="C402" s="568" t="str">
        <f>'900000'!$B22</f>
        <v>09901002</v>
      </c>
      <c r="D402" t="str">
        <f>'900000'!$G$19</f>
        <v>C09901006</v>
      </c>
      <c r="E402" t="str">
        <f>'900000'!$G22</f>
        <v/>
      </c>
      <c r="F402" s="27" t="s">
        <v>19081</v>
      </c>
    </row>
    <row r="403" spans="1:6">
      <c r="A403" s="27" t="str">
        <f>Resultados!$K$3</f>
        <v/>
      </c>
      <c r="B403" s="27" t="str">
        <f>Resultados!$K$4</f>
        <v/>
      </c>
      <c r="C403" s="568" t="str">
        <f>'900000'!$B23</f>
        <v>09901003</v>
      </c>
      <c r="D403" s="27" t="str">
        <f>'900000'!$G$19</f>
        <v>C09901006</v>
      </c>
      <c r="E403" s="27" t="str">
        <f>'900000'!$G23</f>
        <v/>
      </c>
      <c r="F403" s="27" t="s">
        <v>19081</v>
      </c>
    </row>
    <row r="404" spans="1:6">
      <c r="A404" s="27" t="str">
        <f>Resultados!$K$3</f>
        <v/>
      </c>
      <c r="B404" s="27" t="str">
        <f>Resultados!$K$4</f>
        <v/>
      </c>
      <c r="C404" s="568" t="str">
        <f>'900000'!$B24</f>
        <v>09901004</v>
      </c>
      <c r="D404" s="27" t="str">
        <f>'900000'!$G$19</f>
        <v>C09901006</v>
      </c>
      <c r="E404" s="27" t="str">
        <f>'900000'!$G24</f>
        <v/>
      </c>
      <c r="F404" s="27" t="s">
        <v>19081</v>
      </c>
    </row>
    <row r="405" spans="1:6">
      <c r="A405" s="27" t="str">
        <f>Resultados!$K$3</f>
        <v/>
      </c>
      <c r="B405" s="27" t="str">
        <f>Resultados!$K$4</f>
        <v/>
      </c>
      <c r="C405" s="568" t="str">
        <f>'900000'!$B25</f>
        <v>09901005</v>
      </c>
      <c r="D405" s="27" t="str">
        <f>'900000'!$G$19</f>
        <v>C09901006</v>
      </c>
      <c r="E405" s="27" t="str">
        <f>'900000'!$G25</f>
        <v/>
      </c>
      <c r="F405" s="27" t="s">
        <v>19081</v>
      </c>
    </row>
    <row r="406" spans="1:6">
      <c r="A406" s="27" t="str">
        <f>Resultados!$K$3</f>
        <v/>
      </c>
      <c r="B406" s="27" t="str">
        <f>Resultados!$K$4</f>
        <v/>
      </c>
      <c r="C406" s="568" t="str">
        <f>'900000'!$B26</f>
        <v>09901006</v>
      </c>
      <c r="D406" s="27" t="str">
        <f>'900000'!$G$19</f>
        <v>C09901006</v>
      </c>
      <c r="E406" s="27" t="str">
        <f>'900000'!$G26</f>
        <v/>
      </c>
      <c r="F406" s="27" t="s">
        <v>19081</v>
      </c>
    </row>
    <row r="407" spans="1:6">
      <c r="A407" s="27" t="str">
        <f>Resultados!$K$3</f>
        <v/>
      </c>
      <c r="B407" s="27" t="str">
        <f>Resultados!$K$4</f>
        <v/>
      </c>
      <c r="C407" s="568" t="str">
        <f>'900000'!$B27</f>
        <v>09901007</v>
      </c>
      <c r="D407" s="27" t="str">
        <f>'900000'!$G$19</f>
        <v>C09901006</v>
      </c>
      <c r="E407" s="27" t="str">
        <f>'900000'!$G27</f>
        <v/>
      </c>
      <c r="F407" s="27" t="s">
        <v>19081</v>
      </c>
    </row>
    <row r="408" spans="1:6">
      <c r="A408" s="27" t="str">
        <f>Resultados!$K$3</f>
        <v/>
      </c>
      <c r="B408" s="27" t="str">
        <f>Resultados!$K$4</f>
        <v/>
      </c>
      <c r="C408" s="568" t="str">
        <f>'900000'!$B28</f>
        <v>09901008</v>
      </c>
      <c r="D408" s="27" t="str">
        <f>'900000'!$G$19</f>
        <v>C09901006</v>
      </c>
      <c r="E408" s="27" t="str">
        <f>'900000'!$G28</f>
        <v/>
      </c>
      <c r="F408" s="27" t="s">
        <v>19081</v>
      </c>
    </row>
    <row r="409" spans="1:6">
      <c r="A409" s="27" t="str">
        <f>Resultados!$K$3</f>
        <v/>
      </c>
      <c r="B409" s="27" t="str">
        <f>Resultados!$K$4</f>
        <v/>
      </c>
      <c r="C409" s="568" t="str">
        <f>'900000'!$B29</f>
        <v>09901009</v>
      </c>
      <c r="D409" s="27" t="str">
        <f>'900000'!$G$19</f>
        <v>C09901006</v>
      </c>
      <c r="E409" s="27" t="str">
        <f>'900000'!$G29</f>
        <v/>
      </c>
      <c r="F409" s="27" t="s">
        <v>19081</v>
      </c>
    </row>
    <row r="410" spans="1:6">
      <c r="A410" s="27" t="str">
        <f>Resultados!$K$3</f>
        <v/>
      </c>
      <c r="B410" s="27" t="str">
        <f>Resultados!$K$4</f>
        <v/>
      </c>
      <c r="C410" s="568" t="str">
        <f>'900000'!$B30</f>
        <v>09901010</v>
      </c>
      <c r="D410" s="27" t="str">
        <f>'900000'!$G$19</f>
        <v>C09901006</v>
      </c>
      <c r="E410" s="27" t="str">
        <f>'900000'!$G30</f>
        <v/>
      </c>
      <c r="F410" s="27" t="s">
        <v>19081</v>
      </c>
    </row>
    <row r="411" spans="1:6">
      <c r="A411" s="27" t="str">
        <f>Resultados!$K$3</f>
        <v/>
      </c>
      <c r="B411" s="27" t="str">
        <f>Resultados!$K$4</f>
        <v/>
      </c>
      <c r="C411" s="568" t="str">
        <f>'900000'!$B31</f>
        <v>09901011</v>
      </c>
      <c r="D411" s="27" t="str">
        <f>'900000'!$G$19</f>
        <v>C09901006</v>
      </c>
      <c r="E411" s="27" t="str">
        <f>'900000'!$G31</f>
        <v/>
      </c>
      <c r="F411" s="27" t="s">
        <v>19081</v>
      </c>
    </row>
    <row r="412" spans="1:6">
      <c r="A412" s="27" t="str">
        <f>Resultados!$K$3</f>
        <v/>
      </c>
      <c r="B412" s="27" t="str">
        <f>Resultados!$K$4</f>
        <v/>
      </c>
      <c r="C412" s="568" t="str">
        <f>'900000'!$B32</f>
        <v>09901012</v>
      </c>
      <c r="D412" s="27" t="str">
        <f>'900000'!$G$19</f>
        <v>C09901006</v>
      </c>
      <c r="E412" s="27" t="str">
        <f>'900000'!$G32</f>
        <v/>
      </c>
      <c r="F412" s="27" t="s">
        <v>19081</v>
      </c>
    </row>
    <row r="413" spans="1:6">
      <c r="A413" s="27" t="str">
        <f>Resultados!$K$3</f>
        <v/>
      </c>
      <c r="B413" s="27" t="str">
        <f>Resultados!$K$4</f>
        <v/>
      </c>
      <c r="C413" s="568" t="str">
        <f>'900000'!$B33</f>
        <v>09901013</v>
      </c>
      <c r="D413" s="27" t="str">
        <f>'900000'!$G$19</f>
        <v>C09901006</v>
      </c>
      <c r="E413" s="27" t="str">
        <f>'900000'!$G33</f>
        <v/>
      </c>
      <c r="F413" s="27" t="s">
        <v>19081</v>
      </c>
    </row>
    <row r="414" spans="1:6">
      <c r="A414" s="27" t="str">
        <f>Resultados!$K$3</f>
        <v/>
      </c>
      <c r="B414" s="27" t="str">
        <f>Resultados!$K$4</f>
        <v/>
      </c>
      <c r="C414" s="568" t="str">
        <f>'900000'!$B34</f>
        <v>09901014</v>
      </c>
      <c r="D414" s="27" t="str">
        <f>'900000'!$G$19</f>
        <v>C09901006</v>
      </c>
      <c r="E414" s="27" t="str">
        <f>'900000'!$G34</f>
        <v/>
      </c>
      <c r="F414" s="27" t="s">
        <v>19081</v>
      </c>
    </row>
    <row r="415" spans="1:6">
      <c r="A415" s="27" t="str">
        <f>Resultados!$K$3</f>
        <v/>
      </c>
      <c r="B415" s="27" t="str">
        <f>Resultados!$K$4</f>
        <v/>
      </c>
      <c r="C415" s="568" t="str">
        <f>'900000'!$B35</f>
        <v>09901015</v>
      </c>
      <c r="D415" s="27" t="str">
        <f>'900000'!$G$19</f>
        <v>C09901006</v>
      </c>
      <c r="E415" s="27" t="str">
        <f>'900000'!$G35</f>
        <v/>
      </c>
      <c r="F415" s="27" t="s">
        <v>19081</v>
      </c>
    </row>
    <row r="416" spans="1:6">
      <c r="A416" s="27" t="str">
        <f>Resultados!$K$3</f>
        <v/>
      </c>
      <c r="B416" s="27" t="str">
        <f>Resultados!$K$4</f>
        <v/>
      </c>
      <c r="C416" s="568" t="str">
        <f>'900000'!$B36</f>
        <v>09901016</v>
      </c>
      <c r="D416" s="27" t="str">
        <f>'900000'!$G$19</f>
        <v>C09901006</v>
      </c>
      <c r="E416" s="27" t="str">
        <f>'900000'!$G36</f>
        <v/>
      </c>
      <c r="F416" s="27" t="s">
        <v>19081</v>
      </c>
    </row>
    <row r="417" spans="1:6">
      <c r="A417" s="27" t="str">
        <f>Resultados!$K$3</f>
        <v/>
      </c>
      <c r="B417" s="27" t="str">
        <f>Resultados!$K$4</f>
        <v/>
      </c>
      <c r="C417" s="568" t="str">
        <f>'900000'!$B37</f>
        <v>09901017</v>
      </c>
      <c r="D417" s="27" t="str">
        <f>'900000'!$G$19</f>
        <v>C09901006</v>
      </c>
      <c r="E417" s="27" t="str">
        <f>'900000'!$G37</f>
        <v/>
      </c>
      <c r="F417" s="27" t="s">
        <v>19081</v>
      </c>
    </row>
    <row r="418" spans="1:6">
      <c r="A418" s="27" t="str">
        <f>Resultados!$K$3</f>
        <v/>
      </c>
      <c r="B418" s="27" t="str">
        <f>Resultados!$K$4</f>
        <v/>
      </c>
      <c r="C418" s="568" t="str">
        <f>'900000'!$B38</f>
        <v>09901018</v>
      </c>
      <c r="D418" s="27" t="str">
        <f>'900000'!$G$19</f>
        <v>C09901006</v>
      </c>
      <c r="E418" s="27" t="str">
        <f>'900000'!$G38</f>
        <v/>
      </c>
      <c r="F418" s="27" t="s">
        <v>19081</v>
      </c>
    </row>
    <row r="419" spans="1:6">
      <c r="A419" s="27" t="str">
        <f>Resultados!$K$3</f>
        <v/>
      </c>
      <c r="B419" s="27" t="str">
        <f>Resultados!$K$4</f>
        <v/>
      </c>
      <c r="C419" s="568" t="str">
        <f>'900000'!$B39</f>
        <v>09901019</v>
      </c>
      <c r="D419" s="27" t="str">
        <f>'900000'!$G$19</f>
        <v>C09901006</v>
      </c>
      <c r="E419" s="27" t="str">
        <f>'900000'!$G39</f>
        <v/>
      </c>
      <c r="F419" s="27" t="s">
        <v>19081</v>
      </c>
    </row>
    <row r="420" spans="1:6">
      <c r="A420" s="27" t="str">
        <f>Resultados!$K$3</f>
        <v/>
      </c>
      <c r="B420" s="27" t="str">
        <f>Resultados!$K$4</f>
        <v/>
      </c>
      <c r="C420" s="568" t="str">
        <f>'900000'!$B40</f>
        <v>09901020</v>
      </c>
      <c r="D420" s="27" t="str">
        <f>'900000'!$G$19</f>
        <v>C09901006</v>
      </c>
      <c r="E420" s="27" t="str">
        <f>'900000'!$G40</f>
        <v/>
      </c>
      <c r="F420" s="27" t="s">
        <v>19081</v>
      </c>
    </row>
    <row r="421" spans="1:6">
      <c r="A421" s="27" t="str">
        <f>Resultados!$K$3</f>
        <v/>
      </c>
      <c r="B421" s="27" t="str">
        <f>Resultados!$K$4</f>
        <v/>
      </c>
      <c r="C421" s="568" t="str">
        <f>'900000'!$B41</f>
        <v>09901021</v>
      </c>
      <c r="D421" s="27" t="str">
        <f>'900000'!$G$19</f>
        <v>C09901006</v>
      </c>
      <c r="E421" s="27" t="str">
        <f>'900000'!$G41</f>
        <v/>
      </c>
      <c r="F421" s="27" t="s">
        <v>19081</v>
      </c>
    </row>
    <row r="422" spans="1:6">
      <c r="A422" s="27" t="str">
        <f>Resultados!$K$3</f>
        <v/>
      </c>
      <c r="B422" s="27" t="str">
        <f>Resultados!$K$4</f>
        <v/>
      </c>
      <c r="C422" s="568" t="str">
        <f>'900000'!$B42</f>
        <v>09901022</v>
      </c>
      <c r="D422" s="27" t="str">
        <f>'900000'!$G$19</f>
        <v>C09901006</v>
      </c>
      <c r="E422" s="27" t="str">
        <f>'900000'!$G42</f>
        <v/>
      </c>
      <c r="F422" s="27" t="s">
        <v>19081</v>
      </c>
    </row>
    <row r="423" spans="1:6">
      <c r="A423" s="27" t="str">
        <f>Resultados!$K$3</f>
        <v/>
      </c>
      <c r="B423" s="27" t="str">
        <f>Resultados!$K$4</f>
        <v/>
      </c>
      <c r="C423" s="568" t="str">
        <f>'900000'!$B43</f>
        <v>09901023</v>
      </c>
      <c r="D423" s="27" t="str">
        <f>'900000'!$G$19</f>
        <v>C09901006</v>
      </c>
      <c r="E423" s="27" t="str">
        <f>'900000'!$G43</f>
        <v/>
      </c>
      <c r="F423" s="27" t="s">
        <v>19081</v>
      </c>
    </row>
    <row r="424" spans="1:6">
      <c r="A424" s="27" t="str">
        <f>Resultados!$K$3</f>
        <v/>
      </c>
      <c r="B424" s="27" t="str">
        <f>Resultados!$K$4</f>
        <v/>
      </c>
      <c r="C424" s="568" t="str">
        <f>'900000'!$B44</f>
        <v>09901024</v>
      </c>
      <c r="D424" s="27" t="str">
        <f>'900000'!$G$19</f>
        <v>C09901006</v>
      </c>
      <c r="E424" s="27" t="str">
        <f>'900000'!$G44</f>
        <v/>
      </c>
      <c r="F424" s="27" t="s">
        <v>19081</v>
      </c>
    </row>
    <row r="425" spans="1:6">
      <c r="A425" s="27" t="str">
        <f>Resultados!$K$3</f>
        <v/>
      </c>
      <c r="B425" s="27" t="str">
        <f>Resultados!$K$4</f>
        <v/>
      </c>
      <c r="C425" s="568" t="str">
        <f>'900000'!$B45</f>
        <v>09901025</v>
      </c>
      <c r="D425" s="27" t="str">
        <f>'900000'!$G$19</f>
        <v>C09901006</v>
      </c>
      <c r="E425" s="27" t="str">
        <f>'900000'!$G45</f>
        <v/>
      </c>
      <c r="F425" s="27" t="s">
        <v>19081</v>
      </c>
    </row>
    <row r="426" spans="1:6">
      <c r="A426" s="27" t="str">
        <f>Resultados!$K$3</f>
        <v/>
      </c>
      <c r="B426" s="27" t="str">
        <f>Resultados!$K$4</f>
        <v/>
      </c>
      <c r="C426" s="568" t="str">
        <f>'900000'!$B46</f>
        <v>09901026</v>
      </c>
      <c r="D426" s="27" t="str">
        <f>'900000'!$G$19</f>
        <v>C09901006</v>
      </c>
      <c r="E426" s="27" t="str">
        <f>'900000'!$G46</f>
        <v/>
      </c>
      <c r="F426" s="27" t="s">
        <v>19081</v>
      </c>
    </row>
    <row r="427" spans="1:6">
      <c r="A427" s="27" t="str">
        <f>Resultados!$K$3</f>
        <v/>
      </c>
      <c r="B427" s="27" t="str">
        <f>Resultados!$K$4</f>
        <v/>
      </c>
      <c r="C427" s="568" t="str">
        <f>'900000'!$B47</f>
        <v>09901027</v>
      </c>
      <c r="D427" s="27" t="str">
        <f>'900000'!$G$19</f>
        <v>C09901006</v>
      </c>
      <c r="E427" s="27" t="str">
        <f>'900000'!$G47</f>
        <v/>
      </c>
      <c r="F427" s="27" t="s">
        <v>19081</v>
      </c>
    </row>
    <row r="428" spans="1:6">
      <c r="A428" s="27" t="str">
        <f>Resultados!$K$3</f>
        <v/>
      </c>
      <c r="B428" s="27" t="str">
        <f>Resultados!$K$4</f>
        <v/>
      </c>
      <c r="C428" s="568" t="str">
        <f>'900000'!$B48</f>
        <v>09901028</v>
      </c>
      <c r="D428" s="27" t="str">
        <f>'900000'!$G$19</f>
        <v>C09901006</v>
      </c>
      <c r="E428" s="27" t="str">
        <f>'900000'!$G48</f>
        <v/>
      </c>
      <c r="F428" s="27" t="s">
        <v>19081</v>
      </c>
    </row>
    <row r="429" spans="1:6">
      <c r="A429" s="27" t="str">
        <f>Resultados!$K$3</f>
        <v/>
      </c>
      <c r="B429" s="27" t="str">
        <f>Resultados!$K$4</f>
        <v/>
      </c>
      <c r="C429" s="568" t="str">
        <f>'900000'!$B49</f>
        <v>09901029</v>
      </c>
      <c r="D429" s="27" t="str">
        <f>'900000'!$G$19</f>
        <v>C09901006</v>
      </c>
      <c r="E429" s="27" t="str">
        <f>'900000'!$G49</f>
        <v/>
      </c>
      <c r="F429" s="27" t="s">
        <v>19081</v>
      </c>
    </row>
    <row r="430" spans="1:6">
      <c r="A430" s="27" t="str">
        <f>Resultados!$K$3</f>
        <v/>
      </c>
      <c r="B430" s="27" t="str">
        <f>Resultados!$K$4</f>
        <v/>
      </c>
      <c r="C430" s="568" t="str">
        <f>'900000'!$B50</f>
        <v>09901030</v>
      </c>
      <c r="D430" s="27" t="str">
        <f>'900000'!$G$19</f>
        <v>C09901006</v>
      </c>
      <c r="E430" s="27" t="str">
        <f>'900000'!$G50</f>
        <v/>
      </c>
      <c r="F430" s="27" t="s">
        <v>19081</v>
      </c>
    </row>
    <row r="431" spans="1:6">
      <c r="A431" s="27" t="str">
        <f>Resultados!$K$3</f>
        <v/>
      </c>
      <c r="B431" s="27" t="str">
        <f>Resultados!$K$4</f>
        <v/>
      </c>
      <c r="C431" s="568" t="str">
        <f>'900000'!$B51</f>
        <v>09901031</v>
      </c>
      <c r="D431" s="27" t="str">
        <f>'900000'!$G$19</f>
        <v>C09901006</v>
      </c>
      <c r="E431" s="27" t="str">
        <f>'900000'!$G51</f>
        <v/>
      </c>
      <c r="F431" s="27" t="s">
        <v>19081</v>
      </c>
    </row>
    <row r="432" spans="1:6">
      <c r="A432" s="27" t="str">
        <f>Resultados!$K$3</f>
        <v/>
      </c>
      <c r="B432" s="27" t="str">
        <f>Resultados!$K$4</f>
        <v/>
      </c>
      <c r="C432" s="568" t="str">
        <f>'900000'!$B52</f>
        <v>09901032</v>
      </c>
      <c r="D432" s="27" t="str">
        <f>'900000'!$G$19</f>
        <v>C09901006</v>
      </c>
      <c r="E432" s="27" t="str">
        <f>'900000'!$G52</f>
        <v/>
      </c>
      <c r="F432" s="27" t="s">
        <v>19081</v>
      </c>
    </row>
    <row r="433" spans="1:6">
      <c r="A433" s="27" t="str">
        <f>Resultados!$K$3</f>
        <v/>
      </c>
      <c r="B433" s="27" t="str">
        <f>Resultados!$K$4</f>
        <v/>
      </c>
      <c r="C433" s="568" t="str">
        <f>'900000'!$B53</f>
        <v>09901033</v>
      </c>
      <c r="D433" s="27" t="str">
        <f>'900000'!$G$19</f>
        <v>C09901006</v>
      </c>
      <c r="E433" s="27" t="str">
        <f>'900000'!$G53</f>
        <v/>
      </c>
      <c r="F433" s="27" t="s">
        <v>19081</v>
      </c>
    </row>
    <row r="434" spans="1:6">
      <c r="A434" s="27" t="str">
        <f>Resultados!$K$3</f>
        <v/>
      </c>
      <c r="B434" s="27" t="str">
        <f>Resultados!$K$4</f>
        <v/>
      </c>
      <c r="C434" s="568" t="str">
        <f>'900000'!$B54</f>
        <v>09901034</v>
      </c>
      <c r="D434" s="27" t="str">
        <f>'900000'!$G$19</f>
        <v>C09901006</v>
      </c>
      <c r="E434" s="27" t="str">
        <f>'900000'!$G54</f>
        <v/>
      </c>
      <c r="F434" s="27" t="s">
        <v>19081</v>
      </c>
    </row>
    <row r="435" spans="1:6">
      <c r="A435" s="27" t="str">
        <f>Resultados!$K$3</f>
        <v/>
      </c>
      <c r="B435" s="27" t="str">
        <f>Resultados!$K$4</f>
        <v/>
      </c>
      <c r="C435" s="568" t="str">
        <f>'900000'!$B55</f>
        <v>09901035</v>
      </c>
      <c r="D435" s="27" t="str">
        <f>'900000'!$G$19</f>
        <v>C09901006</v>
      </c>
      <c r="E435" s="27" t="str">
        <f>'900000'!$G55</f>
        <v/>
      </c>
      <c r="F435" s="27" t="s">
        <v>19081</v>
      </c>
    </row>
    <row r="436" spans="1:6">
      <c r="A436" s="27" t="str">
        <f>Resultados!$K$3</f>
        <v/>
      </c>
      <c r="B436" s="27" t="str">
        <f>Resultados!$K$4</f>
        <v/>
      </c>
      <c r="C436" s="568" t="str">
        <f>'900000'!$B56</f>
        <v>09901036</v>
      </c>
      <c r="D436" s="27" t="str">
        <f>'900000'!$G$19</f>
        <v>C09901006</v>
      </c>
      <c r="E436" s="27" t="str">
        <f>'900000'!$G56</f>
        <v/>
      </c>
      <c r="F436" s="27" t="s">
        <v>19081</v>
      </c>
    </row>
    <row r="437" spans="1:6">
      <c r="A437" s="27" t="str">
        <f>Resultados!$K$3</f>
        <v/>
      </c>
      <c r="B437" s="27" t="str">
        <f>Resultados!$K$4</f>
        <v/>
      </c>
      <c r="C437" s="568" t="str">
        <f>'900000'!$B57</f>
        <v>09901037</v>
      </c>
      <c r="D437" s="27" t="str">
        <f>'900000'!$G$19</f>
        <v>C09901006</v>
      </c>
      <c r="E437" s="27" t="str">
        <f>'900000'!$G57</f>
        <v/>
      </c>
      <c r="F437" s="27" t="s">
        <v>19081</v>
      </c>
    </row>
    <row r="438" spans="1:6">
      <c r="A438" s="27" t="str">
        <f>Resultados!$K$3</f>
        <v/>
      </c>
      <c r="B438" s="27" t="str">
        <f>Resultados!$K$4</f>
        <v/>
      </c>
      <c r="C438" s="568" t="str">
        <f>'900000'!$B58</f>
        <v>09901038</v>
      </c>
      <c r="D438" s="27" t="str">
        <f>'900000'!$G$19</f>
        <v>C09901006</v>
      </c>
      <c r="E438" s="27" t="str">
        <f>'900000'!$G58</f>
        <v/>
      </c>
      <c r="F438" s="27" t="s">
        <v>19081</v>
      </c>
    </row>
    <row r="439" spans="1:6">
      <c r="A439" s="27" t="str">
        <f>Resultados!$K$3</f>
        <v/>
      </c>
      <c r="B439" s="27" t="str">
        <f>Resultados!$K$4</f>
        <v/>
      </c>
      <c r="C439" s="568" t="str">
        <f>'900000'!$B59</f>
        <v>09901039</v>
      </c>
      <c r="D439" s="27" t="str">
        <f>'900000'!$G$19</f>
        <v>C09901006</v>
      </c>
      <c r="E439" s="27" t="str">
        <f>'900000'!$G59</f>
        <v/>
      </c>
      <c r="F439" s="27" t="s">
        <v>19081</v>
      </c>
    </row>
    <row r="440" spans="1:6">
      <c r="A440" s="27" t="str">
        <f>Resultados!$K$3</f>
        <v/>
      </c>
      <c r="B440" s="27" t="str">
        <f>Resultados!$K$4</f>
        <v/>
      </c>
      <c r="C440" s="568" t="str">
        <f>'900000'!$B60</f>
        <v>09901040</v>
      </c>
      <c r="D440" s="27" t="str">
        <f>'900000'!$G$19</f>
        <v>C09901006</v>
      </c>
      <c r="E440" s="27" t="str">
        <f>'900000'!$G60</f>
        <v/>
      </c>
      <c r="F440" s="27" t="s">
        <v>19081</v>
      </c>
    </row>
    <row r="441" spans="1:6">
      <c r="A441" s="27" t="str">
        <f>Resultados!$K$3</f>
        <v/>
      </c>
      <c r="B441" s="27" t="str">
        <f>Resultados!$K$4</f>
        <v/>
      </c>
      <c r="C441" s="568" t="str">
        <f>'900000'!$B61</f>
        <v>09901041</v>
      </c>
      <c r="D441" s="27" t="str">
        <f>'900000'!$G$19</f>
        <v>C09901006</v>
      </c>
      <c r="E441" s="27" t="str">
        <f>'900000'!$G61</f>
        <v/>
      </c>
      <c r="F441" s="27" t="s">
        <v>19081</v>
      </c>
    </row>
    <row r="442" spans="1:6">
      <c r="A442" s="27" t="str">
        <f>Resultados!$K$3</f>
        <v/>
      </c>
      <c r="B442" s="27" t="str">
        <f>Resultados!$K$4</f>
        <v/>
      </c>
      <c r="C442" s="568" t="str">
        <f>'900000'!$B62</f>
        <v>09901042</v>
      </c>
      <c r="D442" s="27" t="str">
        <f>'900000'!$G$19</f>
        <v>C09901006</v>
      </c>
      <c r="E442" s="27" t="str">
        <f>'900000'!$G62</f>
        <v/>
      </c>
      <c r="F442" s="27" t="s">
        <v>19081</v>
      </c>
    </row>
    <row r="443" spans="1:6">
      <c r="A443" s="27" t="str">
        <f>Resultados!$K$3</f>
        <v/>
      </c>
      <c r="B443" s="27" t="str">
        <f>Resultados!$K$4</f>
        <v/>
      </c>
      <c r="C443" s="568" t="str">
        <f>'900000'!$B63</f>
        <v>09901043</v>
      </c>
      <c r="D443" s="27" t="str">
        <f>'900000'!$G$19</f>
        <v>C09901006</v>
      </c>
      <c r="E443" s="27" t="str">
        <f>'900000'!$G63</f>
        <v/>
      </c>
      <c r="F443" s="27" t="s">
        <v>19081</v>
      </c>
    </row>
    <row r="444" spans="1:6">
      <c r="A444" s="27" t="str">
        <f>Resultados!$K$3</f>
        <v/>
      </c>
      <c r="B444" s="27" t="str">
        <f>Resultados!$K$4</f>
        <v/>
      </c>
      <c r="C444" s="568" t="str">
        <f>'900000'!$B64</f>
        <v>09901044</v>
      </c>
      <c r="D444" s="27" t="str">
        <f>'900000'!$G$19</f>
        <v>C09901006</v>
      </c>
      <c r="E444" s="27" t="str">
        <f>'900000'!$G64</f>
        <v/>
      </c>
      <c r="F444" s="27" t="s">
        <v>19081</v>
      </c>
    </row>
    <row r="445" spans="1:6">
      <c r="A445" s="27" t="str">
        <f>Resultados!$K$3</f>
        <v/>
      </c>
      <c r="B445" s="27" t="str">
        <f>Resultados!$K$4</f>
        <v/>
      </c>
      <c r="C445" s="568" t="str">
        <f>'900000'!$B65</f>
        <v>09901045</v>
      </c>
      <c r="D445" s="27" t="str">
        <f>'900000'!$G$19</f>
        <v>C09901006</v>
      </c>
      <c r="E445" s="27" t="str">
        <f>'900000'!$G65</f>
        <v/>
      </c>
      <c r="F445" s="27" t="s">
        <v>19081</v>
      </c>
    </row>
    <row r="446" spans="1:6">
      <c r="A446" s="27" t="str">
        <f>Resultados!$K$3</f>
        <v/>
      </c>
      <c r="B446" s="27" t="str">
        <f>Resultados!$K$4</f>
        <v/>
      </c>
      <c r="C446" s="568" t="str">
        <f>'900000'!$B66</f>
        <v>09901046</v>
      </c>
      <c r="D446" s="27" t="str">
        <f>'900000'!$G$19</f>
        <v>C09901006</v>
      </c>
      <c r="E446" s="27" t="str">
        <f>'900000'!$G66</f>
        <v/>
      </c>
      <c r="F446" s="27" t="s">
        <v>19081</v>
      </c>
    </row>
    <row r="447" spans="1:6">
      <c r="A447" s="27" t="str">
        <f>Resultados!$K$3</f>
        <v/>
      </c>
      <c r="B447" s="27" t="str">
        <f>Resultados!$K$4</f>
        <v/>
      </c>
      <c r="C447" s="568" t="str">
        <f>'900000'!$B67</f>
        <v>09901047</v>
      </c>
      <c r="D447" s="27" t="str">
        <f>'900000'!$G$19</f>
        <v>C09901006</v>
      </c>
      <c r="E447" s="27" t="str">
        <f>'900000'!$G67</f>
        <v/>
      </c>
      <c r="F447" s="27" t="s">
        <v>19081</v>
      </c>
    </row>
    <row r="448" spans="1:6">
      <c r="A448" s="27" t="str">
        <f>Resultados!$K$3</f>
        <v/>
      </c>
      <c r="B448" s="27" t="str">
        <f>Resultados!$K$4</f>
        <v/>
      </c>
      <c r="C448" s="568" t="str">
        <f>'900000'!$B68</f>
        <v>09901048</v>
      </c>
      <c r="D448" s="27" t="str">
        <f>'900000'!$G$19</f>
        <v>C09901006</v>
      </c>
      <c r="E448" s="27" t="str">
        <f>'900000'!$G68</f>
        <v/>
      </c>
      <c r="F448" s="27" t="s">
        <v>19081</v>
      </c>
    </row>
    <row r="449" spans="1:6">
      <c r="A449" s="27" t="str">
        <f>Resultados!$K$3</f>
        <v/>
      </c>
      <c r="B449" s="27" t="str">
        <f>Resultados!$K$4</f>
        <v/>
      </c>
      <c r="C449" s="568" t="str">
        <f>'900000'!$B69</f>
        <v>09901049</v>
      </c>
      <c r="D449" s="27" t="str">
        <f>'900000'!$G$19</f>
        <v>C09901006</v>
      </c>
      <c r="E449" s="27" t="str">
        <f>'900000'!$G69</f>
        <v/>
      </c>
      <c r="F449" s="27" t="s">
        <v>19081</v>
      </c>
    </row>
    <row r="450" spans="1:6">
      <c r="A450" s="27" t="str">
        <f>Resultados!$K$3</f>
        <v/>
      </c>
      <c r="B450" s="27" t="str">
        <f>Resultados!$K$4</f>
        <v/>
      </c>
      <c r="C450" s="568" t="str">
        <f>'900000'!$B70</f>
        <v>09901050</v>
      </c>
      <c r="D450" s="27" t="str">
        <f>'900000'!$G$19</f>
        <v>C09901006</v>
      </c>
      <c r="E450" s="27" t="str">
        <f>'900000'!$G70</f>
        <v/>
      </c>
      <c r="F450" s="27" t="s">
        <v>19081</v>
      </c>
    </row>
    <row r="451" spans="1:6">
      <c r="A451" s="27" t="str">
        <f>Resultados!$K$3</f>
        <v/>
      </c>
      <c r="B451" s="27" t="str">
        <f>Resultados!$K$4</f>
        <v/>
      </c>
      <c r="C451" s="568" t="str">
        <f>'900000'!$B71</f>
        <v>09901051</v>
      </c>
      <c r="D451" s="27" t="str">
        <f>'900000'!$G$19</f>
        <v>C09901006</v>
      </c>
      <c r="E451" s="27" t="str">
        <f>'900000'!$G71</f>
        <v/>
      </c>
      <c r="F451" s="27" t="s">
        <v>19081</v>
      </c>
    </row>
    <row r="452" spans="1:6">
      <c r="A452" s="27" t="str">
        <f>Resultados!$K$3</f>
        <v/>
      </c>
      <c r="B452" s="27" t="str">
        <f>Resultados!$K$4</f>
        <v/>
      </c>
      <c r="C452" s="568" t="str">
        <f>'900000'!$B72</f>
        <v>09901052</v>
      </c>
      <c r="D452" s="27" t="str">
        <f>'900000'!$G$19</f>
        <v>C09901006</v>
      </c>
      <c r="E452" s="27" t="str">
        <f>'900000'!$G72</f>
        <v/>
      </c>
      <c r="F452" s="27" t="s">
        <v>19081</v>
      </c>
    </row>
    <row r="453" spans="1:6">
      <c r="A453" s="27" t="str">
        <f>Resultados!$K$3</f>
        <v/>
      </c>
      <c r="B453" s="27" t="str">
        <f>Resultados!$K$4</f>
        <v/>
      </c>
      <c r="C453" s="568" t="str">
        <f>'900000'!$B73</f>
        <v>09901053</v>
      </c>
      <c r="D453" s="27" t="str">
        <f>'900000'!$G$19</f>
        <v>C09901006</v>
      </c>
      <c r="E453" s="27" t="str">
        <f>'900000'!$G73</f>
        <v/>
      </c>
      <c r="F453" s="27" t="s">
        <v>19081</v>
      </c>
    </row>
    <row r="454" spans="1:6">
      <c r="A454" s="27" t="str">
        <f>Resultados!$K$3</f>
        <v/>
      </c>
      <c r="B454" s="27" t="str">
        <f>Resultados!$K$4</f>
        <v/>
      </c>
      <c r="C454" s="568" t="str">
        <f>'900000'!$B74</f>
        <v>09901054</v>
      </c>
      <c r="D454" s="27" t="str">
        <f>'900000'!$G$19</f>
        <v>C09901006</v>
      </c>
      <c r="E454" s="27" t="str">
        <f>'900000'!$G74</f>
        <v/>
      </c>
      <c r="F454" s="27" t="s">
        <v>19081</v>
      </c>
    </row>
    <row r="455" spans="1:6">
      <c r="A455" s="27" t="str">
        <f>Resultados!$K$3</f>
        <v/>
      </c>
      <c r="B455" s="27" t="str">
        <f>Resultados!$K$4</f>
        <v/>
      </c>
      <c r="C455" s="568" t="str">
        <f>'900000'!$B75</f>
        <v>09901055</v>
      </c>
      <c r="D455" s="27" t="str">
        <f>'900000'!$G$19</f>
        <v>C09901006</v>
      </c>
      <c r="E455" s="27" t="str">
        <f>'900000'!$G75</f>
        <v/>
      </c>
      <c r="F455" s="27" t="s">
        <v>19081</v>
      </c>
    </row>
    <row r="456" spans="1:6">
      <c r="A456" s="27" t="str">
        <f>Resultados!$K$3</f>
        <v/>
      </c>
      <c r="B456" s="27" t="str">
        <f>Resultados!$K$4</f>
        <v/>
      </c>
      <c r="C456" s="568" t="str">
        <f>'900000'!$B76</f>
        <v>09901056</v>
      </c>
      <c r="D456" s="27" t="str">
        <f>'900000'!$G$19</f>
        <v>C09901006</v>
      </c>
      <c r="E456" s="27" t="str">
        <f>'900000'!$G76</f>
        <v/>
      </c>
      <c r="F456" s="27" t="s">
        <v>19081</v>
      </c>
    </row>
    <row r="457" spans="1:6">
      <c r="A457" s="27" t="str">
        <f>Resultados!$K$3</f>
        <v/>
      </c>
      <c r="B457" s="27" t="str">
        <f>Resultados!$K$4</f>
        <v/>
      </c>
      <c r="C457" s="568" t="str">
        <f>'900000'!$B77</f>
        <v>09901057</v>
      </c>
      <c r="D457" s="27" t="str">
        <f>'900000'!$G$19</f>
        <v>C09901006</v>
      </c>
      <c r="E457" s="27" t="str">
        <f>'900000'!$G77</f>
        <v/>
      </c>
      <c r="F457" s="27" t="s">
        <v>19081</v>
      </c>
    </row>
    <row r="458" spans="1:6">
      <c r="A458" s="27" t="str">
        <f>Resultados!$K$3</f>
        <v/>
      </c>
      <c r="B458" s="27" t="str">
        <f>Resultados!$K$4</f>
        <v/>
      </c>
      <c r="C458" s="568" t="str">
        <f>'900000'!$B78</f>
        <v>09901058</v>
      </c>
      <c r="D458" s="27" t="str">
        <f>'900000'!$G$19</f>
        <v>C09901006</v>
      </c>
      <c r="E458" s="27" t="str">
        <f>'900000'!$G78</f>
        <v/>
      </c>
      <c r="F458" s="27" t="s">
        <v>19081</v>
      </c>
    </row>
    <row r="459" spans="1:6">
      <c r="A459" s="27" t="str">
        <f>Resultados!$K$3</f>
        <v/>
      </c>
      <c r="B459" s="27" t="str">
        <f>Resultados!$K$4</f>
        <v/>
      </c>
      <c r="C459" s="568" t="str">
        <f>'900000'!$B79</f>
        <v>09901059</v>
      </c>
      <c r="D459" s="27" t="str">
        <f>'900000'!$G$19</f>
        <v>C09901006</v>
      </c>
      <c r="E459" s="27" t="str">
        <f>'900000'!$G79</f>
        <v/>
      </c>
      <c r="F459" s="27" t="s">
        <v>19081</v>
      </c>
    </row>
    <row r="460" spans="1:6">
      <c r="A460" s="27" t="str">
        <f>Resultados!$K$3</f>
        <v/>
      </c>
      <c r="B460" s="27" t="str">
        <f>Resultados!$K$4</f>
        <v/>
      </c>
      <c r="C460" s="568" t="str">
        <f>'900000'!$B80</f>
        <v>09901060</v>
      </c>
      <c r="D460" s="27" t="str">
        <f>'900000'!$G$19</f>
        <v>C09901006</v>
      </c>
      <c r="E460" s="27" t="str">
        <f>'900000'!$G80</f>
        <v/>
      </c>
      <c r="F460" s="27" t="s">
        <v>19081</v>
      </c>
    </row>
    <row r="461" spans="1:6">
      <c r="A461" s="27" t="str">
        <f>Resultados!$K$3</f>
        <v/>
      </c>
      <c r="B461" s="27" t="str">
        <f>Resultados!$K$4</f>
        <v/>
      </c>
      <c r="C461" s="568" t="str">
        <f>'900000'!$B81</f>
        <v>09901061</v>
      </c>
      <c r="D461" s="27" t="str">
        <f>'900000'!$G$19</f>
        <v>C09901006</v>
      </c>
      <c r="E461" s="27" t="str">
        <f>'900000'!$G81</f>
        <v/>
      </c>
      <c r="F461" s="27" t="s">
        <v>19081</v>
      </c>
    </row>
    <row r="462" spans="1:6">
      <c r="A462" s="27" t="str">
        <f>Resultados!$K$3</f>
        <v/>
      </c>
      <c r="B462" s="27" t="str">
        <f>Resultados!$K$4</f>
        <v/>
      </c>
      <c r="C462" s="568" t="str">
        <f>'900000'!$B82</f>
        <v>09901062</v>
      </c>
      <c r="D462" s="27" t="str">
        <f>'900000'!$G$19</f>
        <v>C09901006</v>
      </c>
      <c r="E462" s="27" t="str">
        <f>'900000'!$G82</f>
        <v/>
      </c>
      <c r="F462" s="27" t="s">
        <v>19081</v>
      </c>
    </row>
    <row r="463" spans="1:6">
      <c r="A463" s="27" t="str">
        <f>Resultados!$K$3</f>
        <v/>
      </c>
      <c r="B463" s="27" t="str">
        <f>Resultados!$K$4</f>
        <v/>
      </c>
      <c r="C463" s="568" t="str">
        <f>'900000'!$B83</f>
        <v>09901063</v>
      </c>
      <c r="D463" s="27" t="str">
        <f>'900000'!$G$19</f>
        <v>C09901006</v>
      </c>
      <c r="E463" s="27" t="str">
        <f>'900000'!$G83</f>
        <v/>
      </c>
      <c r="F463" s="27" t="s">
        <v>19081</v>
      </c>
    </row>
    <row r="464" spans="1:6">
      <c r="A464" s="27" t="str">
        <f>Resultados!$K$3</f>
        <v/>
      </c>
      <c r="B464" s="27" t="str">
        <f>Resultados!$K$4</f>
        <v/>
      </c>
      <c r="C464" s="568" t="str">
        <f>'900000'!$B84</f>
        <v>09901064</v>
      </c>
      <c r="D464" s="27" t="str">
        <f>'900000'!$G$19</f>
        <v>C09901006</v>
      </c>
      <c r="E464" s="27" t="str">
        <f>'900000'!$G84</f>
        <v/>
      </c>
      <c r="F464" s="27" t="s">
        <v>19081</v>
      </c>
    </row>
    <row r="465" spans="1:6">
      <c r="A465" s="27" t="str">
        <f>Resultados!$K$3</f>
        <v/>
      </c>
      <c r="B465" s="27" t="str">
        <f>Resultados!$K$4</f>
        <v/>
      </c>
      <c r="C465" s="568" t="str">
        <f>'900000'!$B85</f>
        <v>09901065</v>
      </c>
      <c r="D465" s="27" t="str">
        <f>'900000'!$G$19</f>
        <v>C09901006</v>
      </c>
      <c r="E465" s="27" t="str">
        <f>'900000'!$G85</f>
        <v/>
      </c>
      <c r="F465" s="27" t="s">
        <v>19081</v>
      </c>
    </row>
    <row r="466" spans="1:6">
      <c r="A466" s="27" t="str">
        <f>Resultados!$K$3</f>
        <v/>
      </c>
      <c r="B466" s="27" t="str">
        <f>Resultados!$K$4</f>
        <v/>
      </c>
      <c r="C466" s="568" t="str">
        <f>'900000'!$B86</f>
        <v>09901066</v>
      </c>
      <c r="D466" s="27" t="str">
        <f>'900000'!$G$19</f>
        <v>C09901006</v>
      </c>
      <c r="E466" s="27" t="str">
        <f>'900000'!$G86</f>
        <v/>
      </c>
      <c r="F466" s="27" t="s">
        <v>19081</v>
      </c>
    </row>
    <row r="467" spans="1:6">
      <c r="A467" s="27" t="str">
        <f>Resultados!$K$3</f>
        <v/>
      </c>
      <c r="B467" s="27" t="str">
        <f>Resultados!$K$4</f>
        <v/>
      </c>
      <c r="C467" s="568" t="str">
        <f>'900000'!$B87</f>
        <v>09901067</v>
      </c>
      <c r="D467" s="27" t="str">
        <f>'900000'!$G$19</f>
        <v>C09901006</v>
      </c>
      <c r="E467" s="27" t="str">
        <f>'900000'!$G87</f>
        <v/>
      </c>
      <c r="F467" s="27" t="s">
        <v>19081</v>
      </c>
    </row>
    <row r="468" spans="1:6">
      <c r="A468" s="27" t="str">
        <f>Resultados!$K$3</f>
        <v/>
      </c>
      <c r="B468" s="27" t="str">
        <f>Resultados!$K$4</f>
        <v/>
      </c>
      <c r="C468" s="568" t="str">
        <f>'900000'!$B88</f>
        <v>09901068</v>
      </c>
      <c r="D468" s="27" t="str">
        <f>'900000'!$G$19</f>
        <v>C09901006</v>
      </c>
      <c r="E468" s="27" t="str">
        <f>'900000'!$G88</f>
        <v/>
      </c>
      <c r="F468" s="27" t="s">
        <v>19081</v>
      </c>
    </row>
    <row r="469" spans="1:6">
      <c r="A469" s="27" t="str">
        <f>Resultados!$K$3</f>
        <v/>
      </c>
      <c r="B469" s="27" t="str">
        <f>Resultados!$K$4</f>
        <v/>
      </c>
      <c r="C469" s="568" t="str">
        <f>'900000'!$B89</f>
        <v>09901069</v>
      </c>
      <c r="D469" s="27" t="str">
        <f>'900000'!$G$19</f>
        <v>C09901006</v>
      </c>
      <c r="E469" s="27" t="str">
        <f>'900000'!$G89</f>
        <v/>
      </c>
      <c r="F469" s="27" t="s">
        <v>19081</v>
      </c>
    </row>
    <row r="470" spans="1:6">
      <c r="A470" s="27" t="str">
        <f>Resultados!$K$3</f>
        <v/>
      </c>
      <c r="B470" s="27" t="str">
        <f>Resultados!$K$4</f>
        <v/>
      </c>
      <c r="C470" s="568" t="str">
        <f>'900000'!$B90</f>
        <v>09901070</v>
      </c>
      <c r="D470" s="27" t="str">
        <f>'900000'!$G$19</f>
        <v>C09901006</v>
      </c>
      <c r="E470" s="27" t="str">
        <f>'900000'!$G90</f>
        <v/>
      </c>
      <c r="F470" s="27" t="s">
        <v>19081</v>
      </c>
    </row>
    <row r="471" spans="1:6">
      <c r="A471" s="27" t="str">
        <f>Resultados!$K$3</f>
        <v/>
      </c>
      <c r="B471" s="27" t="str">
        <f>Resultados!$K$4</f>
        <v/>
      </c>
      <c r="C471" s="568" t="str">
        <f>'900000'!$B91</f>
        <v>09901071</v>
      </c>
      <c r="D471" s="27" t="str">
        <f>'900000'!$G$19</f>
        <v>C09901006</v>
      </c>
      <c r="E471" s="27" t="str">
        <f>'900000'!$G91</f>
        <v/>
      </c>
      <c r="F471" s="27" t="s">
        <v>19081</v>
      </c>
    </row>
    <row r="472" spans="1:6">
      <c r="A472" s="27" t="str">
        <f>Resultados!$K$3</f>
        <v/>
      </c>
      <c r="B472" s="27" t="str">
        <f>Resultados!$K$4</f>
        <v/>
      </c>
      <c r="C472" s="568" t="str">
        <f>'900000'!$B92</f>
        <v>09901072</v>
      </c>
      <c r="D472" s="27" t="str">
        <f>'900000'!$G$19</f>
        <v>C09901006</v>
      </c>
      <c r="E472" s="27" t="str">
        <f>'900000'!$G92</f>
        <v/>
      </c>
      <c r="F472" s="27" t="s">
        <v>19081</v>
      </c>
    </row>
    <row r="473" spans="1:6">
      <c r="A473" s="27" t="str">
        <f>Resultados!$K$3</f>
        <v/>
      </c>
      <c r="B473" s="27" t="str">
        <f>Resultados!$K$4</f>
        <v/>
      </c>
      <c r="C473" s="568" t="str">
        <f>'900000'!$B93</f>
        <v>09901073</v>
      </c>
      <c r="D473" s="27" t="str">
        <f>'900000'!$G$19</f>
        <v>C09901006</v>
      </c>
      <c r="E473" s="27" t="str">
        <f>'900000'!$G93</f>
        <v/>
      </c>
      <c r="F473" s="27" t="s">
        <v>19081</v>
      </c>
    </row>
    <row r="474" spans="1:6">
      <c r="A474" s="27" t="str">
        <f>Resultados!$K$3</f>
        <v/>
      </c>
      <c r="B474" s="27" t="str">
        <f>Resultados!$K$4</f>
        <v/>
      </c>
      <c r="C474" s="568" t="str">
        <f>'900000'!$B94</f>
        <v>09901074</v>
      </c>
      <c r="D474" s="27" t="str">
        <f>'900000'!$G$19</f>
        <v>C09901006</v>
      </c>
      <c r="E474" s="27" t="str">
        <f>'900000'!$G94</f>
        <v/>
      </c>
      <c r="F474" s="27" t="s">
        <v>19081</v>
      </c>
    </row>
    <row r="475" spans="1:6">
      <c r="A475" s="27" t="str">
        <f>Resultados!$K$3</f>
        <v/>
      </c>
      <c r="B475" s="27" t="str">
        <f>Resultados!$K$4</f>
        <v/>
      </c>
      <c r="C475" s="568" t="str">
        <f>'900000'!$B95</f>
        <v>09901075</v>
      </c>
      <c r="D475" s="27" t="str">
        <f>'900000'!$G$19</f>
        <v>C09901006</v>
      </c>
      <c r="E475" s="27" t="str">
        <f>'900000'!$G95</f>
        <v/>
      </c>
      <c r="F475" s="27" t="s">
        <v>19081</v>
      </c>
    </row>
    <row r="476" spans="1:6">
      <c r="A476" s="27" t="str">
        <f>Resultados!$K$3</f>
        <v/>
      </c>
      <c r="B476" s="27" t="str">
        <f>Resultados!$K$4</f>
        <v/>
      </c>
      <c r="C476" s="568" t="str">
        <f>'900000'!$B96</f>
        <v>09901076</v>
      </c>
      <c r="D476" s="27" t="str">
        <f>'900000'!$G$19</f>
        <v>C09901006</v>
      </c>
      <c r="E476" s="27" t="str">
        <f>'900000'!$G96</f>
        <v/>
      </c>
      <c r="F476" s="27" t="s">
        <v>19081</v>
      </c>
    </row>
    <row r="477" spans="1:6">
      <c r="A477" s="27" t="str">
        <f>Resultados!$K$3</f>
        <v/>
      </c>
      <c r="B477" s="27" t="str">
        <f>Resultados!$K$4</f>
        <v/>
      </c>
      <c r="C477" s="568" t="str">
        <f>'900000'!$B97</f>
        <v>09901077</v>
      </c>
      <c r="D477" s="27" t="str">
        <f>'900000'!$G$19</f>
        <v>C09901006</v>
      </c>
      <c r="E477" s="27" t="str">
        <f>'900000'!$G97</f>
        <v/>
      </c>
      <c r="F477" s="27" t="s">
        <v>19081</v>
      </c>
    </row>
    <row r="478" spans="1:6">
      <c r="A478" s="27" t="str">
        <f>Resultados!$K$3</f>
        <v/>
      </c>
      <c r="B478" s="27" t="str">
        <f>Resultados!$K$4</f>
        <v/>
      </c>
      <c r="C478" s="568" t="str">
        <f>'900000'!$B98</f>
        <v>09901078</v>
      </c>
      <c r="D478" s="27" t="str">
        <f>'900000'!$G$19</f>
        <v>C09901006</v>
      </c>
      <c r="E478" s="27" t="str">
        <f>'900000'!$G98</f>
        <v/>
      </c>
      <c r="F478" s="27" t="s">
        <v>19081</v>
      </c>
    </row>
    <row r="479" spans="1:6">
      <c r="A479" s="27" t="str">
        <f>Resultados!$K$3</f>
        <v/>
      </c>
      <c r="B479" s="27" t="str">
        <f>Resultados!$K$4</f>
        <v/>
      </c>
      <c r="C479" s="568" t="str">
        <f>'900000'!$B99</f>
        <v>09901079</v>
      </c>
      <c r="D479" s="27" t="str">
        <f>'900000'!$G$19</f>
        <v>C09901006</v>
      </c>
      <c r="E479" s="27" t="str">
        <f>'900000'!$G99</f>
        <v/>
      </c>
      <c r="F479" s="27" t="s">
        <v>19081</v>
      </c>
    </row>
    <row r="480" spans="1:6">
      <c r="A480" s="27" t="str">
        <f>Resultados!$K$3</f>
        <v/>
      </c>
      <c r="B480" s="27" t="str">
        <f>Resultados!$K$4</f>
        <v/>
      </c>
      <c r="C480" s="568" t="str">
        <f>'900000'!$B100</f>
        <v>09901080</v>
      </c>
      <c r="D480" s="27" t="str">
        <f>'900000'!$G$19</f>
        <v>C09901006</v>
      </c>
      <c r="E480" s="27" t="str">
        <f>'900000'!$G100</f>
        <v/>
      </c>
      <c r="F480" s="27" t="s">
        <v>19081</v>
      </c>
    </row>
    <row r="481" spans="1:6">
      <c r="A481" s="27" t="str">
        <f>Resultados!$K$3</f>
        <v/>
      </c>
      <c r="B481" s="27" t="str">
        <f>Resultados!$K$4</f>
        <v/>
      </c>
      <c r="C481" s="568" t="str">
        <f>'900000'!$B101</f>
        <v>09901081</v>
      </c>
      <c r="D481" s="27" t="str">
        <f>'900000'!$G$19</f>
        <v>C09901006</v>
      </c>
      <c r="E481" s="27" t="str">
        <f>'900000'!$G101</f>
        <v/>
      </c>
      <c r="F481" s="27" t="s">
        <v>19081</v>
      </c>
    </row>
    <row r="482" spans="1:6">
      <c r="A482" s="27" t="str">
        <f>Resultados!$K$3</f>
        <v/>
      </c>
      <c r="B482" s="27" t="str">
        <f>Resultados!$K$4</f>
        <v/>
      </c>
      <c r="C482" s="568" t="str">
        <f>'900000'!$B102</f>
        <v>09901082</v>
      </c>
      <c r="D482" s="27" t="str">
        <f>'900000'!$G$19</f>
        <v>C09901006</v>
      </c>
      <c r="E482" s="27" t="str">
        <f>'900000'!$G102</f>
        <v/>
      </c>
      <c r="F482" s="27" t="s">
        <v>19081</v>
      </c>
    </row>
    <row r="483" spans="1:6">
      <c r="A483" s="27" t="str">
        <f>Resultados!$K$3</f>
        <v/>
      </c>
      <c r="B483" s="27" t="str">
        <f>Resultados!$K$4</f>
        <v/>
      </c>
      <c r="C483" s="568" t="str">
        <f>'900000'!$B103</f>
        <v>09901083</v>
      </c>
      <c r="D483" s="27" t="str">
        <f>'900000'!$G$19</f>
        <v>C09901006</v>
      </c>
      <c r="E483" s="27" t="str">
        <f>'900000'!$G103</f>
        <v/>
      </c>
      <c r="F483" s="27" t="s">
        <v>19081</v>
      </c>
    </row>
    <row r="484" spans="1:6">
      <c r="A484" s="27" t="str">
        <f>Resultados!$K$3</f>
        <v/>
      </c>
      <c r="B484" s="27" t="str">
        <f>Resultados!$K$4</f>
        <v/>
      </c>
      <c r="C484" s="568" t="str">
        <f>'900000'!$B104</f>
        <v>09901084</v>
      </c>
      <c r="D484" s="27" t="str">
        <f>'900000'!$G$19</f>
        <v>C09901006</v>
      </c>
      <c r="E484" s="27" t="str">
        <f>'900000'!$G104</f>
        <v/>
      </c>
      <c r="F484" s="27" t="s">
        <v>19081</v>
      </c>
    </row>
    <row r="485" spans="1:6">
      <c r="A485" s="27" t="str">
        <f>Resultados!$K$3</f>
        <v/>
      </c>
      <c r="B485" s="27" t="str">
        <f>Resultados!$K$4</f>
        <v/>
      </c>
      <c r="C485" s="568" t="str">
        <f>'900000'!$B105</f>
        <v>09901085</v>
      </c>
      <c r="D485" s="27" t="str">
        <f>'900000'!$G$19</f>
        <v>C09901006</v>
      </c>
      <c r="E485" s="27" t="str">
        <f>'900000'!$G105</f>
        <v/>
      </c>
      <c r="F485" s="27" t="s">
        <v>19081</v>
      </c>
    </row>
    <row r="486" spans="1:6">
      <c r="A486" s="27" t="str">
        <f>Resultados!$K$3</f>
        <v/>
      </c>
      <c r="B486" s="27" t="str">
        <f>Resultados!$K$4</f>
        <v/>
      </c>
      <c r="C486" s="568" t="str">
        <f>'900000'!$B106</f>
        <v>09901086</v>
      </c>
      <c r="D486" s="27" t="str">
        <f>'900000'!$G$19</f>
        <v>C09901006</v>
      </c>
      <c r="E486" s="27" t="str">
        <f>'900000'!$G106</f>
        <v/>
      </c>
      <c r="F486" s="27" t="s">
        <v>19081</v>
      </c>
    </row>
    <row r="487" spans="1:6">
      <c r="A487" s="27" t="str">
        <f>Resultados!$K$3</f>
        <v/>
      </c>
      <c r="B487" s="27" t="str">
        <f>Resultados!$K$4</f>
        <v/>
      </c>
      <c r="C487" s="568" t="str">
        <f>'900000'!$B107</f>
        <v>09901087</v>
      </c>
      <c r="D487" s="27" t="str">
        <f>'900000'!$G$19</f>
        <v>C09901006</v>
      </c>
      <c r="E487" s="27" t="str">
        <f>'900000'!$G107</f>
        <v/>
      </c>
      <c r="F487" s="27" t="s">
        <v>19081</v>
      </c>
    </row>
    <row r="488" spans="1:6">
      <c r="A488" s="27" t="str">
        <f>Resultados!$K$3</f>
        <v/>
      </c>
      <c r="B488" s="27" t="str">
        <f>Resultados!$K$4</f>
        <v/>
      </c>
      <c r="C488" s="568" t="str">
        <f>'900000'!$B108</f>
        <v>09901088</v>
      </c>
      <c r="D488" s="27" t="str">
        <f>'900000'!$G$19</f>
        <v>C09901006</v>
      </c>
      <c r="E488" s="27" t="str">
        <f>'900000'!$G108</f>
        <v/>
      </c>
      <c r="F488" s="27" t="s">
        <v>19081</v>
      </c>
    </row>
    <row r="489" spans="1:6">
      <c r="A489" s="27" t="str">
        <f>Resultados!$K$3</f>
        <v/>
      </c>
      <c r="B489" s="27" t="str">
        <f>Resultados!$K$4</f>
        <v/>
      </c>
      <c r="C489" s="568" t="str">
        <f>'900000'!$B109</f>
        <v>09901089</v>
      </c>
      <c r="D489" s="27" t="str">
        <f>'900000'!$G$19</f>
        <v>C09901006</v>
      </c>
      <c r="E489" s="27" t="str">
        <f>'900000'!$G109</f>
        <v/>
      </c>
      <c r="F489" s="27" t="s">
        <v>19081</v>
      </c>
    </row>
    <row r="490" spans="1:6">
      <c r="A490" s="27" t="str">
        <f>Resultados!$K$3</f>
        <v/>
      </c>
      <c r="B490" s="27" t="str">
        <f>Resultados!$K$4</f>
        <v/>
      </c>
      <c r="C490" s="568" t="str">
        <f>'900000'!$B110</f>
        <v>09901090</v>
      </c>
      <c r="D490" s="27" t="str">
        <f>'900000'!$G$19</f>
        <v>C09901006</v>
      </c>
      <c r="E490" s="27" t="str">
        <f>'900000'!$G110</f>
        <v/>
      </c>
      <c r="F490" s="27" t="s">
        <v>19081</v>
      </c>
    </row>
    <row r="491" spans="1:6">
      <c r="A491" s="27" t="str">
        <f>Resultados!$K$3</f>
        <v/>
      </c>
      <c r="B491" s="27" t="str">
        <f>Resultados!$K$4</f>
        <v/>
      </c>
      <c r="C491" s="568" t="str">
        <f>'900000'!$B111</f>
        <v>09901091</v>
      </c>
      <c r="D491" s="27" t="str">
        <f>'900000'!$G$19</f>
        <v>C09901006</v>
      </c>
      <c r="E491" s="27" t="str">
        <f>'900000'!$G111</f>
        <v/>
      </c>
      <c r="F491" s="27" t="s">
        <v>19081</v>
      </c>
    </row>
    <row r="492" spans="1:6">
      <c r="A492" s="27" t="str">
        <f>Resultados!$K$3</f>
        <v/>
      </c>
      <c r="B492" s="27" t="str">
        <f>Resultados!$K$4</f>
        <v/>
      </c>
      <c r="C492" s="568" t="str">
        <f>'900000'!$B112</f>
        <v>09901092</v>
      </c>
      <c r="D492" s="27" t="str">
        <f>'900000'!$G$19</f>
        <v>C09901006</v>
      </c>
      <c r="E492" s="27" t="str">
        <f>'900000'!$G112</f>
        <v/>
      </c>
      <c r="F492" s="27" t="s">
        <v>19081</v>
      </c>
    </row>
    <row r="493" spans="1:6">
      <c r="A493" s="27" t="str">
        <f>Resultados!$K$3</f>
        <v/>
      </c>
      <c r="B493" s="27" t="str">
        <f>Resultados!$K$4</f>
        <v/>
      </c>
      <c r="C493" s="568" t="str">
        <f>'900000'!$B113</f>
        <v>09901093</v>
      </c>
      <c r="D493" s="27" t="str">
        <f>'900000'!$G$19</f>
        <v>C09901006</v>
      </c>
      <c r="E493" s="27" t="str">
        <f>'900000'!$G113</f>
        <v/>
      </c>
      <c r="F493" s="27" t="s">
        <v>19081</v>
      </c>
    </row>
    <row r="494" spans="1:6">
      <c r="A494" s="27" t="str">
        <f>Resultados!$K$3</f>
        <v/>
      </c>
      <c r="B494" s="27" t="str">
        <f>Resultados!$K$4</f>
        <v/>
      </c>
      <c r="C494" s="568" t="str">
        <f>'900000'!$B114</f>
        <v>09901094</v>
      </c>
      <c r="D494" s="27" t="str">
        <f>'900000'!$G$19</f>
        <v>C09901006</v>
      </c>
      <c r="E494" s="27" t="str">
        <f>'900000'!$G114</f>
        <v/>
      </c>
      <c r="F494" s="27" t="s">
        <v>19081</v>
      </c>
    </row>
    <row r="495" spans="1:6">
      <c r="A495" s="27" t="str">
        <f>Resultados!$K$3</f>
        <v/>
      </c>
      <c r="B495" s="27" t="str">
        <f>Resultados!$K$4</f>
        <v/>
      </c>
      <c r="C495" s="568" t="str">
        <f>'900000'!$B115</f>
        <v>09901095</v>
      </c>
      <c r="D495" s="27" t="str">
        <f>'900000'!$G$19</f>
        <v>C09901006</v>
      </c>
      <c r="E495" s="27" t="str">
        <f>'900000'!$G115</f>
        <v/>
      </c>
      <c r="F495" s="27" t="s">
        <v>19081</v>
      </c>
    </row>
    <row r="496" spans="1:6">
      <c r="A496" s="27" t="str">
        <f>Resultados!$K$3</f>
        <v/>
      </c>
      <c r="B496" s="27" t="str">
        <f>Resultados!$K$4</f>
        <v/>
      </c>
      <c r="C496" s="568" t="str">
        <f>'900000'!$B116</f>
        <v>09901096</v>
      </c>
      <c r="D496" s="27" t="str">
        <f>'900000'!$G$19</f>
        <v>C09901006</v>
      </c>
      <c r="E496" s="27" t="str">
        <f>'900000'!$G116</f>
        <v/>
      </c>
      <c r="F496" s="27" t="s">
        <v>19081</v>
      </c>
    </row>
    <row r="497" spans="1:6">
      <c r="A497" s="27" t="str">
        <f>Resultados!$K$3</f>
        <v/>
      </c>
      <c r="B497" s="27" t="str">
        <f>Resultados!$K$4</f>
        <v/>
      </c>
      <c r="C497" s="568" t="str">
        <f>'900000'!$B117</f>
        <v>09901097</v>
      </c>
      <c r="D497" s="27" t="str">
        <f>'900000'!$G$19</f>
        <v>C09901006</v>
      </c>
      <c r="E497" s="27" t="str">
        <f>'900000'!$G117</f>
        <v/>
      </c>
      <c r="F497" s="27" t="s">
        <v>19081</v>
      </c>
    </row>
    <row r="498" spans="1:6">
      <c r="A498" s="27" t="str">
        <f>Resultados!$K$3</f>
        <v/>
      </c>
      <c r="B498" s="27" t="str">
        <f>Resultados!$K$4</f>
        <v/>
      </c>
      <c r="C498" s="568" t="str">
        <f>'900000'!$B118</f>
        <v>09901098</v>
      </c>
      <c r="D498" s="27" t="str">
        <f>'900000'!$G$19</f>
        <v>C09901006</v>
      </c>
      <c r="E498" s="27" t="str">
        <f>'900000'!$G118</f>
        <v/>
      </c>
      <c r="F498" s="27" t="s">
        <v>19081</v>
      </c>
    </row>
    <row r="499" spans="1:6">
      <c r="A499" s="27" t="str">
        <f>Resultados!$K$3</f>
        <v/>
      </c>
      <c r="B499" s="27" t="str">
        <f>Resultados!$K$4</f>
        <v/>
      </c>
      <c r="C499" s="568" t="str">
        <f>'900000'!$B119</f>
        <v>09901099</v>
      </c>
      <c r="D499" s="27" t="str">
        <f>'900000'!$G$19</f>
        <v>C09901006</v>
      </c>
      <c r="E499" s="27" t="str">
        <f>'900000'!$G119</f>
        <v/>
      </c>
      <c r="F499" s="27" t="s">
        <v>19081</v>
      </c>
    </row>
    <row r="500" spans="1:6">
      <c r="A500" s="27" t="str">
        <f>Resultados!$K$3</f>
        <v/>
      </c>
      <c r="B500" s="27" t="str">
        <f>Resultados!$K$4</f>
        <v/>
      </c>
      <c r="C500" s="568" t="str">
        <f>'900000'!$B120</f>
        <v>09901100</v>
      </c>
      <c r="D500" s="27" t="str">
        <f>'900000'!$G$19</f>
        <v>C09901006</v>
      </c>
      <c r="E500" s="27" t="str">
        <f>'900000'!$G120</f>
        <v/>
      </c>
      <c r="F500" s="27" t="s">
        <v>19081</v>
      </c>
    </row>
    <row r="501" spans="1:6">
      <c r="A501" s="27" t="str">
        <f>Resultados!$K$3</f>
        <v/>
      </c>
      <c r="B501" s="27" t="str">
        <f>Resultados!$K$4</f>
        <v/>
      </c>
      <c r="C501" s="568" t="str">
        <f>'900000'!$B121</f>
        <v>09901101</v>
      </c>
      <c r="D501" s="27" t="str">
        <f>'900000'!$G$19</f>
        <v>C09901006</v>
      </c>
      <c r="E501" s="27" t="str">
        <f>'900000'!$G121</f>
        <v/>
      </c>
      <c r="F501" s="27" t="s">
        <v>19081</v>
      </c>
    </row>
    <row r="502" spans="1:6">
      <c r="A502" s="27" t="str">
        <f>Resultados!$K$3</f>
        <v/>
      </c>
      <c r="B502" s="27" t="str">
        <f>Resultados!$K$4</f>
        <v/>
      </c>
      <c r="C502" s="568" t="str">
        <f>'900000'!$B22</f>
        <v>09901002</v>
      </c>
      <c r="D502" t="str">
        <f>'900000'!$H$19</f>
        <v>C09901007</v>
      </c>
      <c r="E502">
        <f>'900000'!$H22</f>
        <v>0</v>
      </c>
      <c r="F502" s="27" t="s">
        <v>19081</v>
      </c>
    </row>
    <row r="503" spans="1:6">
      <c r="A503" s="27" t="str">
        <f>Resultados!$K$3</f>
        <v/>
      </c>
      <c r="B503" s="27" t="str">
        <f>Resultados!$K$4</f>
        <v/>
      </c>
      <c r="C503" s="568" t="str">
        <f>'900000'!$B23</f>
        <v>09901003</v>
      </c>
      <c r="D503" s="27" t="str">
        <f>'900000'!$H$19</f>
        <v>C09901007</v>
      </c>
      <c r="E503" s="27">
        <f>'900000'!$H23</f>
        <v>0</v>
      </c>
      <c r="F503" s="27" t="s">
        <v>19081</v>
      </c>
    </row>
    <row r="504" spans="1:6">
      <c r="A504" s="27" t="str">
        <f>Resultados!$K$3</f>
        <v/>
      </c>
      <c r="B504" s="27" t="str">
        <f>Resultados!$K$4</f>
        <v/>
      </c>
      <c r="C504" s="568" t="str">
        <f>'900000'!$B24</f>
        <v>09901004</v>
      </c>
      <c r="D504" s="27" t="str">
        <f>'900000'!$H$19</f>
        <v>C09901007</v>
      </c>
      <c r="E504" s="27">
        <f>'900000'!$H24</f>
        <v>0</v>
      </c>
      <c r="F504" s="27" t="s">
        <v>19081</v>
      </c>
    </row>
    <row r="505" spans="1:6">
      <c r="A505" s="27" t="str">
        <f>Resultados!$K$3</f>
        <v/>
      </c>
      <c r="B505" s="27" t="str">
        <f>Resultados!$K$4</f>
        <v/>
      </c>
      <c r="C505" s="568" t="str">
        <f>'900000'!$B25</f>
        <v>09901005</v>
      </c>
      <c r="D505" s="27" t="str">
        <f>'900000'!$H$19</f>
        <v>C09901007</v>
      </c>
      <c r="E505" s="27">
        <f>'900000'!$H25</f>
        <v>0</v>
      </c>
      <c r="F505" s="27" t="s">
        <v>19081</v>
      </c>
    </row>
    <row r="506" spans="1:6">
      <c r="A506" s="27" t="str">
        <f>Resultados!$K$3</f>
        <v/>
      </c>
      <c r="B506" s="27" t="str">
        <f>Resultados!$K$4</f>
        <v/>
      </c>
      <c r="C506" s="568" t="str">
        <f>'900000'!$B26</f>
        <v>09901006</v>
      </c>
      <c r="D506" s="27" t="str">
        <f>'900000'!$H$19</f>
        <v>C09901007</v>
      </c>
      <c r="E506" s="27">
        <f>'900000'!$H26</f>
        <v>0</v>
      </c>
      <c r="F506" s="27" t="s">
        <v>19081</v>
      </c>
    </row>
    <row r="507" spans="1:6">
      <c r="A507" s="27" t="str">
        <f>Resultados!$K$3</f>
        <v/>
      </c>
      <c r="B507" s="27" t="str">
        <f>Resultados!$K$4</f>
        <v/>
      </c>
      <c r="C507" s="568" t="str">
        <f>'900000'!$B27</f>
        <v>09901007</v>
      </c>
      <c r="D507" s="27" t="str">
        <f>'900000'!$H$19</f>
        <v>C09901007</v>
      </c>
      <c r="E507" s="27">
        <f>'900000'!$H27</f>
        <v>0</v>
      </c>
      <c r="F507" s="27" t="s">
        <v>19081</v>
      </c>
    </row>
    <row r="508" spans="1:6">
      <c r="A508" s="27" t="str">
        <f>Resultados!$K$3</f>
        <v/>
      </c>
      <c r="B508" s="27" t="str">
        <f>Resultados!$K$4</f>
        <v/>
      </c>
      <c r="C508" s="568" t="str">
        <f>'900000'!$B28</f>
        <v>09901008</v>
      </c>
      <c r="D508" s="27" t="str">
        <f>'900000'!$H$19</f>
        <v>C09901007</v>
      </c>
      <c r="E508" s="27">
        <f>'900000'!$H28</f>
        <v>0</v>
      </c>
      <c r="F508" s="27" t="s">
        <v>19081</v>
      </c>
    </row>
    <row r="509" spans="1:6">
      <c r="A509" s="27" t="str">
        <f>Resultados!$K$3</f>
        <v/>
      </c>
      <c r="B509" s="27" t="str">
        <f>Resultados!$K$4</f>
        <v/>
      </c>
      <c r="C509" s="568" t="str">
        <f>'900000'!$B29</f>
        <v>09901009</v>
      </c>
      <c r="D509" s="27" t="str">
        <f>'900000'!$H$19</f>
        <v>C09901007</v>
      </c>
      <c r="E509" s="27">
        <f>'900000'!$H29</f>
        <v>0</v>
      </c>
      <c r="F509" s="27" t="s">
        <v>19081</v>
      </c>
    </row>
    <row r="510" spans="1:6">
      <c r="A510" s="27" t="str">
        <f>Resultados!$K$3</f>
        <v/>
      </c>
      <c r="B510" s="27" t="str">
        <f>Resultados!$K$4</f>
        <v/>
      </c>
      <c r="C510" s="568" t="str">
        <f>'900000'!$B30</f>
        <v>09901010</v>
      </c>
      <c r="D510" s="27" t="str">
        <f>'900000'!$H$19</f>
        <v>C09901007</v>
      </c>
      <c r="E510" s="27">
        <f>'900000'!$H30</f>
        <v>0</v>
      </c>
      <c r="F510" s="27" t="s">
        <v>19081</v>
      </c>
    </row>
    <row r="511" spans="1:6">
      <c r="A511" s="27" t="str">
        <f>Resultados!$K$3</f>
        <v/>
      </c>
      <c r="B511" s="27" t="str">
        <f>Resultados!$K$4</f>
        <v/>
      </c>
      <c r="C511" s="568" t="str">
        <f>'900000'!$B31</f>
        <v>09901011</v>
      </c>
      <c r="D511" s="27" t="str">
        <f>'900000'!$H$19</f>
        <v>C09901007</v>
      </c>
      <c r="E511" s="27">
        <f>'900000'!$H31</f>
        <v>0</v>
      </c>
      <c r="F511" s="27" t="s">
        <v>19081</v>
      </c>
    </row>
    <row r="512" spans="1:6">
      <c r="A512" s="27" t="str">
        <f>Resultados!$K$3</f>
        <v/>
      </c>
      <c r="B512" s="27" t="str">
        <f>Resultados!$K$4</f>
        <v/>
      </c>
      <c r="C512" s="568" t="str">
        <f>'900000'!$B32</f>
        <v>09901012</v>
      </c>
      <c r="D512" s="27" t="str">
        <f>'900000'!$H$19</f>
        <v>C09901007</v>
      </c>
      <c r="E512" s="27">
        <f>'900000'!$H32</f>
        <v>0</v>
      </c>
      <c r="F512" s="27" t="s">
        <v>19081</v>
      </c>
    </row>
    <row r="513" spans="1:6">
      <c r="A513" s="27" t="str">
        <f>Resultados!$K$3</f>
        <v/>
      </c>
      <c r="B513" s="27" t="str">
        <f>Resultados!$K$4</f>
        <v/>
      </c>
      <c r="C513" s="568" t="str">
        <f>'900000'!$B33</f>
        <v>09901013</v>
      </c>
      <c r="D513" s="27" t="str">
        <f>'900000'!$H$19</f>
        <v>C09901007</v>
      </c>
      <c r="E513" s="27">
        <f>'900000'!$H33</f>
        <v>0</v>
      </c>
      <c r="F513" s="27" t="s">
        <v>19081</v>
      </c>
    </row>
    <row r="514" spans="1:6">
      <c r="A514" s="27" t="str">
        <f>Resultados!$K$3</f>
        <v/>
      </c>
      <c r="B514" s="27" t="str">
        <f>Resultados!$K$4</f>
        <v/>
      </c>
      <c r="C514" s="568" t="str">
        <f>'900000'!$B34</f>
        <v>09901014</v>
      </c>
      <c r="D514" s="27" t="str">
        <f>'900000'!$H$19</f>
        <v>C09901007</v>
      </c>
      <c r="E514" s="27">
        <f>'900000'!$H34</f>
        <v>0</v>
      </c>
      <c r="F514" s="27" t="s">
        <v>19081</v>
      </c>
    </row>
    <row r="515" spans="1:6">
      <c r="A515" s="27" t="str">
        <f>Resultados!$K$3</f>
        <v/>
      </c>
      <c r="B515" s="27" t="str">
        <f>Resultados!$K$4</f>
        <v/>
      </c>
      <c r="C515" s="568" t="str">
        <f>'900000'!$B35</f>
        <v>09901015</v>
      </c>
      <c r="D515" s="27" t="str">
        <f>'900000'!$H$19</f>
        <v>C09901007</v>
      </c>
      <c r="E515" s="27">
        <f>'900000'!$H35</f>
        <v>0</v>
      </c>
      <c r="F515" s="27" t="s">
        <v>19081</v>
      </c>
    </row>
    <row r="516" spans="1:6">
      <c r="A516" s="27" t="str">
        <f>Resultados!$K$3</f>
        <v/>
      </c>
      <c r="B516" s="27" t="str">
        <f>Resultados!$K$4</f>
        <v/>
      </c>
      <c r="C516" s="568" t="str">
        <f>'900000'!$B36</f>
        <v>09901016</v>
      </c>
      <c r="D516" s="27" t="str">
        <f>'900000'!$H$19</f>
        <v>C09901007</v>
      </c>
      <c r="E516" s="27">
        <f>'900000'!$H36</f>
        <v>0</v>
      </c>
      <c r="F516" s="27" t="s">
        <v>19081</v>
      </c>
    </row>
    <row r="517" spans="1:6">
      <c r="A517" s="27" t="str">
        <f>Resultados!$K$3</f>
        <v/>
      </c>
      <c r="B517" s="27" t="str">
        <f>Resultados!$K$4</f>
        <v/>
      </c>
      <c r="C517" s="568" t="str">
        <f>'900000'!$B37</f>
        <v>09901017</v>
      </c>
      <c r="D517" s="27" t="str">
        <f>'900000'!$H$19</f>
        <v>C09901007</v>
      </c>
      <c r="E517" s="27">
        <f>'900000'!$H37</f>
        <v>0</v>
      </c>
      <c r="F517" s="27" t="s">
        <v>19081</v>
      </c>
    </row>
    <row r="518" spans="1:6">
      <c r="A518" s="27" t="str">
        <f>Resultados!$K$3</f>
        <v/>
      </c>
      <c r="B518" s="27" t="str">
        <f>Resultados!$K$4</f>
        <v/>
      </c>
      <c r="C518" s="568" t="str">
        <f>'900000'!$B38</f>
        <v>09901018</v>
      </c>
      <c r="D518" s="27" t="str">
        <f>'900000'!$H$19</f>
        <v>C09901007</v>
      </c>
      <c r="E518" s="27">
        <f>'900000'!$H38</f>
        <v>0</v>
      </c>
      <c r="F518" s="27" t="s">
        <v>19081</v>
      </c>
    </row>
    <row r="519" spans="1:6">
      <c r="A519" s="27" t="str">
        <f>Resultados!$K$3</f>
        <v/>
      </c>
      <c r="B519" s="27" t="str">
        <f>Resultados!$K$4</f>
        <v/>
      </c>
      <c r="C519" s="568" t="str">
        <f>'900000'!$B39</f>
        <v>09901019</v>
      </c>
      <c r="D519" s="27" t="str">
        <f>'900000'!$H$19</f>
        <v>C09901007</v>
      </c>
      <c r="E519" s="27">
        <f>'900000'!$H39</f>
        <v>0</v>
      </c>
      <c r="F519" s="27" t="s">
        <v>19081</v>
      </c>
    </row>
    <row r="520" spans="1:6">
      <c r="A520" s="27" t="str">
        <f>Resultados!$K$3</f>
        <v/>
      </c>
      <c r="B520" s="27" t="str">
        <f>Resultados!$K$4</f>
        <v/>
      </c>
      <c r="C520" s="568" t="str">
        <f>'900000'!$B40</f>
        <v>09901020</v>
      </c>
      <c r="D520" s="27" t="str">
        <f>'900000'!$H$19</f>
        <v>C09901007</v>
      </c>
      <c r="E520" s="27">
        <f>'900000'!$H40</f>
        <v>0</v>
      </c>
      <c r="F520" s="27" t="s">
        <v>19081</v>
      </c>
    </row>
    <row r="521" spans="1:6">
      <c r="A521" s="27" t="str">
        <f>Resultados!$K$3</f>
        <v/>
      </c>
      <c r="B521" s="27" t="str">
        <f>Resultados!$K$4</f>
        <v/>
      </c>
      <c r="C521" s="568" t="str">
        <f>'900000'!$B41</f>
        <v>09901021</v>
      </c>
      <c r="D521" s="27" t="str">
        <f>'900000'!$H$19</f>
        <v>C09901007</v>
      </c>
      <c r="E521" s="27">
        <f>'900000'!$H41</f>
        <v>0</v>
      </c>
      <c r="F521" s="27" t="s">
        <v>19081</v>
      </c>
    </row>
    <row r="522" spans="1:6">
      <c r="A522" s="27" t="str">
        <f>Resultados!$K$3</f>
        <v/>
      </c>
      <c r="B522" s="27" t="str">
        <f>Resultados!$K$4</f>
        <v/>
      </c>
      <c r="C522" s="568" t="str">
        <f>'900000'!$B42</f>
        <v>09901022</v>
      </c>
      <c r="D522" s="27" t="str">
        <f>'900000'!$H$19</f>
        <v>C09901007</v>
      </c>
      <c r="E522" s="27">
        <f>'900000'!$H42</f>
        <v>0</v>
      </c>
      <c r="F522" s="27" t="s">
        <v>19081</v>
      </c>
    </row>
    <row r="523" spans="1:6">
      <c r="A523" s="27" t="str">
        <f>Resultados!$K$3</f>
        <v/>
      </c>
      <c r="B523" s="27" t="str">
        <f>Resultados!$K$4</f>
        <v/>
      </c>
      <c r="C523" s="568" t="str">
        <f>'900000'!$B43</f>
        <v>09901023</v>
      </c>
      <c r="D523" s="27" t="str">
        <f>'900000'!$H$19</f>
        <v>C09901007</v>
      </c>
      <c r="E523" s="27">
        <f>'900000'!$H43</f>
        <v>0</v>
      </c>
      <c r="F523" s="27" t="s">
        <v>19081</v>
      </c>
    </row>
    <row r="524" spans="1:6">
      <c r="A524" s="27" t="str">
        <f>Resultados!$K$3</f>
        <v/>
      </c>
      <c r="B524" s="27" t="str">
        <f>Resultados!$K$4</f>
        <v/>
      </c>
      <c r="C524" s="568" t="str">
        <f>'900000'!$B44</f>
        <v>09901024</v>
      </c>
      <c r="D524" s="27" t="str">
        <f>'900000'!$H$19</f>
        <v>C09901007</v>
      </c>
      <c r="E524" s="27">
        <f>'900000'!$H44</f>
        <v>0</v>
      </c>
      <c r="F524" s="27" t="s">
        <v>19081</v>
      </c>
    </row>
    <row r="525" spans="1:6">
      <c r="A525" s="27" t="str">
        <f>Resultados!$K$3</f>
        <v/>
      </c>
      <c r="B525" s="27" t="str">
        <f>Resultados!$K$4</f>
        <v/>
      </c>
      <c r="C525" s="568" t="str">
        <f>'900000'!$B45</f>
        <v>09901025</v>
      </c>
      <c r="D525" s="27" t="str">
        <f>'900000'!$H$19</f>
        <v>C09901007</v>
      </c>
      <c r="E525" s="27">
        <f>'900000'!$H45</f>
        <v>0</v>
      </c>
      <c r="F525" s="27" t="s">
        <v>19081</v>
      </c>
    </row>
    <row r="526" spans="1:6">
      <c r="A526" s="27" t="str">
        <f>Resultados!$K$3</f>
        <v/>
      </c>
      <c r="B526" s="27" t="str">
        <f>Resultados!$K$4</f>
        <v/>
      </c>
      <c r="C526" s="568" t="str">
        <f>'900000'!$B46</f>
        <v>09901026</v>
      </c>
      <c r="D526" s="27" t="str">
        <f>'900000'!$H$19</f>
        <v>C09901007</v>
      </c>
      <c r="E526" s="27">
        <f>'900000'!$H46</f>
        <v>0</v>
      </c>
      <c r="F526" s="27" t="s">
        <v>19081</v>
      </c>
    </row>
    <row r="527" spans="1:6">
      <c r="A527" s="27" t="str">
        <f>Resultados!$K$3</f>
        <v/>
      </c>
      <c r="B527" s="27" t="str">
        <f>Resultados!$K$4</f>
        <v/>
      </c>
      <c r="C527" s="568" t="str">
        <f>'900000'!$B47</f>
        <v>09901027</v>
      </c>
      <c r="D527" s="27" t="str">
        <f>'900000'!$H$19</f>
        <v>C09901007</v>
      </c>
      <c r="E527" s="27">
        <f>'900000'!$H47</f>
        <v>0</v>
      </c>
      <c r="F527" s="27" t="s">
        <v>19081</v>
      </c>
    </row>
    <row r="528" spans="1:6">
      <c r="A528" s="27" t="str">
        <f>Resultados!$K$3</f>
        <v/>
      </c>
      <c r="B528" s="27" t="str">
        <f>Resultados!$K$4</f>
        <v/>
      </c>
      <c r="C528" s="568" t="str">
        <f>'900000'!$B48</f>
        <v>09901028</v>
      </c>
      <c r="D528" s="27" t="str">
        <f>'900000'!$H$19</f>
        <v>C09901007</v>
      </c>
      <c r="E528" s="27">
        <f>'900000'!$H48</f>
        <v>0</v>
      </c>
      <c r="F528" s="27" t="s">
        <v>19081</v>
      </c>
    </row>
    <row r="529" spans="1:6">
      <c r="A529" s="27" t="str">
        <f>Resultados!$K$3</f>
        <v/>
      </c>
      <c r="B529" s="27" t="str">
        <f>Resultados!$K$4</f>
        <v/>
      </c>
      <c r="C529" s="568" t="str">
        <f>'900000'!$B49</f>
        <v>09901029</v>
      </c>
      <c r="D529" s="27" t="str">
        <f>'900000'!$H$19</f>
        <v>C09901007</v>
      </c>
      <c r="E529" s="27">
        <f>'900000'!$H49</f>
        <v>0</v>
      </c>
      <c r="F529" s="27" t="s">
        <v>19081</v>
      </c>
    </row>
    <row r="530" spans="1:6">
      <c r="A530" s="27" t="str">
        <f>Resultados!$K$3</f>
        <v/>
      </c>
      <c r="B530" s="27" t="str">
        <f>Resultados!$K$4</f>
        <v/>
      </c>
      <c r="C530" s="568" t="str">
        <f>'900000'!$B50</f>
        <v>09901030</v>
      </c>
      <c r="D530" s="27" t="str">
        <f>'900000'!$H$19</f>
        <v>C09901007</v>
      </c>
      <c r="E530" s="27">
        <f>'900000'!$H50</f>
        <v>0</v>
      </c>
      <c r="F530" s="27" t="s">
        <v>19081</v>
      </c>
    </row>
    <row r="531" spans="1:6">
      <c r="A531" s="27" t="str">
        <f>Resultados!$K$3</f>
        <v/>
      </c>
      <c r="B531" s="27" t="str">
        <f>Resultados!$K$4</f>
        <v/>
      </c>
      <c r="C531" s="568" t="str">
        <f>'900000'!$B51</f>
        <v>09901031</v>
      </c>
      <c r="D531" s="27" t="str">
        <f>'900000'!$H$19</f>
        <v>C09901007</v>
      </c>
      <c r="E531" s="27">
        <f>'900000'!$H51</f>
        <v>0</v>
      </c>
      <c r="F531" s="27" t="s">
        <v>19081</v>
      </c>
    </row>
    <row r="532" spans="1:6">
      <c r="A532" s="27" t="str">
        <f>Resultados!$K$3</f>
        <v/>
      </c>
      <c r="B532" s="27" t="str">
        <f>Resultados!$K$4</f>
        <v/>
      </c>
      <c r="C532" s="568" t="str">
        <f>'900000'!$B52</f>
        <v>09901032</v>
      </c>
      <c r="D532" s="27" t="str">
        <f>'900000'!$H$19</f>
        <v>C09901007</v>
      </c>
      <c r="E532" s="27">
        <f>'900000'!$H52</f>
        <v>0</v>
      </c>
      <c r="F532" s="27" t="s">
        <v>19081</v>
      </c>
    </row>
    <row r="533" spans="1:6">
      <c r="A533" s="27" t="str">
        <f>Resultados!$K$3</f>
        <v/>
      </c>
      <c r="B533" s="27" t="str">
        <f>Resultados!$K$4</f>
        <v/>
      </c>
      <c r="C533" s="568" t="str">
        <f>'900000'!$B53</f>
        <v>09901033</v>
      </c>
      <c r="D533" s="27" t="str">
        <f>'900000'!$H$19</f>
        <v>C09901007</v>
      </c>
      <c r="E533" s="27">
        <f>'900000'!$H53</f>
        <v>0</v>
      </c>
      <c r="F533" s="27" t="s">
        <v>19081</v>
      </c>
    </row>
    <row r="534" spans="1:6">
      <c r="A534" s="27" t="str">
        <f>Resultados!$K$3</f>
        <v/>
      </c>
      <c r="B534" s="27" t="str">
        <f>Resultados!$K$4</f>
        <v/>
      </c>
      <c r="C534" s="568" t="str">
        <f>'900000'!$B54</f>
        <v>09901034</v>
      </c>
      <c r="D534" s="27" t="str">
        <f>'900000'!$H$19</f>
        <v>C09901007</v>
      </c>
      <c r="E534" s="27">
        <f>'900000'!$H54</f>
        <v>0</v>
      </c>
      <c r="F534" s="27" t="s">
        <v>19081</v>
      </c>
    </row>
    <row r="535" spans="1:6">
      <c r="A535" s="27" t="str">
        <f>Resultados!$K$3</f>
        <v/>
      </c>
      <c r="B535" s="27" t="str">
        <f>Resultados!$K$4</f>
        <v/>
      </c>
      <c r="C535" s="568" t="str">
        <f>'900000'!$B55</f>
        <v>09901035</v>
      </c>
      <c r="D535" s="27" t="str">
        <f>'900000'!$H$19</f>
        <v>C09901007</v>
      </c>
      <c r="E535" s="27">
        <f>'900000'!$H55</f>
        <v>0</v>
      </c>
      <c r="F535" s="27" t="s">
        <v>19081</v>
      </c>
    </row>
    <row r="536" spans="1:6">
      <c r="A536" s="27" t="str">
        <f>Resultados!$K$3</f>
        <v/>
      </c>
      <c r="B536" s="27" t="str">
        <f>Resultados!$K$4</f>
        <v/>
      </c>
      <c r="C536" s="568" t="str">
        <f>'900000'!$B56</f>
        <v>09901036</v>
      </c>
      <c r="D536" s="27" t="str">
        <f>'900000'!$H$19</f>
        <v>C09901007</v>
      </c>
      <c r="E536" s="27">
        <f>'900000'!$H56</f>
        <v>0</v>
      </c>
      <c r="F536" s="27" t="s">
        <v>19081</v>
      </c>
    </row>
    <row r="537" spans="1:6">
      <c r="A537" s="27" t="str">
        <f>Resultados!$K$3</f>
        <v/>
      </c>
      <c r="B537" s="27" t="str">
        <f>Resultados!$K$4</f>
        <v/>
      </c>
      <c r="C537" s="568" t="str">
        <f>'900000'!$B57</f>
        <v>09901037</v>
      </c>
      <c r="D537" s="27" t="str">
        <f>'900000'!$H$19</f>
        <v>C09901007</v>
      </c>
      <c r="E537" s="27">
        <f>'900000'!$H57</f>
        <v>0</v>
      </c>
      <c r="F537" s="27" t="s">
        <v>19081</v>
      </c>
    </row>
    <row r="538" spans="1:6">
      <c r="A538" s="27" t="str">
        <f>Resultados!$K$3</f>
        <v/>
      </c>
      <c r="B538" s="27" t="str">
        <f>Resultados!$K$4</f>
        <v/>
      </c>
      <c r="C538" s="568" t="str">
        <f>'900000'!$B58</f>
        <v>09901038</v>
      </c>
      <c r="D538" s="27" t="str">
        <f>'900000'!$H$19</f>
        <v>C09901007</v>
      </c>
      <c r="E538" s="27">
        <f>'900000'!$H58</f>
        <v>0</v>
      </c>
      <c r="F538" s="27" t="s">
        <v>19081</v>
      </c>
    </row>
    <row r="539" spans="1:6">
      <c r="A539" s="27" t="str">
        <f>Resultados!$K$3</f>
        <v/>
      </c>
      <c r="B539" s="27" t="str">
        <f>Resultados!$K$4</f>
        <v/>
      </c>
      <c r="C539" s="568" t="str">
        <f>'900000'!$B59</f>
        <v>09901039</v>
      </c>
      <c r="D539" s="27" t="str">
        <f>'900000'!$H$19</f>
        <v>C09901007</v>
      </c>
      <c r="E539" s="27">
        <f>'900000'!$H59</f>
        <v>0</v>
      </c>
      <c r="F539" s="27" t="s">
        <v>19081</v>
      </c>
    </row>
    <row r="540" spans="1:6">
      <c r="A540" s="27" t="str">
        <f>Resultados!$K$3</f>
        <v/>
      </c>
      <c r="B540" s="27" t="str">
        <f>Resultados!$K$4</f>
        <v/>
      </c>
      <c r="C540" s="568" t="str">
        <f>'900000'!$B60</f>
        <v>09901040</v>
      </c>
      <c r="D540" s="27" t="str">
        <f>'900000'!$H$19</f>
        <v>C09901007</v>
      </c>
      <c r="E540" s="27">
        <f>'900000'!$H60</f>
        <v>0</v>
      </c>
      <c r="F540" s="27" t="s">
        <v>19081</v>
      </c>
    </row>
    <row r="541" spans="1:6">
      <c r="A541" s="27" t="str">
        <f>Resultados!$K$3</f>
        <v/>
      </c>
      <c r="B541" s="27" t="str">
        <f>Resultados!$K$4</f>
        <v/>
      </c>
      <c r="C541" s="568" t="str">
        <f>'900000'!$B61</f>
        <v>09901041</v>
      </c>
      <c r="D541" s="27" t="str">
        <f>'900000'!$H$19</f>
        <v>C09901007</v>
      </c>
      <c r="E541" s="27">
        <f>'900000'!$H61</f>
        <v>0</v>
      </c>
      <c r="F541" s="27" t="s">
        <v>19081</v>
      </c>
    </row>
    <row r="542" spans="1:6">
      <c r="A542" s="27" t="str">
        <f>Resultados!$K$3</f>
        <v/>
      </c>
      <c r="B542" s="27" t="str">
        <f>Resultados!$K$4</f>
        <v/>
      </c>
      <c r="C542" s="568" t="str">
        <f>'900000'!$B62</f>
        <v>09901042</v>
      </c>
      <c r="D542" s="27" t="str">
        <f>'900000'!$H$19</f>
        <v>C09901007</v>
      </c>
      <c r="E542" s="27">
        <f>'900000'!$H62</f>
        <v>0</v>
      </c>
      <c r="F542" s="27" t="s">
        <v>19081</v>
      </c>
    </row>
    <row r="543" spans="1:6">
      <c r="A543" s="27" t="str">
        <f>Resultados!$K$3</f>
        <v/>
      </c>
      <c r="B543" s="27" t="str">
        <f>Resultados!$K$4</f>
        <v/>
      </c>
      <c r="C543" s="568" t="str">
        <f>'900000'!$B63</f>
        <v>09901043</v>
      </c>
      <c r="D543" s="27" t="str">
        <f>'900000'!$H$19</f>
        <v>C09901007</v>
      </c>
      <c r="E543" s="27">
        <f>'900000'!$H63</f>
        <v>0</v>
      </c>
      <c r="F543" s="27" t="s">
        <v>19081</v>
      </c>
    </row>
    <row r="544" spans="1:6">
      <c r="A544" s="27" t="str">
        <f>Resultados!$K$3</f>
        <v/>
      </c>
      <c r="B544" s="27" t="str">
        <f>Resultados!$K$4</f>
        <v/>
      </c>
      <c r="C544" s="568" t="str">
        <f>'900000'!$B64</f>
        <v>09901044</v>
      </c>
      <c r="D544" s="27" t="str">
        <f>'900000'!$H$19</f>
        <v>C09901007</v>
      </c>
      <c r="E544" s="27">
        <f>'900000'!$H64</f>
        <v>0</v>
      </c>
      <c r="F544" s="27" t="s">
        <v>19081</v>
      </c>
    </row>
    <row r="545" spans="1:6">
      <c r="A545" s="27" t="str">
        <f>Resultados!$K$3</f>
        <v/>
      </c>
      <c r="B545" s="27" t="str">
        <f>Resultados!$K$4</f>
        <v/>
      </c>
      <c r="C545" s="568" t="str">
        <f>'900000'!$B65</f>
        <v>09901045</v>
      </c>
      <c r="D545" s="27" t="str">
        <f>'900000'!$H$19</f>
        <v>C09901007</v>
      </c>
      <c r="E545" s="27">
        <f>'900000'!$H65</f>
        <v>0</v>
      </c>
      <c r="F545" s="27" t="s">
        <v>19081</v>
      </c>
    </row>
    <row r="546" spans="1:6">
      <c r="A546" s="27" t="str">
        <f>Resultados!$K$3</f>
        <v/>
      </c>
      <c r="B546" s="27" t="str">
        <f>Resultados!$K$4</f>
        <v/>
      </c>
      <c r="C546" s="568" t="str">
        <f>'900000'!$B66</f>
        <v>09901046</v>
      </c>
      <c r="D546" s="27" t="str">
        <f>'900000'!$H$19</f>
        <v>C09901007</v>
      </c>
      <c r="E546" s="27">
        <f>'900000'!$H66</f>
        <v>0</v>
      </c>
      <c r="F546" s="27" t="s">
        <v>19081</v>
      </c>
    </row>
    <row r="547" spans="1:6">
      <c r="A547" s="27" t="str">
        <f>Resultados!$K$3</f>
        <v/>
      </c>
      <c r="B547" s="27" t="str">
        <f>Resultados!$K$4</f>
        <v/>
      </c>
      <c r="C547" s="568" t="str">
        <f>'900000'!$B67</f>
        <v>09901047</v>
      </c>
      <c r="D547" s="27" t="str">
        <f>'900000'!$H$19</f>
        <v>C09901007</v>
      </c>
      <c r="E547" s="27">
        <f>'900000'!$H67</f>
        <v>0</v>
      </c>
      <c r="F547" s="27" t="s">
        <v>19081</v>
      </c>
    </row>
    <row r="548" spans="1:6">
      <c r="A548" s="27" t="str">
        <f>Resultados!$K$3</f>
        <v/>
      </c>
      <c r="B548" s="27" t="str">
        <f>Resultados!$K$4</f>
        <v/>
      </c>
      <c r="C548" s="568" t="str">
        <f>'900000'!$B68</f>
        <v>09901048</v>
      </c>
      <c r="D548" s="27" t="str">
        <f>'900000'!$H$19</f>
        <v>C09901007</v>
      </c>
      <c r="E548" s="27">
        <f>'900000'!$H68</f>
        <v>0</v>
      </c>
      <c r="F548" s="27" t="s">
        <v>19081</v>
      </c>
    </row>
    <row r="549" spans="1:6">
      <c r="A549" s="27" t="str">
        <f>Resultados!$K$3</f>
        <v/>
      </c>
      <c r="B549" s="27" t="str">
        <f>Resultados!$K$4</f>
        <v/>
      </c>
      <c r="C549" s="568" t="str">
        <f>'900000'!$B69</f>
        <v>09901049</v>
      </c>
      <c r="D549" s="27" t="str">
        <f>'900000'!$H$19</f>
        <v>C09901007</v>
      </c>
      <c r="E549" s="27">
        <f>'900000'!$H69</f>
        <v>0</v>
      </c>
      <c r="F549" s="27" t="s">
        <v>19081</v>
      </c>
    </row>
    <row r="550" spans="1:6">
      <c r="A550" s="27" t="str">
        <f>Resultados!$K$3</f>
        <v/>
      </c>
      <c r="B550" s="27" t="str">
        <f>Resultados!$K$4</f>
        <v/>
      </c>
      <c r="C550" s="568" t="str">
        <f>'900000'!$B70</f>
        <v>09901050</v>
      </c>
      <c r="D550" s="27" t="str">
        <f>'900000'!$H$19</f>
        <v>C09901007</v>
      </c>
      <c r="E550" s="27">
        <f>'900000'!$H70</f>
        <v>0</v>
      </c>
      <c r="F550" s="27" t="s">
        <v>19081</v>
      </c>
    </row>
    <row r="551" spans="1:6">
      <c r="A551" s="27" t="str">
        <f>Resultados!$K$3</f>
        <v/>
      </c>
      <c r="B551" s="27" t="str">
        <f>Resultados!$K$4</f>
        <v/>
      </c>
      <c r="C551" s="568" t="str">
        <f>'900000'!$B71</f>
        <v>09901051</v>
      </c>
      <c r="D551" s="27" t="str">
        <f>'900000'!$H$19</f>
        <v>C09901007</v>
      </c>
      <c r="E551" s="27">
        <f>'900000'!$H71</f>
        <v>0</v>
      </c>
      <c r="F551" s="27" t="s">
        <v>19081</v>
      </c>
    </row>
    <row r="552" spans="1:6">
      <c r="A552" s="27" t="str">
        <f>Resultados!$K$3</f>
        <v/>
      </c>
      <c r="B552" s="27" t="str">
        <f>Resultados!$K$4</f>
        <v/>
      </c>
      <c r="C552" s="568" t="str">
        <f>'900000'!$B72</f>
        <v>09901052</v>
      </c>
      <c r="D552" s="27" t="str">
        <f>'900000'!$H$19</f>
        <v>C09901007</v>
      </c>
      <c r="E552" s="27">
        <f>'900000'!$H72</f>
        <v>0</v>
      </c>
      <c r="F552" s="27" t="s">
        <v>19081</v>
      </c>
    </row>
    <row r="553" spans="1:6">
      <c r="A553" s="27" t="str">
        <f>Resultados!$K$3</f>
        <v/>
      </c>
      <c r="B553" s="27" t="str">
        <f>Resultados!$K$4</f>
        <v/>
      </c>
      <c r="C553" s="568" t="str">
        <f>'900000'!$B73</f>
        <v>09901053</v>
      </c>
      <c r="D553" s="27" t="str">
        <f>'900000'!$H$19</f>
        <v>C09901007</v>
      </c>
      <c r="E553" s="27">
        <f>'900000'!$H73</f>
        <v>0</v>
      </c>
      <c r="F553" s="27" t="s">
        <v>19081</v>
      </c>
    </row>
    <row r="554" spans="1:6">
      <c r="A554" s="27" t="str">
        <f>Resultados!$K$3</f>
        <v/>
      </c>
      <c r="B554" s="27" t="str">
        <f>Resultados!$K$4</f>
        <v/>
      </c>
      <c r="C554" s="568" t="str">
        <f>'900000'!$B74</f>
        <v>09901054</v>
      </c>
      <c r="D554" s="27" t="str">
        <f>'900000'!$H$19</f>
        <v>C09901007</v>
      </c>
      <c r="E554" s="27">
        <f>'900000'!$H74</f>
        <v>0</v>
      </c>
      <c r="F554" s="27" t="s">
        <v>19081</v>
      </c>
    </row>
    <row r="555" spans="1:6">
      <c r="A555" s="27" t="str">
        <f>Resultados!$K$3</f>
        <v/>
      </c>
      <c r="B555" s="27" t="str">
        <f>Resultados!$K$4</f>
        <v/>
      </c>
      <c r="C555" s="568" t="str">
        <f>'900000'!$B75</f>
        <v>09901055</v>
      </c>
      <c r="D555" s="27" t="str">
        <f>'900000'!$H$19</f>
        <v>C09901007</v>
      </c>
      <c r="E555" s="27">
        <f>'900000'!$H75</f>
        <v>0</v>
      </c>
      <c r="F555" s="27" t="s">
        <v>19081</v>
      </c>
    </row>
    <row r="556" spans="1:6">
      <c r="A556" s="27" t="str">
        <f>Resultados!$K$3</f>
        <v/>
      </c>
      <c r="B556" s="27" t="str">
        <f>Resultados!$K$4</f>
        <v/>
      </c>
      <c r="C556" s="568" t="str">
        <f>'900000'!$B76</f>
        <v>09901056</v>
      </c>
      <c r="D556" s="27" t="str">
        <f>'900000'!$H$19</f>
        <v>C09901007</v>
      </c>
      <c r="E556" s="27">
        <f>'900000'!$H76</f>
        <v>0</v>
      </c>
      <c r="F556" s="27" t="s">
        <v>19081</v>
      </c>
    </row>
    <row r="557" spans="1:6">
      <c r="A557" s="27" t="str">
        <f>Resultados!$K$3</f>
        <v/>
      </c>
      <c r="B557" s="27" t="str">
        <f>Resultados!$K$4</f>
        <v/>
      </c>
      <c r="C557" s="568" t="str">
        <f>'900000'!$B77</f>
        <v>09901057</v>
      </c>
      <c r="D557" s="27" t="str">
        <f>'900000'!$H$19</f>
        <v>C09901007</v>
      </c>
      <c r="E557" s="27">
        <f>'900000'!$H77</f>
        <v>0</v>
      </c>
      <c r="F557" s="27" t="s">
        <v>19081</v>
      </c>
    </row>
    <row r="558" spans="1:6">
      <c r="A558" s="27" t="str">
        <f>Resultados!$K$3</f>
        <v/>
      </c>
      <c r="B558" s="27" t="str">
        <f>Resultados!$K$4</f>
        <v/>
      </c>
      <c r="C558" s="568" t="str">
        <f>'900000'!$B78</f>
        <v>09901058</v>
      </c>
      <c r="D558" s="27" t="str">
        <f>'900000'!$H$19</f>
        <v>C09901007</v>
      </c>
      <c r="E558" s="27">
        <f>'900000'!$H78</f>
        <v>0</v>
      </c>
      <c r="F558" s="27" t="s">
        <v>19081</v>
      </c>
    </row>
    <row r="559" spans="1:6">
      <c r="A559" s="27" t="str">
        <f>Resultados!$K$3</f>
        <v/>
      </c>
      <c r="B559" s="27" t="str">
        <f>Resultados!$K$4</f>
        <v/>
      </c>
      <c r="C559" s="568" t="str">
        <f>'900000'!$B79</f>
        <v>09901059</v>
      </c>
      <c r="D559" s="27" t="str">
        <f>'900000'!$H$19</f>
        <v>C09901007</v>
      </c>
      <c r="E559" s="27">
        <f>'900000'!$H79</f>
        <v>0</v>
      </c>
      <c r="F559" s="27" t="s">
        <v>19081</v>
      </c>
    </row>
    <row r="560" spans="1:6">
      <c r="A560" s="27" t="str">
        <f>Resultados!$K$3</f>
        <v/>
      </c>
      <c r="B560" s="27" t="str">
        <f>Resultados!$K$4</f>
        <v/>
      </c>
      <c r="C560" s="568" t="str">
        <f>'900000'!$B80</f>
        <v>09901060</v>
      </c>
      <c r="D560" s="27" t="str">
        <f>'900000'!$H$19</f>
        <v>C09901007</v>
      </c>
      <c r="E560" s="27">
        <f>'900000'!$H80</f>
        <v>0</v>
      </c>
      <c r="F560" s="27" t="s">
        <v>19081</v>
      </c>
    </row>
    <row r="561" spans="1:6">
      <c r="A561" s="27" t="str">
        <f>Resultados!$K$3</f>
        <v/>
      </c>
      <c r="B561" s="27" t="str">
        <f>Resultados!$K$4</f>
        <v/>
      </c>
      <c r="C561" s="568" t="str">
        <f>'900000'!$B81</f>
        <v>09901061</v>
      </c>
      <c r="D561" s="27" t="str">
        <f>'900000'!$H$19</f>
        <v>C09901007</v>
      </c>
      <c r="E561" s="27">
        <f>'900000'!$H81</f>
        <v>0</v>
      </c>
      <c r="F561" s="27" t="s">
        <v>19081</v>
      </c>
    </row>
    <row r="562" spans="1:6">
      <c r="A562" s="27" t="str">
        <f>Resultados!$K$3</f>
        <v/>
      </c>
      <c r="B562" s="27" t="str">
        <f>Resultados!$K$4</f>
        <v/>
      </c>
      <c r="C562" s="568" t="str">
        <f>'900000'!$B82</f>
        <v>09901062</v>
      </c>
      <c r="D562" s="27" t="str">
        <f>'900000'!$H$19</f>
        <v>C09901007</v>
      </c>
      <c r="E562" s="27">
        <f>'900000'!$H82</f>
        <v>0</v>
      </c>
      <c r="F562" s="27" t="s">
        <v>19081</v>
      </c>
    </row>
    <row r="563" spans="1:6">
      <c r="A563" s="27" t="str">
        <f>Resultados!$K$3</f>
        <v/>
      </c>
      <c r="B563" s="27" t="str">
        <f>Resultados!$K$4</f>
        <v/>
      </c>
      <c r="C563" s="568" t="str">
        <f>'900000'!$B83</f>
        <v>09901063</v>
      </c>
      <c r="D563" s="27" t="str">
        <f>'900000'!$H$19</f>
        <v>C09901007</v>
      </c>
      <c r="E563" s="27">
        <f>'900000'!$H83</f>
        <v>0</v>
      </c>
      <c r="F563" s="27" t="s">
        <v>19081</v>
      </c>
    </row>
    <row r="564" spans="1:6">
      <c r="A564" s="27" t="str">
        <f>Resultados!$K$3</f>
        <v/>
      </c>
      <c r="B564" s="27" t="str">
        <f>Resultados!$K$4</f>
        <v/>
      </c>
      <c r="C564" s="568" t="str">
        <f>'900000'!$B84</f>
        <v>09901064</v>
      </c>
      <c r="D564" s="27" t="str">
        <f>'900000'!$H$19</f>
        <v>C09901007</v>
      </c>
      <c r="E564" s="27">
        <f>'900000'!$H84</f>
        <v>0</v>
      </c>
      <c r="F564" s="27" t="s">
        <v>19081</v>
      </c>
    </row>
    <row r="565" spans="1:6">
      <c r="A565" s="27" t="str">
        <f>Resultados!$K$3</f>
        <v/>
      </c>
      <c r="B565" s="27" t="str">
        <f>Resultados!$K$4</f>
        <v/>
      </c>
      <c r="C565" s="568" t="str">
        <f>'900000'!$B85</f>
        <v>09901065</v>
      </c>
      <c r="D565" s="27" t="str">
        <f>'900000'!$H$19</f>
        <v>C09901007</v>
      </c>
      <c r="E565" s="27">
        <f>'900000'!$H85</f>
        <v>0</v>
      </c>
      <c r="F565" s="27" t="s">
        <v>19081</v>
      </c>
    </row>
    <row r="566" spans="1:6">
      <c r="A566" s="27" t="str">
        <f>Resultados!$K$3</f>
        <v/>
      </c>
      <c r="B566" s="27" t="str">
        <f>Resultados!$K$4</f>
        <v/>
      </c>
      <c r="C566" s="568" t="str">
        <f>'900000'!$B86</f>
        <v>09901066</v>
      </c>
      <c r="D566" s="27" t="str">
        <f>'900000'!$H$19</f>
        <v>C09901007</v>
      </c>
      <c r="E566" s="27">
        <f>'900000'!$H86</f>
        <v>0</v>
      </c>
      <c r="F566" s="27" t="s">
        <v>19081</v>
      </c>
    </row>
    <row r="567" spans="1:6">
      <c r="A567" s="27" t="str">
        <f>Resultados!$K$3</f>
        <v/>
      </c>
      <c r="B567" s="27" t="str">
        <f>Resultados!$K$4</f>
        <v/>
      </c>
      <c r="C567" s="568" t="str">
        <f>'900000'!$B87</f>
        <v>09901067</v>
      </c>
      <c r="D567" s="27" t="str">
        <f>'900000'!$H$19</f>
        <v>C09901007</v>
      </c>
      <c r="E567" s="27">
        <f>'900000'!$H87</f>
        <v>0</v>
      </c>
      <c r="F567" s="27" t="s">
        <v>19081</v>
      </c>
    </row>
    <row r="568" spans="1:6">
      <c r="A568" s="27" t="str">
        <f>Resultados!$K$3</f>
        <v/>
      </c>
      <c r="B568" s="27" t="str">
        <f>Resultados!$K$4</f>
        <v/>
      </c>
      <c r="C568" s="568" t="str">
        <f>'900000'!$B88</f>
        <v>09901068</v>
      </c>
      <c r="D568" s="27" t="str">
        <f>'900000'!$H$19</f>
        <v>C09901007</v>
      </c>
      <c r="E568" s="27">
        <f>'900000'!$H88</f>
        <v>0</v>
      </c>
      <c r="F568" s="27" t="s">
        <v>19081</v>
      </c>
    </row>
    <row r="569" spans="1:6">
      <c r="A569" s="27" t="str">
        <f>Resultados!$K$3</f>
        <v/>
      </c>
      <c r="B569" s="27" t="str">
        <f>Resultados!$K$4</f>
        <v/>
      </c>
      <c r="C569" s="568" t="str">
        <f>'900000'!$B89</f>
        <v>09901069</v>
      </c>
      <c r="D569" s="27" t="str">
        <f>'900000'!$H$19</f>
        <v>C09901007</v>
      </c>
      <c r="E569" s="27">
        <f>'900000'!$H89</f>
        <v>0</v>
      </c>
      <c r="F569" s="27" t="s">
        <v>19081</v>
      </c>
    </row>
    <row r="570" spans="1:6">
      <c r="A570" s="27" t="str">
        <f>Resultados!$K$3</f>
        <v/>
      </c>
      <c r="B570" s="27" t="str">
        <f>Resultados!$K$4</f>
        <v/>
      </c>
      <c r="C570" s="568" t="str">
        <f>'900000'!$B90</f>
        <v>09901070</v>
      </c>
      <c r="D570" s="27" t="str">
        <f>'900000'!$H$19</f>
        <v>C09901007</v>
      </c>
      <c r="E570" s="27">
        <f>'900000'!$H90</f>
        <v>0</v>
      </c>
      <c r="F570" s="27" t="s">
        <v>19081</v>
      </c>
    </row>
    <row r="571" spans="1:6">
      <c r="A571" s="27" t="str">
        <f>Resultados!$K$3</f>
        <v/>
      </c>
      <c r="B571" s="27" t="str">
        <f>Resultados!$K$4</f>
        <v/>
      </c>
      <c r="C571" s="568" t="str">
        <f>'900000'!$B91</f>
        <v>09901071</v>
      </c>
      <c r="D571" s="27" t="str">
        <f>'900000'!$H$19</f>
        <v>C09901007</v>
      </c>
      <c r="E571" s="27">
        <f>'900000'!$H91</f>
        <v>0</v>
      </c>
      <c r="F571" s="27" t="s">
        <v>19081</v>
      </c>
    </row>
    <row r="572" spans="1:6">
      <c r="A572" s="27" t="str">
        <f>Resultados!$K$3</f>
        <v/>
      </c>
      <c r="B572" s="27" t="str">
        <f>Resultados!$K$4</f>
        <v/>
      </c>
      <c r="C572" s="568" t="str">
        <f>'900000'!$B92</f>
        <v>09901072</v>
      </c>
      <c r="D572" s="27" t="str">
        <f>'900000'!$H$19</f>
        <v>C09901007</v>
      </c>
      <c r="E572" s="27">
        <f>'900000'!$H92</f>
        <v>0</v>
      </c>
      <c r="F572" s="27" t="s">
        <v>19081</v>
      </c>
    </row>
    <row r="573" spans="1:6">
      <c r="A573" s="27" t="str">
        <f>Resultados!$K$3</f>
        <v/>
      </c>
      <c r="B573" s="27" t="str">
        <f>Resultados!$K$4</f>
        <v/>
      </c>
      <c r="C573" s="568" t="str">
        <f>'900000'!$B93</f>
        <v>09901073</v>
      </c>
      <c r="D573" s="27" t="str">
        <f>'900000'!$H$19</f>
        <v>C09901007</v>
      </c>
      <c r="E573" s="27">
        <f>'900000'!$H93</f>
        <v>0</v>
      </c>
      <c r="F573" s="27" t="s">
        <v>19081</v>
      </c>
    </row>
    <row r="574" spans="1:6">
      <c r="A574" s="27" t="str">
        <f>Resultados!$K$3</f>
        <v/>
      </c>
      <c r="B574" s="27" t="str">
        <f>Resultados!$K$4</f>
        <v/>
      </c>
      <c r="C574" s="568" t="str">
        <f>'900000'!$B94</f>
        <v>09901074</v>
      </c>
      <c r="D574" s="27" t="str">
        <f>'900000'!$H$19</f>
        <v>C09901007</v>
      </c>
      <c r="E574" s="27">
        <f>'900000'!$H94</f>
        <v>0</v>
      </c>
      <c r="F574" s="27" t="s">
        <v>19081</v>
      </c>
    </row>
    <row r="575" spans="1:6">
      <c r="A575" s="27" t="str">
        <f>Resultados!$K$3</f>
        <v/>
      </c>
      <c r="B575" s="27" t="str">
        <f>Resultados!$K$4</f>
        <v/>
      </c>
      <c r="C575" s="568" t="str">
        <f>'900000'!$B95</f>
        <v>09901075</v>
      </c>
      <c r="D575" s="27" t="str">
        <f>'900000'!$H$19</f>
        <v>C09901007</v>
      </c>
      <c r="E575" s="27">
        <f>'900000'!$H95</f>
        <v>0</v>
      </c>
      <c r="F575" s="27" t="s">
        <v>19081</v>
      </c>
    </row>
    <row r="576" spans="1:6">
      <c r="A576" s="27" t="str">
        <f>Resultados!$K$3</f>
        <v/>
      </c>
      <c r="B576" s="27" t="str">
        <f>Resultados!$K$4</f>
        <v/>
      </c>
      <c r="C576" s="568" t="str">
        <f>'900000'!$B96</f>
        <v>09901076</v>
      </c>
      <c r="D576" s="27" t="str">
        <f>'900000'!$H$19</f>
        <v>C09901007</v>
      </c>
      <c r="E576" s="27">
        <f>'900000'!$H96</f>
        <v>0</v>
      </c>
      <c r="F576" s="27" t="s">
        <v>19081</v>
      </c>
    </row>
    <row r="577" spans="1:6">
      <c r="A577" s="27" t="str">
        <f>Resultados!$K$3</f>
        <v/>
      </c>
      <c r="B577" s="27" t="str">
        <f>Resultados!$K$4</f>
        <v/>
      </c>
      <c r="C577" s="568" t="str">
        <f>'900000'!$B97</f>
        <v>09901077</v>
      </c>
      <c r="D577" s="27" t="str">
        <f>'900000'!$H$19</f>
        <v>C09901007</v>
      </c>
      <c r="E577" s="27">
        <f>'900000'!$H97</f>
        <v>0</v>
      </c>
      <c r="F577" s="27" t="s">
        <v>19081</v>
      </c>
    </row>
    <row r="578" spans="1:6">
      <c r="A578" s="27" t="str">
        <f>Resultados!$K$3</f>
        <v/>
      </c>
      <c r="B578" s="27" t="str">
        <f>Resultados!$K$4</f>
        <v/>
      </c>
      <c r="C578" s="568" t="str">
        <f>'900000'!$B98</f>
        <v>09901078</v>
      </c>
      <c r="D578" s="27" t="str">
        <f>'900000'!$H$19</f>
        <v>C09901007</v>
      </c>
      <c r="E578" s="27">
        <f>'900000'!$H98</f>
        <v>0</v>
      </c>
      <c r="F578" s="27" t="s">
        <v>19081</v>
      </c>
    </row>
    <row r="579" spans="1:6">
      <c r="A579" s="27" t="str">
        <f>Resultados!$K$3</f>
        <v/>
      </c>
      <c r="B579" s="27" t="str">
        <f>Resultados!$K$4</f>
        <v/>
      </c>
      <c r="C579" s="568" t="str">
        <f>'900000'!$B99</f>
        <v>09901079</v>
      </c>
      <c r="D579" s="27" t="str">
        <f>'900000'!$H$19</f>
        <v>C09901007</v>
      </c>
      <c r="E579" s="27">
        <f>'900000'!$H99</f>
        <v>0</v>
      </c>
      <c r="F579" s="27" t="s">
        <v>19081</v>
      </c>
    </row>
    <row r="580" spans="1:6">
      <c r="A580" s="27" t="str">
        <f>Resultados!$K$3</f>
        <v/>
      </c>
      <c r="B580" s="27" t="str">
        <f>Resultados!$K$4</f>
        <v/>
      </c>
      <c r="C580" s="568" t="str">
        <f>'900000'!$B100</f>
        <v>09901080</v>
      </c>
      <c r="D580" s="27" t="str">
        <f>'900000'!$H$19</f>
        <v>C09901007</v>
      </c>
      <c r="E580" s="27">
        <f>'900000'!$H100</f>
        <v>0</v>
      </c>
      <c r="F580" s="27" t="s">
        <v>19081</v>
      </c>
    </row>
    <row r="581" spans="1:6">
      <c r="A581" s="27" t="str">
        <f>Resultados!$K$3</f>
        <v/>
      </c>
      <c r="B581" s="27" t="str">
        <f>Resultados!$K$4</f>
        <v/>
      </c>
      <c r="C581" s="568" t="str">
        <f>'900000'!$B101</f>
        <v>09901081</v>
      </c>
      <c r="D581" s="27" t="str">
        <f>'900000'!$H$19</f>
        <v>C09901007</v>
      </c>
      <c r="E581" s="27">
        <f>'900000'!$H101</f>
        <v>0</v>
      </c>
      <c r="F581" s="27" t="s">
        <v>19081</v>
      </c>
    </row>
    <row r="582" spans="1:6">
      <c r="A582" s="27" t="str">
        <f>Resultados!$K$3</f>
        <v/>
      </c>
      <c r="B582" s="27" t="str">
        <f>Resultados!$K$4</f>
        <v/>
      </c>
      <c r="C582" s="568" t="str">
        <f>'900000'!$B102</f>
        <v>09901082</v>
      </c>
      <c r="D582" s="27" t="str">
        <f>'900000'!$H$19</f>
        <v>C09901007</v>
      </c>
      <c r="E582" s="27">
        <f>'900000'!$H102</f>
        <v>0</v>
      </c>
      <c r="F582" s="27" t="s">
        <v>19081</v>
      </c>
    </row>
    <row r="583" spans="1:6">
      <c r="A583" s="27" t="str">
        <f>Resultados!$K$3</f>
        <v/>
      </c>
      <c r="B583" s="27" t="str">
        <f>Resultados!$K$4</f>
        <v/>
      </c>
      <c r="C583" s="568" t="str">
        <f>'900000'!$B103</f>
        <v>09901083</v>
      </c>
      <c r="D583" s="27" t="str">
        <f>'900000'!$H$19</f>
        <v>C09901007</v>
      </c>
      <c r="E583" s="27">
        <f>'900000'!$H103</f>
        <v>0</v>
      </c>
      <c r="F583" s="27" t="s">
        <v>19081</v>
      </c>
    </row>
    <row r="584" spans="1:6">
      <c r="A584" s="27" t="str">
        <f>Resultados!$K$3</f>
        <v/>
      </c>
      <c r="B584" s="27" t="str">
        <f>Resultados!$K$4</f>
        <v/>
      </c>
      <c r="C584" s="568" t="str">
        <f>'900000'!$B104</f>
        <v>09901084</v>
      </c>
      <c r="D584" s="27" t="str">
        <f>'900000'!$H$19</f>
        <v>C09901007</v>
      </c>
      <c r="E584" s="27">
        <f>'900000'!$H104</f>
        <v>0</v>
      </c>
      <c r="F584" s="27" t="s">
        <v>19081</v>
      </c>
    </row>
    <row r="585" spans="1:6">
      <c r="A585" s="27" t="str">
        <f>Resultados!$K$3</f>
        <v/>
      </c>
      <c r="B585" s="27" t="str">
        <f>Resultados!$K$4</f>
        <v/>
      </c>
      <c r="C585" s="568" t="str">
        <f>'900000'!$B105</f>
        <v>09901085</v>
      </c>
      <c r="D585" s="27" t="str">
        <f>'900000'!$H$19</f>
        <v>C09901007</v>
      </c>
      <c r="E585" s="27">
        <f>'900000'!$H105</f>
        <v>0</v>
      </c>
      <c r="F585" s="27" t="s">
        <v>19081</v>
      </c>
    </row>
    <row r="586" spans="1:6">
      <c r="A586" s="27" t="str">
        <f>Resultados!$K$3</f>
        <v/>
      </c>
      <c r="B586" s="27" t="str">
        <f>Resultados!$K$4</f>
        <v/>
      </c>
      <c r="C586" s="568" t="str">
        <f>'900000'!$B106</f>
        <v>09901086</v>
      </c>
      <c r="D586" s="27" t="str">
        <f>'900000'!$H$19</f>
        <v>C09901007</v>
      </c>
      <c r="E586" s="27">
        <f>'900000'!$H106</f>
        <v>0</v>
      </c>
      <c r="F586" s="27" t="s">
        <v>19081</v>
      </c>
    </row>
    <row r="587" spans="1:6">
      <c r="A587" s="27" t="str">
        <f>Resultados!$K$3</f>
        <v/>
      </c>
      <c r="B587" s="27" t="str">
        <f>Resultados!$K$4</f>
        <v/>
      </c>
      <c r="C587" s="568" t="str">
        <f>'900000'!$B107</f>
        <v>09901087</v>
      </c>
      <c r="D587" s="27" t="str">
        <f>'900000'!$H$19</f>
        <v>C09901007</v>
      </c>
      <c r="E587" s="27">
        <f>'900000'!$H107</f>
        <v>0</v>
      </c>
      <c r="F587" s="27" t="s">
        <v>19081</v>
      </c>
    </row>
    <row r="588" spans="1:6">
      <c r="A588" s="27" t="str">
        <f>Resultados!$K$3</f>
        <v/>
      </c>
      <c r="B588" s="27" t="str">
        <f>Resultados!$K$4</f>
        <v/>
      </c>
      <c r="C588" s="568" t="str">
        <f>'900000'!$B108</f>
        <v>09901088</v>
      </c>
      <c r="D588" s="27" t="str">
        <f>'900000'!$H$19</f>
        <v>C09901007</v>
      </c>
      <c r="E588" s="27">
        <f>'900000'!$H108</f>
        <v>0</v>
      </c>
      <c r="F588" s="27" t="s">
        <v>19081</v>
      </c>
    </row>
    <row r="589" spans="1:6">
      <c r="A589" s="27" t="str">
        <f>Resultados!$K$3</f>
        <v/>
      </c>
      <c r="B589" s="27" t="str">
        <f>Resultados!$K$4</f>
        <v/>
      </c>
      <c r="C589" s="568" t="str">
        <f>'900000'!$B109</f>
        <v>09901089</v>
      </c>
      <c r="D589" s="27" t="str">
        <f>'900000'!$H$19</f>
        <v>C09901007</v>
      </c>
      <c r="E589" s="27">
        <f>'900000'!$H109</f>
        <v>0</v>
      </c>
      <c r="F589" s="27" t="s">
        <v>19081</v>
      </c>
    </row>
    <row r="590" spans="1:6">
      <c r="A590" s="27" t="str">
        <f>Resultados!$K$3</f>
        <v/>
      </c>
      <c r="B590" s="27" t="str">
        <f>Resultados!$K$4</f>
        <v/>
      </c>
      <c r="C590" s="568" t="str">
        <f>'900000'!$B110</f>
        <v>09901090</v>
      </c>
      <c r="D590" s="27" t="str">
        <f>'900000'!$H$19</f>
        <v>C09901007</v>
      </c>
      <c r="E590" s="27">
        <f>'900000'!$H110</f>
        <v>0</v>
      </c>
      <c r="F590" s="27" t="s">
        <v>19081</v>
      </c>
    </row>
    <row r="591" spans="1:6">
      <c r="A591" s="27" t="str">
        <f>Resultados!$K$3</f>
        <v/>
      </c>
      <c r="B591" s="27" t="str">
        <f>Resultados!$K$4</f>
        <v/>
      </c>
      <c r="C591" s="568" t="str">
        <f>'900000'!$B111</f>
        <v>09901091</v>
      </c>
      <c r="D591" s="27" t="str">
        <f>'900000'!$H$19</f>
        <v>C09901007</v>
      </c>
      <c r="E591" s="27">
        <f>'900000'!$H111</f>
        <v>0</v>
      </c>
      <c r="F591" s="27" t="s">
        <v>19081</v>
      </c>
    </row>
    <row r="592" spans="1:6">
      <c r="A592" s="27" t="str">
        <f>Resultados!$K$3</f>
        <v/>
      </c>
      <c r="B592" s="27" t="str">
        <f>Resultados!$K$4</f>
        <v/>
      </c>
      <c r="C592" s="568" t="str">
        <f>'900000'!$B112</f>
        <v>09901092</v>
      </c>
      <c r="D592" s="27" t="str">
        <f>'900000'!$H$19</f>
        <v>C09901007</v>
      </c>
      <c r="E592" s="27">
        <f>'900000'!$H112</f>
        <v>0</v>
      </c>
      <c r="F592" s="27" t="s">
        <v>19081</v>
      </c>
    </row>
    <row r="593" spans="1:6">
      <c r="A593" s="27" t="str">
        <f>Resultados!$K$3</f>
        <v/>
      </c>
      <c r="B593" s="27" t="str">
        <f>Resultados!$K$4</f>
        <v/>
      </c>
      <c r="C593" s="568" t="str">
        <f>'900000'!$B113</f>
        <v>09901093</v>
      </c>
      <c r="D593" s="27" t="str">
        <f>'900000'!$H$19</f>
        <v>C09901007</v>
      </c>
      <c r="E593" s="27">
        <f>'900000'!$H113</f>
        <v>0</v>
      </c>
      <c r="F593" s="27" t="s">
        <v>19081</v>
      </c>
    </row>
    <row r="594" spans="1:6">
      <c r="A594" s="27" t="str">
        <f>Resultados!$K$3</f>
        <v/>
      </c>
      <c r="B594" s="27" t="str">
        <f>Resultados!$K$4</f>
        <v/>
      </c>
      <c r="C594" s="568" t="str">
        <f>'900000'!$B114</f>
        <v>09901094</v>
      </c>
      <c r="D594" s="27" t="str">
        <f>'900000'!$H$19</f>
        <v>C09901007</v>
      </c>
      <c r="E594" s="27">
        <f>'900000'!$H114</f>
        <v>0</v>
      </c>
      <c r="F594" s="27" t="s">
        <v>19081</v>
      </c>
    </row>
    <row r="595" spans="1:6">
      <c r="A595" s="27" t="str">
        <f>Resultados!$K$3</f>
        <v/>
      </c>
      <c r="B595" s="27" t="str">
        <f>Resultados!$K$4</f>
        <v/>
      </c>
      <c r="C595" s="568" t="str">
        <f>'900000'!$B115</f>
        <v>09901095</v>
      </c>
      <c r="D595" s="27" t="str">
        <f>'900000'!$H$19</f>
        <v>C09901007</v>
      </c>
      <c r="E595" s="27">
        <f>'900000'!$H115</f>
        <v>0</v>
      </c>
      <c r="F595" s="27" t="s">
        <v>19081</v>
      </c>
    </row>
    <row r="596" spans="1:6">
      <c r="A596" s="27" t="str">
        <f>Resultados!$K$3</f>
        <v/>
      </c>
      <c r="B596" s="27" t="str">
        <f>Resultados!$K$4</f>
        <v/>
      </c>
      <c r="C596" s="568" t="str">
        <f>'900000'!$B116</f>
        <v>09901096</v>
      </c>
      <c r="D596" s="27" t="str">
        <f>'900000'!$H$19</f>
        <v>C09901007</v>
      </c>
      <c r="E596" s="27">
        <f>'900000'!$H116</f>
        <v>0</v>
      </c>
      <c r="F596" s="27" t="s">
        <v>19081</v>
      </c>
    </row>
    <row r="597" spans="1:6">
      <c r="A597" s="27" t="str">
        <f>Resultados!$K$3</f>
        <v/>
      </c>
      <c r="B597" s="27" t="str">
        <f>Resultados!$K$4</f>
        <v/>
      </c>
      <c r="C597" s="568" t="str">
        <f>'900000'!$B117</f>
        <v>09901097</v>
      </c>
      <c r="D597" s="27" t="str">
        <f>'900000'!$H$19</f>
        <v>C09901007</v>
      </c>
      <c r="E597" s="27">
        <f>'900000'!$H117</f>
        <v>0</v>
      </c>
      <c r="F597" s="27" t="s">
        <v>19081</v>
      </c>
    </row>
    <row r="598" spans="1:6">
      <c r="A598" s="27" t="str">
        <f>Resultados!$K$3</f>
        <v/>
      </c>
      <c r="B598" s="27" t="str">
        <f>Resultados!$K$4</f>
        <v/>
      </c>
      <c r="C598" s="568" t="str">
        <f>'900000'!$B118</f>
        <v>09901098</v>
      </c>
      <c r="D598" s="27" t="str">
        <f>'900000'!$H$19</f>
        <v>C09901007</v>
      </c>
      <c r="E598" s="27">
        <f>'900000'!$H118</f>
        <v>0</v>
      </c>
      <c r="F598" s="27" t="s">
        <v>19081</v>
      </c>
    </row>
    <row r="599" spans="1:6">
      <c r="A599" s="27" t="str">
        <f>Resultados!$K$3</f>
        <v/>
      </c>
      <c r="B599" s="27" t="str">
        <f>Resultados!$K$4</f>
        <v/>
      </c>
      <c r="C599" s="568" t="str">
        <f>'900000'!$B119</f>
        <v>09901099</v>
      </c>
      <c r="D599" s="27" t="str">
        <f>'900000'!$H$19</f>
        <v>C09901007</v>
      </c>
      <c r="E599" s="27">
        <f>'900000'!$H119</f>
        <v>0</v>
      </c>
      <c r="F599" s="27" t="s">
        <v>19081</v>
      </c>
    </row>
    <row r="600" spans="1:6">
      <c r="A600" s="27" t="str">
        <f>Resultados!$K$3</f>
        <v/>
      </c>
      <c r="B600" s="27" t="str">
        <f>Resultados!$K$4</f>
        <v/>
      </c>
      <c r="C600" s="568" t="str">
        <f>'900000'!$B120</f>
        <v>09901100</v>
      </c>
      <c r="D600" s="27" t="str">
        <f>'900000'!$H$19</f>
        <v>C09901007</v>
      </c>
      <c r="E600" s="27">
        <f>'900000'!$H120</f>
        <v>0</v>
      </c>
      <c r="F600" s="27" t="s">
        <v>19081</v>
      </c>
    </row>
    <row r="601" spans="1:6">
      <c r="A601" s="27" t="str">
        <f>Resultados!$K$3</f>
        <v/>
      </c>
      <c r="B601" s="27" t="str">
        <f>Resultados!$K$4</f>
        <v/>
      </c>
      <c r="C601" s="568" t="str">
        <f>'900000'!$B121</f>
        <v>09901101</v>
      </c>
      <c r="D601" s="27" t="str">
        <f>'900000'!$H$19</f>
        <v>C09901007</v>
      </c>
      <c r="E601" s="27">
        <f>'900000'!$H121</f>
        <v>0</v>
      </c>
      <c r="F601" s="27" t="s">
        <v>19081</v>
      </c>
    </row>
    <row r="602" spans="1:6">
      <c r="A602" s="27" t="str">
        <f>Resultados!$K$3</f>
        <v/>
      </c>
      <c r="B602" s="27" t="str">
        <f>Resultados!$K$4</f>
        <v/>
      </c>
      <c r="C602" s="568" t="str">
        <f>'900000'!$B22</f>
        <v>09901002</v>
      </c>
      <c r="D602" t="str">
        <f>'900000'!$J$19</f>
        <v>C09901009</v>
      </c>
      <c r="E602">
        <f>'900000'!$J22</f>
        <v>0</v>
      </c>
      <c r="F602" s="27" t="s">
        <v>19081</v>
      </c>
    </row>
    <row r="603" spans="1:6">
      <c r="A603" s="27" t="str">
        <f>Resultados!$K$3</f>
        <v/>
      </c>
      <c r="B603" s="27" t="str">
        <f>Resultados!$K$4</f>
        <v/>
      </c>
      <c r="C603" s="568" t="str">
        <f>'900000'!$B23</f>
        <v>09901003</v>
      </c>
      <c r="D603" s="27" t="str">
        <f>'900000'!$J$19</f>
        <v>C09901009</v>
      </c>
      <c r="E603" s="27">
        <f>'900000'!$J23</f>
        <v>0</v>
      </c>
      <c r="F603" s="27" t="s">
        <v>19081</v>
      </c>
    </row>
    <row r="604" spans="1:6">
      <c r="A604" s="27" t="str">
        <f>Resultados!$K$3</f>
        <v/>
      </c>
      <c r="B604" s="27" t="str">
        <f>Resultados!$K$4</f>
        <v/>
      </c>
      <c r="C604" s="568" t="str">
        <f>'900000'!$B24</f>
        <v>09901004</v>
      </c>
      <c r="D604" s="27" t="str">
        <f>'900000'!$J$19</f>
        <v>C09901009</v>
      </c>
      <c r="E604" s="27">
        <f>'900000'!$J24</f>
        <v>0</v>
      </c>
      <c r="F604" s="27" t="s">
        <v>19081</v>
      </c>
    </row>
    <row r="605" spans="1:6">
      <c r="A605" s="27" t="str">
        <f>Resultados!$K$3</f>
        <v/>
      </c>
      <c r="B605" s="27" t="str">
        <f>Resultados!$K$4</f>
        <v/>
      </c>
      <c r="C605" s="568" t="str">
        <f>'900000'!$B25</f>
        <v>09901005</v>
      </c>
      <c r="D605" s="27" t="str">
        <f>'900000'!$J$19</f>
        <v>C09901009</v>
      </c>
      <c r="E605" s="27">
        <f>'900000'!$J25</f>
        <v>0</v>
      </c>
      <c r="F605" s="27" t="s">
        <v>19081</v>
      </c>
    </row>
    <row r="606" spans="1:6">
      <c r="A606" s="27" t="str">
        <f>Resultados!$K$3</f>
        <v/>
      </c>
      <c r="B606" s="27" t="str">
        <f>Resultados!$K$4</f>
        <v/>
      </c>
      <c r="C606" s="568" t="str">
        <f>'900000'!$B26</f>
        <v>09901006</v>
      </c>
      <c r="D606" s="27" t="str">
        <f>'900000'!$J$19</f>
        <v>C09901009</v>
      </c>
      <c r="E606" s="27">
        <f>'900000'!$J26</f>
        <v>0</v>
      </c>
      <c r="F606" s="27" t="s">
        <v>19081</v>
      </c>
    </row>
    <row r="607" spans="1:6">
      <c r="A607" s="27" t="str">
        <f>Resultados!$K$3</f>
        <v/>
      </c>
      <c r="B607" s="27" t="str">
        <f>Resultados!$K$4</f>
        <v/>
      </c>
      <c r="C607" s="568" t="str">
        <f>'900000'!$B27</f>
        <v>09901007</v>
      </c>
      <c r="D607" s="27" t="str">
        <f>'900000'!$J$19</f>
        <v>C09901009</v>
      </c>
      <c r="E607" s="27">
        <f>'900000'!$J27</f>
        <v>0</v>
      </c>
      <c r="F607" s="27" t="s">
        <v>19081</v>
      </c>
    </row>
    <row r="608" spans="1:6">
      <c r="A608" s="27" t="str">
        <f>Resultados!$K$3</f>
        <v/>
      </c>
      <c r="B608" s="27" t="str">
        <f>Resultados!$K$4</f>
        <v/>
      </c>
      <c r="C608" s="568" t="str">
        <f>'900000'!$B28</f>
        <v>09901008</v>
      </c>
      <c r="D608" s="27" t="str">
        <f>'900000'!$J$19</f>
        <v>C09901009</v>
      </c>
      <c r="E608" s="27">
        <f>'900000'!$J28</f>
        <v>0</v>
      </c>
      <c r="F608" s="27" t="s">
        <v>19081</v>
      </c>
    </row>
    <row r="609" spans="1:6">
      <c r="A609" s="27" t="str">
        <f>Resultados!$K$3</f>
        <v/>
      </c>
      <c r="B609" s="27" t="str">
        <f>Resultados!$K$4</f>
        <v/>
      </c>
      <c r="C609" s="568" t="str">
        <f>'900000'!$B29</f>
        <v>09901009</v>
      </c>
      <c r="D609" s="27" t="str">
        <f>'900000'!$J$19</f>
        <v>C09901009</v>
      </c>
      <c r="E609" s="27">
        <f>'900000'!$J29</f>
        <v>0</v>
      </c>
      <c r="F609" s="27" t="s">
        <v>19081</v>
      </c>
    </row>
    <row r="610" spans="1:6">
      <c r="A610" s="27" t="str">
        <f>Resultados!$K$3</f>
        <v/>
      </c>
      <c r="B610" s="27" t="str">
        <f>Resultados!$K$4</f>
        <v/>
      </c>
      <c r="C610" s="568" t="str">
        <f>'900000'!$B30</f>
        <v>09901010</v>
      </c>
      <c r="D610" s="27" t="str">
        <f>'900000'!$J$19</f>
        <v>C09901009</v>
      </c>
      <c r="E610" s="27">
        <f>'900000'!$J30</f>
        <v>0</v>
      </c>
      <c r="F610" s="27" t="s">
        <v>19081</v>
      </c>
    </row>
    <row r="611" spans="1:6">
      <c r="A611" s="27" t="str">
        <f>Resultados!$K$3</f>
        <v/>
      </c>
      <c r="B611" s="27" t="str">
        <f>Resultados!$K$4</f>
        <v/>
      </c>
      <c r="C611" s="568" t="str">
        <f>'900000'!$B31</f>
        <v>09901011</v>
      </c>
      <c r="D611" s="27" t="str">
        <f>'900000'!$J$19</f>
        <v>C09901009</v>
      </c>
      <c r="E611" s="27">
        <f>'900000'!$J31</f>
        <v>0</v>
      </c>
      <c r="F611" s="27" t="s">
        <v>19081</v>
      </c>
    </row>
    <row r="612" spans="1:6">
      <c r="A612" s="27" t="str">
        <f>Resultados!$K$3</f>
        <v/>
      </c>
      <c r="B612" s="27" t="str">
        <f>Resultados!$K$4</f>
        <v/>
      </c>
      <c r="C612" s="568" t="str">
        <f>'900000'!$B32</f>
        <v>09901012</v>
      </c>
      <c r="D612" s="27" t="str">
        <f>'900000'!$J$19</f>
        <v>C09901009</v>
      </c>
      <c r="E612" s="27">
        <f>'900000'!$J32</f>
        <v>0</v>
      </c>
      <c r="F612" s="27" t="s">
        <v>19081</v>
      </c>
    </row>
    <row r="613" spans="1:6">
      <c r="A613" s="27" t="str">
        <f>Resultados!$K$3</f>
        <v/>
      </c>
      <c r="B613" s="27" t="str">
        <f>Resultados!$K$4</f>
        <v/>
      </c>
      <c r="C613" s="568" t="str">
        <f>'900000'!$B33</f>
        <v>09901013</v>
      </c>
      <c r="D613" s="27" t="str">
        <f>'900000'!$J$19</f>
        <v>C09901009</v>
      </c>
      <c r="E613" s="27">
        <f>'900000'!$J33</f>
        <v>0</v>
      </c>
      <c r="F613" s="27" t="s">
        <v>19081</v>
      </c>
    </row>
    <row r="614" spans="1:6">
      <c r="A614" s="27" t="str">
        <f>Resultados!$K$3</f>
        <v/>
      </c>
      <c r="B614" s="27" t="str">
        <f>Resultados!$K$4</f>
        <v/>
      </c>
      <c r="C614" s="568" t="str">
        <f>'900000'!$B34</f>
        <v>09901014</v>
      </c>
      <c r="D614" s="27" t="str">
        <f>'900000'!$J$19</f>
        <v>C09901009</v>
      </c>
      <c r="E614" s="27">
        <f>'900000'!$J34</f>
        <v>0</v>
      </c>
      <c r="F614" s="27" t="s">
        <v>19081</v>
      </c>
    </row>
    <row r="615" spans="1:6">
      <c r="A615" s="27" t="str">
        <f>Resultados!$K$3</f>
        <v/>
      </c>
      <c r="B615" s="27" t="str">
        <f>Resultados!$K$4</f>
        <v/>
      </c>
      <c r="C615" s="568" t="str">
        <f>'900000'!$B35</f>
        <v>09901015</v>
      </c>
      <c r="D615" s="27" t="str">
        <f>'900000'!$J$19</f>
        <v>C09901009</v>
      </c>
      <c r="E615" s="27">
        <f>'900000'!$J35</f>
        <v>0</v>
      </c>
      <c r="F615" s="27" t="s">
        <v>19081</v>
      </c>
    </row>
    <row r="616" spans="1:6">
      <c r="A616" s="27" t="str">
        <f>Resultados!$K$3</f>
        <v/>
      </c>
      <c r="B616" s="27" t="str">
        <f>Resultados!$K$4</f>
        <v/>
      </c>
      <c r="C616" s="568" t="str">
        <f>'900000'!$B36</f>
        <v>09901016</v>
      </c>
      <c r="D616" s="27" t="str">
        <f>'900000'!$J$19</f>
        <v>C09901009</v>
      </c>
      <c r="E616" s="27">
        <f>'900000'!$J36</f>
        <v>0</v>
      </c>
      <c r="F616" s="27" t="s">
        <v>19081</v>
      </c>
    </row>
    <row r="617" spans="1:6">
      <c r="A617" s="27" t="str">
        <f>Resultados!$K$3</f>
        <v/>
      </c>
      <c r="B617" s="27" t="str">
        <f>Resultados!$K$4</f>
        <v/>
      </c>
      <c r="C617" s="568" t="str">
        <f>'900000'!$B37</f>
        <v>09901017</v>
      </c>
      <c r="D617" s="27" t="str">
        <f>'900000'!$J$19</f>
        <v>C09901009</v>
      </c>
      <c r="E617" s="27">
        <f>'900000'!$J37</f>
        <v>0</v>
      </c>
      <c r="F617" s="27" t="s">
        <v>19081</v>
      </c>
    </row>
    <row r="618" spans="1:6">
      <c r="A618" s="27" t="str">
        <f>Resultados!$K$3</f>
        <v/>
      </c>
      <c r="B618" s="27" t="str">
        <f>Resultados!$K$4</f>
        <v/>
      </c>
      <c r="C618" s="568" t="str">
        <f>'900000'!$B38</f>
        <v>09901018</v>
      </c>
      <c r="D618" s="27" t="str">
        <f>'900000'!$J$19</f>
        <v>C09901009</v>
      </c>
      <c r="E618" s="27">
        <f>'900000'!$J38</f>
        <v>0</v>
      </c>
      <c r="F618" s="27" t="s">
        <v>19081</v>
      </c>
    </row>
    <row r="619" spans="1:6">
      <c r="A619" s="27" t="str">
        <f>Resultados!$K$3</f>
        <v/>
      </c>
      <c r="B619" s="27" t="str">
        <f>Resultados!$K$4</f>
        <v/>
      </c>
      <c r="C619" s="568" t="str">
        <f>'900000'!$B39</f>
        <v>09901019</v>
      </c>
      <c r="D619" s="27" t="str">
        <f>'900000'!$J$19</f>
        <v>C09901009</v>
      </c>
      <c r="E619" s="27">
        <f>'900000'!$J39</f>
        <v>0</v>
      </c>
      <c r="F619" s="27" t="s">
        <v>19081</v>
      </c>
    </row>
    <row r="620" spans="1:6">
      <c r="A620" s="27" t="str">
        <f>Resultados!$K$3</f>
        <v/>
      </c>
      <c r="B620" s="27" t="str">
        <f>Resultados!$K$4</f>
        <v/>
      </c>
      <c r="C620" s="568" t="str">
        <f>'900000'!$B40</f>
        <v>09901020</v>
      </c>
      <c r="D620" s="27" t="str">
        <f>'900000'!$J$19</f>
        <v>C09901009</v>
      </c>
      <c r="E620" s="27">
        <f>'900000'!$J40</f>
        <v>0</v>
      </c>
      <c r="F620" s="27" t="s">
        <v>19081</v>
      </c>
    </row>
    <row r="621" spans="1:6">
      <c r="A621" s="27" t="str">
        <f>Resultados!$K$3</f>
        <v/>
      </c>
      <c r="B621" s="27" t="str">
        <f>Resultados!$K$4</f>
        <v/>
      </c>
      <c r="C621" s="568" t="str">
        <f>'900000'!$B41</f>
        <v>09901021</v>
      </c>
      <c r="D621" s="27" t="str">
        <f>'900000'!$J$19</f>
        <v>C09901009</v>
      </c>
      <c r="E621" s="27">
        <f>'900000'!$J41</f>
        <v>0</v>
      </c>
      <c r="F621" s="27" t="s">
        <v>19081</v>
      </c>
    </row>
    <row r="622" spans="1:6">
      <c r="A622" s="27" t="str">
        <f>Resultados!$K$3</f>
        <v/>
      </c>
      <c r="B622" s="27" t="str">
        <f>Resultados!$K$4</f>
        <v/>
      </c>
      <c r="C622" s="568" t="str">
        <f>'900000'!$B42</f>
        <v>09901022</v>
      </c>
      <c r="D622" s="27" t="str">
        <f>'900000'!$J$19</f>
        <v>C09901009</v>
      </c>
      <c r="E622" s="27">
        <f>'900000'!$J42</f>
        <v>0</v>
      </c>
      <c r="F622" s="27" t="s">
        <v>19081</v>
      </c>
    </row>
    <row r="623" spans="1:6">
      <c r="A623" s="27" t="str">
        <f>Resultados!$K$3</f>
        <v/>
      </c>
      <c r="B623" s="27" t="str">
        <f>Resultados!$K$4</f>
        <v/>
      </c>
      <c r="C623" s="568" t="str">
        <f>'900000'!$B43</f>
        <v>09901023</v>
      </c>
      <c r="D623" s="27" t="str">
        <f>'900000'!$J$19</f>
        <v>C09901009</v>
      </c>
      <c r="E623" s="27">
        <f>'900000'!$J43</f>
        <v>0</v>
      </c>
      <c r="F623" s="27" t="s">
        <v>19081</v>
      </c>
    </row>
    <row r="624" spans="1:6">
      <c r="A624" s="27" t="str">
        <f>Resultados!$K$3</f>
        <v/>
      </c>
      <c r="B624" s="27" t="str">
        <f>Resultados!$K$4</f>
        <v/>
      </c>
      <c r="C624" s="568" t="str">
        <f>'900000'!$B44</f>
        <v>09901024</v>
      </c>
      <c r="D624" s="27" t="str">
        <f>'900000'!$J$19</f>
        <v>C09901009</v>
      </c>
      <c r="E624" s="27">
        <f>'900000'!$J44</f>
        <v>0</v>
      </c>
      <c r="F624" s="27" t="s">
        <v>19081</v>
      </c>
    </row>
    <row r="625" spans="1:6">
      <c r="A625" s="27" t="str">
        <f>Resultados!$K$3</f>
        <v/>
      </c>
      <c r="B625" s="27" t="str">
        <f>Resultados!$K$4</f>
        <v/>
      </c>
      <c r="C625" s="568" t="str">
        <f>'900000'!$B45</f>
        <v>09901025</v>
      </c>
      <c r="D625" s="27" t="str">
        <f>'900000'!$J$19</f>
        <v>C09901009</v>
      </c>
      <c r="E625" s="27">
        <f>'900000'!$J45</f>
        <v>0</v>
      </c>
      <c r="F625" s="27" t="s">
        <v>19081</v>
      </c>
    </row>
    <row r="626" spans="1:6">
      <c r="A626" s="27" t="str">
        <f>Resultados!$K$3</f>
        <v/>
      </c>
      <c r="B626" s="27" t="str">
        <f>Resultados!$K$4</f>
        <v/>
      </c>
      <c r="C626" s="568" t="str">
        <f>'900000'!$B46</f>
        <v>09901026</v>
      </c>
      <c r="D626" s="27" t="str">
        <f>'900000'!$J$19</f>
        <v>C09901009</v>
      </c>
      <c r="E626" s="27">
        <f>'900000'!$J46</f>
        <v>0</v>
      </c>
      <c r="F626" s="27" t="s">
        <v>19081</v>
      </c>
    </row>
    <row r="627" spans="1:6">
      <c r="A627" s="27" t="str">
        <f>Resultados!$K$3</f>
        <v/>
      </c>
      <c r="B627" s="27" t="str">
        <f>Resultados!$K$4</f>
        <v/>
      </c>
      <c r="C627" s="568" t="str">
        <f>'900000'!$B47</f>
        <v>09901027</v>
      </c>
      <c r="D627" s="27" t="str">
        <f>'900000'!$J$19</f>
        <v>C09901009</v>
      </c>
      <c r="E627" s="27">
        <f>'900000'!$J47</f>
        <v>0</v>
      </c>
      <c r="F627" s="27" t="s">
        <v>19081</v>
      </c>
    </row>
    <row r="628" spans="1:6">
      <c r="A628" s="27" t="str">
        <f>Resultados!$K$3</f>
        <v/>
      </c>
      <c r="B628" s="27" t="str">
        <f>Resultados!$K$4</f>
        <v/>
      </c>
      <c r="C628" s="568" t="str">
        <f>'900000'!$B48</f>
        <v>09901028</v>
      </c>
      <c r="D628" s="27" t="str">
        <f>'900000'!$J$19</f>
        <v>C09901009</v>
      </c>
      <c r="E628" s="27">
        <f>'900000'!$J48</f>
        <v>0</v>
      </c>
      <c r="F628" s="27" t="s">
        <v>19081</v>
      </c>
    </row>
    <row r="629" spans="1:6">
      <c r="A629" s="27" t="str">
        <f>Resultados!$K$3</f>
        <v/>
      </c>
      <c r="B629" s="27" t="str">
        <f>Resultados!$K$4</f>
        <v/>
      </c>
      <c r="C629" s="568" t="str">
        <f>'900000'!$B49</f>
        <v>09901029</v>
      </c>
      <c r="D629" s="27" t="str">
        <f>'900000'!$J$19</f>
        <v>C09901009</v>
      </c>
      <c r="E629" s="27">
        <f>'900000'!$J49</f>
        <v>0</v>
      </c>
      <c r="F629" s="27" t="s">
        <v>19081</v>
      </c>
    </row>
    <row r="630" spans="1:6">
      <c r="A630" s="27" t="str">
        <f>Resultados!$K$3</f>
        <v/>
      </c>
      <c r="B630" s="27" t="str">
        <f>Resultados!$K$4</f>
        <v/>
      </c>
      <c r="C630" s="568" t="str">
        <f>'900000'!$B50</f>
        <v>09901030</v>
      </c>
      <c r="D630" s="27" t="str">
        <f>'900000'!$J$19</f>
        <v>C09901009</v>
      </c>
      <c r="E630" s="27">
        <f>'900000'!$J50</f>
        <v>0</v>
      </c>
      <c r="F630" s="27" t="s">
        <v>19081</v>
      </c>
    </row>
    <row r="631" spans="1:6">
      <c r="A631" s="27" t="str">
        <f>Resultados!$K$3</f>
        <v/>
      </c>
      <c r="B631" s="27" t="str">
        <f>Resultados!$K$4</f>
        <v/>
      </c>
      <c r="C631" s="568" t="str">
        <f>'900000'!$B51</f>
        <v>09901031</v>
      </c>
      <c r="D631" s="27" t="str">
        <f>'900000'!$J$19</f>
        <v>C09901009</v>
      </c>
      <c r="E631" s="27">
        <f>'900000'!$J51</f>
        <v>0</v>
      </c>
      <c r="F631" s="27" t="s">
        <v>19081</v>
      </c>
    </row>
    <row r="632" spans="1:6">
      <c r="A632" s="27" t="str">
        <f>Resultados!$K$3</f>
        <v/>
      </c>
      <c r="B632" s="27" t="str">
        <f>Resultados!$K$4</f>
        <v/>
      </c>
      <c r="C632" s="568" t="str">
        <f>'900000'!$B52</f>
        <v>09901032</v>
      </c>
      <c r="D632" s="27" t="str">
        <f>'900000'!$J$19</f>
        <v>C09901009</v>
      </c>
      <c r="E632" s="27">
        <f>'900000'!$J52</f>
        <v>0</v>
      </c>
      <c r="F632" s="27" t="s">
        <v>19081</v>
      </c>
    </row>
    <row r="633" spans="1:6">
      <c r="A633" s="27" t="str">
        <f>Resultados!$K$3</f>
        <v/>
      </c>
      <c r="B633" s="27" t="str">
        <f>Resultados!$K$4</f>
        <v/>
      </c>
      <c r="C633" s="568" t="str">
        <f>'900000'!$B53</f>
        <v>09901033</v>
      </c>
      <c r="D633" s="27" t="str">
        <f>'900000'!$J$19</f>
        <v>C09901009</v>
      </c>
      <c r="E633" s="27">
        <f>'900000'!$J53</f>
        <v>0</v>
      </c>
      <c r="F633" s="27" t="s">
        <v>19081</v>
      </c>
    </row>
    <row r="634" spans="1:6">
      <c r="A634" s="27" t="str">
        <f>Resultados!$K$3</f>
        <v/>
      </c>
      <c r="B634" s="27" t="str">
        <f>Resultados!$K$4</f>
        <v/>
      </c>
      <c r="C634" s="568" t="str">
        <f>'900000'!$B54</f>
        <v>09901034</v>
      </c>
      <c r="D634" s="27" t="str">
        <f>'900000'!$J$19</f>
        <v>C09901009</v>
      </c>
      <c r="E634" s="27">
        <f>'900000'!$J54</f>
        <v>0</v>
      </c>
      <c r="F634" s="27" t="s">
        <v>19081</v>
      </c>
    </row>
    <row r="635" spans="1:6">
      <c r="A635" s="27" t="str">
        <f>Resultados!$K$3</f>
        <v/>
      </c>
      <c r="B635" s="27" t="str">
        <f>Resultados!$K$4</f>
        <v/>
      </c>
      <c r="C635" s="568" t="str">
        <f>'900000'!$B55</f>
        <v>09901035</v>
      </c>
      <c r="D635" s="27" t="str">
        <f>'900000'!$J$19</f>
        <v>C09901009</v>
      </c>
      <c r="E635" s="27">
        <f>'900000'!$J55</f>
        <v>0</v>
      </c>
      <c r="F635" s="27" t="s">
        <v>19081</v>
      </c>
    </row>
    <row r="636" spans="1:6">
      <c r="A636" s="27" t="str">
        <f>Resultados!$K$3</f>
        <v/>
      </c>
      <c r="B636" s="27" t="str">
        <f>Resultados!$K$4</f>
        <v/>
      </c>
      <c r="C636" s="568" t="str">
        <f>'900000'!$B56</f>
        <v>09901036</v>
      </c>
      <c r="D636" s="27" t="str">
        <f>'900000'!$J$19</f>
        <v>C09901009</v>
      </c>
      <c r="E636" s="27">
        <f>'900000'!$J56</f>
        <v>0</v>
      </c>
      <c r="F636" s="27" t="s">
        <v>19081</v>
      </c>
    </row>
    <row r="637" spans="1:6">
      <c r="A637" s="27" t="str">
        <f>Resultados!$K$3</f>
        <v/>
      </c>
      <c r="B637" s="27" t="str">
        <f>Resultados!$K$4</f>
        <v/>
      </c>
      <c r="C637" s="568" t="str">
        <f>'900000'!$B57</f>
        <v>09901037</v>
      </c>
      <c r="D637" s="27" t="str">
        <f>'900000'!$J$19</f>
        <v>C09901009</v>
      </c>
      <c r="E637" s="27">
        <f>'900000'!$J57</f>
        <v>0</v>
      </c>
      <c r="F637" s="27" t="s">
        <v>19081</v>
      </c>
    </row>
    <row r="638" spans="1:6">
      <c r="A638" s="27" t="str">
        <f>Resultados!$K$3</f>
        <v/>
      </c>
      <c r="B638" s="27" t="str">
        <f>Resultados!$K$4</f>
        <v/>
      </c>
      <c r="C638" s="568" t="str">
        <f>'900000'!$B58</f>
        <v>09901038</v>
      </c>
      <c r="D638" s="27" t="str">
        <f>'900000'!$J$19</f>
        <v>C09901009</v>
      </c>
      <c r="E638" s="27">
        <f>'900000'!$J58</f>
        <v>0</v>
      </c>
      <c r="F638" s="27" t="s">
        <v>19081</v>
      </c>
    </row>
    <row r="639" spans="1:6">
      <c r="A639" s="27" t="str">
        <f>Resultados!$K$3</f>
        <v/>
      </c>
      <c r="B639" s="27" t="str">
        <f>Resultados!$K$4</f>
        <v/>
      </c>
      <c r="C639" s="568" t="str">
        <f>'900000'!$B59</f>
        <v>09901039</v>
      </c>
      <c r="D639" s="27" t="str">
        <f>'900000'!$J$19</f>
        <v>C09901009</v>
      </c>
      <c r="E639" s="27">
        <f>'900000'!$J59</f>
        <v>0</v>
      </c>
      <c r="F639" s="27" t="s">
        <v>19081</v>
      </c>
    </row>
    <row r="640" spans="1:6">
      <c r="A640" s="27" t="str">
        <f>Resultados!$K$3</f>
        <v/>
      </c>
      <c r="B640" s="27" t="str">
        <f>Resultados!$K$4</f>
        <v/>
      </c>
      <c r="C640" s="568" t="str">
        <f>'900000'!$B60</f>
        <v>09901040</v>
      </c>
      <c r="D640" s="27" t="str">
        <f>'900000'!$J$19</f>
        <v>C09901009</v>
      </c>
      <c r="E640" s="27">
        <f>'900000'!$J60</f>
        <v>0</v>
      </c>
      <c r="F640" s="27" t="s">
        <v>19081</v>
      </c>
    </row>
    <row r="641" spans="1:6">
      <c r="A641" s="27" t="str">
        <f>Resultados!$K$3</f>
        <v/>
      </c>
      <c r="B641" s="27" t="str">
        <f>Resultados!$K$4</f>
        <v/>
      </c>
      <c r="C641" s="568" t="str">
        <f>'900000'!$B61</f>
        <v>09901041</v>
      </c>
      <c r="D641" s="27" t="str">
        <f>'900000'!$J$19</f>
        <v>C09901009</v>
      </c>
      <c r="E641" s="27">
        <f>'900000'!$J61</f>
        <v>0</v>
      </c>
      <c r="F641" s="27" t="s">
        <v>19081</v>
      </c>
    </row>
    <row r="642" spans="1:6">
      <c r="A642" s="27" t="str">
        <f>Resultados!$K$3</f>
        <v/>
      </c>
      <c r="B642" s="27" t="str">
        <f>Resultados!$K$4</f>
        <v/>
      </c>
      <c r="C642" s="568" t="str">
        <f>'900000'!$B62</f>
        <v>09901042</v>
      </c>
      <c r="D642" s="27" t="str">
        <f>'900000'!$J$19</f>
        <v>C09901009</v>
      </c>
      <c r="E642" s="27">
        <f>'900000'!$J62</f>
        <v>0</v>
      </c>
      <c r="F642" s="27" t="s">
        <v>19081</v>
      </c>
    </row>
    <row r="643" spans="1:6">
      <c r="A643" s="27" t="str">
        <f>Resultados!$K$3</f>
        <v/>
      </c>
      <c r="B643" s="27" t="str">
        <f>Resultados!$K$4</f>
        <v/>
      </c>
      <c r="C643" s="568" t="str">
        <f>'900000'!$B63</f>
        <v>09901043</v>
      </c>
      <c r="D643" s="27" t="str">
        <f>'900000'!$J$19</f>
        <v>C09901009</v>
      </c>
      <c r="E643" s="27">
        <f>'900000'!$J63</f>
        <v>0</v>
      </c>
      <c r="F643" s="27" t="s">
        <v>19081</v>
      </c>
    </row>
    <row r="644" spans="1:6">
      <c r="A644" s="27" t="str">
        <f>Resultados!$K$3</f>
        <v/>
      </c>
      <c r="B644" s="27" t="str">
        <f>Resultados!$K$4</f>
        <v/>
      </c>
      <c r="C644" s="568" t="str">
        <f>'900000'!$B64</f>
        <v>09901044</v>
      </c>
      <c r="D644" s="27" t="str">
        <f>'900000'!$J$19</f>
        <v>C09901009</v>
      </c>
      <c r="E644" s="27">
        <f>'900000'!$J64</f>
        <v>0</v>
      </c>
      <c r="F644" s="27" t="s">
        <v>19081</v>
      </c>
    </row>
    <row r="645" spans="1:6">
      <c r="A645" s="27" t="str">
        <f>Resultados!$K$3</f>
        <v/>
      </c>
      <c r="B645" s="27" t="str">
        <f>Resultados!$K$4</f>
        <v/>
      </c>
      <c r="C645" s="568" t="str">
        <f>'900000'!$B65</f>
        <v>09901045</v>
      </c>
      <c r="D645" s="27" t="str">
        <f>'900000'!$J$19</f>
        <v>C09901009</v>
      </c>
      <c r="E645" s="27">
        <f>'900000'!$J65</f>
        <v>0</v>
      </c>
      <c r="F645" s="27" t="s">
        <v>19081</v>
      </c>
    </row>
    <row r="646" spans="1:6">
      <c r="A646" s="27" t="str">
        <f>Resultados!$K$3</f>
        <v/>
      </c>
      <c r="B646" s="27" t="str">
        <f>Resultados!$K$4</f>
        <v/>
      </c>
      <c r="C646" s="568" t="str">
        <f>'900000'!$B66</f>
        <v>09901046</v>
      </c>
      <c r="D646" s="27" t="str">
        <f>'900000'!$J$19</f>
        <v>C09901009</v>
      </c>
      <c r="E646" s="27">
        <f>'900000'!$J66</f>
        <v>0</v>
      </c>
      <c r="F646" s="27" t="s">
        <v>19081</v>
      </c>
    </row>
    <row r="647" spans="1:6">
      <c r="A647" s="27" t="str">
        <f>Resultados!$K$3</f>
        <v/>
      </c>
      <c r="B647" s="27" t="str">
        <f>Resultados!$K$4</f>
        <v/>
      </c>
      <c r="C647" s="568" t="str">
        <f>'900000'!$B67</f>
        <v>09901047</v>
      </c>
      <c r="D647" s="27" t="str">
        <f>'900000'!$J$19</f>
        <v>C09901009</v>
      </c>
      <c r="E647" s="27">
        <f>'900000'!$J67</f>
        <v>0</v>
      </c>
      <c r="F647" s="27" t="s">
        <v>19081</v>
      </c>
    </row>
    <row r="648" spans="1:6">
      <c r="A648" s="27" t="str">
        <f>Resultados!$K$3</f>
        <v/>
      </c>
      <c r="B648" s="27" t="str">
        <f>Resultados!$K$4</f>
        <v/>
      </c>
      <c r="C648" s="568" t="str">
        <f>'900000'!$B68</f>
        <v>09901048</v>
      </c>
      <c r="D648" s="27" t="str">
        <f>'900000'!$J$19</f>
        <v>C09901009</v>
      </c>
      <c r="E648" s="27">
        <f>'900000'!$J68</f>
        <v>0</v>
      </c>
      <c r="F648" s="27" t="s">
        <v>19081</v>
      </c>
    </row>
    <row r="649" spans="1:6">
      <c r="A649" s="27" t="str">
        <f>Resultados!$K$3</f>
        <v/>
      </c>
      <c r="B649" s="27" t="str">
        <f>Resultados!$K$4</f>
        <v/>
      </c>
      <c r="C649" s="568" t="str">
        <f>'900000'!$B69</f>
        <v>09901049</v>
      </c>
      <c r="D649" s="27" t="str">
        <f>'900000'!$J$19</f>
        <v>C09901009</v>
      </c>
      <c r="E649" s="27">
        <f>'900000'!$J69</f>
        <v>0</v>
      </c>
      <c r="F649" s="27" t="s">
        <v>19081</v>
      </c>
    </row>
    <row r="650" spans="1:6">
      <c r="A650" s="27" t="str">
        <f>Resultados!$K$3</f>
        <v/>
      </c>
      <c r="B650" s="27" t="str">
        <f>Resultados!$K$4</f>
        <v/>
      </c>
      <c r="C650" s="568" t="str">
        <f>'900000'!$B70</f>
        <v>09901050</v>
      </c>
      <c r="D650" s="27" t="str">
        <f>'900000'!$J$19</f>
        <v>C09901009</v>
      </c>
      <c r="E650" s="27">
        <f>'900000'!$J70</f>
        <v>0</v>
      </c>
      <c r="F650" s="27" t="s">
        <v>19081</v>
      </c>
    </row>
    <row r="651" spans="1:6">
      <c r="A651" s="27" t="str">
        <f>Resultados!$K$3</f>
        <v/>
      </c>
      <c r="B651" s="27" t="str">
        <f>Resultados!$K$4</f>
        <v/>
      </c>
      <c r="C651" s="568" t="str">
        <f>'900000'!$B71</f>
        <v>09901051</v>
      </c>
      <c r="D651" s="27" t="str">
        <f>'900000'!$J$19</f>
        <v>C09901009</v>
      </c>
      <c r="E651" s="27">
        <f>'900000'!$J71</f>
        <v>0</v>
      </c>
      <c r="F651" s="27" t="s">
        <v>19081</v>
      </c>
    </row>
    <row r="652" spans="1:6">
      <c r="A652" s="27" t="str">
        <f>Resultados!$K$3</f>
        <v/>
      </c>
      <c r="B652" s="27" t="str">
        <f>Resultados!$K$4</f>
        <v/>
      </c>
      <c r="C652" s="568" t="str">
        <f>'900000'!$B72</f>
        <v>09901052</v>
      </c>
      <c r="D652" s="27" t="str">
        <f>'900000'!$J$19</f>
        <v>C09901009</v>
      </c>
      <c r="E652" s="27">
        <f>'900000'!$J72</f>
        <v>0</v>
      </c>
      <c r="F652" s="27" t="s">
        <v>19081</v>
      </c>
    </row>
    <row r="653" spans="1:6">
      <c r="A653" s="27" t="str">
        <f>Resultados!$K$3</f>
        <v/>
      </c>
      <c r="B653" s="27" t="str">
        <f>Resultados!$K$4</f>
        <v/>
      </c>
      <c r="C653" s="568" t="str">
        <f>'900000'!$B73</f>
        <v>09901053</v>
      </c>
      <c r="D653" s="27" t="str">
        <f>'900000'!$J$19</f>
        <v>C09901009</v>
      </c>
      <c r="E653" s="27">
        <f>'900000'!$J73</f>
        <v>0</v>
      </c>
      <c r="F653" s="27" t="s">
        <v>19081</v>
      </c>
    </row>
    <row r="654" spans="1:6">
      <c r="A654" s="27" t="str">
        <f>Resultados!$K$3</f>
        <v/>
      </c>
      <c r="B654" s="27" t="str">
        <f>Resultados!$K$4</f>
        <v/>
      </c>
      <c r="C654" s="568" t="str">
        <f>'900000'!$B74</f>
        <v>09901054</v>
      </c>
      <c r="D654" s="27" t="str">
        <f>'900000'!$J$19</f>
        <v>C09901009</v>
      </c>
      <c r="E654" s="27">
        <f>'900000'!$J74</f>
        <v>0</v>
      </c>
      <c r="F654" s="27" t="s">
        <v>19081</v>
      </c>
    </row>
    <row r="655" spans="1:6">
      <c r="A655" s="27" t="str">
        <f>Resultados!$K$3</f>
        <v/>
      </c>
      <c r="B655" s="27" t="str">
        <f>Resultados!$K$4</f>
        <v/>
      </c>
      <c r="C655" s="568" t="str">
        <f>'900000'!$B75</f>
        <v>09901055</v>
      </c>
      <c r="D655" s="27" t="str">
        <f>'900000'!$J$19</f>
        <v>C09901009</v>
      </c>
      <c r="E655" s="27">
        <f>'900000'!$J75</f>
        <v>0</v>
      </c>
      <c r="F655" s="27" t="s">
        <v>19081</v>
      </c>
    </row>
    <row r="656" spans="1:6">
      <c r="A656" s="27" t="str">
        <f>Resultados!$K$3</f>
        <v/>
      </c>
      <c r="B656" s="27" t="str">
        <f>Resultados!$K$4</f>
        <v/>
      </c>
      <c r="C656" s="568" t="str">
        <f>'900000'!$B76</f>
        <v>09901056</v>
      </c>
      <c r="D656" s="27" t="str">
        <f>'900000'!$J$19</f>
        <v>C09901009</v>
      </c>
      <c r="E656" s="27">
        <f>'900000'!$J76</f>
        <v>0</v>
      </c>
      <c r="F656" s="27" t="s">
        <v>19081</v>
      </c>
    </row>
    <row r="657" spans="1:6">
      <c r="A657" s="27" t="str">
        <f>Resultados!$K$3</f>
        <v/>
      </c>
      <c r="B657" s="27" t="str">
        <f>Resultados!$K$4</f>
        <v/>
      </c>
      <c r="C657" s="568" t="str">
        <f>'900000'!$B77</f>
        <v>09901057</v>
      </c>
      <c r="D657" s="27" t="str">
        <f>'900000'!$J$19</f>
        <v>C09901009</v>
      </c>
      <c r="E657" s="27">
        <f>'900000'!$J77</f>
        <v>0</v>
      </c>
      <c r="F657" s="27" t="s">
        <v>19081</v>
      </c>
    </row>
    <row r="658" spans="1:6">
      <c r="A658" s="27" t="str">
        <f>Resultados!$K$3</f>
        <v/>
      </c>
      <c r="B658" s="27" t="str">
        <f>Resultados!$K$4</f>
        <v/>
      </c>
      <c r="C658" s="568" t="str">
        <f>'900000'!$B78</f>
        <v>09901058</v>
      </c>
      <c r="D658" s="27" t="str">
        <f>'900000'!$J$19</f>
        <v>C09901009</v>
      </c>
      <c r="E658" s="27">
        <f>'900000'!$J78</f>
        <v>0</v>
      </c>
      <c r="F658" s="27" t="s">
        <v>19081</v>
      </c>
    </row>
    <row r="659" spans="1:6">
      <c r="A659" s="27" t="str">
        <f>Resultados!$K$3</f>
        <v/>
      </c>
      <c r="B659" s="27" t="str">
        <f>Resultados!$K$4</f>
        <v/>
      </c>
      <c r="C659" s="568" t="str">
        <f>'900000'!$B79</f>
        <v>09901059</v>
      </c>
      <c r="D659" s="27" t="str">
        <f>'900000'!$J$19</f>
        <v>C09901009</v>
      </c>
      <c r="E659" s="27">
        <f>'900000'!$J79</f>
        <v>0</v>
      </c>
      <c r="F659" s="27" t="s">
        <v>19081</v>
      </c>
    </row>
    <row r="660" spans="1:6">
      <c r="A660" s="27" t="str">
        <f>Resultados!$K$3</f>
        <v/>
      </c>
      <c r="B660" s="27" t="str">
        <f>Resultados!$K$4</f>
        <v/>
      </c>
      <c r="C660" s="568" t="str">
        <f>'900000'!$B80</f>
        <v>09901060</v>
      </c>
      <c r="D660" s="27" t="str">
        <f>'900000'!$J$19</f>
        <v>C09901009</v>
      </c>
      <c r="E660" s="27">
        <f>'900000'!$J80</f>
        <v>0</v>
      </c>
      <c r="F660" s="27" t="s">
        <v>19081</v>
      </c>
    </row>
    <row r="661" spans="1:6">
      <c r="A661" s="27" t="str">
        <f>Resultados!$K$3</f>
        <v/>
      </c>
      <c r="B661" s="27" t="str">
        <f>Resultados!$K$4</f>
        <v/>
      </c>
      <c r="C661" s="568" t="str">
        <f>'900000'!$B81</f>
        <v>09901061</v>
      </c>
      <c r="D661" s="27" t="str">
        <f>'900000'!$J$19</f>
        <v>C09901009</v>
      </c>
      <c r="E661" s="27">
        <f>'900000'!$J81</f>
        <v>0</v>
      </c>
      <c r="F661" s="27" t="s">
        <v>19081</v>
      </c>
    </row>
    <row r="662" spans="1:6">
      <c r="A662" s="27" t="str">
        <f>Resultados!$K$3</f>
        <v/>
      </c>
      <c r="B662" s="27" t="str">
        <f>Resultados!$K$4</f>
        <v/>
      </c>
      <c r="C662" s="568" t="str">
        <f>'900000'!$B82</f>
        <v>09901062</v>
      </c>
      <c r="D662" s="27" t="str">
        <f>'900000'!$J$19</f>
        <v>C09901009</v>
      </c>
      <c r="E662" s="27">
        <f>'900000'!$J82</f>
        <v>0</v>
      </c>
      <c r="F662" s="27" t="s">
        <v>19081</v>
      </c>
    </row>
    <row r="663" spans="1:6">
      <c r="A663" s="27" t="str">
        <f>Resultados!$K$3</f>
        <v/>
      </c>
      <c r="B663" s="27" t="str">
        <f>Resultados!$K$4</f>
        <v/>
      </c>
      <c r="C663" s="568" t="str">
        <f>'900000'!$B83</f>
        <v>09901063</v>
      </c>
      <c r="D663" s="27" t="str">
        <f>'900000'!$J$19</f>
        <v>C09901009</v>
      </c>
      <c r="E663" s="27">
        <f>'900000'!$J83</f>
        <v>0</v>
      </c>
      <c r="F663" s="27" t="s">
        <v>19081</v>
      </c>
    </row>
    <row r="664" spans="1:6">
      <c r="A664" s="27" t="str">
        <f>Resultados!$K$3</f>
        <v/>
      </c>
      <c r="B664" s="27" t="str">
        <f>Resultados!$K$4</f>
        <v/>
      </c>
      <c r="C664" s="568" t="str">
        <f>'900000'!$B84</f>
        <v>09901064</v>
      </c>
      <c r="D664" s="27" t="str">
        <f>'900000'!$J$19</f>
        <v>C09901009</v>
      </c>
      <c r="E664" s="27">
        <f>'900000'!$J84</f>
        <v>0</v>
      </c>
      <c r="F664" s="27" t="s">
        <v>19081</v>
      </c>
    </row>
    <row r="665" spans="1:6">
      <c r="A665" s="27" t="str">
        <f>Resultados!$K$3</f>
        <v/>
      </c>
      <c r="B665" s="27" t="str">
        <f>Resultados!$K$4</f>
        <v/>
      </c>
      <c r="C665" s="568" t="str">
        <f>'900000'!$B85</f>
        <v>09901065</v>
      </c>
      <c r="D665" s="27" t="str">
        <f>'900000'!$J$19</f>
        <v>C09901009</v>
      </c>
      <c r="E665" s="27">
        <f>'900000'!$J85</f>
        <v>0</v>
      </c>
      <c r="F665" s="27" t="s">
        <v>19081</v>
      </c>
    </row>
    <row r="666" spans="1:6">
      <c r="A666" s="27" t="str">
        <f>Resultados!$K$3</f>
        <v/>
      </c>
      <c r="B666" s="27" t="str">
        <f>Resultados!$K$4</f>
        <v/>
      </c>
      <c r="C666" s="568" t="str">
        <f>'900000'!$B86</f>
        <v>09901066</v>
      </c>
      <c r="D666" s="27" t="str">
        <f>'900000'!$J$19</f>
        <v>C09901009</v>
      </c>
      <c r="E666" s="27">
        <f>'900000'!$J86</f>
        <v>0</v>
      </c>
      <c r="F666" s="27" t="s">
        <v>19081</v>
      </c>
    </row>
    <row r="667" spans="1:6">
      <c r="A667" s="27" t="str">
        <f>Resultados!$K$3</f>
        <v/>
      </c>
      <c r="B667" s="27" t="str">
        <f>Resultados!$K$4</f>
        <v/>
      </c>
      <c r="C667" s="568" t="str">
        <f>'900000'!$B87</f>
        <v>09901067</v>
      </c>
      <c r="D667" s="27" t="str">
        <f>'900000'!$J$19</f>
        <v>C09901009</v>
      </c>
      <c r="E667" s="27">
        <f>'900000'!$J87</f>
        <v>0</v>
      </c>
      <c r="F667" s="27" t="s">
        <v>19081</v>
      </c>
    </row>
    <row r="668" spans="1:6">
      <c r="A668" s="27" t="str">
        <f>Resultados!$K$3</f>
        <v/>
      </c>
      <c r="B668" s="27" t="str">
        <f>Resultados!$K$4</f>
        <v/>
      </c>
      <c r="C668" s="568" t="str">
        <f>'900000'!$B88</f>
        <v>09901068</v>
      </c>
      <c r="D668" s="27" t="str">
        <f>'900000'!$J$19</f>
        <v>C09901009</v>
      </c>
      <c r="E668" s="27">
        <f>'900000'!$J88</f>
        <v>0</v>
      </c>
      <c r="F668" s="27" t="s">
        <v>19081</v>
      </c>
    </row>
    <row r="669" spans="1:6">
      <c r="A669" s="27" t="str">
        <f>Resultados!$K$3</f>
        <v/>
      </c>
      <c r="B669" s="27" t="str">
        <f>Resultados!$K$4</f>
        <v/>
      </c>
      <c r="C669" s="568" t="str">
        <f>'900000'!$B89</f>
        <v>09901069</v>
      </c>
      <c r="D669" s="27" t="str">
        <f>'900000'!$J$19</f>
        <v>C09901009</v>
      </c>
      <c r="E669" s="27">
        <f>'900000'!$J89</f>
        <v>0</v>
      </c>
      <c r="F669" s="27" t="s">
        <v>19081</v>
      </c>
    </row>
    <row r="670" spans="1:6">
      <c r="A670" s="27" t="str">
        <f>Resultados!$K$3</f>
        <v/>
      </c>
      <c r="B670" s="27" t="str">
        <f>Resultados!$K$4</f>
        <v/>
      </c>
      <c r="C670" s="568" t="str">
        <f>'900000'!$B90</f>
        <v>09901070</v>
      </c>
      <c r="D670" s="27" t="str">
        <f>'900000'!$J$19</f>
        <v>C09901009</v>
      </c>
      <c r="E670" s="27">
        <f>'900000'!$J90</f>
        <v>0</v>
      </c>
      <c r="F670" s="27" t="s">
        <v>19081</v>
      </c>
    </row>
    <row r="671" spans="1:6">
      <c r="A671" s="27" t="str">
        <f>Resultados!$K$3</f>
        <v/>
      </c>
      <c r="B671" s="27" t="str">
        <f>Resultados!$K$4</f>
        <v/>
      </c>
      <c r="C671" s="568" t="str">
        <f>'900000'!$B91</f>
        <v>09901071</v>
      </c>
      <c r="D671" s="27" t="str">
        <f>'900000'!$J$19</f>
        <v>C09901009</v>
      </c>
      <c r="E671" s="27">
        <f>'900000'!$J91</f>
        <v>0</v>
      </c>
      <c r="F671" s="27" t="s">
        <v>19081</v>
      </c>
    </row>
    <row r="672" spans="1:6">
      <c r="A672" s="27" t="str">
        <f>Resultados!$K$3</f>
        <v/>
      </c>
      <c r="B672" s="27" t="str">
        <f>Resultados!$K$4</f>
        <v/>
      </c>
      <c r="C672" s="568" t="str">
        <f>'900000'!$B92</f>
        <v>09901072</v>
      </c>
      <c r="D672" s="27" t="str">
        <f>'900000'!$J$19</f>
        <v>C09901009</v>
      </c>
      <c r="E672" s="27">
        <f>'900000'!$J92</f>
        <v>0</v>
      </c>
      <c r="F672" s="27" t="s">
        <v>19081</v>
      </c>
    </row>
    <row r="673" spans="1:6">
      <c r="A673" s="27" t="str">
        <f>Resultados!$K$3</f>
        <v/>
      </c>
      <c r="B673" s="27" t="str">
        <f>Resultados!$K$4</f>
        <v/>
      </c>
      <c r="C673" s="568" t="str">
        <f>'900000'!$B93</f>
        <v>09901073</v>
      </c>
      <c r="D673" s="27" t="str">
        <f>'900000'!$J$19</f>
        <v>C09901009</v>
      </c>
      <c r="E673" s="27">
        <f>'900000'!$J93</f>
        <v>0</v>
      </c>
      <c r="F673" s="27" t="s">
        <v>19081</v>
      </c>
    </row>
    <row r="674" spans="1:6">
      <c r="A674" s="27" t="str">
        <f>Resultados!$K$3</f>
        <v/>
      </c>
      <c r="B674" s="27" t="str">
        <f>Resultados!$K$4</f>
        <v/>
      </c>
      <c r="C674" s="568" t="str">
        <f>'900000'!$B94</f>
        <v>09901074</v>
      </c>
      <c r="D674" s="27" t="str">
        <f>'900000'!$J$19</f>
        <v>C09901009</v>
      </c>
      <c r="E674" s="27">
        <f>'900000'!$J94</f>
        <v>0</v>
      </c>
      <c r="F674" s="27" t="s">
        <v>19081</v>
      </c>
    </row>
    <row r="675" spans="1:6">
      <c r="A675" s="27" t="str">
        <f>Resultados!$K$3</f>
        <v/>
      </c>
      <c r="B675" s="27" t="str">
        <f>Resultados!$K$4</f>
        <v/>
      </c>
      <c r="C675" s="568" t="str">
        <f>'900000'!$B95</f>
        <v>09901075</v>
      </c>
      <c r="D675" s="27" t="str">
        <f>'900000'!$J$19</f>
        <v>C09901009</v>
      </c>
      <c r="E675" s="27">
        <f>'900000'!$J95</f>
        <v>0</v>
      </c>
      <c r="F675" s="27" t="s">
        <v>19081</v>
      </c>
    </row>
    <row r="676" spans="1:6">
      <c r="A676" s="27" t="str">
        <f>Resultados!$K$3</f>
        <v/>
      </c>
      <c r="B676" s="27" t="str">
        <f>Resultados!$K$4</f>
        <v/>
      </c>
      <c r="C676" s="568" t="str">
        <f>'900000'!$B96</f>
        <v>09901076</v>
      </c>
      <c r="D676" s="27" t="str">
        <f>'900000'!$J$19</f>
        <v>C09901009</v>
      </c>
      <c r="E676" s="27">
        <f>'900000'!$J96</f>
        <v>0</v>
      </c>
      <c r="F676" s="27" t="s">
        <v>19081</v>
      </c>
    </row>
    <row r="677" spans="1:6">
      <c r="A677" s="27" t="str">
        <f>Resultados!$K$3</f>
        <v/>
      </c>
      <c r="B677" s="27" t="str">
        <f>Resultados!$K$4</f>
        <v/>
      </c>
      <c r="C677" s="568" t="str">
        <f>'900000'!$B97</f>
        <v>09901077</v>
      </c>
      <c r="D677" s="27" t="str">
        <f>'900000'!$J$19</f>
        <v>C09901009</v>
      </c>
      <c r="E677" s="27">
        <f>'900000'!$J97</f>
        <v>0</v>
      </c>
      <c r="F677" s="27" t="s">
        <v>19081</v>
      </c>
    </row>
    <row r="678" spans="1:6">
      <c r="A678" s="27" t="str">
        <f>Resultados!$K$3</f>
        <v/>
      </c>
      <c r="B678" s="27" t="str">
        <f>Resultados!$K$4</f>
        <v/>
      </c>
      <c r="C678" s="568" t="str">
        <f>'900000'!$B98</f>
        <v>09901078</v>
      </c>
      <c r="D678" s="27" t="str">
        <f>'900000'!$J$19</f>
        <v>C09901009</v>
      </c>
      <c r="E678" s="27">
        <f>'900000'!$J98</f>
        <v>0</v>
      </c>
      <c r="F678" s="27" t="s">
        <v>19081</v>
      </c>
    </row>
    <row r="679" spans="1:6">
      <c r="A679" s="27" t="str">
        <f>Resultados!$K$3</f>
        <v/>
      </c>
      <c r="B679" s="27" t="str">
        <f>Resultados!$K$4</f>
        <v/>
      </c>
      <c r="C679" s="568" t="str">
        <f>'900000'!$B99</f>
        <v>09901079</v>
      </c>
      <c r="D679" s="27" t="str">
        <f>'900000'!$J$19</f>
        <v>C09901009</v>
      </c>
      <c r="E679" s="27">
        <f>'900000'!$J99</f>
        <v>0</v>
      </c>
      <c r="F679" s="27" t="s">
        <v>19081</v>
      </c>
    </row>
    <row r="680" spans="1:6">
      <c r="A680" s="27" t="str">
        <f>Resultados!$K$3</f>
        <v/>
      </c>
      <c r="B680" s="27" t="str">
        <f>Resultados!$K$4</f>
        <v/>
      </c>
      <c r="C680" s="568" t="str">
        <f>'900000'!$B100</f>
        <v>09901080</v>
      </c>
      <c r="D680" s="27" t="str">
        <f>'900000'!$J$19</f>
        <v>C09901009</v>
      </c>
      <c r="E680" s="27">
        <f>'900000'!$J100</f>
        <v>0</v>
      </c>
      <c r="F680" s="27" t="s">
        <v>19081</v>
      </c>
    </row>
    <row r="681" spans="1:6">
      <c r="A681" s="27" t="str">
        <f>Resultados!$K$3</f>
        <v/>
      </c>
      <c r="B681" s="27" t="str">
        <f>Resultados!$K$4</f>
        <v/>
      </c>
      <c r="C681" s="568" t="str">
        <f>'900000'!$B101</f>
        <v>09901081</v>
      </c>
      <c r="D681" s="27" t="str">
        <f>'900000'!$J$19</f>
        <v>C09901009</v>
      </c>
      <c r="E681" s="27">
        <f>'900000'!$J101</f>
        <v>0</v>
      </c>
      <c r="F681" s="27" t="s">
        <v>19081</v>
      </c>
    </row>
    <row r="682" spans="1:6">
      <c r="A682" s="27" t="str">
        <f>Resultados!$K$3</f>
        <v/>
      </c>
      <c r="B682" s="27" t="str">
        <f>Resultados!$K$4</f>
        <v/>
      </c>
      <c r="C682" s="568" t="str">
        <f>'900000'!$B102</f>
        <v>09901082</v>
      </c>
      <c r="D682" s="27" t="str">
        <f>'900000'!$J$19</f>
        <v>C09901009</v>
      </c>
      <c r="E682" s="27">
        <f>'900000'!$J102</f>
        <v>0</v>
      </c>
      <c r="F682" s="27" t="s">
        <v>19081</v>
      </c>
    </row>
    <row r="683" spans="1:6">
      <c r="A683" s="27" t="str">
        <f>Resultados!$K$3</f>
        <v/>
      </c>
      <c r="B683" s="27" t="str">
        <f>Resultados!$K$4</f>
        <v/>
      </c>
      <c r="C683" s="568" t="str">
        <f>'900000'!$B103</f>
        <v>09901083</v>
      </c>
      <c r="D683" s="27" t="str">
        <f>'900000'!$J$19</f>
        <v>C09901009</v>
      </c>
      <c r="E683" s="27">
        <f>'900000'!$J103</f>
        <v>0</v>
      </c>
      <c r="F683" s="27" t="s">
        <v>19081</v>
      </c>
    </row>
    <row r="684" spans="1:6">
      <c r="A684" s="27" t="str">
        <f>Resultados!$K$3</f>
        <v/>
      </c>
      <c r="B684" s="27" t="str">
        <f>Resultados!$K$4</f>
        <v/>
      </c>
      <c r="C684" s="568" t="str">
        <f>'900000'!$B104</f>
        <v>09901084</v>
      </c>
      <c r="D684" s="27" t="str">
        <f>'900000'!$J$19</f>
        <v>C09901009</v>
      </c>
      <c r="E684" s="27">
        <f>'900000'!$J104</f>
        <v>0</v>
      </c>
      <c r="F684" s="27" t="s">
        <v>19081</v>
      </c>
    </row>
    <row r="685" spans="1:6">
      <c r="A685" s="27" t="str">
        <f>Resultados!$K$3</f>
        <v/>
      </c>
      <c r="B685" s="27" t="str">
        <f>Resultados!$K$4</f>
        <v/>
      </c>
      <c r="C685" s="568" t="str">
        <f>'900000'!$B105</f>
        <v>09901085</v>
      </c>
      <c r="D685" s="27" t="str">
        <f>'900000'!$J$19</f>
        <v>C09901009</v>
      </c>
      <c r="E685" s="27">
        <f>'900000'!$J105</f>
        <v>0</v>
      </c>
      <c r="F685" s="27" t="s">
        <v>19081</v>
      </c>
    </row>
    <row r="686" spans="1:6">
      <c r="A686" s="27" t="str">
        <f>Resultados!$K$3</f>
        <v/>
      </c>
      <c r="B686" s="27" t="str">
        <f>Resultados!$K$4</f>
        <v/>
      </c>
      <c r="C686" s="568" t="str">
        <f>'900000'!$B106</f>
        <v>09901086</v>
      </c>
      <c r="D686" s="27" t="str">
        <f>'900000'!$J$19</f>
        <v>C09901009</v>
      </c>
      <c r="E686" s="27">
        <f>'900000'!$J106</f>
        <v>0</v>
      </c>
      <c r="F686" s="27" t="s">
        <v>19081</v>
      </c>
    </row>
    <row r="687" spans="1:6">
      <c r="A687" s="27" t="str">
        <f>Resultados!$K$3</f>
        <v/>
      </c>
      <c r="B687" s="27" t="str">
        <f>Resultados!$K$4</f>
        <v/>
      </c>
      <c r="C687" s="568" t="str">
        <f>'900000'!$B107</f>
        <v>09901087</v>
      </c>
      <c r="D687" s="27" t="str">
        <f>'900000'!$J$19</f>
        <v>C09901009</v>
      </c>
      <c r="E687" s="27">
        <f>'900000'!$J107</f>
        <v>0</v>
      </c>
      <c r="F687" s="27" t="s">
        <v>19081</v>
      </c>
    </row>
    <row r="688" spans="1:6">
      <c r="A688" s="27" t="str">
        <f>Resultados!$K$3</f>
        <v/>
      </c>
      <c r="B688" s="27" t="str">
        <f>Resultados!$K$4</f>
        <v/>
      </c>
      <c r="C688" s="568" t="str">
        <f>'900000'!$B108</f>
        <v>09901088</v>
      </c>
      <c r="D688" s="27" t="str">
        <f>'900000'!$J$19</f>
        <v>C09901009</v>
      </c>
      <c r="E688" s="27">
        <f>'900000'!$J108</f>
        <v>0</v>
      </c>
      <c r="F688" s="27" t="s">
        <v>19081</v>
      </c>
    </row>
    <row r="689" spans="1:6">
      <c r="A689" s="27" t="str">
        <f>Resultados!$K$3</f>
        <v/>
      </c>
      <c r="B689" s="27" t="str">
        <f>Resultados!$K$4</f>
        <v/>
      </c>
      <c r="C689" s="568" t="str">
        <f>'900000'!$B109</f>
        <v>09901089</v>
      </c>
      <c r="D689" s="27" t="str">
        <f>'900000'!$J$19</f>
        <v>C09901009</v>
      </c>
      <c r="E689" s="27">
        <f>'900000'!$J109</f>
        <v>0</v>
      </c>
      <c r="F689" s="27" t="s">
        <v>19081</v>
      </c>
    </row>
    <row r="690" spans="1:6">
      <c r="A690" s="27" t="str">
        <f>Resultados!$K$3</f>
        <v/>
      </c>
      <c r="B690" s="27" t="str">
        <f>Resultados!$K$4</f>
        <v/>
      </c>
      <c r="C690" s="568" t="str">
        <f>'900000'!$B110</f>
        <v>09901090</v>
      </c>
      <c r="D690" s="27" t="str">
        <f>'900000'!$J$19</f>
        <v>C09901009</v>
      </c>
      <c r="E690" s="27">
        <f>'900000'!$J110</f>
        <v>0</v>
      </c>
      <c r="F690" s="27" t="s">
        <v>19081</v>
      </c>
    </row>
    <row r="691" spans="1:6">
      <c r="A691" s="27" t="str">
        <f>Resultados!$K$3</f>
        <v/>
      </c>
      <c r="B691" s="27" t="str">
        <f>Resultados!$K$4</f>
        <v/>
      </c>
      <c r="C691" s="568" t="str">
        <f>'900000'!$B111</f>
        <v>09901091</v>
      </c>
      <c r="D691" s="27" t="str">
        <f>'900000'!$J$19</f>
        <v>C09901009</v>
      </c>
      <c r="E691" s="27">
        <f>'900000'!$J111</f>
        <v>0</v>
      </c>
      <c r="F691" s="27" t="s">
        <v>19081</v>
      </c>
    </row>
    <row r="692" spans="1:6">
      <c r="A692" s="27" t="str">
        <f>Resultados!$K$3</f>
        <v/>
      </c>
      <c r="B692" s="27" t="str">
        <f>Resultados!$K$4</f>
        <v/>
      </c>
      <c r="C692" s="568" t="str">
        <f>'900000'!$B112</f>
        <v>09901092</v>
      </c>
      <c r="D692" s="27" t="str">
        <f>'900000'!$J$19</f>
        <v>C09901009</v>
      </c>
      <c r="E692" s="27">
        <f>'900000'!$J112</f>
        <v>0</v>
      </c>
      <c r="F692" s="27" t="s">
        <v>19081</v>
      </c>
    </row>
    <row r="693" spans="1:6">
      <c r="A693" s="27" t="str">
        <f>Resultados!$K$3</f>
        <v/>
      </c>
      <c r="B693" s="27" t="str">
        <f>Resultados!$K$4</f>
        <v/>
      </c>
      <c r="C693" s="568" t="str">
        <f>'900000'!$B113</f>
        <v>09901093</v>
      </c>
      <c r="D693" s="27" t="str">
        <f>'900000'!$J$19</f>
        <v>C09901009</v>
      </c>
      <c r="E693" s="27">
        <f>'900000'!$J113</f>
        <v>0</v>
      </c>
      <c r="F693" s="27" t="s">
        <v>19081</v>
      </c>
    </row>
    <row r="694" spans="1:6">
      <c r="A694" s="27" t="str">
        <f>Resultados!$K$3</f>
        <v/>
      </c>
      <c r="B694" s="27" t="str">
        <f>Resultados!$K$4</f>
        <v/>
      </c>
      <c r="C694" s="568" t="str">
        <f>'900000'!$B114</f>
        <v>09901094</v>
      </c>
      <c r="D694" s="27" t="str">
        <f>'900000'!$J$19</f>
        <v>C09901009</v>
      </c>
      <c r="E694" s="27">
        <f>'900000'!$J114</f>
        <v>0</v>
      </c>
      <c r="F694" s="27" t="s">
        <v>19081</v>
      </c>
    </row>
    <row r="695" spans="1:6">
      <c r="A695" s="27" t="str">
        <f>Resultados!$K$3</f>
        <v/>
      </c>
      <c r="B695" s="27" t="str">
        <f>Resultados!$K$4</f>
        <v/>
      </c>
      <c r="C695" s="568" t="str">
        <f>'900000'!$B115</f>
        <v>09901095</v>
      </c>
      <c r="D695" s="27" t="str">
        <f>'900000'!$J$19</f>
        <v>C09901009</v>
      </c>
      <c r="E695" s="27">
        <f>'900000'!$J115</f>
        <v>0</v>
      </c>
      <c r="F695" s="27" t="s">
        <v>19081</v>
      </c>
    </row>
    <row r="696" spans="1:6">
      <c r="A696" s="27" t="str">
        <f>Resultados!$K$3</f>
        <v/>
      </c>
      <c r="B696" s="27" t="str">
        <f>Resultados!$K$4</f>
        <v/>
      </c>
      <c r="C696" s="568" t="str">
        <f>'900000'!$B116</f>
        <v>09901096</v>
      </c>
      <c r="D696" s="27" t="str">
        <f>'900000'!$J$19</f>
        <v>C09901009</v>
      </c>
      <c r="E696" s="27">
        <f>'900000'!$J116</f>
        <v>0</v>
      </c>
      <c r="F696" s="27" t="s">
        <v>19081</v>
      </c>
    </row>
    <row r="697" spans="1:6">
      <c r="A697" s="27" t="str">
        <f>Resultados!$K$3</f>
        <v/>
      </c>
      <c r="B697" s="27" t="str">
        <f>Resultados!$K$4</f>
        <v/>
      </c>
      <c r="C697" s="568" t="str">
        <f>'900000'!$B117</f>
        <v>09901097</v>
      </c>
      <c r="D697" s="27" t="str">
        <f>'900000'!$J$19</f>
        <v>C09901009</v>
      </c>
      <c r="E697" s="27">
        <f>'900000'!$J117</f>
        <v>0</v>
      </c>
      <c r="F697" s="27" t="s">
        <v>19081</v>
      </c>
    </row>
    <row r="698" spans="1:6">
      <c r="A698" s="27" t="str">
        <f>Resultados!$K$3</f>
        <v/>
      </c>
      <c r="B698" s="27" t="str">
        <f>Resultados!$K$4</f>
        <v/>
      </c>
      <c r="C698" s="568" t="str">
        <f>'900000'!$B118</f>
        <v>09901098</v>
      </c>
      <c r="D698" s="27" t="str">
        <f>'900000'!$J$19</f>
        <v>C09901009</v>
      </c>
      <c r="E698" s="27">
        <f>'900000'!$J118</f>
        <v>0</v>
      </c>
      <c r="F698" s="27" t="s">
        <v>19081</v>
      </c>
    </row>
    <row r="699" spans="1:6">
      <c r="A699" s="27" t="str">
        <f>Resultados!$K$3</f>
        <v/>
      </c>
      <c r="B699" s="27" t="str">
        <f>Resultados!$K$4</f>
        <v/>
      </c>
      <c r="C699" s="568" t="str">
        <f>'900000'!$B119</f>
        <v>09901099</v>
      </c>
      <c r="D699" s="27" t="str">
        <f>'900000'!$J$19</f>
        <v>C09901009</v>
      </c>
      <c r="E699" s="27">
        <f>'900000'!$J119</f>
        <v>0</v>
      </c>
      <c r="F699" s="27" t="s">
        <v>19081</v>
      </c>
    </row>
    <row r="700" spans="1:6">
      <c r="A700" s="27" t="str">
        <f>Resultados!$K$3</f>
        <v/>
      </c>
      <c r="B700" s="27" t="str">
        <f>Resultados!$K$4</f>
        <v/>
      </c>
      <c r="C700" s="568" t="str">
        <f>'900000'!$B120</f>
        <v>09901100</v>
      </c>
      <c r="D700" s="27" t="str">
        <f>'900000'!$J$19</f>
        <v>C09901009</v>
      </c>
      <c r="E700" s="27">
        <f>'900000'!$J120</f>
        <v>0</v>
      </c>
      <c r="F700" s="27" t="s">
        <v>19081</v>
      </c>
    </row>
    <row r="701" spans="1:6">
      <c r="A701" s="27" t="str">
        <f>Resultados!$K$3</f>
        <v/>
      </c>
      <c r="B701" s="27" t="str">
        <f>Resultados!$K$4</f>
        <v/>
      </c>
      <c r="C701" s="568" t="str">
        <f>'900000'!$B121</f>
        <v>09901101</v>
      </c>
      <c r="D701" s="27" t="str">
        <f>'900000'!$J$19</f>
        <v>C09901009</v>
      </c>
      <c r="E701" s="27">
        <f>'900000'!$J121</f>
        <v>0</v>
      </c>
      <c r="F701" s="27" t="s">
        <v>19081</v>
      </c>
    </row>
    <row r="702" spans="1:6">
      <c r="A702" s="27" t="str">
        <f>Resultados!$K$3</f>
        <v/>
      </c>
      <c r="B702" s="27" t="str">
        <f>Resultados!$K$4</f>
        <v/>
      </c>
      <c r="C702" s="568" t="str">
        <f>'900000'!$B22</f>
        <v>09901002</v>
      </c>
      <c r="D702" t="str">
        <f>'900000'!$K$19</f>
        <v>C09901010</v>
      </c>
      <c r="E702" t="str">
        <f>'900000'!$K22</f>
        <v/>
      </c>
      <c r="F702" s="27" t="s">
        <v>19081</v>
      </c>
    </row>
    <row r="703" spans="1:6">
      <c r="A703" s="27" t="str">
        <f>Resultados!$K$3</f>
        <v/>
      </c>
      <c r="B703" s="27" t="str">
        <f>Resultados!$K$4</f>
        <v/>
      </c>
      <c r="C703" s="568" t="str">
        <f>'900000'!$B23</f>
        <v>09901003</v>
      </c>
      <c r="D703" s="27" t="str">
        <f>'900000'!$K$19</f>
        <v>C09901010</v>
      </c>
      <c r="E703" s="27" t="str">
        <f>'900000'!$K23</f>
        <v/>
      </c>
      <c r="F703" s="27" t="s">
        <v>19081</v>
      </c>
    </row>
    <row r="704" spans="1:6">
      <c r="A704" s="27" t="str">
        <f>Resultados!$K$3</f>
        <v/>
      </c>
      <c r="B704" s="27" t="str">
        <f>Resultados!$K$4</f>
        <v/>
      </c>
      <c r="C704" s="568" t="str">
        <f>'900000'!$B24</f>
        <v>09901004</v>
      </c>
      <c r="D704" s="27" t="str">
        <f>'900000'!$K$19</f>
        <v>C09901010</v>
      </c>
      <c r="E704" s="27" t="str">
        <f>'900000'!$K24</f>
        <v/>
      </c>
      <c r="F704" s="27" t="s">
        <v>19081</v>
      </c>
    </row>
    <row r="705" spans="1:6">
      <c r="A705" s="27" t="str">
        <f>Resultados!$K$3</f>
        <v/>
      </c>
      <c r="B705" s="27" t="str">
        <f>Resultados!$K$4</f>
        <v/>
      </c>
      <c r="C705" s="568" t="str">
        <f>'900000'!$B25</f>
        <v>09901005</v>
      </c>
      <c r="D705" s="27" t="str">
        <f>'900000'!$K$19</f>
        <v>C09901010</v>
      </c>
      <c r="E705" s="27" t="str">
        <f>'900000'!$K25</f>
        <v/>
      </c>
      <c r="F705" s="27" t="s">
        <v>19081</v>
      </c>
    </row>
    <row r="706" spans="1:6">
      <c r="A706" s="27" t="str">
        <f>Resultados!$K$3</f>
        <v/>
      </c>
      <c r="B706" s="27" t="str">
        <f>Resultados!$K$4</f>
        <v/>
      </c>
      <c r="C706" s="568" t="str">
        <f>'900000'!$B26</f>
        <v>09901006</v>
      </c>
      <c r="D706" s="27" t="str">
        <f>'900000'!$K$19</f>
        <v>C09901010</v>
      </c>
      <c r="E706" s="27" t="str">
        <f>'900000'!$K26</f>
        <v/>
      </c>
      <c r="F706" s="27" t="s">
        <v>19081</v>
      </c>
    </row>
    <row r="707" spans="1:6">
      <c r="A707" s="27" t="str">
        <f>Resultados!$K$3</f>
        <v/>
      </c>
      <c r="B707" s="27" t="str">
        <f>Resultados!$K$4</f>
        <v/>
      </c>
      <c r="C707" s="568" t="str">
        <f>'900000'!$B27</f>
        <v>09901007</v>
      </c>
      <c r="D707" s="27" t="str">
        <f>'900000'!$K$19</f>
        <v>C09901010</v>
      </c>
      <c r="E707" s="27" t="str">
        <f>'900000'!$K27</f>
        <v/>
      </c>
      <c r="F707" s="27" t="s">
        <v>19081</v>
      </c>
    </row>
    <row r="708" spans="1:6">
      <c r="A708" s="27" t="str">
        <f>Resultados!$K$3</f>
        <v/>
      </c>
      <c r="B708" s="27" t="str">
        <f>Resultados!$K$4</f>
        <v/>
      </c>
      <c r="C708" s="568" t="str">
        <f>'900000'!$B28</f>
        <v>09901008</v>
      </c>
      <c r="D708" s="27" t="str">
        <f>'900000'!$K$19</f>
        <v>C09901010</v>
      </c>
      <c r="E708" s="27" t="str">
        <f>'900000'!$K28</f>
        <v/>
      </c>
      <c r="F708" s="27" t="s">
        <v>19081</v>
      </c>
    </row>
    <row r="709" spans="1:6">
      <c r="A709" s="27" t="str">
        <f>Resultados!$K$3</f>
        <v/>
      </c>
      <c r="B709" s="27" t="str">
        <f>Resultados!$K$4</f>
        <v/>
      </c>
      <c r="C709" s="568" t="str">
        <f>'900000'!$B29</f>
        <v>09901009</v>
      </c>
      <c r="D709" s="27" t="str">
        <f>'900000'!$K$19</f>
        <v>C09901010</v>
      </c>
      <c r="E709" s="27" t="str">
        <f>'900000'!$K29</f>
        <v/>
      </c>
      <c r="F709" s="27" t="s">
        <v>19081</v>
      </c>
    </row>
    <row r="710" spans="1:6">
      <c r="A710" s="27" t="str">
        <f>Resultados!$K$3</f>
        <v/>
      </c>
      <c r="B710" s="27" t="str">
        <f>Resultados!$K$4</f>
        <v/>
      </c>
      <c r="C710" s="568" t="str">
        <f>'900000'!$B30</f>
        <v>09901010</v>
      </c>
      <c r="D710" s="27" t="str">
        <f>'900000'!$K$19</f>
        <v>C09901010</v>
      </c>
      <c r="E710" s="27" t="str">
        <f>'900000'!$K30</f>
        <v/>
      </c>
      <c r="F710" s="27" t="s">
        <v>19081</v>
      </c>
    </row>
    <row r="711" spans="1:6">
      <c r="A711" s="27" t="str">
        <f>Resultados!$K$3</f>
        <v/>
      </c>
      <c r="B711" s="27" t="str">
        <f>Resultados!$K$4</f>
        <v/>
      </c>
      <c r="C711" s="568" t="str">
        <f>'900000'!$B31</f>
        <v>09901011</v>
      </c>
      <c r="D711" s="27" t="str">
        <f>'900000'!$K$19</f>
        <v>C09901010</v>
      </c>
      <c r="E711" s="27" t="str">
        <f>'900000'!$K31</f>
        <v/>
      </c>
      <c r="F711" s="27" t="s">
        <v>19081</v>
      </c>
    </row>
    <row r="712" spans="1:6">
      <c r="A712" s="27" t="str">
        <f>Resultados!$K$3</f>
        <v/>
      </c>
      <c r="B712" s="27" t="str">
        <f>Resultados!$K$4</f>
        <v/>
      </c>
      <c r="C712" s="568" t="str">
        <f>'900000'!$B32</f>
        <v>09901012</v>
      </c>
      <c r="D712" s="27" t="str">
        <f>'900000'!$K$19</f>
        <v>C09901010</v>
      </c>
      <c r="E712" s="27" t="str">
        <f>'900000'!$K32</f>
        <v/>
      </c>
      <c r="F712" s="27" t="s">
        <v>19081</v>
      </c>
    </row>
    <row r="713" spans="1:6">
      <c r="A713" s="27" t="str">
        <f>Resultados!$K$3</f>
        <v/>
      </c>
      <c r="B713" s="27" t="str">
        <f>Resultados!$K$4</f>
        <v/>
      </c>
      <c r="C713" s="568" t="str">
        <f>'900000'!$B33</f>
        <v>09901013</v>
      </c>
      <c r="D713" s="27" t="str">
        <f>'900000'!$K$19</f>
        <v>C09901010</v>
      </c>
      <c r="E713" s="27" t="str">
        <f>'900000'!$K33</f>
        <v/>
      </c>
      <c r="F713" s="27" t="s">
        <v>19081</v>
      </c>
    </row>
    <row r="714" spans="1:6">
      <c r="A714" s="27" t="str">
        <f>Resultados!$K$3</f>
        <v/>
      </c>
      <c r="B714" s="27" t="str">
        <f>Resultados!$K$4</f>
        <v/>
      </c>
      <c r="C714" s="568" t="str">
        <f>'900000'!$B34</f>
        <v>09901014</v>
      </c>
      <c r="D714" s="27" t="str">
        <f>'900000'!$K$19</f>
        <v>C09901010</v>
      </c>
      <c r="E714" s="27" t="str">
        <f>'900000'!$K34</f>
        <v/>
      </c>
      <c r="F714" s="27" t="s">
        <v>19081</v>
      </c>
    </row>
    <row r="715" spans="1:6">
      <c r="A715" s="27" t="str">
        <f>Resultados!$K$3</f>
        <v/>
      </c>
      <c r="B715" s="27" t="str">
        <f>Resultados!$K$4</f>
        <v/>
      </c>
      <c r="C715" s="568" t="str">
        <f>'900000'!$B35</f>
        <v>09901015</v>
      </c>
      <c r="D715" s="27" t="str">
        <f>'900000'!$K$19</f>
        <v>C09901010</v>
      </c>
      <c r="E715" s="27" t="str">
        <f>'900000'!$K35</f>
        <v/>
      </c>
      <c r="F715" s="27" t="s">
        <v>19081</v>
      </c>
    </row>
    <row r="716" spans="1:6">
      <c r="A716" s="27" t="str">
        <f>Resultados!$K$3</f>
        <v/>
      </c>
      <c r="B716" s="27" t="str">
        <f>Resultados!$K$4</f>
        <v/>
      </c>
      <c r="C716" s="568" t="str">
        <f>'900000'!$B36</f>
        <v>09901016</v>
      </c>
      <c r="D716" s="27" t="str">
        <f>'900000'!$K$19</f>
        <v>C09901010</v>
      </c>
      <c r="E716" s="27" t="str">
        <f>'900000'!$K36</f>
        <v/>
      </c>
      <c r="F716" s="27" t="s">
        <v>19081</v>
      </c>
    </row>
    <row r="717" spans="1:6">
      <c r="A717" s="27" t="str">
        <f>Resultados!$K$3</f>
        <v/>
      </c>
      <c r="B717" s="27" t="str">
        <f>Resultados!$K$4</f>
        <v/>
      </c>
      <c r="C717" s="568" t="str">
        <f>'900000'!$B37</f>
        <v>09901017</v>
      </c>
      <c r="D717" s="27" t="str">
        <f>'900000'!$K$19</f>
        <v>C09901010</v>
      </c>
      <c r="E717" s="27" t="str">
        <f>'900000'!$K37</f>
        <v/>
      </c>
      <c r="F717" s="27" t="s">
        <v>19081</v>
      </c>
    </row>
    <row r="718" spans="1:6">
      <c r="A718" s="27" t="str">
        <f>Resultados!$K$3</f>
        <v/>
      </c>
      <c r="B718" s="27" t="str">
        <f>Resultados!$K$4</f>
        <v/>
      </c>
      <c r="C718" s="568" t="str">
        <f>'900000'!$B38</f>
        <v>09901018</v>
      </c>
      <c r="D718" s="27" t="str">
        <f>'900000'!$K$19</f>
        <v>C09901010</v>
      </c>
      <c r="E718" s="27" t="str">
        <f>'900000'!$K38</f>
        <v/>
      </c>
      <c r="F718" s="27" t="s">
        <v>19081</v>
      </c>
    </row>
    <row r="719" spans="1:6">
      <c r="A719" s="27" t="str">
        <f>Resultados!$K$3</f>
        <v/>
      </c>
      <c r="B719" s="27" t="str">
        <f>Resultados!$K$4</f>
        <v/>
      </c>
      <c r="C719" s="568" t="str">
        <f>'900000'!$B39</f>
        <v>09901019</v>
      </c>
      <c r="D719" s="27" t="str">
        <f>'900000'!$K$19</f>
        <v>C09901010</v>
      </c>
      <c r="E719" s="27" t="str">
        <f>'900000'!$K39</f>
        <v/>
      </c>
      <c r="F719" s="27" t="s">
        <v>19081</v>
      </c>
    </row>
    <row r="720" spans="1:6">
      <c r="A720" s="27" t="str">
        <f>Resultados!$K$3</f>
        <v/>
      </c>
      <c r="B720" s="27" t="str">
        <f>Resultados!$K$4</f>
        <v/>
      </c>
      <c r="C720" s="568" t="str">
        <f>'900000'!$B40</f>
        <v>09901020</v>
      </c>
      <c r="D720" s="27" t="str">
        <f>'900000'!$K$19</f>
        <v>C09901010</v>
      </c>
      <c r="E720" s="27" t="str">
        <f>'900000'!$K40</f>
        <v/>
      </c>
      <c r="F720" s="27" t="s">
        <v>19081</v>
      </c>
    </row>
    <row r="721" spans="1:6">
      <c r="A721" s="27" t="str">
        <f>Resultados!$K$3</f>
        <v/>
      </c>
      <c r="B721" s="27" t="str">
        <f>Resultados!$K$4</f>
        <v/>
      </c>
      <c r="C721" s="568" t="str">
        <f>'900000'!$B41</f>
        <v>09901021</v>
      </c>
      <c r="D721" s="27" t="str">
        <f>'900000'!$K$19</f>
        <v>C09901010</v>
      </c>
      <c r="E721" s="27" t="str">
        <f>'900000'!$K41</f>
        <v/>
      </c>
      <c r="F721" s="27" t="s">
        <v>19081</v>
      </c>
    </row>
    <row r="722" spans="1:6">
      <c r="A722" s="27" t="str">
        <f>Resultados!$K$3</f>
        <v/>
      </c>
      <c r="B722" s="27" t="str">
        <f>Resultados!$K$4</f>
        <v/>
      </c>
      <c r="C722" s="568" t="str">
        <f>'900000'!$B42</f>
        <v>09901022</v>
      </c>
      <c r="D722" s="27" t="str">
        <f>'900000'!$K$19</f>
        <v>C09901010</v>
      </c>
      <c r="E722" s="27" t="str">
        <f>'900000'!$K42</f>
        <v/>
      </c>
      <c r="F722" s="27" t="s">
        <v>19081</v>
      </c>
    </row>
    <row r="723" spans="1:6">
      <c r="A723" s="27" t="str">
        <f>Resultados!$K$3</f>
        <v/>
      </c>
      <c r="B723" s="27" t="str">
        <f>Resultados!$K$4</f>
        <v/>
      </c>
      <c r="C723" s="568" t="str">
        <f>'900000'!$B43</f>
        <v>09901023</v>
      </c>
      <c r="D723" s="27" t="str">
        <f>'900000'!$K$19</f>
        <v>C09901010</v>
      </c>
      <c r="E723" s="27" t="str">
        <f>'900000'!$K43</f>
        <v/>
      </c>
      <c r="F723" s="27" t="s">
        <v>19081</v>
      </c>
    </row>
    <row r="724" spans="1:6">
      <c r="A724" s="27" t="str">
        <f>Resultados!$K$3</f>
        <v/>
      </c>
      <c r="B724" s="27" t="str">
        <f>Resultados!$K$4</f>
        <v/>
      </c>
      <c r="C724" s="568" t="str">
        <f>'900000'!$B44</f>
        <v>09901024</v>
      </c>
      <c r="D724" s="27" t="str">
        <f>'900000'!$K$19</f>
        <v>C09901010</v>
      </c>
      <c r="E724" s="27" t="str">
        <f>'900000'!$K44</f>
        <v/>
      </c>
      <c r="F724" s="27" t="s">
        <v>19081</v>
      </c>
    </row>
    <row r="725" spans="1:6">
      <c r="A725" s="27" t="str">
        <f>Resultados!$K$3</f>
        <v/>
      </c>
      <c r="B725" s="27" t="str">
        <f>Resultados!$K$4</f>
        <v/>
      </c>
      <c r="C725" s="568" t="str">
        <f>'900000'!$B45</f>
        <v>09901025</v>
      </c>
      <c r="D725" s="27" t="str">
        <f>'900000'!$K$19</f>
        <v>C09901010</v>
      </c>
      <c r="E725" s="27" t="str">
        <f>'900000'!$K45</f>
        <v/>
      </c>
      <c r="F725" s="27" t="s">
        <v>19081</v>
      </c>
    </row>
    <row r="726" spans="1:6">
      <c r="A726" s="27" t="str">
        <f>Resultados!$K$3</f>
        <v/>
      </c>
      <c r="B726" s="27" t="str">
        <f>Resultados!$K$4</f>
        <v/>
      </c>
      <c r="C726" s="568" t="str">
        <f>'900000'!$B46</f>
        <v>09901026</v>
      </c>
      <c r="D726" s="27" t="str">
        <f>'900000'!$K$19</f>
        <v>C09901010</v>
      </c>
      <c r="E726" s="27" t="str">
        <f>'900000'!$K46</f>
        <v/>
      </c>
      <c r="F726" s="27" t="s">
        <v>19081</v>
      </c>
    </row>
    <row r="727" spans="1:6">
      <c r="A727" s="27" t="str">
        <f>Resultados!$K$3</f>
        <v/>
      </c>
      <c r="B727" s="27" t="str">
        <f>Resultados!$K$4</f>
        <v/>
      </c>
      <c r="C727" s="568" t="str">
        <f>'900000'!$B47</f>
        <v>09901027</v>
      </c>
      <c r="D727" s="27" t="str">
        <f>'900000'!$K$19</f>
        <v>C09901010</v>
      </c>
      <c r="E727" s="27" t="str">
        <f>'900000'!$K47</f>
        <v/>
      </c>
      <c r="F727" s="27" t="s">
        <v>19081</v>
      </c>
    </row>
    <row r="728" spans="1:6">
      <c r="A728" s="27" t="str">
        <f>Resultados!$K$3</f>
        <v/>
      </c>
      <c r="B728" s="27" t="str">
        <f>Resultados!$K$4</f>
        <v/>
      </c>
      <c r="C728" s="568" t="str">
        <f>'900000'!$B48</f>
        <v>09901028</v>
      </c>
      <c r="D728" s="27" t="str">
        <f>'900000'!$K$19</f>
        <v>C09901010</v>
      </c>
      <c r="E728" s="27" t="str">
        <f>'900000'!$K48</f>
        <v/>
      </c>
      <c r="F728" s="27" t="s">
        <v>19081</v>
      </c>
    </row>
    <row r="729" spans="1:6">
      <c r="A729" s="27" t="str">
        <f>Resultados!$K$3</f>
        <v/>
      </c>
      <c r="B729" s="27" t="str">
        <f>Resultados!$K$4</f>
        <v/>
      </c>
      <c r="C729" s="568" t="str">
        <f>'900000'!$B49</f>
        <v>09901029</v>
      </c>
      <c r="D729" s="27" t="str">
        <f>'900000'!$K$19</f>
        <v>C09901010</v>
      </c>
      <c r="E729" s="27" t="str">
        <f>'900000'!$K49</f>
        <v/>
      </c>
      <c r="F729" s="27" t="s">
        <v>19081</v>
      </c>
    </row>
    <row r="730" spans="1:6">
      <c r="A730" s="27" t="str">
        <f>Resultados!$K$3</f>
        <v/>
      </c>
      <c r="B730" s="27" t="str">
        <f>Resultados!$K$4</f>
        <v/>
      </c>
      <c r="C730" s="568" t="str">
        <f>'900000'!$B50</f>
        <v>09901030</v>
      </c>
      <c r="D730" s="27" t="str">
        <f>'900000'!$K$19</f>
        <v>C09901010</v>
      </c>
      <c r="E730" s="27" t="str">
        <f>'900000'!$K50</f>
        <v/>
      </c>
      <c r="F730" s="27" t="s">
        <v>19081</v>
      </c>
    </row>
    <row r="731" spans="1:6">
      <c r="A731" s="27" t="str">
        <f>Resultados!$K$3</f>
        <v/>
      </c>
      <c r="B731" s="27" t="str">
        <f>Resultados!$K$4</f>
        <v/>
      </c>
      <c r="C731" s="568" t="str">
        <f>'900000'!$B51</f>
        <v>09901031</v>
      </c>
      <c r="D731" s="27" t="str">
        <f>'900000'!$K$19</f>
        <v>C09901010</v>
      </c>
      <c r="E731" s="27" t="str">
        <f>'900000'!$K51</f>
        <v/>
      </c>
      <c r="F731" s="27" t="s">
        <v>19081</v>
      </c>
    </row>
    <row r="732" spans="1:6">
      <c r="A732" s="27" t="str">
        <f>Resultados!$K$3</f>
        <v/>
      </c>
      <c r="B732" s="27" t="str">
        <f>Resultados!$K$4</f>
        <v/>
      </c>
      <c r="C732" s="568" t="str">
        <f>'900000'!$B52</f>
        <v>09901032</v>
      </c>
      <c r="D732" s="27" t="str">
        <f>'900000'!$K$19</f>
        <v>C09901010</v>
      </c>
      <c r="E732" s="27" t="str">
        <f>'900000'!$K52</f>
        <v/>
      </c>
      <c r="F732" s="27" t="s">
        <v>19081</v>
      </c>
    </row>
    <row r="733" spans="1:6">
      <c r="A733" s="27" t="str">
        <f>Resultados!$K$3</f>
        <v/>
      </c>
      <c r="B733" s="27" t="str">
        <f>Resultados!$K$4</f>
        <v/>
      </c>
      <c r="C733" s="568" t="str">
        <f>'900000'!$B53</f>
        <v>09901033</v>
      </c>
      <c r="D733" s="27" t="str">
        <f>'900000'!$K$19</f>
        <v>C09901010</v>
      </c>
      <c r="E733" s="27" t="str">
        <f>'900000'!$K53</f>
        <v/>
      </c>
      <c r="F733" s="27" t="s">
        <v>19081</v>
      </c>
    </row>
    <row r="734" spans="1:6">
      <c r="A734" s="27" t="str">
        <f>Resultados!$K$3</f>
        <v/>
      </c>
      <c r="B734" s="27" t="str">
        <f>Resultados!$K$4</f>
        <v/>
      </c>
      <c r="C734" s="568" t="str">
        <f>'900000'!$B54</f>
        <v>09901034</v>
      </c>
      <c r="D734" s="27" t="str">
        <f>'900000'!$K$19</f>
        <v>C09901010</v>
      </c>
      <c r="E734" s="27" t="str">
        <f>'900000'!$K54</f>
        <v/>
      </c>
      <c r="F734" s="27" t="s">
        <v>19081</v>
      </c>
    </row>
    <row r="735" spans="1:6">
      <c r="A735" s="27" t="str">
        <f>Resultados!$K$3</f>
        <v/>
      </c>
      <c r="B735" s="27" t="str">
        <f>Resultados!$K$4</f>
        <v/>
      </c>
      <c r="C735" s="568" t="str">
        <f>'900000'!$B55</f>
        <v>09901035</v>
      </c>
      <c r="D735" s="27" t="str">
        <f>'900000'!$K$19</f>
        <v>C09901010</v>
      </c>
      <c r="E735" s="27" t="str">
        <f>'900000'!$K55</f>
        <v/>
      </c>
      <c r="F735" s="27" t="s">
        <v>19081</v>
      </c>
    </row>
    <row r="736" spans="1:6">
      <c r="A736" s="27" t="str">
        <f>Resultados!$K$3</f>
        <v/>
      </c>
      <c r="B736" s="27" t="str">
        <f>Resultados!$K$4</f>
        <v/>
      </c>
      <c r="C736" s="568" t="str">
        <f>'900000'!$B56</f>
        <v>09901036</v>
      </c>
      <c r="D736" s="27" t="str">
        <f>'900000'!$K$19</f>
        <v>C09901010</v>
      </c>
      <c r="E736" s="27" t="str">
        <f>'900000'!$K56</f>
        <v/>
      </c>
      <c r="F736" s="27" t="s">
        <v>19081</v>
      </c>
    </row>
    <row r="737" spans="1:6">
      <c r="A737" s="27" t="str">
        <f>Resultados!$K$3</f>
        <v/>
      </c>
      <c r="B737" s="27" t="str">
        <f>Resultados!$K$4</f>
        <v/>
      </c>
      <c r="C737" s="568" t="str">
        <f>'900000'!$B57</f>
        <v>09901037</v>
      </c>
      <c r="D737" s="27" t="str">
        <f>'900000'!$K$19</f>
        <v>C09901010</v>
      </c>
      <c r="E737" s="27" t="str">
        <f>'900000'!$K57</f>
        <v/>
      </c>
      <c r="F737" s="27" t="s">
        <v>19081</v>
      </c>
    </row>
    <row r="738" spans="1:6">
      <c r="A738" s="27" t="str">
        <f>Resultados!$K$3</f>
        <v/>
      </c>
      <c r="B738" s="27" t="str">
        <f>Resultados!$K$4</f>
        <v/>
      </c>
      <c r="C738" s="568" t="str">
        <f>'900000'!$B58</f>
        <v>09901038</v>
      </c>
      <c r="D738" s="27" t="str">
        <f>'900000'!$K$19</f>
        <v>C09901010</v>
      </c>
      <c r="E738" s="27" t="str">
        <f>'900000'!$K58</f>
        <v/>
      </c>
      <c r="F738" s="27" t="s">
        <v>19081</v>
      </c>
    </row>
    <row r="739" spans="1:6">
      <c r="A739" s="27" t="str">
        <f>Resultados!$K$3</f>
        <v/>
      </c>
      <c r="B739" s="27" t="str">
        <f>Resultados!$K$4</f>
        <v/>
      </c>
      <c r="C739" s="568" t="str">
        <f>'900000'!$B59</f>
        <v>09901039</v>
      </c>
      <c r="D739" s="27" t="str">
        <f>'900000'!$K$19</f>
        <v>C09901010</v>
      </c>
      <c r="E739" s="27" t="str">
        <f>'900000'!$K59</f>
        <v/>
      </c>
      <c r="F739" s="27" t="s">
        <v>19081</v>
      </c>
    </row>
    <row r="740" spans="1:6">
      <c r="A740" s="27" t="str">
        <f>Resultados!$K$3</f>
        <v/>
      </c>
      <c r="B740" s="27" t="str">
        <f>Resultados!$K$4</f>
        <v/>
      </c>
      <c r="C740" s="568" t="str">
        <f>'900000'!$B60</f>
        <v>09901040</v>
      </c>
      <c r="D740" s="27" t="str">
        <f>'900000'!$K$19</f>
        <v>C09901010</v>
      </c>
      <c r="E740" s="27" t="str">
        <f>'900000'!$K60</f>
        <v/>
      </c>
      <c r="F740" s="27" t="s">
        <v>19081</v>
      </c>
    </row>
    <row r="741" spans="1:6">
      <c r="A741" s="27" t="str">
        <f>Resultados!$K$3</f>
        <v/>
      </c>
      <c r="B741" s="27" t="str">
        <f>Resultados!$K$4</f>
        <v/>
      </c>
      <c r="C741" s="568" t="str">
        <f>'900000'!$B61</f>
        <v>09901041</v>
      </c>
      <c r="D741" s="27" t="str">
        <f>'900000'!$K$19</f>
        <v>C09901010</v>
      </c>
      <c r="E741" s="27" t="str">
        <f>'900000'!$K61</f>
        <v/>
      </c>
      <c r="F741" s="27" t="s">
        <v>19081</v>
      </c>
    </row>
    <row r="742" spans="1:6">
      <c r="A742" s="27" t="str">
        <f>Resultados!$K$3</f>
        <v/>
      </c>
      <c r="B742" s="27" t="str">
        <f>Resultados!$K$4</f>
        <v/>
      </c>
      <c r="C742" s="568" t="str">
        <f>'900000'!$B62</f>
        <v>09901042</v>
      </c>
      <c r="D742" s="27" t="str">
        <f>'900000'!$K$19</f>
        <v>C09901010</v>
      </c>
      <c r="E742" s="27" t="str">
        <f>'900000'!$K62</f>
        <v/>
      </c>
      <c r="F742" s="27" t="s">
        <v>19081</v>
      </c>
    </row>
    <row r="743" spans="1:6">
      <c r="A743" s="27" t="str">
        <f>Resultados!$K$3</f>
        <v/>
      </c>
      <c r="B743" s="27" t="str">
        <f>Resultados!$K$4</f>
        <v/>
      </c>
      <c r="C743" s="568" t="str">
        <f>'900000'!$B63</f>
        <v>09901043</v>
      </c>
      <c r="D743" s="27" t="str">
        <f>'900000'!$K$19</f>
        <v>C09901010</v>
      </c>
      <c r="E743" s="27" t="str">
        <f>'900000'!$K63</f>
        <v/>
      </c>
      <c r="F743" s="27" t="s">
        <v>19081</v>
      </c>
    </row>
    <row r="744" spans="1:6">
      <c r="A744" s="27" t="str">
        <f>Resultados!$K$3</f>
        <v/>
      </c>
      <c r="B744" s="27" t="str">
        <f>Resultados!$K$4</f>
        <v/>
      </c>
      <c r="C744" s="568" t="str">
        <f>'900000'!$B64</f>
        <v>09901044</v>
      </c>
      <c r="D744" s="27" t="str">
        <f>'900000'!$K$19</f>
        <v>C09901010</v>
      </c>
      <c r="E744" s="27" t="str">
        <f>'900000'!$K64</f>
        <v/>
      </c>
      <c r="F744" s="27" t="s">
        <v>19081</v>
      </c>
    </row>
    <row r="745" spans="1:6">
      <c r="A745" s="27" t="str">
        <f>Resultados!$K$3</f>
        <v/>
      </c>
      <c r="B745" s="27" t="str">
        <f>Resultados!$K$4</f>
        <v/>
      </c>
      <c r="C745" s="568" t="str">
        <f>'900000'!$B65</f>
        <v>09901045</v>
      </c>
      <c r="D745" s="27" t="str">
        <f>'900000'!$K$19</f>
        <v>C09901010</v>
      </c>
      <c r="E745" s="27" t="str">
        <f>'900000'!$K65</f>
        <v/>
      </c>
      <c r="F745" s="27" t="s">
        <v>19081</v>
      </c>
    </row>
    <row r="746" spans="1:6">
      <c r="A746" s="27" t="str">
        <f>Resultados!$K$3</f>
        <v/>
      </c>
      <c r="B746" s="27" t="str">
        <f>Resultados!$K$4</f>
        <v/>
      </c>
      <c r="C746" s="568" t="str">
        <f>'900000'!$B66</f>
        <v>09901046</v>
      </c>
      <c r="D746" s="27" t="str">
        <f>'900000'!$K$19</f>
        <v>C09901010</v>
      </c>
      <c r="E746" s="27" t="str">
        <f>'900000'!$K66</f>
        <v/>
      </c>
      <c r="F746" s="27" t="s">
        <v>19081</v>
      </c>
    </row>
    <row r="747" spans="1:6">
      <c r="A747" s="27" t="str">
        <f>Resultados!$K$3</f>
        <v/>
      </c>
      <c r="B747" s="27" t="str">
        <f>Resultados!$K$4</f>
        <v/>
      </c>
      <c r="C747" s="568" t="str">
        <f>'900000'!$B67</f>
        <v>09901047</v>
      </c>
      <c r="D747" s="27" t="str">
        <f>'900000'!$K$19</f>
        <v>C09901010</v>
      </c>
      <c r="E747" s="27" t="str">
        <f>'900000'!$K67</f>
        <v/>
      </c>
      <c r="F747" s="27" t="s">
        <v>19081</v>
      </c>
    </row>
    <row r="748" spans="1:6">
      <c r="A748" s="27" t="str">
        <f>Resultados!$K$3</f>
        <v/>
      </c>
      <c r="B748" s="27" t="str">
        <f>Resultados!$K$4</f>
        <v/>
      </c>
      <c r="C748" s="568" t="str">
        <f>'900000'!$B68</f>
        <v>09901048</v>
      </c>
      <c r="D748" s="27" t="str">
        <f>'900000'!$K$19</f>
        <v>C09901010</v>
      </c>
      <c r="E748" s="27" t="str">
        <f>'900000'!$K68</f>
        <v/>
      </c>
      <c r="F748" s="27" t="s">
        <v>19081</v>
      </c>
    </row>
    <row r="749" spans="1:6">
      <c r="A749" s="27" t="str">
        <f>Resultados!$K$3</f>
        <v/>
      </c>
      <c r="B749" s="27" t="str">
        <f>Resultados!$K$4</f>
        <v/>
      </c>
      <c r="C749" s="568" t="str">
        <f>'900000'!$B69</f>
        <v>09901049</v>
      </c>
      <c r="D749" s="27" t="str">
        <f>'900000'!$K$19</f>
        <v>C09901010</v>
      </c>
      <c r="E749" s="27" t="str">
        <f>'900000'!$K69</f>
        <v/>
      </c>
      <c r="F749" s="27" t="s">
        <v>19081</v>
      </c>
    </row>
    <row r="750" spans="1:6">
      <c r="A750" s="27" t="str">
        <f>Resultados!$K$3</f>
        <v/>
      </c>
      <c r="B750" s="27" t="str">
        <f>Resultados!$K$4</f>
        <v/>
      </c>
      <c r="C750" s="568" t="str">
        <f>'900000'!$B70</f>
        <v>09901050</v>
      </c>
      <c r="D750" s="27" t="str">
        <f>'900000'!$K$19</f>
        <v>C09901010</v>
      </c>
      <c r="E750" s="27" t="str">
        <f>'900000'!$K70</f>
        <v/>
      </c>
      <c r="F750" s="27" t="s">
        <v>19081</v>
      </c>
    </row>
    <row r="751" spans="1:6">
      <c r="A751" s="27" t="str">
        <f>Resultados!$K$3</f>
        <v/>
      </c>
      <c r="B751" s="27" t="str">
        <f>Resultados!$K$4</f>
        <v/>
      </c>
      <c r="C751" s="568" t="str">
        <f>'900000'!$B71</f>
        <v>09901051</v>
      </c>
      <c r="D751" s="27" t="str">
        <f>'900000'!$K$19</f>
        <v>C09901010</v>
      </c>
      <c r="E751" s="27" t="str">
        <f>'900000'!$K71</f>
        <v/>
      </c>
      <c r="F751" s="27" t="s">
        <v>19081</v>
      </c>
    </row>
    <row r="752" spans="1:6">
      <c r="A752" s="27" t="str">
        <f>Resultados!$K$3</f>
        <v/>
      </c>
      <c r="B752" s="27" t="str">
        <f>Resultados!$K$4</f>
        <v/>
      </c>
      <c r="C752" s="568" t="str">
        <f>'900000'!$B72</f>
        <v>09901052</v>
      </c>
      <c r="D752" s="27" t="str">
        <f>'900000'!$K$19</f>
        <v>C09901010</v>
      </c>
      <c r="E752" s="27" t="str">
        <f>'900000'!$K72</f>
        <v/>
      </c>
      <c r="F752" s="27" t="s">
        <v>19081</v>
      </c>
    </row>
    <row r="753" spans="1:6">
      <c r="A753" s="27" t="str">
        <f>Resultados!$K$3</f>
        <v/>
      </c>
      <c r="B753" s="27" t="str">
        <f>Resultados!$K$4</f>
        <v/>
      </c>
      <c r="C753" s="568" t="str">
        <f>'900000'!$B73</f>
        <v>09901053</v>
      </c>
      <c r="D753" s="27" t="str">
        <f>'900000'!$K$19</f>
        <v>C09901010</v>
      </c>
      <c r="E753" s="27" t="str">
        <f>'900000'!$K73</f>
        <v/>
      </c>
      <c r="F753" s="27" t="s">
        <v>19081</v>
      </c>
    </row>
    <row r="754" spans="1:6">
      <c r="A754" s="27" t="str">
        <f>Resultados!$K$3</f>
        <v/>
      </c>
      <c r="B754" s="27" t="str">
        <f>Resultados!$K$4</f>
        <v/>
      </c>
      <c r="C754" s="568" t="str">
        <f>'900000'!$B74</f>
        <v>09901054</v>
      </c>
      <c r="D754" s="27" t="str">
        <f>'900000'!$K$19</f>
        <v>C09901010</v>
      </c>
      <c r="E754" s="27" t="str">
        <f>'900000'!$K74</f>
        <v/>
      </c>
      <c r="F754" s="27" t="s">
        <v>19081</v>
      </c>
    </row>
    <row r="755" spans="1:6">
      <c r="A755" s="27" t="str">
        <f>Resultados!$K$3</f>
        <v/>
      </c>
      <c r="B755" s="27" t="str">
        <f>Resultados!$K$4</f>
        <v/>
      </c>
      <c r="C755" s="568" t="str">
        <f>'900000'!$B75</f>
        <v>09901055</v>
      </c>
      <c r="D755" s="27" t="str">
        <f>'900000'!$K$19</f>
        <v>C09901010</v>
      </c>
      <c r="E755" s="27" t="str">
        <f>'900000'!$K75</f>
        <v/>
      </c>
      <c r="F755" s="27" t="s">
        <v>19081</v>
      </c>
    </row>
    <row r="756" spans="1:6">
      <c r="A756" s="27" t="str">
        <f>Resultados!$K$3</f>
        <v/>
      </c>
      <c r="B756" s="27" t="str">
        <f>Resultados!$K$4</f>
        <v/>
      </c>
      <c r="C756" s="568" t="str">
        <f>'900000'!$B76</f>
        <v>09901056</v>
      </c>
      <c r="D756" s="27" t="str">
        <f>'900000'!$K$19</f>
        <v>C09901010</v>
      </c>
      <c r="E756" s="27" t="str">
        <f>'900000'!$K76</f>
        <v/>
      </c>
      <c r="F756" s="27" t="s">
        <v>19081</v>
      </c>
    </row>
    <row r="757" spans="1:6">
      <c r="A757" s="27" t="str">
        <f>Resultados!$K$3</f>
        <v/>
      </c>
      <c r="B757" s="27" t="str">
        <f>Resultados!$K$4</f>
        <v/>
      </c>
      <c r="C757" s="568" t="str">
        <f>'900000'!$B77</f>
        <v>09901057</v>
      </c>
      <c r="D757" s="27" t="str">
        <f>'900000'!$K$19</f>
        <v>C09901010</v>
      </c>
      <c r="E757" s="27" t="str">
        <f>'900000'!$K77</f>
        <v/>
      </c>
      <c r="F757" s="27" t="s">
        <v>19081</v>
      </c>
    </row>
    <row r="758" spans="1:6">
      <c r="A758" s="27" t="str">
        <f>Resultados!$K$3</f>
        <v/>
      </c>
      <c r="B758" s="27" t="str">
        <f>Resultados!$K$4</f>
        <v/>
      </c>
      <c r="C758" s="568" t="str">
        <f>'900000'!$B78</f>
        <v>09901058</v>
      </c>
      <c r="D758" s="27" t="str">
        <f>'900000'!$K$19</f>
        <v>C09901010</v>
      </c>
      <c r="E758" s="27" t="str">
        <f>'900000'!$K78</f>
        <v/>
      </c>
      <c r="F758" s="27" t="s">
        <v>19081</v>
      </c>
    </row>
    <row r="759" spans="1:6">
      <c r="A759" s="27" t="str">
        <f>Resultados!$K$3</f>
        <v/>
      </c>
      <c r="B759" s="27" t="str">
        <f>Resultados!$K$4</f>
        <v/>
      </c>
      <c r="C759" s="568" t="str">
        <f>'900000'!$B79</f>
        <v>09901059</v>
      </c>
      <c r="D759" s="27" t="str">
        <f>'900000'!$K$19</f>
        <v>C09901010</v>
      </c>
      <c r="E759" s="27" t="str">
        <f>'900000'!$K79</f>
        <v/>
      </c>
      <c r="F759" s="27" t="s">
        <v>19081</v>
      </c>
    </row>
    <row r="760" spans="1:6">
      <c r="A760" s="27" t="str">
        <f>Resultados!$K$3</f>
        <v/>
      </c>
      <c r="B760" s="27" t="str">
        <f>Resultados!$K$4</f>
        <v/>
      </c>
      <c r="C760" s="568" t="str">
        <f>'900000'!$B80</f>
        <v>09901060</v>
      </c>
      <c r="D760" s="27" t="str">
        <f>'900000'!$K$19</f>
        <v>C09901010</v>
      </c>
      <c r="E760" s="27" t="str">
        <f>'900000'!$K80</f>
        <v/>
      </c>
      <c r="F760" s="27" t="s">
        <v>19081</v>
      </c>
    </row>
    <row r="761" spans="1:6">
      <c r="A761" s="27" t="str">
        <f>Resultados!$K$3</f>
        <v/>
      </c>
      <c r="B761" s="27" t="str">
        <f>Resultados!$K$4</f>
        <v/>
      </c>
      <c r="C761" s="568" t="str">
        <f>'900000'!$B81</f>
        <v>09901061</v>
      </c>
      <c r="D761" s="27" t="str">
        <f>'900000'!$K$19</f>
        <v>C09901010</v>
      </c>
      <c r="E761" s="27" t="str">
        <f>'900000'!$K81</f>
        <v/>
      </c>
      <c r="F761" s="27" t="s">
        <v>19081</v>
      </c>
    </row>
    <row r="762" spans="1:6">
      <c r="A762" s="27" t="str">
        <f>Resultados!$K$3</f>
        <v/>
      </c>
      <c r="B762" s="27" t="str">
        <f>Resultados!$K$4</f>
        <v/>
      </c>
      <c r="C762" s="568" t="str">
        <f>'900000'!$B82</f>
        <v>09901062</v>
      </c>
      <c r="D762" s="27" t="str">
        <f>'900000'!$K$19</f>
        <v>C09901010</v>
      </c>
      <c r="E762" s="27" t="str">
        <f>'900000'!$K82</f>
        <v/>
      </c>
      <c r="F762" s="27" t="s">
        <v>19081</v>
      </c>
    </row>
    <row r="763" spans="1:6">
      <c r="A763" s="27" t="str">
        <f>Resultados!$K$3</f>
        <v/>
      </c>
      <c r="B763" s="27" t="str">
        <f>Resultados!$K$4</f>
        <v/>
      </c>
      <c r="C763" s="568" t="str">
        <f>'900000'!$B83</f>
        <v>09901063</v>
      </c>
      <c r="D763" s="27" t="str">
        <f>'900000'!$K$19</f>
        <v>C09901010</v>
      </c>
      <c r="E763" s="27" t="str">
        <f>'900000'!$K83</f>
        <v/>
      </c>
      <c r="F763" s="27" t="s">
        <v>19081</v>
      </c>
    </row>
    <row r="764" spans="1:6">
      <c r="A764" s="27" t="str">
        <f>Resultados!$K$3</f>
        <v/>
      </c>
      <c r="B764" s="27" t="str">
        <f>Resultados!$K$4</f>
        <v/>
      </c>
      <c r="C764" s="568" t="str">
        <f>'900000'!$B84</f>
        <v>09901064</v>
      </c>
      <c r="D764" s="27" t="str">
        <f>'900000'!$K$19</f>
        <v>C09901010</v>
      </c>
      <c r="E764" s="27" t="str">
        <f>'900000'!$K84</f>
        <v/>
      </c>
      <c r="F764" s="27" t="s">
        <v>19081</v>
      </c>
    </row>
    <row r="765" spans="1:6">
      <c r="A765" s="27" t="str">
        <f>Resultados!$K$3</f>
        <v/>
      </c>
      <c r="B765" s="27" t="str">
        <f>Resultados!$K$4</f>
        <v/>
      </c>
      <c r="C765" s="568" t="str">
        <f>'900000'!$B85</f>
        <v>09901065</v>
      </c>
      <c r="D765" s="27" t="str">
        <f>'900000'!$K$19</f>
        <v>C09901010</v>
      </c>
      <c r="E765" s="27" t="str">
        <f>'900000'!$K85</f>
        <v/>
      </c>
      <c r="F765" s="27" t="s">
        <v>19081</v>
      </c>
    </row>
    <row r="766" spans="1:6">
      <c r="A766" s="27" t="str">
        <f>Resultados!$K$3</f>
        <v/>
      </c>
      <c r="B766" s="27" t="str">
        <f>Resultados!$K$4</f>
        <v/>
      </c>
      <c r="C766" s="568" t="str">
        <f>'900000'!$B86</f>
        <v>09901066</v>
      </c>
      <c r="D766" s="27" t="str">
        <f>'900000'!$K$19</f>
        <v>C09901010</v>
      </c>
      <c r="E766" s="27" t="str">
        <f>'900000'!$K86</f>
        <v/>
      </c>
      <c r="F766" s="27" t="s">
        <v>19081</v>
      </c>
    </row>
    <row r="767" spans="1:6">
      <c r="A767" s="27" t="str">
        <f>Resultados!$K$3</f>
        <v/>
      </c>
      <c r="B767" s="27" t="str">
        <f>Resultados!$K$4</f>
        <v/>
      </c>
      <c r="C767" s="568" t="str">
        <f>'900000'!$B87</f>
        <v>09901067</v>
      </c>
      <c r="D767" s="27" t="str">
        <f>'900000'!$K$19</f>
        <v>C09901010</v>
      </c>
      <c r="E767" s="27" t="str">
        <f>'900000'!$K87</f>
        <v/>
      </c>
      <c r="F767" s="27" t="s">
        <v>19081</v>
      </c>
    </row>
    <row r="768" spans="1:6">
      <c r="A768" s="27" t="str">
        <f>Resultados!$K$3</f>
        <v/>
      </c>
      <c r="B768" s="27" t="str">
        <f>Resultados!$K$4</f>
        <v/>
      </c>
      <c r="C768" s="568" t="str">
        <f>'900000'!$B88</f>
        <v>09901068</v>
      </c>
      <c r="D768" s="27" t="str">
        <f>'900000'!$K$19</f>
        <v>C09901010</v>
      </c>
      <c r="E768" s="27" t="str">
        <f>'900000'!$K88</f>
        <v/>
      </c>
      <c r="F768" s="27" t="s">
        <v>19081</v>
      </c>
    </row>
    <row r="769" spans="1:6">
      <c r="A769" s="27" t="str">
        <f>Resultados!$K$3</f>
        <v/>
      </c>
      <c r="B769" s="27" t="str">
        <f>Resultados!$K$4</f>
        <v/>
      </c>
      <c r="C769" s="568" t="str">
        <f>'900000'!$B89</f>
        <v>09901069</v>
      </c>
      <c r="D769" s="27" t="str">
        <f>'900000'!$K$19</f>
        <v>C09901010</v>
      </c>
      <c r="E769" s="27" t="str">
        <f>'900000'!$K89</f>
        <v/>
      </c>
      <c r="F769" s="27" t="s">
        <v>19081</v>
      </c>
    </row>
    <row r="770" spans="1:6">
      <c r="A770" s="27" t="str">
        <f>Resultados!$K$3</f>
        <v/>
      </c>
      <c r="B770" s="27" t="str">
        <f>Resultados!$K$4</f>
        <v/>
      </c>
      <c r="C770" s="568" t="str">
        <f>'900000'!$B90</f>
        <v>09901070</v>
      </c>
      <c r="D770" s="27" t="str">
        <f>'900000'!$K$19</f>
        <v>C09901010</v>
      </c>
      <c r="E770" s="27" t="str">
        <f>'900000'!$K90</f>
        <v/>
      </c>
      <c r="F770" s="27" t="s">
        <v>19081</v>
      </c>
    </row>
    <row r="771" spans="1:6">
      <c r="A771" s="27" t="str">
        <f>Resultados!$K$3</f>
        <v/>
      </c>
      <c r="B771" s="27" t="str">
        <f>Resultados!$K$4</f>
        <v/>
      </c>
      <c r="C771" s="568" t="str">
        <f>'900000'!$B91</f>
        <v>09901071</v>
      </c>
      <c r="D771" s="27" t="str">
        <f>'900000'!$K$19</f>
        <v>C09901010</v>
      </c>
      <c r="E771" s="27" t="str">
        <f>'900000'!$K91</f>
        <v/>
      </c>
      <c r="F771" s="27" t="s">
        <v>19081</v>
      </c>
    </row>
    <row r="772" spans="1:6">
      <c r="A772" s="27" t="str">
        <f>Resultados!$K$3</f>
        <v/>
      </c>
      <c r="B772" s="27" t="str">
        <f>Resultados!$K$4</f>
        <v/>
      </c>
      <c r="C772" s="568" t="str">
        <f>'900000'!$B92</f>
        <v>09901072</v>
      </c>
      <c r="D772" s="27" t="str">
        <f>'900000'!$K$19</f>
        <v>C09901010</v>
      </c>
      <c r="E772" s="27" t="str">
        <f>'900000'!$K92</f>
        <v/>
      </c>
      <c r="F772" s="27" t="s">
        <v>19081</v>
      </c>
    </row>
    <row r="773" spans="1:6">
      <c r="A773" s="27" t="str">
        <f>Resultados!$K$3</f>
        <v/>
      </c>
      <c r="B773" s="27" t="str">
        <f>Resultados!$K$4</f>
        <v/>
      </c>
      <c r="C773" s="568" t="str">
        <f>'900000'!$B93</f>
        <v>09901073</v>
      </c>
      <c r="D773" s="27" t="str">
        <f>'900000'!$K$19</f>
        <v>C09901010</v>
      </c>
      <c r="E773" s="27" t="str">
        <f>'900000'!$K93</f>
        <v/>
      </c>
      <c r="F773" s="27" t="s">
        <v>19081</v>
      </c>
    </row>
    <row r="774" spans="1:6">
      <c r="A774" s="27" t="str">
        <f>Resultados!$K$3</f>
        <v/>
      </c>
      <c r="B774" s="27" t="str">
        <f>Resultados!$K$4</f>
        <v/>
      </c>
      <c r="C774" s="568" t="str">
        <f>'900000'!$B94</f>
        <v>09901074</v>
      </c>
      <c r="D774" s="27" t="str">
        <f>'900000'!$K$19</f>
        <v>C09901010</v>
      </c>
      <c r="E774" s="27" t="str">
        <f>'900000'!$K94</f>
        <v/>
      </c>
      <c r="F774" s="27" t="s">
        <v>19081</v>
      </c>
    </row>
    <row r="775" spans="1:6">
      <c r="A775" s="27" t="str">
        <f>Resultados!$K$3</f>
        <v/>
      </c>
      <c r="B775" s="27" t="str">
        <f>Resultados!$K$4</f>
        <v/>
      </c>
      <c r="C775" s="568" t="str">
        <f>'900000'!$B95</f>
        <v>09901075</v>
      </c>
      <c r="D775" s="27" t="str">
        <f>'900000'!$K$19</f>
        <v>C09901010</v>
      </c>
      <c r="E775" s="27" t="str">
        <f>'900000'!$K95</f>
        <v/>
      </c>
      <c r="F775" s="27" t="s">
        <v>19081</v>
      </c>
    </row>
    <row r="776" spans="1:6">
      <c r="A776" s="27" t="str">
        <f>Resultados!$K$3</f>
        <v/>
      </c>
      <c r="B776" s="27" t="str">
        <f>Resultados!$K$4</f>
        <v/>
      </c>
      <c r="C776" s="568" t="str">
        <f>'900000'!$B96</f>
        <v>09901076</v>
      </c>
      <c r="D776" s="27" t="str">
        <f>'900000'!$K$19</f>
        <v>C09901010</v>
      </c>
      <c r="E776" s="27" t="str">
        <f>'900000'!$K96</f>
        <v/>
      </c>
      <c r="F776" s="27" t="s">
        <v>19081</v>
      </c>
    </row>
    <row r="777" spans="1:6">
      <c r="A777" s="27" t="str">
        <f>Resultados!$K$3</f>
        <v/>
      </c>
      <c r="B777" s="27" t="str">
        <f>Resultados!$K$4</f>
        <v/>
      </c>
      <c r="C777" s="568" t="str">
        <f>'900000'!$B97</f>
        <v>09901077</v>
      </c>
      <c r="D777" s="27" t="str">
        <f>'900000'!$K$19</f>
        <v>C09901010</v>
      </c>
      <c r="E777" s="27" t="str">
        <f>'900000'!$K97</f>
        <v/>
      </c>
      <c r="F777" s="27" t="s">
        <v>19081</v>
      </c>
    </row>
    <row r="778" spans="1:6">
      <c r="A778" s="27" t="str">
        <f>Resultados!$K$3</f>
        <v/>
      </c>
      <c r="B778" s="27" t="str">
        <f>Resultados!$K$4</f>
        <v/>
      </c>
      <c r="C778" s="568" t="str">
        <f>'900000'!$B98</f>
        <v>09901078</v>
      </c>
      <c r="D778" s="27" t="str">
        <f>'900000'!$K$19</f>
        <v>C09901010</v>
      </c>
      <c r="E778" s="27" t="str">
        <f>'900000'!$K98</f>
        <v/>
      </c>
      <c r="F778" s="27" t="s">
        <v>19081</v>
      </c>
    </row>
    <row r="779" spans="1:6">
      <c r="A779" s="27" t="str">
        <f>Resultados!$K$3</f>
        <v/>
      </c>
      <c r="B779" s="27" t="str">
        <f>Resultados!$K$4</f>
        <v/>
      </c>
      <c r="C779" s="568" t="str">
        <f>'900000'!$B99</f>
        <v>09901079</v>
      </c>
      <c r="D779" s="27" t="str">
        <f>'900000'!$K$19</f>
        <v>C09901010</v>
      </c>
      <c r="E779" s="27" t="str">
        <f>'900000'!$K99</f>
        <v/>
      </c>
      <c r="F779" s="27" t="s">
        <v>19081</v>
      </c>
    </row>
    <row r="780" spans="1:6">
      <c r="A780" s="27" t="str">
        <f>Resultados!$K$3</f>
        <v/>
      </c>
      <c r="B780" s="27" t="str">
        <f>Resultados!$K$4</f>
        <v/>
      </c>
      <c r="C780" s="568" t="str">
        <f>'900000'!$B100</f>
        <v>09901080</v>
      </c>
      <c r="D780" s="27" t="str">
        <f>'900000'!$K$19</f>
        <v>C09901010</v>
      </c>
      <c r="E780" s="27" t="str">
        <f>'900000'!$K100</f>
        <v/>
      </c>
      <c r="F780" s="27" t="s">
        <v>19081</v>
      </c>
    </row>
    <row r="781" spans="1:6">
      <c r="A781" s="27" t="str">
        <f>Resultados!$K$3</f>
        <v/>
      </c>
      <c r="B781" s="27" t="str">
        <f>Resultados!$K$4</f>
        <v/>
      </c>
      <c r="C781" s="568" t="str">
        <f>'900000'!$B101</f>
        <v>09901081</v>
      </c>
      <c r="D781" s="27" t="str">
        <f>'900000'!$K$19</f>
        <v>C09901010</v>
      </c>
      <c r="E781" s="27" t="str">
        <f>'900000'!$K101</f>
        <v/>
      </c>
      <c r="F781" s="27" t="s">
        <v>19081</v>
      </c>
    </row>
    <row r="782" spans="1:6">
      <c r="A782" s="27" t="str">
        <f>Resultados!$K$3</f>
        <v/>
      </c>
      <c r="B782" s="27" t="str">
        <f>Resultados!$K$4</f>
        <v/>
      </c>
      <c r="C782" s="568" t="str">
        <f>'900000'!$B102</f>
        <v>09901082</v>
      </c>
      <c r="D782" s="27" t="str">
        <f>'900000'!$K$19</f>
        <v>C09901010</v>
      </c>
      <c r="E782" s="27" t="str">
        <f>'900000'!$K102</f>
        <v/>
      </c>
      <c r="F782" s="27" t="s">
        <v>19081</v>
      </c>
    </row>
    <row r="783" spans="1:6">
      <c r="A783" s="27" t="str">
        <f>Resultados!$K$3</f>
        <v/>
      </c>
      <c r="B783" s="27" t="str">
        <f>Resultados!$K$4</f>
        <v/>
      </c>
      <c r="C783" s="568" t="str">
        <f>'900000'!$B103</f>
        <v>09901083</v>
      </c>
      <c r="D783" s="27" t="str">
        <f>'900000'!$K$19</f>
        <v>C09901010</v>
      </c>
      <c r="E783" s="27" t="str">
        <f>'900000'!$K103</f>
        <v/>
      </c>
      <c r="F783" s="27" t="s">
        <v>19081</v>
      </c>
    </row>
    <row r="784" spans="1:6">
      <c r="A784" s="27" t="str">
        <f>Resultados!$K$3</f>
        <v/>
      </c>
      <c r="B784" s="27" t="str">
        <f>Resultados!$K$4</f>
        <v/>
      </c>
      <c r="C784" s="568" t="str">
        <f>'900000'!$B104</f>
        <v>09901084</v>
      </c>
      <c r="D784" s="27" t="str">
        <f>'900000'!$K$19</f>
        <v>C09901010</v>
      </c>
      <c r="E784" s="27" t="str">
        <f>'900000'!$K104</f>
        <v/>
      </c>
      <c r="F784" s="27" t="s">
        <v>19081</v>
      </c>
    </row>
    <row r="785" spans="1:6">
      <c r="A785" s="27" t="str">
        <f>Resultados!$K$3</f>
        <v/>
      </c>
      <c r="B785" s="27" t="str">
        <f>Resultados!$K$4</f>
        <v/>
      </c>
      <c r="C785" s="568" t="str">
        <f>'900000'!$B105</f>
        <v>09901085</v>
      </c>
      <c r="D785" s="27" t="str">
        <f>'900000'!$K$19</f>
        <v>C09901010</v>
      </c>
      <c r="E785" s="27" t="str">
        <f>'900000'!$K105</f>
        <v/>
      </c>
      <c r="F785" s="27" t="s">
        <v>19081</v>
      </c>
    </row>
    <row r="786" spans="1:6">
      <c r="A786" s="27" t="str">
        <f>Resultados!$K$3</f>
        <v/>
      </c>
      <c r="B786" s="27" t="str">
        <f>Resultados!$K$4</f>
        <v/>
      </c>
      <c r="C786" s="568" t="str">
        <f>'900000'!$B106</f>
        <v>09901086</v>
      </c>
      <c r="D786" s="27" t="str">
        <f>'900000'!$K$19</f>
        <v>C09901010</v>
      </c>
      <c r="E786" s="27" t="str">
        <f>'900000'!$K106</f>
        <v/>
      </c>
      <c r="F786" s="27" t="s">
        <v>19081</v>
      </c>
    </row>
    <row r="787" spans="1:6">
      <c r="A787" s="27" t="str">
        <f>Resultados!$K$3</f>
        <v/>
      </c>
      <c r="B787" s="27" t="str">
        <f>Resultados!$K$4</f>
        <v/>
      </c>
      <c r="C787" s="568" t="str">
        <f>'900000'!$B107</f>
        <v>09901087</v>
      </c>
      <c r="D787" s="27" t="str">
        <f>'900000'!$K$19</f>
        <v>C09901010</v>
      </c>
      <c r="E787" s="27" t="str">
        <f>'900000'!$K107</f>
        <v/>
      </c>
      <c r="F787" s="27" t="s">
        <v>19081</v>
      </c>
    </row>
    <row r="788" spans="1:6">
      <c r="A788" s="27" t="str">
        <f>Resultados!$K$3</f>
        <v/>
      </c>
      <c r="B788" s="27" t="str">
        <f>Resultados!$K$4</f>
        <v/>
      </c>
      <c r="C788" s="568" t="str">
        <f>'900000'!$B108</f>
        <v>09901088</v>
      </c>
      <c r="D788" s="27" t="str">
        <f>'900000'!$K$19</f>
        <v>C09901010</v>
      </c>
      <c r="E788" s="27" t="str">
        <f>'900000'!$K108</f>
        <v/>
      </c>
      <c r="F788" s="27" t="s">
        <v>19081</v>
      </c>
    </row>
    <row r="789" spans="1:6">
      <c r="A789" s="27" t="str">
        <f>Resultados!$K$3</f>
        <v/>
      </c>
      <c r="B789" s="27" t="str">
        <f>Resultados!$K$4</f>
        <v/>
      </c>
      <c r="C789" s="568" t="str">
        <f>'900000'!$B109</f>
        <v>09901089</v>
      </c>
      <c r="D789" s="27" t="str">
        <f>'900000'!$K$19</f>
        <v>C09901010</v>
      </c>
      <c r="E789" s="27" t="str">
        <f>'900000'!$K109</f>
        <v/>
      </c>
      <c r="F789" s="27" t="s">
        <v>19081</v>
      </c>
    </row>
    <row r="790" spans="1:6">
      <c r="A790" s="27" t="str">
        <f>Resultados!$K$3</f>
        <v/>
      </c>
      <c r="B790" s="27" t="str">
        <f>Resultados!$K$4</f>
        <v/>
      </c>
      <c r="C790" s="568" t="str">
        <f>'900000'!$B110</f>
        <v>09901090</v>
      </c>
      <c r="D790" s="27" t="str">
        <f>'900000'!$K$19</f>
        <v>C09901010</v>
      </c>
      <c r="E790" s="27" t="str">
        <f>'900000'!$K110</f>
        <v/>
      </c>
      <c r="F790" s="27" t="s">
        <v>19081</v>
      </c>
    </row>
    <row r="791" spans="1:6">
      <c r="A791" s="27" t="str">
        <f>Resultados!$K$3</f>
        <v/>
      </c>
      <c r="B791" s="27" t="str">
        <f>Resultados!$K$4</f>
        <v/>
      </c>
      <c r="C791" s="568" t="str">
        <f>'900000'!$B111</f>
        <v>09901091</v>
      </c>
      <c r="D791" s="27" t="str">
        <f>'900000'!$K$19</f>
        <v>C09901010</v>
      </c>
      <c r="E791" s="27" t="str">
        <f>'900000'!$K111</f>
        <v/>
      </c>
      <c r="F791" s="27" t="s">
        <v>19081</v>
      </c>
    </row>
    <row r="792" spans="1:6">
      <c r="A792" s="27" t="str">
        <f>Resultados!$K$3</f>
        <v/>
      </c>
      <c r="B792" s="27" t="str">
        <f>Resultados!$K$4</f>
        <v/>
      </c>
      <c r="C792" s="568" t="str">
        <f>'900000'!$B112</f>
        <v>09901092</v>
      </c>
      <c r="D792" s="27" t="str">
        <f>'900000'!$K$19</f>
        <v>C09901010</v>
      </c>
      <c r="E792" s="27" t="str">
        <f>'900000'!$K112</f>
        <v/>
      </c>
      <c r="F792" s="27" t="s">
        <v>19081</v>
      </c>
    </row>
    <row r="793" spans="1:6">
      <c r="A793" s="27" t="str">
        <f>Resultados!$K$3</f>
        <v/>
      </c>
      <c r="B793" s="27" t="str">
        <f>Resultados!$K$4</f>
        <v/>
      </c>
      <c r="C793" s="568" t="str">
        <f>'900000'!$B113</f>
        <v>09901093</v>
      </c>
      <c r="D793" s="27" t="str">
        <f>'900000'!$K$19</f>
        <v>C09901010</v>
      </c>
      <c r="E793" s="27" t="str">
        <f>'900000'!$K113</f>
        <v/>
      </c>
      <c r="F793" s="27" t="s">
        <v>19081</v>
      </c>
    </row>
    <row r="794" spans="1:6">
      <c r="A794" s="27" t="str">
        <f>Resultados!$K$3</f>
        <v/>
      </c>
      <c r="B794" s="27" t="str">
        <f>Resultados!$K$4</f>
        <v/>
      </c>
      <c r="C794" s="568" t="str">
        <f>'900000'!$B114</f>
        <v>09901094</v>
      </c>
      <c r="D794" s="27" t="str">
        <f>'900000'!$K$19</f>
        <v>C09901010</v>
      </c>
      <c r="E794" s="27" t="str">
        <f>'900000'!$K114</f>
        <v/>
      </c>
      <c r="F794" s="27" t="s">
        <v>19081</v>
      </c>
    </row>
    <row r="795" spans="1:6">
      <c r="A795" s="27" t="str">
        <f>Resultados!$K$3</f>
        <v/>
      </c>
      <c r="B795" s="27" t="str">
        <f>Resultados!$K$4</f>
        <v/>
      </c>
      <c r="C795" s="568" t="str">
        <f>'900000'!$B115</f>
        <v>09901095</v>
      </c>
      <c r="D795" s="27" t="str">
        <f>'900000'!$K$19</f>
        <v>C09901010</v>
      </c>
      <c r="E795" s="27" t="str">
        <f>'900000'!$K115</f>
        <v/>
      </c>
      <c r="F795" s="27" t="s">
        <v>19081</v>
      </c>
    </row>
    <row r="796" spans="1:6">
      <c r="A796" s="27" t="str">
        <f>Resultados!$K$3</f>
        <v/>
      </c>
      <c r="B796" s="27" t="str">
        <f>Resultados!$K$4</f>
        <v/>
      </c>
      <c r="C796" s="568" t="str">
        <f>'900000'!$B116</f>
        <v>09901096</v>
      </c>
      <c r="D796" s="27" t="str">
        <f>'900000'!$K$19</f>
        <v>C09901010</v>
      </c>
      <c r="E796" s="27" t="str">
        <f>'900000'!$K116</f>
        <v/>
      </c>
      <c r="F796" s="27" t="s">
        <v>19081</v>
      </c>
    </row>
    <row r="797" spans="1:6">
      <c r="A797" s="27" t="str">
        <f>Resultados!$K$3</f>
        <v/>
      </c>
      <c r="B797" s="27" t="str">
        <f>Resultados!$K$4</f>
        <v/>
      </c>
      <c r="C797" s="568" t="str">
        <f>'900000'!$B117</f>
        <v>09901097</v>
      </c>
      <c r="D797" s="27" t="str">
        <f>'900000'!$K$19</f>
        <v>C09901010</v>
      </c>
      <c r="E797" s="27" t="str">
        <f>'900000'!$K117</f>
        <v/>
      </c>
      <c r="F797" s="27" t="s">
        <v>19081</v>
      </c>
    </row>
    <row r="798" spans="1:6">
      <c r="A798" s="27" t="str">
        <f>Resultados!$K$3</f>
        <v/>
      </c>
      <c r="B798" s="27" t="str">
        <f>Resultados!$K$4</f>
        <v/>
      </c>
      <c r="C798" s="568" t="str">
        <f>'900000'!$B118</f>
        <v>09901098</v>
      </c>
      <c r="D798" s="27" t="str">
        <f>'900000'!$K$19</f>
        <v>C09901010</v>
      </c>
      <c r="E798" s="27" t="str">
        <f>'900000'!$K118</f>
        <v/>
      </c>
      <c r="F798" s="27" t="s">
        <v>19081</v>
      </c>
    </row>
    <row r="799" spans="1:6">
      <c r="A799" s="27" t="str">
        <f>Resultados!$K$3</f>
        <v/>
      </c>
      <c r="B799" s="27" t="str">
        <f>Resultados!$K$4</f>
        <v/>
      </c>
      <c r="C799" s="568" t="str">
        <f>'900000'!$B119</f>
        <v>09901099</v>
      </c>
      <c r="D799" s="27" t="str">
        <f>'900000'!$K$19</f>
        <v>C09901010</v>
      </c>
      <c r="E799" s="27" t="str">
        <f>'900000'!$K119</f>
        <v/>
      </c>
      <c r="F799" s="27" t="s">
        <v>19081</v>
      </c>
    </row>
    <row r="800" spans="1:6">
      <c r="A800" s="27" t="str">
        <f>Resultados!$K$3</f>
        <v/>
      </c>
      <c r="B800" s="27" t="str">
        <f>Resultados!$K$4</f>
        <v/>
      </c>
      <c r="C800" s="568" t="str">
        <f>'900000'!$B120</f>
        <v>09901100</v>
      </c>
      <c r="D800" s="27" t="str">
        <f>'900000'!$K$19</f>
        <v>C09901010</v>
      </c>
      <c r="E800" s="27" t="str">
        <f>'900000'!$K120</f>
        <v/>
      </c>
      <c r="F800" s="27" t="s">
        <v>19081</v>
      </c>
    </row>
    <row r="801" spans="1:6">
      <c r="A801" s="27" t="str">
        <f>Resultados!$K$3</f>
        <v/>
      </c>
      <c r="B801" s="27" t="str">
        <f>Resultados!$K$4</f>
        <v/>
      </c>
      <c r="C801" s="568" t="str">
        <f>'900000'!$B121</f>
        <v>09901101</v>
      </c>
      <c r="D801" s="27" t="str">
        <f>'900000'!$K$19</f>
        <v>C09901010</v>
      </c>
      <c r="E801" s="27" t="str">
        <f>'900000'!$K121</f>
        <v/>
      </c>
      <c r="F801" s="27" t="s">
        <v>19081</v>
      </c>
    </row>
    <row r="802" spans="1:6">
      <c r="A802" s="27" t="str">
        <f>Resultados!$K$3</f>
        <v/>
      </c>
      <c r="B802" s="27" t="str">
        <f>Resultados!$K$4</f>
        <v/>
      </c>
      <c r="C802" s="568" t="str">
        <f>'900000'!$B22</f>
        <v>09901002</v>
      </c>
      <c r="D802" t="str">
        <f>'900000'!$L$19</f>
        <v>C09901011</v>
      </c>
      <c r="E802">
        <f>'900000'!$L22</f>
        <v>0</v>
      </c>
      <c r="F802" s="27" t="s">
        <v>19081</v>
      </c>
    </row>
    <row r="803" spans="1:6">
      <c r="A803" s="27" t="str">
        <f>Resultados!$K$3</f>
        <v/>
      </c>
      <c r="B803" s="27" t="str">
        <f>Resultados!$K$4</f>
        <v/>
      </c>
      <c r="C803" s="568" t="str">
        <f>'900000'!$B23</f>
        <v>09901003</v>
      </c>
      <c r="D803" s="27" t="str">
        <f>'900000'!$L$19</f>
        <v>C09901011</v>
      </c>
      <c r="E803" s="27">
        <f>'900000'!$L23</f>
        <v>0</v>
      </c>
      <c r="F803" s="27" t="s">
        <v>19081</v>
      </c>
    </row>
    <row r="804" spans="1:6">
      <c r="A804" s="27" t="str">
        <f>Resultados!$K$3</f>
        <v/>
      </c>
      <c r="B804" s="27" t="str">
        <f>Resultados!$K$4</f>
        <v/>
      </c>
      <c r="C804" s="568" t="str">
        <f>'900000'!$B24</f>
        <v>09901004</v>
      </c>
      <c r="D804" s="27" t="str">
        <f>'900000'!$L$19</f>
        <v>C09901011</v>
      </c>
      <c r="E804" s="27">
        <f>'900000'!$L24</f>
        <v>0</v>
      </c>
      <c r="F804" s="27" t="s">
        <v>19081</v>
      </c>
    </row>
    <row r="805" spans="1:6">
      <c r="A805" s="27" t="str">
        <f>Resultados!$K$3</f>
        <v/>
      </c>
      <c r="B805" s="27" t="str">
        <f>Resultados!$K$4</f>
        <v/>
      </c>
      <c r="C805" s="568" t="str">
        <f>'900000'!$B25</f>
        <v>09901005</v>
      </c>
      <c r="D805" s="27" t="str">
        <f>'900000'!$L$19</f>
        <v>C09901011</v>
      </c>
      <c r="E805" s="27">
        <f>'900000'!$L25</f>
        <v>0</v>
      </c>
      <c r="F805" s="27" t="s">
        <v>19081</v>
      </c>
    </row>
    <row r="806" spans="1:6">
      <c r="A806" s="27" t="str">
        <f>Resultados!$K$3</f>
        <v/>
      </c>
      <c r="B806" s="27" t="str">
        <f>Resultados!$K$4</f>
        <v/>
      </c>
      <c r="C806" s="568" t="str">
        <f>'900000'!$B26</f>
        <v>09901006</v>
      </c>
      <c r="D806" s="27" t="str">
        <f>'900000'!$L$19</f>
        <v>C09901011</v>
      </c>
      <c r="E806" s="27">
        <f>'900000'!$L26</f>
        <v>0</v>
      </c>
      <c r="F806" s="27" t="s">
        <v>19081</v>
      </c>
    </row>
    <row r="807" spans="1:6">
      <c r="A807" s="27" t="str">
        <f>Resultados!$K$3</f>
        <v/>
      </c>
      <c r="B807" s="27" t="str">
        <f>Resultados!$K$4</f>
        <v/>
      </c>
      <c r="C807" s="568" t="str">
        <f>'900000'!$B27</f>
        <v>09901007</v>
      </c>
      <c r="D807" s="27" t="str">
        <f>'900000'!$L$19</f>
        <v>C09901011</v>
      </c>
      <c r="E807" s="27">
        <f>'900000'!$L27</f>
        <v>0</v>
      </c>
      <c r="F807" s="27" t="s">
        <v>19081</v>
      </c>
    </row>
    <row r="808" spans="1:6">
      <c r="A808" s="27" t="str">
        <f>Resultados!$K$3</f>
        <v/>
      </c>
      <c r="B808" s="27" t="str">
        <f>Resultados!$K$4</f>
        <v/>
      </c>
      <c r="C808" s="568" t="str">
        <f>'900000'!$B28</f>
        <v>09901008</v>
      </c>
      <c r="D808" s="27" t="str">
        <f>'900000'!$L$19</f>
        <v>C09901011</v>
      </c>
      <c r="E808" s="27">
        <f>'900000'!$L28</f>
        <v>0</v>
      </c>
      <c r="F808" s="27" t="s">
        <v>19081</v>
      </c>
    </row>
    <row r="809" spans="1:6">
      <c r="A809" s="27" t="str">
        <f>Resultados!$K$3</f>
        <v/>
      </c>
      <c r="B809" s="27" t="str">
        <f>Resultados!$K$4</f>
        <v/>
      </c>
      <c r="C809" s="568" t="str">
        <f>'900000'!$B29</f>
        <v>09901009</v>
      </c>
      <c r="D809" s="27" t="str">
        <f>'900000'!$L$19</f>
        <v>C09901011</v>
      </c>
      <c r="E809" s="27">
        <f>'900000'!$L29</f>
        <v>0</v>
      </c>
      <c r="F809" s="27" t="s">
        <v>19081</v>
      </c>
    </row>
    <row r="810" spans="1:6">
      <c r="A810" s="27" t="str">
        <f>Resultados!$K$3</f>
        <v/>
      </c>
      <c r="B810" s="27" t="str">
        <f>Resultados!$K$4</f>
        <v/>
      </c>
      <c r="C810" s="568" t="str">
        <f>'900000'!$B30</f>
        <v>09901010</v>
      </c>
      <c r="D810" s="27" t="str">
        <f>'900000'!$L$19</f>
        <v>C09901011</v>
      </c>
      <c r="E810" s="27">
        <f>'900000'!$L30</f>
        <v>0</v>
      </c>
      <c r="F810" s="27" t="s">
        <v>19081</v>
      </c>
    </row>
    <row r="811" spans="1:6">
      <c r="A811" s="27" t="str">
        <f>Resultados!$K$3</f>
        <v/>
      </c>
      <c r="B811" s="27" t="str">
        <f>Resultados!$K$4</f>
        <v/>
      </c>
      <c r="C811" s="568" t="str">
        <f>'900000'!$B31</f>
        <v>09901011</v>
      </c>
      <c r="D811" s="27" t="str">
        <f>'900000'!$L$19</f>
        <v>C09901011</v>
      </c>
      <c r="E811" s="27">
        <f>'900000'!$L31</f>
        <v>0</v>
      </c>
      <c r="F811" s="27" t="s">
        <v>19081</v>
      </c>
    </row>
    <row r="812" spans="1:6">
      <c r="A812" s="27" t="str">
        <f>Resultados!$K$3</f>
        <v/>
      </c>
      <c r="B812" s="27" t="str">
        <f>Resultados!$K$4</f>
        <v/>
      </c>
      <c r="C812" s="568" t="str">
        <f>'900000'!$B32</f>
        <v>09901012</v>
      </c>
      <c r="D812" s="27" t="str">
        <f>'900000'!$L$19</f>
        <v>C09901011</v>
      </c>
      <c r="E812" s="27">
        <f>'900000'!$L32</f>
        <v>0</v>
      </c>
      <c r="F812" s="27" t="s">
        <v>19081</v>
      </c>
    </row>
    <row r="813" spans="1:6">
      <c r="A813" s="27" t="str">
        <f>Resultados!$K$3</f>
        <v/>
      </c>
      <c r="B813" s="27" t="str">
        <f>Resultados!$K$4</f>
        <v/>
      </c>
      <c r="C813" s="568" t="str">
        <f>'900000'!$B33</f>
        <v>09901013</v>
      </c>
      <c r="D813" s="27" t="str">
        <f>'900000'!$L$19</f>
        <v>C09901011</v>
      </c>
      <c r="E813" s="27">
        <f>'900000'!$L33</f>
        <v>0</v>
      </c>
      <c r="F813" s="27" t="s">
        <v>19081</v>
      </c>
    </row>
    <row r="814" spans="1:6">
      <c r="A814" s="27" t="str">
        <f>Resultados!$K$3</f>
        <v/>
      </c>
      <c r="B814" s="27" t="str">
        <f>Resultados!$K$4</f>
        <v/>
      </c>
      <c r="C814" s="568" t="str">
        <f>'900000'!$B34</f>
        <v>09901014</v>
      </c>
      <c r="D814" s="27" t="str">
        <f>'900000'!$L$19</f>
        <v>C09901011</v>
      </c>
      <c r="E814" s="27">
        <f>'900000'!$L34</f>
        <v>0</v>
      </c>
      <c r="F814" s="27" t="s">
        <v>19081</v>
      </c>
    </row>
    <row r="815" spans="1:6">
      <c r="A815" s="27" t="str">
        <f>Resultados!$K$3</f>
        <v/>
      </c>
      <c r="B815" s="27" t="str">
        <f>Resultados!$K$4</f>
        <v/>
      </c>
      <c r="C815" s="568" t="str">
        <f>'900000'!$B35</f>
        <v>09901015</v>
      </c>
      <c r="D815" s="27" t="str">
        <f>'900000'!$L$19</f>
        <v>C09901011</v>
      </c>
      <c r="E815" s="27">
        <f>'900000'!$L35</f>
        <v>0</v>
      </c>
      <c r="F815" s="27" t="s">
        <v>19081</v>
      </c>
    </row>
    <row r="816" spans="1:6">
      <c r="A816" s="27" t="str">
        <f>Resultados!$K$3</f>
        <v/>
      </c>
      <c r="B816" s="27" t="str">
        <f>Resultados!$K$4</f>
        <v/>
      </c>
      <c r="C816" s="568" t="str">
        <f>'900000'!$B36</f>
        <v>09901016</v>
      </c>
      <c r="D816" s="27" t="str">
        <f>'900000'!$L$19</f>
        <v>C09901011</v>
      </c>
      <c r="E816" s="27">
        <f>'900000'!$L36</f>
        <v>0</v>
      </c>
      <c r="F816" s="27" t="s">
        <v>19081</v>
      </c>
    </row>
    <row r="817" spans="1:6">
      <c r="A817" s="27" t="str">
        <f>Resultados!$K$3</f>
        <v/>
      </c>
      <c r="B817" s="27" t="str">
        <f>Resultados!$K$4</f>
        <v/>
      </c>
      <c r="C817" s="568" t="str">
        <f>'900000'!$B37</f>
        <v>09901017</v>
      </c>
      <c r="D817" s="27" t="str">
        <f>'900000'!$L$19</f>
        <v>C09901011</v>
      </c>
      <c r="E817" s="27">
        <f>'900000'!$L37</f>
        <v>0</v>
      </c>
      <c r="F817" s="27" t="s">
        <v>19081</v>
      </c>
    </row>
    <row r="818" spans="1:6">
      <c r="A818" s="27" t="str">
        <f>Resultados!$K$3</f>
        <v/>
      </c>
      <c r="B818" s="27" t="str">
        <f>Resultados!$K$4</f>
        <v/>
      </c>
      <c r="C818" s="568" t="str">
        <f>'900000'!$B38</f>
        <v>09901018</v>
      </c>
      <c r="D818" s="27" t="str">
        <f>'900000'!$L$19</f>
        <v>C09901011</v>
      </c>
      <c r="E818" s="27">
        <f>'900000'!$L38</f>
        <v>0</v>
      </c>
      <c r="F818" s="27" t="s">
        <v>19081</v>
      </c>
    </row>
    <row r="819" spans="1:6">
      <c r="A819" s="27" t="str">
        <f>Resultados!$K$3</f>
        <v/>
      </c>
      <c r="B819" s="27" t="str">
        <f>Resultados!$K$4</f>
        <v/>
      </c>
      <c r="C819" s="568" t="str">
        <f>'900000'!$B39</f>
        <v>09901019</v>
      </c>
      <c r="D819" s="27" t="str">
        <f>'900000'!$L$19</f>
        <v>C09901011</v>
      </c>
      <c r="E819" s="27">
        <f>'900000'!$L39</f>
        <v>0</v>
      </c>
      <c r="F819" s="27" t="s">
        <v>19081</v>
      </c>
    </row>
    <row r="820" spans="1:6">
      <c r="A820" s="27" t="str">
        <f>Resultados!$K$3</f>
        <v/>
      </c>
      <c r="B820" s="27" t="str">
        <f>Resultados!$K$4</f>
        <v/>
      </c>
      <c r="C820" s="568" t="str">
        <f>'900000'!$B40</f>
        <v>09901020</v>
      </c>
      <c r="D820" s="27" t="str">
        <f>'900000'!$L$19</f>
        <v>C09901011</v>
      </c>
      <c r="E820" s="27">
        <f>'900000'!$L40</f>
        <v>0</v>
      </c>
      <c r="F820" s="27" t="s">
        <v>19081</v>
      </c>
    </row>
    <row r="821" spans="1:6">
      <c r="A821" s="27" t="str">
        <f>Resultados!$K$3</f>
        <v/>
      </c>
      <c r="B821" s="27" t="str">
        <f>Resultados!$K$4</f>
        <v/>
      </c>
      <c r="C821" s="568" t="str">
        <f>'900000'!$B41</f>
        <v>09901021</v>
      </c>
      <c r="D821" s="27" t="str">
        <f>'900000'!$L$19</f>
        <v>C09901011</v>
      </c>
      <c r="E821" s="27">
        <f>'900000'!$L41</f>
        <v>0</v>
      </c>
      <c r="F821" s="27" t="s">
        <v>19081</v>
      </c>
    </row>
    <row r="822" spans="1:6">
      <c r="A822" s="27" t="str">
        <f>Resultados!$K$3</f>
        <v/>
      </c>
      <c r="B822" s="27" t="str">
        <f>Resultados!$K$4</f>
        <v/>
      </c>
      <c r="C822" s="568" t="str">
        <f>'900000'!$B42</f>
        <v>09901022</v>
      </c>
      <c r="D822" s="27" t="str">
        <f>'900000'!$L$19</f>
        <v>C09901011</v>
      </c>
      <c r="E822" s="27">
        <f>'900000'!$L42</f>
        <v>0</v>
      </c>
      <c r="F822" s="27" t="s">
        <v>19081</v>
      </c>
    </row>
    <row r="823" spans="1:6">
      <c r="A823" s="27" t="str">
        <f>Resultados!$K$3</f>
        <v/>
      </c>
      <c r="B823" s="27" t="str">
        <f>Resultados!$K$4</f>
        <v/>
      </c>
      <c r="C823" s="568" t="str">
        <f>'900000'!$B43</f>
        <v>09901023</v>
      </c>
      <c r="D823" s="27" t="str">
        <f>'900000'!$L$19</f>
        <v>C09901011</v>
      </c>
      <c r="E823" s="27">
        <f>'900000'!$L43</f>
        <v>0</v>
      </c>
      <c r="F823" s="27" t="s">
        <v>19081</v>
      </c>
    </row>
    <row r="824" spans="1:6">
      <c r="A824" s="27" t="str">
        <f>Resultados!$K$3</f>
        <v/>
      </c>
      <c r="B824" s="27" t="str">
        <f>Resultados!$K$4</f>
        <v/>
      </c>
      <c r="C824" s="568" t="str">
        <f>'900000'!$B44</f>
        <v>09901024</v>
      </c>
      <c r="D824" s="27" t="str">
        <f>'900000'!$L$19</f>
        <v>C09901011</v>
      </c>
      <c r="E824" s="27">
        <f>'900000'!$L44</f>
        <v>0</v>
      </c>
      <c r="F824" s="27" t="s">
        <v>19081</v>
      </c>
    </row>
    <row r="825" spans="1:6">
      <c r="A825" s="27" t="str">
        <f>Resultados!$K$3</f>
        <v/>
      </c>
      <c r="B825" s="27" t="str">
        <f>Resultados!$K$4</f>
        <v/>
      </c>
      <c r="C825" s="568" t="str">
        <f>'900000'!$B45</f>
        <v>09901025</v>
      </c>
      <c r="D825" s="27" t="str">
        <f>'900000'!$L$19</f>
        <v>C09901011</v>
      </c>
      <c r="E825" s="27">
        <f>'900000'!$L45</f>
        <v>0</v>
      </c>
      <c r="F825" s="27" t="s">
        <v>19081</v>
      </c>
    </row>
    <row r="826" spans="1:6">
      <c r="A826" s="27" t="str">
        <f>Resultados!$K$3</f>
        <v/>
      </c>
      <c r="B826" s="27" t="str">
        <f>Resultados!$K$4</f>
        <v/>
      </c>
      <c r="C826" s="568" t="str">
        <f>'900000'!$B46</f>
        <v>09901026</v>
      </c>
      <c r="D826" s="27" t="str">
        <f>'900000'!$L$19</f>
        <v>C09901011</v>
      </c>
      <c r="E826" s="27">
        <f>'900000'!$L46</f>
        <v>0</v>
      </c>
      <c r="F826" s="27" t="s">
        <v>19081</v>
      </c>
    </row>
    <row r="827" spans="1:6">
      <c r="A827" s="27" t="str">
        <f>Resultados!$K$3</f>
        <v/>
      </c>
      <c r="B827" s="27" t="str">
        <f>Resultados!$K$4</f>
        <v/>
      </c>
      <c r="C827" s="568" t="str">
        <f>'900000'!$B47</f>
        <v>09901027</v>
      </c>
      <c r="D827" s="27" t="str">
        <f>'900000'!$L$19</f>
        <v>C09901011</v>
      </c>
      <c r="E827" s="27">
        <f>'900000'!$L47</f>
        <v>0</v>
      </c>
      <c r="F827" s="27" t="s">
        <v>19081</v>
      </c>
    </row>
    <row r="828" spans="1:6">
      <c r="A828" s="27" t="str">
        <f>Resultados!$K$3</f>
        <v/>
      </c>
      <c r="B828" s="27" t="str">
        <f>Resultados!$K$4</f>
        <v/>
      </c>
      <c r="C828" s="568" t="str">
        <f>'900000'!$B48</f>
        <v>09901028</v>
      </c>
      <c r="D828" s="27" t="str">
        <f>'900000'!$L$19</f>
        <v>C09901011</v>
      </c>
      <c r="E828" s="27">
        <f>'900000'!$L48</f>
        <v>0</v>
      </c>
      <c r="F828" s="27" t="s">
        <v>19081</v>
      </c>
    </row>
    <row r="829" spans="1:6">
      <c r="A829" s="27" t="str">
        <f>Resultados!$K$3</f>
        <v/>
      </c>
      <c r="B829" s="27" t="str">
        <f>Resultados!$K$4</f>
        <v/>
      </c>
      <c r="C829" s="568" t="str">
        <f>'900000'!$B49</f>
        <v>09901029</v>
      </c>
      <c r="D829" s="27" t="str">
        <f>'900000'!$L$19</f>
        <v>C09901011</v>
      </c>
      <c r="E829" s="27">
        <f>'900000'!$L49</f>
        <v>0</v>
      </c>
      <c r="F829" s="27" t="s">
        <v>19081</v>
      </c>
    </row>
    <row r="830" spans="1:6">
      <c r="A830" s="27" t="str">
        <f>Resultados!$K$3</f>
        <v/>
      </c>
      <c r="B830" s="27" t="str">
        <f>Resultados!$K$4</f>
        <v/>
      </c>
      <c r="C830" s="568" t="str">
        <f>'900000'!$B50</f>
        <v>09901030</v>
      </c>
      <c r="D830" s="27" t="str">
        <f>'900000'!$L$19</f>
        <v>C09901011</v>
      </c>
      <c r="E830" s="27">
        <f>'900000'!$L50</f>
        <v>0</v>
      </c>
      <c r="F830" s="27" t="s">
        <v>19081</v>
      </c>
    </row>
    <row r="831" spans="1:6">
      <c r="A831" s="27" t="str">
        <f>Resultados!$K$3</f>
        <v/>
      </c>
      <c r="B831" s="27" t="str">
        <f>Resultados!$K$4</f>
        <v/>
      </c>
      <c r="C831" s="568" t="str">
        <f>'900000'!$B51</f>
        <v>09901031</v>
      </c>
      <c r="D831" s="27" t="str">
        <f>'900000'!$L$19</f>
        <v>C09901011</v>
      </c>
      <c r="E831" s="27">
        <f>'900000'!$L51</f>
        <v>0</v>
      </c>
      <c r="F831" s="27" t="s">
        <v>19081</v>
      </c>
    </row>
    <row r="832" spans="1:6">
      <c r="A832" s="27" t="str">
        <f>Resultados!$K$3</f>
        <v/>
      </c>
      <c r="B832" s="27" t="str">
        <f>Resultados!$K$4</f>
        <v/>
      </c>
      <c r="C832" s="568" t="str">
        <f>'900000'!$B52</f>
        <v>09901032</v>
      </c>
      <c r="D832" s="27" t="str">
        <f>'900000'!$L$19</f>
        <v>C09901011</v>
      </c>
      <c r="E832" s="27">
        <f>'900000'!$L52</f>
        <v>0</v>
      </c>
      <c r="F832" s="27" t="s">
        <v>19081</v>
      </c>
    </row>
    <row r="833" spans="1:6">
      <c r="A833" s="27" t="str">
        <f>Resultados!$K$3</f>
        <v/>
      </c>
      <c r="B833" s="27" t="str">
        <f>Resultados!$K$4</f>
        <v/>
      </c>
      <c r="C833" s="568" t="str">
        <f>'900000'!$B53</f>
        <v>09901033</v>
      </c>
      <c r="D833" s="27" t="str">
        <f>'900000'!$L$19</f>
        <v>C09901011</v>
      </c>
      <c r="E833" s="27">
        <f>'900000'!$L53</f>
        <v>0</v>
      </c>
      <c r="F833" s="27" t="s">
        <v>19081</v>
      </c>
    </row>
    <row r="834" spans="1:6">
      <c r="A834" s="27" t="str">
        <f>Resultados!$K$3</f>
        <v/>
      </c>
      <c r="B834" s="27" t="str">
        <f>Resultados!$K$4</f>
        <v/>
      </c>
      <c r="C834" s="568" t="str">
        <f>'900000'!$B54</f>
        <v>09901034</v>
      </c>
      <c r="D834" s="27" t="str">
        <f>'900000'!$L$19</f>
        <v>C09901011</v>
      </c>
      <c r="E834" s="27">
        <f>'900000'!$L54</f>
        <v>0</v>
      </c>
      <c r="F834" s="27" t="s">
        <v>19081</v>
      </c>
    </row>
    <row r="835" spans="1:6">
      <c r="A835" s="27" t="str">
        <f>Resultados!$K$3</f>
        <v/>
      </c>
      <c r="B835" s="27" t="str">
        <f>Resultados!$K$4</f>
        <v/>
      </c>
      <c r="C835" s="568" t="str">
        <f>'900000'!$B55</f>
        <v>09901035</v>
      </c>
      <c r="D835" s="27" t="str">
        <f>'900000'!$L$19</f>
        <v>C09901011</v>
      </c>
      <c r="E835" s="27">
        <f>'900000'!$L55</f>
        <v>0</v>
      </c>
      <c r="F835" s="27" t="s">
        <v>19081</v>
      </c>
    </row>
    <row r="836" spans="1:6">
      <c r="A836" s="27" t="str">
        <f>Resultados!$K$3</f>
        <v/>
      </c>
      <c r="B836" s="27" t="str">
        <f>Resultados!$K$4</f>
        <v/>
      </c>
      <c r="C836" s="568" t="str">
        <f>'900000'!$B56</f>
        <v>09901036</v>
      </c>
      <c r="D836" s="27" t="str">
        <f>'900000'!$L$19</f>
        <v>C09901011</v>
      </c>
      <c r="E836" s="27">
        <f>'900000'!$L56</f>
        <v>0</v>
      </c>
      <c r="F836" s="27" t="s">
        <v>19081</v>
      </c>
    </row>
    <row r="837" spans="1:6">
      <c r="A837" s="27" t="str">
        <f>Resultados!$K$3</f>
        <v/>
      </c>
      <c r="B837" s="27" t="str">
        <f>Resultados!$K$4</f>
        <v/>
      </c>
      <c r="C837" s="568" t="str">
        <f>'900000'!$B57</f>
        <v>09901037</v>
      </c>
      <c r="D837" s="27" t="str">
        <f>'900000'!$L$19</f>
        <v>C09901011</v>
      </c>
      <c r="E837" s="27">
        <f>'900000'!$L57</f>
        <v>0</v>
      </c>
      <c r="F837" s="27" t="s">
        <v>19081</v>
      </c>
    </row>
    <row r="838" spans="1:6">
      <c r="A838" s="27" t="str">
        <f>Resultados!$K$3</f>
        <v/>
      </c>
      <c r="B838" s="27" t="str">
        <f>Resultados!$K$4</f>
        <v/>
      </c>
      <c r="C838" s="568" t="str">
        <f>'900000'!$B58</f>
        <v>09901038</v>
      </c>
      <c r="D838" s="27" t="str">
        <f>'900000'!$L$19</f>
        <v>C09901011</v>
      </c>
      <c r="E838" s="27">
        <f>'900000'!$L58</f>
        <v>0</v>
      </c>
      <c r="F838" s="27" t="s">
        <v>19081</v>
      </c>
    </row>
    <row r="839" spans="1:6">
      <c r="A839" s="27" t="str">
        <f>Resultados!$K$3</f>
        <v/>
      </c>
      <c r="B839" s="27" t="str">
        <f>Resultados!$K$4</f>
        <v/>
      </c>
      <c r="C839" s="568" t="str">
        <f>'900000'!$B59</f>
        <v>09901039</v>
      </c>
      <c r="D839" s="27" t="str">
        <f>'900000'!$L$19</f>
        <v>C09901011</v>
      </c>
      <c r="E839" s="27">
        <f>'900000'!$L59</f>
        <v>0</v>
      </c>
      <c r="F839" s="27" t="s">
        <v>19081</v>
      </c>
    </row>
    <row r="840" spans="1:6">
      <c r="A840" s="27" t="str">
        <f>Resultados!$K$3</f>
        <v/>
      </c>
      <c r="B840" s="27" t="str">
        <f>Resultados!$K$4</f>
        <v/>
      </c>
      <c r="C840" s="568" t="str">
        <f>'900000'!$B60</f>
        <v>09901040</v>
      </c>
      <c r="D840" s="27" t="str">
        <f>'900000'!$L$19</f>
        <v>C09901011</v>
      </c>
      <c r="E840" s="27">
        <f>'900000'!$L60</f>
        <v>0</v>
      </c>
      <c r="F840" s="27" t="s">
        <v>19081</v>
      </c>
    </row>
    <row r="841" spans="1:6">
      <c r="A841" s="27" t="str">
        <f>Resultados!$K$3</f>
        <v/>
      </c>
      <c r="B841" s="27" t="str">
        <f>Resultados!$K$4</f>
        <v/>
      </c>
      <c r="C841" s="568" t="str">
        <f>'900000'!$B61</f>
        <v>09901041</v>
      </c>
      <c r="D841" s="27" t="str">
        <f>'900000'!$L$19</f>
        <v>C09901011</v>
      </c>
      <c r="E841" s="27">
        <f>'900000'!$L61</f>
        <v>0</v>
      </c>
      <c r="F841" s="27" t="s">
        <v>19081</v>
      </c>
    </row>
    <row r="842" spans="1:6">
      <c r="A842" s="27" t="str">
        <f>Resultados!$K$3</f>
        <v/>
      </c>
      <c r="B842" s="27" t="str">
        <f>Resultados!$K$4</f>
        <v/>
      </c>
      <c r="C842" s="568" t="str">
        <f>'900000'!$B62</f>
        <v>09901042</v>
      </c>
      <c r="D842" s="27" t="str">
        <f>'900000'!$L$19</f>
        <v>C09901011</v>
      </c>
      <c r="E842" s="27">
        <f>'900000'!$L62</f>
        <v>0</v>
      </c>
      <c r="F842" s="27" t="s">
        <v>19081</v>
      </c>
    </row>
    <row r="843" spans="1:6">
      <c r="A843" s="27" t="str">
        <f>Resultados!$K$3</f>
        <v/>
      </c>
      <c r="B843" s="27" t="str">
        <f>Resultados!$K$4</f>
        <v/>
      </c>
      <c r="C843" s="568" t="str">
        <f>'900000'!$B63</f>
        <v>09901043</v>
      </c>
      <c r="D843" s="27" t="str">
        <f>'900000'!$L$19</f>
        <v>C09901011</v>
      </c>
      <c r="E843" s="27">
        <f>'900000'!$L63</f>
        <v>0</v>
      </c>
      <c r="F843" s="27" t="s">
        <v>19081</v>
      </c>
    </row>
    <row r="844" spans="1:6">
      <c r="A844" s="27" t="str">
        <f>Resultados!$K$3</f>
        <v/>
      </c>
      <c r="B844" s="27" t="str">
        <f>Resultados!$K$4</f>
        <v/>
      </c>
      <c r="C844" s="568" t="str">
        <f>'900000'!$B64</f>
        <v>09901044</v>
      </c>
      <c r="D844" s="27" t="str">
        <f>'900000'!$L$19</f>
        <v>C09901011</v>
      </c>
      <c r="E844" s="27">
        <f>'900000'!$L64</f>
        <v>0</v>
      </c>
      <c r="F844" s="27" t="s">
        <v>19081</v>
      </c>
    </row>
    <row r="845" spans="1:6">
      <c r="A845" s="27" t="str">
        <f>Resultados!$K$3</f>
        <v/>
      </c>
      <c r="B845" s="27" t="str">
        <f>Resultados!$K$4</f>
        <v/>
      </c>
      <c r="C845" s="568" t="str">
        <f>'900000'!$B65</f>
        <v>09901045</v>
      </c>
      <c r="D845" s="27" t="str">
        <f>'900000'!$L$19</f>
        <v>C09901011</v>
      </c>
      <c r="E845" s="27">
        <f>'900000'!$L65</f>
        <v>0</v>
      </c>
      <c r="F845" s="27" t="s">
        <v>19081</v>
      </c>
    </row>
    <row r="846" spans="1:6">
      <c r="A846" s="27" t="str">
        <f>Resultados!$K$3</f>
        <v/>
      </c>
      <c r="B846" s="27" t="str">
        <f>Resultados!$K$4</f>
        <v/>
      </c>
      <c r="C846" s="568" t="str">
        <f>'900000'!$B66</f>
        <v>09901046</v>
      </c>
      <c r="D846" s="27" t="str">
        <f>'900000'!$L$19</f>
        <v>C09901011</v>
      </c>
      <c r="E846" s="27">
        <f>'900000'!$L66</f>
        <v>0</v>
      </c>
      <c r="F846" s="27" t="s">
        <v>19081</v>
      </c>
    </row>
    <row r="847" spans="1:6">
      <c r="A847" s="27" t="str">
        <f>Resultados!$K$3</f>
        <v/>
      </c>
      <c r="B847" s="27" t="str">
        <f>Resultados!$K$4</f>
        <v/>
      </c>
      <c r="C847" s="568" t="str">
        <f>'900000'!$B67</f>
        <v>09901047</v>
      </c>
      <c r="D847" s="27" t="str">
        <f>'900000'!$L$19</f>
        <v>C09901011</v>
      </c>
      <c r="E847" s="27">
        <f>'900000'!$L67</f>
        <v>0</v>
      </c>
      <c r="F847" s="27" t="s">
        <v>19081</v>
      </c>
    </row>
    <row r="848" spans="1:6">
      <c r="A848" s="27" t="str">
        <f>Resultados!$K$3</f>
        <v/>
      </c>
      <c r="B848" s="27" t="str">
        <f>Resultados!$K$4</f>
        <v/>
      </c>
      <c r="C848" s="568" t="str">
        <f>'900000'!$B68</f>
        <v>09901048</v>
      </c>
      <c r="D848" s="27" t="str">
        <f>'900000'!$L$19</f>
        <v>C09901011</v>
      </c>
      <c r="E848" s="27">
        <f>'900000'!$L68</f>
        <v>0</v>
      </c>
      <c r="F848" s="27" t="s">
        <v>19081</v>
      </c>
    </row>
    <row r="849" spans="1:6">
      <c r="A849" s="27" t="str">
        <f>Resultados!$K$3</f>
        <v/>
      </c>
      <c r="B849" s="27" t="str">
        <f>Resultados!$K$4</f>
        <v/>
      </c>
      <c r="C849" s="568" t="str">
        <f>'900000'!$B69</f>
        <v>09901049</v>
      </c>
      <c r="D849" s="27" t="str">
        <f>'900000'!$L$19</f>
        <v>C09901011</v>
      </c>
      <c r="E849" s="27">
        <f>'900000'!$L69</f>
        <v>0</v>
      </c>
      <c r="F849" s="27" t="s">
        <v>19081</v>
      </c>
    </row>
    <row r="850" spans="1:6">
      <c r="A850" s="27" t="str">
        <f>Resultados!$K$3</f>
        <v/>
      </c>
      <c r="B850" s="27" t="str">
        <f>Resultados!$K$4</f>
        <v/>
      </c>
      <c r="C850" s="568" t="str">
        <f>'900000'!$B70</f>
        <v>09901050</v>
      </c>
      <c r="D850" s="27" t="str">
        <f>'900000'!$L$19</f>
        <v>C09901011</v>
      </c>
      <c r="E850" s="27">
        <f>'900000'!$L70</f>
        <v>0</v>
      </c>
      <c r="F850" s="27" t="s">
        <v>19081</v>
      </c>
    </row>
    <row r="851" spans="1:6">
      <c r="A851" s="27" t="str">
        <f>Resultados!$K$3</f>
        <v/>
      </c>
      <c r="B851" s="27" t="str">
        <f>Resultados!$K$4</f>
        <v/>
      </c>
      <c r="C851" s="568" t="str">
        <f>'900000'!$B71</f>
        <v>09901051</v>
      </c>
      <c r="D851" s="27" t="str">
        <f>'900000'!$L$19</f>
        <v>C09901011</v>
      </c>
      <c r="E851" s="27">
        <f>'900000'!$L71</f>
        <v>0</v>
      </c>
      <c r="F851" s="27" t="s">
        <v>19081</v>
      </c>
    </row>
    <row r="852" spans="1:6">
      <c r="A852" s="27" t="str">
        <f>Resultados!$K$3</f>
        <v/>
      </c>
      <c r="B852" s="27" t="str">
        <f>Resultados!$K$4</f>
        <v/>
      </c>
      <c r="C852" s="568" t="str">
        <f>'900000'!$B72</f>
        <v>09901052</v>
      </c>
      <c r="D852" s="27" t="str">
        <f>'900000'!$L$19</f>
        <v>C09901011</v>
      </c>
      <c r="E852" s="27">
        <f>'900000'!$L72</f>
        <v>0</v>
      </c>
      <c r="F852" s="27" t="s">
        <v>19081</v>
      </c>
    </row>
    <row r="853" spans="1:6">
      <c r="A853" s="27" t="str">
        <f>Resultados!$K$3</f>
        <v/>
      </c>
      <c r="B853" s="27" t="str">
        <f>Resultados!$K$4</f>
        <v/>
      </c>
      <c r="C853" s="568" t="str">
        <f>'900000'!$B73</f>
        <v>09901053</v>
      </c>
      <c r="D853" s="27" t="str">
        <f>'900000'!$L$19</f>
        <v>C09901011</v>
      </c>
      <c r="E853" s="27">
        <f>'900000'!$L73</f>
        <v>0</v>
      </c>
      <c r="F853" s="27" t="s">
        <v>19081</v>
      </c>
    </row>
    <row r="854" spans="1:6">
      <c r="A854" s="27" t="str">
        <f>Resultados!$K$3</f>
        <v/>
      </c>
      <c r="B854" s="27" t="str">
        <f>Resultados!$K$4</f>
        <v/>
      </c>
      <c r="C854" s="568" t="str">
        <f>'900000'!$B74</f>
        <v>09901054</v>
      </c>
      <c r="D854" s="27" t="str">
        <f>'900000'!$L$19</f>
        <v>C09901011</v>
      </c>
      <c r="E854" s="27">
        <f>'900000'!$L74</f>
        <v>0</v>
      </c>
      <c r="F854" s="27" t="s">
        <v>19081</v>
      </c>
    </row>
    <row r="855" spans="1:6">
      <c r="A855" s="27" t="str">
        <f>Resultados!$K$3</f>
        <v/>
      </c>
      <c r="B855" s="27" t="str">
        <f>Resultados!$K$4</f>
        <v/>
      </c>
      <c r="C855" s="568" t="str">
        <f>'900000'!$B75</f>
        <v>09901055</v>
      </c>
      <c r="D855" s="27" t="str">
        <f>'900000'!$L$19</f>
        <v>C09901011</v>
      </c>
      <c r="E855" s="27">
        <f>'900000'!$L75</f>
        <v>0</v>
      </c>
      <c r="F855" s="27" t="s">
        <v>19081</v>
      </c>
    </row>
    <row r="856" spans="1:6">
      <c r="A856" s="27" t="str">
        <f>Resultados!$K$3</f>
        <v/>
      </c>
      <c r="B856" s="27" t="str">
        <f>Resultados!$K$4</f>
        <v/>
      </c>
      <c r="C856" s="568" t="str">
        <f>'900000'!$B76</f>
        <v>09901056</v>
      </c>
      <c r="D856" s="27" t="str">
        <f>'900000'!$L$19</f>
        <v>C09901011</v>
      </c>
      <c r="E856" s="27">
        <f>'900000'!$L76</f>
        <v>0</v>
      </c>
      <c r="F856" s="27" t="s">
        <v>19081</v>
      </c>
    </row>
    <row r="857" spans="1:6">
      <c r="A857" s="27" t="str">
        <f>Resultados!$K$3</f>
        <v/>
      </c>
      <c r="B857" s="27" t="str">
        <f>Resultados!$K$4</f>
        <v/>
      </c>
      <c r="C857" s="568" t="str">
        <f>'900000'!$B77</f>
        <v>09901057</v>
      </c>
      <c r="D857" s="27" t="str">
        <f>'900000'!$L$19</f>
        <v>C09901011</v>
      </c>
      <c r="E857" s="27">
        <f>'900000'!$L77</f>
        <v>0</v>
      </c>
      <c r="F857" s="27" t="s">
        <v>19081</v>
      </c>
    </row>
    <row r="858" spans="1:6">
      <c r="A858" s="27" t="str">
        <f>Resultados!$K$3</f>
        <v/>
      </c>
      <c r="B858" s="27" t="str">
        <f>Resultados!$K$4</f>
        <v/>
      </c>
      <c r="C858" s="568" t="str">
        <f>'900000'!$B78</f>
        <v>09901058</v>
      </c>
      <c r="D858" s="27" t="str">
        <f>'900000'!$L$19</f>
        <v>C09901011</v>
      </c>
      <c r="E858" s="27">
        <f>'900000'!$L78</f>
        <v>0</v>
      </c>
      <c r="F858" s="27" t="s">
        <v>19081</v>
      </c>
    </row>
    <row r="859" spans="1:6">
      <c r="A859" s="27" t="str">
        <f>Resultados!$K$3</f>
        <v/>
      </c>
      <c r="B859" s="27" t="str">
        <f>Resultados!$K$4</f>
        <v/>
      </c>
      <c r="C859" s="568" t="str">
        <f>'900000'!$B79</f>
        <v>09901059</v>
      </c>
      <c r="D859" s="27" t="str">
        <f>'900000'!$L$19</f>
        <v>C09901011</v>
      </c>
      <c r="E859" s="27">
        <f>'900000'!$L79</f>
        <v>0</v>
      </c>
      <c r="F859" s="27" t="s">
        <v>19081</v>
      </c>
    </row>
    <row r="860" spans="1:6">
      <c r="A860" s="27" t="str">
        <f>Resultados!$K$3</f>
        <v/>
      </c>
      <c r="B860" s="27" t="str">
        <f>Resultados!$K$4</f>
        <v/>
      </c>
      <c r="C860" s="568" t="str">
        <f>'900000'!$B80</f>
        <v>09901060</v>
      </c>
      <c r="D860" s="27" t="str">
        <f>'900000'!$L$19</f>
        <v>C09901011</v>
      </c>
      <c r="E860" s="27">
        <f>'900000'!$L80</f>
        <v>0</v>
      </c>
      <c r="F860" s="27" t="s">
        <v>19081</v>
      </c>
    </row>
    <row r="861" spans="1:6">
      <c r="A861" s="27" t="str">
        <f>Resultados!$K$3</f>
        <v/>
      </c>
      <c r="B861" s="27" t="str">
        <f>Resultados!$K$4</f>
        <v/>
      </c>
      <c r="C861" s="568" t="str">
        <f>'900000'!$B81</f>
        <v>09901061</v>
      </c>
      <c r="D861" s="27" t="str">
        <f>'900000'!$L$19</f>
        <v>C09901011</v>
      </c>
      <c r="E861" s="27">
        <f>'900000'!$L81</f>
        <v>0</v>
      </c>
      <c r="F861" s="27" t="s">
        <v>19081</v>
      </c>
    </row>
    <row r="862" spans="1:6">
      <c r="A862" s="27" t="str">
        <f>Resultados!$K$3</f>
        <v/>
      </c>
      <c r="B862" s="27" t="str">
        <f>Resultados!$K$4</f>
        <v/>
      </c>
      <c r="C862" s="568" t="str">
        <f>'900000'!$B82</f>
        <v>09901062</v>
      </c>
      <c r="D862" s="27" t="str">
        <f>'900000'!$L$19</f>
        <v>C09901011</v>
      </c>
      <c r="E862" s="27">
        <f>'900000'!$L82</f>
        <v>0</v>
      </c>
      <c r="F862" s="27" t="s">
        <v>19081</v>
      </c>
    </row>
    <row r="863" spans="1:6">
      <c r="A863" s="27" t="str">
        <f>Resultados!$K$3</f>
        <v/>
      </c>
      <c r="B863" s="27" t="str">
        <f>Resultados!$K$4</f>
        <v/>
      </c>
      <c r="C863" s="568" t="str">
        <f>'900000'!$B83</f>
        <v>09901063</v>
      </c>
      <c r="D863" s="27" t="str">
        <f>'900000'!$L$19</f>
        <v>C09901011</v>
      </c>
      <c r="E863" s="27">
        <f>'900000'!$L83</f>
        <v>0</v>
      </c>
      <c r="F863" s="27" t="s">
        <v>19081</v>
      </c>
    </row>
    <row r="864" spans="1:6">
      <c r="A864" s="27" t="str">
        <f>Resultados!$K$3</f>
        <v/>
      </c>
      <c r="B864" s="27" t="str">
        <f>Resultados!$K$4</f>
        <v/>
      </c>
      <c r="C864" s="568" t="str">
        <f>'900000'!$B84</f>
        <v>09901064</v>
      </c>
      <c r="D864" s="27" t="str">
        <f>'900000'!$L$19</f>
        <v>C09901011</v>
      </c>
      <c r="E864" s="27">
        <f>'900000'!$L84</f>
        <v>0</v>
      </c>
      <c r="F864" s="27" t="s">
        <v>19081</v>
      </c>
    </row>
    <row r="865" spans="1:6">
      <c r="A865" s="27" t="str">
        <f>Resultados!$K$3</f>
        <v/>
      </c>
      <c r="B865" s="27" t="str">
        <f>Resultados!$K$4</f>
        <v/>
      </c>
      <c r="C865" s="568" t="str">
        <f>'900000'!$B85</f>
        <v>09901065</v>
      </c>
      <c r="D865" s="27" t="str">
        <f>'900000'!$L$19</f>
        <v>C09901011</v>
      </c>
      <c r="E865" s="27">
        <f>'900000'!$L85</f>
        <v>0</v>
      </c>
      <c r="F865" s="27" t="s">
        <v>19081</v>
      </c>
    </row>
    <row r="866" spans="1:6">
      <c r="A866" s="27" t="str">
        <f>Resultados!$K$3</f>
        <v/>
      </c>
      <c r="B866" s="27" t="str">
        <f>Resultados!$K$4</f>
        <v/>
      </c>
      <c r="C866" s="568" t="str">
        <f>'900000'!$B86</f>
        <v>09901066</v>
      </c>
      <c r="D866" s="27" t="str">
        <f>'900000'!$L$19</f>
        <v>C09901011</v>
      </c>
      <c r="E866" s="27">
        <f>'900000'!$L86</f>
        <v>0</v>
      </c>
      <c r="F866" s="27" t="s">
        <v>19081</v>
      </c>
    </row>
    <row r="867" spans="1:6">
      <c r="A867" s="27" t="str">
        <f>Resultados!$K$3</f>
        <v/>
      </c>
      <c r="B867" s="27" t="str">
        <f>Resultados!$K$4</f>
        <v/>
      </c>
      <c r="C867" s="568" t="str">
        <f>'900000'!$B87</f>
        <v>09901067</v>
      </c>
      <c r="D867" s="27" t="str">
        <f>'900000'!$L$19</f>
        <v>C09901011</v>
      </c>
      <c r="E867" s="27">
        <f>'900000'!$L87</f>
        <v>0</v>
      </c>
      <c r="F867" s="27" t="s">
        <v>19081</v>
      </c>
    </row>
    <row r="868" spans="1:6">
      <c r="A868" s="27" t="str">
        <f>Resultados!$K$3</f>
        <v/>
      </c>
      <c r="B868" s="27" t="str">
        <f>Resultados!$K$4</f>
        <v/>
      </c>
      <c r="C868" s="568" t="str">
        <f>'900000'!$B88</f>
        <v>09901068</v>
      </c>
      <c r="D868" s="27" t="str">
        <f>'900000'!$L$19</f>
        <v>C09901011</v>
      </c>
      <c r="E868" s="27">
        <f>'900000'!$L88</f>
        <v>0</v>
      </c>
      <c r="F868" s="27" t="s">
        <v>19081</v>
      </c>
    </row>
    <row r="869" spans="1:6">
      <c r="A869" s="27" t="str">
        <f>Resultados!$K$3</f>
        <v/>
      </c>
      <c r="B869" s="27" t="str">
        <f>Resultados!$K$4</f>
        <v/>
      </c>
      <c r="C869" s="568" t="str">
        <f>'900000'!$B89</f>
        <v>09901069</v>
      </c>
      <c r="D869" s="27" t="str">
        <f>'900000'!$L$19</f>
        <v>C09901011</v>
      </c>
      <c r="E869" s="27">
        <f>'900000'!$L89</f>
        <v>0</v>
      </c>
      <c r="F869" s="27" t="s">
        <v>19081</v>
      </c>
    </row>
    <row r="870" spans="1:6">
      <c r="A870" s="27" t="str">
        <f>Resultados!$K$3</f>
        <v/>
      </c>
      <c r="B870" s="27" t="str">
        <f>Resultados!$K$4</f>
        <v/>
      </c>
      <c r="C870" s="568" t="str">
        <f>'900000'!$B90</f>
        <v>09901070</v>
      </c>
      <c r="D870" s="27" t="str">
        <f>'900000'!$L$19</f>
        <v>C09901011</v>
      </c>
      <c r="E870" s="27">
        <f>'900000'!$L90</f>
        <v>0</v>
      </c>
      <c r="F870" s="27" t="s">
        <v>19081</v>
      </c>
    </row>
    <row r="871" spans="1:6">
      <c r="A871" s="27" t="str">
        <f>Resultados!$K$3</f>
        <v/>
      </c>
      <c r="B871" s="27" t="str">
        <f>Resultados!$K$4</f>
        <v/>
      </c>
      <c r="C871" s="568" t="str">
        <f>'900000'!$B91</f>
        <v>09901071</v>
      </c>
      <c r="D871" s="27" t="str">
        <f>'900000'!$L$19</f>
        <v>C09901011</v>
      </c>
      <c r="E871" s="27">
        <f>'900000'!$L91</f>
        <v>0</v>
      </c>
      <c r="F871" s="27" t="s">
        <v>19081</v>
      </c>
    </row>
    <row r="872" spans="1:6">
      <c r="A872" s="27" t="str">
        <f>Resultados!$K$3</f>
        <v/>
      </c>
      <c r="B872" s="27" t="str">
        <f>Resultados!$K$4</f>
        <v/>
      </c>
      <c r="C872" s="568" t="str">
        <f>'900000'!$B92</f>
        <v>09901072</v>
      </c>
      <c r="D872" s="27" t="str">
        <f>'900000'!$L$19</f>
        <v>C09901011</v>
      </c>
      <c r="E872" s="27">
        <f>'900000'!$L92</f>
        <v>0</v>
      </c>
      <c r="F872" s="27" t="s">
        <v>19081</v>
      </c>
    </row>
    <row r="873" spans="1:6">
      <c r="A873" s="27" t="str">
        <f>Resultados!$K$3</f>
        <v/>
      </c>
      <c r="B873" s="27" t="str">
        <f>Resultados!$K$4</f>
        <v/>
      </c>
      <c r="C873" s="568" t="str">
        <f>'900000'!$B93</f>
        <v>09901073</v>
      </c>
      <c r="D873" s="27" t="str">
        <f>'900000'!$L$19</f>
        <v>C09901011</v>
      </c>
      <c r="E873" s="27">
        <f>'900000'!$L93</f>
        <v>0</v>
      </c>
      <c r="F873" s="27" t="s">
        <v>19081</v>
      </c>
    </row>
    <row r="874" spans="1:6">
      <c r="A874" s="27" t="str">
        <f>Resultados!$K$3</f>
        <v/>
      </c>
      <c r="B874" s="27" t="str">
        <f>Resultados!$K$4</f>
        <v/>
      </c>
      <c r="C874" s="568" t="str">
        <f>'900000'!$B94</f>
        <v>09901074</v>
      </c>
      <c r="D874" s="27" t="str">
        <f>'900000'!$L$19</f>
        <v>C09901011</v>
      </c>
      <c r="E874" s="27">
        <f>'900000'!$L94</f>
        <v>0</v>
      </c>
      <c r="F874" s="27" t="s">
        <v>19081</v>
      </c>
    </row>
    <row r="875" spans="1:6">
      <c r="A875" s="27" t="str">
        <f>Resultados!$K$3</f>
        <v/>
      </c>
      <c r="B875" s="27" t="str">
        <f>Resultados!$K$4</f>
        <v/>
      </c>
      <c r="C875" s="568" t="str">
        <f>'900000'!$B95</f>
        <v>09901075</v>
      </c>
      <c r="D875" s="27" t="str">
        <f>'900000'!$L$19</f>
        <v>C09901011</v>
      </c>
      <c r="E875" s="27">
        <f>'900000'!$L95</f>
        <v>0</v>
      </c>
      <c r="F875" s="27" t="s">
        <v>19081</v>
      </c>
    </row>
    <row r="876" spans="1:6">
      <c r="A876" s="27" t="str">
        <f>Resultados!$K$3</f>
        <v/>
      </c>
      <c r="B876" s="27" t="str">
        <f>Resultados!$K$4</f>
        <v/>
      </c>
      <c r="C876" s="568" t="str">
        <f>'900000'!$B96</f>
        <v>09901076</v>
      </c>
      <c r="D876" s="27" t="str">
        <f>'900000'!$L$19</f>
        <v>C09901011</v>
      </c>
      <c r="E876" s="27">
        <f>'900000'!$L96</f>
        <v>0</v>
      </c>
      <c r="F876" s="27" t="s">
        <v>19081</v>
      </c>
    </row>
    <row r="877" spans="1:6">
      <c r="A877" s="27" t="str">
        <f>Resultados!$K$3</f>
        <v/>
      </c>
      <c r="B877" s="27" t="str">
        <f>Resultados!$K$4</f>
        <v/>
      </c>
      <c r="C877" s="568" t="str">
        <f>'900000'!$B97</f>
        <v>09901077</v>
      </c>
      <c r="D877" s="27" t="str">
        <f>'900000'!$L$19</f>
        <v>C09901011</v>
      </c>
      <c r="E877" s="27">
        <f>'900000'!$L97</f>
        <v>0</v>
      </c>
      <c r="F877" s="27" t="s">
        <v>19081</v>
      </c>
    </row>
    <row r="878" spans="1:6">
      <c r="A878" s="27" t="str">
        <f>Resultados!$K$3</f>
        <v/>
      </c>
      <c r="B878" s="27" t="str">
        <f>Resultados!$K$4</f>
        <v/>
      </c>
      <c r="C878" s="568" t="str">
        <f>'900000'!$B98</f>
        <v>09901078</v>
      </c>
      <c r="D878" s="27" t="str">
        <f>'900000'!$L$19</f>
        <v>C09901011</v>
      </c>
      <c r="E878" s="27">
        <f>'900000'!$L98</f>
        <v>0</v>
      </c>
      <c r="F878" s="27" t="s">
        <v>19081</v>
      </c>
    </row>
    <row r="879" spans="1:6">
      <c r="A879" s="27" t="str">
        <f>Resultados!$K$3</f>
        <v/>
      </c>
      <c r="B879" s="27" t="str">
        <f>Resultados!$K$4</f>
        <v/>
      </c>
      <c r="C879" s="568" t="str">
        <f>'900000'!$B99</f>
        <v>09901079</v>
      </c>
      <c r="D879" s="27" t="str">
        <f>'900000'!$L$19</f>
        <v>C09901011</v>
      </c>
      <c r="E879" s="27">
        <f>'900000'!$L99</f>
        <v>0</v>
      </c>
      <c r="F879" s="27" t="s">
        <v>19081</v>
      </c>
    </row>
    <row r="880" spans="1:6">
      <c r="A880" s="27" t="str">
        <f>Resultados!$K$3</f>
        <v/>
      </c>
      <c r="B880" s="27" t="str">
        <f>Resultados!$K$4</f>
        <v/>
      </c>
      <c r="C880" s="568" t="str">
        <f>'900000'!$B100</f>
        <v>09901080</v>
      </c>
      <c r="D880" s="27" t="str">
        <f>'900000'!$L$19</f>
        <v>C09901011</v>
      </c>
      <c r="E880" s="27">
        <f>'900000'!$L100</f>
        <v>0</v>
      </c>
      <c r="F880" s="27" t="s">
        <v>19081</v>
      </c>
    </row>
    <row r="881" spans="1:6">
      <c r="A881" s="27" t="str">
        <f>Resultados!$K$3</f>
        <v/>
      </c>
      <c r="B881" s="27" t="str">
        <f>Resultados!$K$4</f>
        <v/>
      </c>
      <c r="C881" s="568" t="str">
        <f>'900000'!$B101</f>
        <v>09901081</v>
      </c>
      <c r="D881" s="27" t="str">
        <f>'900000'!$L$19</f>
        <v>C09901011</v>
      </c>
      <c r="E881" s="27">
        <f>'900000'!$L101</f>
        <v>0</v>
      </c>
      <c r="F881" s="27" t="s">
        <v>19081</v>
      </c>
    </row>
    <row r="882" spans="1:6">
      <c r="A882" s="27" t="str">
        <f>Resultados!$K$3</f>
        <v/>
      </c>
      <c r="B882" s="27" t="str">
        <f>Resultados!$K$4</f>
        <v/>
      </c>
      <c r="C882" s="568" t="str">
        <f>'900000'!$B102</f>
        <v>09901082</v>
      </c>
      <c r="D882" s="27" t="str">
        <f>'900000'!$L$19</f>
        <v>C09901011</v>
      </c>
      <c r="E882" s="27">
        <f>'900000'!$L102</f>
        <v>0</v>
      </c>
      <c r="F882" s="27" t="s">
        <v>19081</v>
      </c>
    </row>
    <row r="883" spans="1:6">
      <c r="A883" s="27" t="str">
        <f>Resultados!$K$3</f>
        <v/>
      </c>
      <c r="B883" s="27" t="str">
        <f>Resultados!$K$4</f>
        <v/>
      </c>
      <c r="C883" s="568" t="str">
        <f>'900000'!$B103</f>
        <v>09901083</v>
      </c>
      <c r="D883" s="27" t="str">
        <f>'900000'!$L$19</f>
        <v>C09901011</v>
      </c>
      <c r="E883" s="27">
        <f>'900000'!$L103</f>
        <v>0</v>
      </c>
      <c r="F883" s="27" t="s">
        <v>19081</v>
      </c>
    </row>
    <row r="884" spans="1:6">
      <c r="A884" s="27" t="str">
        <f>Resultados!$K$3</f>
        <v/>
      </c>
      <c r="B884" s="27" t="str">
        <f>Resultados!$K$4</f>
        <v/>
      </c>
      <c r="C884" s="568" t="str">
        <f>'900000'!$B104</f>
        <v>09901084</v>
      </c>
      <c r="D884" s="27" t="str">
        <f>'900000'!$L$19</f>
        <v>C09901011</v>
      </c>
      <c r="E884" s="27">
        <f>'900000'!$L104</f>
        <v>0</v>
      </c>
      <c r="F884" s="27" t="s">
        <v>19081</v>
      </c>
    </row>
    <row r="885" spans="1:6">
      <c r="A885" s="27" t="str">
        <f>Resultados!$K$3</f>
        <v/>
      </c>
      <c r="B885" s="27" t="str">
        <f>Resultados!$K$4</f>
        <v/>
      </c>
      <c r="C885" s="568" t="str">
        <f>'900000'!$B105</f>
        <v>09901085</v>
      </c>
      <c r="D885" s="27" t="str">
        <f>'900000'!$L$19</f>
        <v>C09901011</v>
      </c>
      <c r="E885" s="27">
        <f>'900000'!$L105</f>
        <v>0</v>
      </c>
      <c r="F885" s="27" t="s">
        <v>19081</v>
      </c>
    </row>
    <row r="886" spans="1:6">
      <c r="A886" s="27" t="str">
        <f>Resultados!$K$3</f>
        <v/>
      </c>
      <c r="B886" s="27" t="str">
        <f>Resultados!$K$4</f>
        <v/>
      </c>
      <c r="C886" s="568" t="str">
        <f>'900000'!$B106</f>
        <v>09901086</v>
      </c>
      <c r="D886" s="27" t="str">
        <f>'900000'!$L$19</f>
        <v>C09901011</v>
      </c>
      <c r="E886" s="27">
        <f>'900000'!$L106</f>
        <v>0</v>
      </c>
      <c r="F886" s="27" t="s">
        <v>19081</v>
      </c>
    </row>
    <row r="887" spans="1:6">
      <c r="A887" s="27" t="str">
        <f>Resultados!$K$3</f>
        <v/>
      </c>
      <c r="B887" s="27" t="str">
        <f>Resultados!$K$4</f>
        <v/>
      </c>
      <c r="C887" s="568" t="str">
        <f>'900000'!$B107</f>
        <v>09901087</v>
      </c>
      <c r="D887" s="27" t="str">
        <f>'900000'!$L$19</f>
        <v>C09901011</v>
      </c>
      <c r="E887" s="27">
        <f>'900000'!$L107</f>
        <v>0</v>
      </c>
      <c r="F887" s="27" t="s">
        <v>19081</v>
      </c>
    </row>
    <row r="888" spans="1:6">
      <c r="A888" s="27" t="str">
        <f>Resultados!$K$3</f>
        <v/>
      </c>
      <c r="B888" s="27" t="str">
        <f>Resultados!$K$4</f>
        <v/>
      </c>
      <c r="C888" s="568" t="str">
        <f>'900000'!$B108</f>
        <v>09901088</v>
      </c>
      <c r="D888" s="27" t="str">
        <f>'900000'!$L$19</f>
        <v>C09901011</v>
      </c>
      <c r="E888" s="27">
        <f>'900000'!$L108</f>
        <v>0</v>
      </c>
      <c r="F888" s="27" t="s">
        <v>19081</v>
      </c>
    </row>
    <row r="889" spans="1:6">
      <c r="A889" s="27" t="str">
        <f>Resultados!$K$3</f>
        <v/>
      </c>
      <c r="B889" s="27" t="str">
        <f>Resultados!$K$4</f>
        <v/>
      </c>
      <c r="C889" s="568" t="str">
        <f>'900000'!$B109</f>
        <v>09901089</v>
      </c>
      <c r="D889" s="27" t="str">
        <f>'900000'!$L$19</f>
        <v>C09901011</v>
      </c>
      <c r="E889" s="27">
        <f>'900000'!$L109</f>
        <v>0</v>
      </c>
      <c r="F889" s="27" t="s">
        <v>19081</v>
      </c>
    </row>
    <row r="890" spans="1:6">
      <c r="A890" s="27" t="str">
        <f>Resultados!$K$3</f>
        <v/>
      </c>
      <c r="B890" s="27" t="str">
        <f>Resultados!$K$4</f>
        <v/>
      </c>
      <c r="C890" s="568" t="str">
        <f>'900000'!$B110</f>
        <v>09901090</v>
      </c>
      <c r="D890" s="27" t="str">
        <f>'900000'!$L$19</f>
        <v>C09901011</v>
      </c>
      <c r="E890" s="27">
        <f>'900000'!$L110</f>
        <v>0</v>
      </c>
      <c r="F890" s="27" t="s">
        <v>19081</v>
      </c>
    </row>
    <row r="891" spans="1:6">
      <c r="A891" s="27" t="str">
        <f>Resultados!$K$3</f>
        <v/>
      </c>
      <c r="B891" s="27" t="str">
        <f>Resultados!$K$4</f>
        <v/>
      </c>
      <c r="C891" s="568" t="str">
        <f>'900000'!$B111</f>
        <v>09901091</v>
      </c>
      <c r="D891" s="27" t="str">
        <f>'900000'!$L$19</f>
        <v>C09901011</v>
      </c>
      <c r="E891" s="27">
        <f>'900000'!$L111</f>
        <v>0</v>
      </c>
      <c r="F891" s="27" t="s">
        <v>19081</v>
      </c>
    </row>
    <row r="892" spans="1:6">
      <c r="A892" s="27" t="str">
        <f>Resultados!$K$3</f>
        <v/>
      </c>
      <c r="B892" s="27" t="str">
        <f>Resultados!$K$4</f>
        <v/>
      </c>
      <c r="C892" s="568" t="str">
        <f>'900000'!$B112</f>
        <v>09901092</v>
      </c>
      <c r="D892" s="27" t="str">
        <f>'900000'!$L$19</f>
        <v>C09901011</v>
      </c>
      <c r="E892" s="27">
        <f>'900000'!$L112</f>
        <v>0</v>
      </c>
      <c r="F892" s="27" t="s">
        <v>19081</v>
      </c>
    </row>
    <row r="893" spans="1:6">
      <c r="A893" s="27" t="str">
        <f>Resultados!$K$3</f>
        <v/>
      </c>
      <c r="B893" s="27" t="str">
        <f>Resultados!$K$4</f>
        <v/>
      </c>
      <c r="C893" s="568" t="str">
        <f>'900000'!$B113</f>
        <v>09901093</v>
      </c>
      <c r="D893" s="27" t="str">
        <f>'900000'!$L$19</f>
        <v>C09901011</v>
      </c>
      <c r="E893" s="27">
        <f>'900000'!$L113</f>
        <v>0</v>
      </c>
      <c r="F893" s="27" t="s">
        <v>19081</v>
      </c>
    </row>
    <row r="894" spans="1:6">
      <c r="A894" s="27" t="str">
        <f>Resultados!$K$3</f>
        <v/>
      </c>
      <c r="B894" s="27" t="str">
        <f>Resultados!$K$4</f>
        <v/>
      </c>
      <c r="C894" s="568" t="str">
        <f>'900000'!$B114</f>
        <v>09901094</v>
      </c>
      <c r="D894" s="27" t="str">
        <f>'900000'!$L$19</f>
        <v>C09901011</v>
      </c>
      <c r="E894" s="27">
        <f>'900000'!$L114</f>
        <v>0</v>
      </c>
      <c r="F894" s="27" t="s">
        <v>19081</v>
      </c>
    </row>
    <row r="895" spans="1:6">
      <c r="A895" s="27" t="str">
        <f>Resultados!$K$3</f>
        <v/>
      </c>
      <c r="B895" s="27" t="str">
        <f>Resultados!$K$4</f>
        <v/>
      </c>
      <c r="C895" s="568" t="str">
        <f>'900000'!$B115</f>
        <v>09901095</v>
      </c>
      <c r="D895" s="27" t="str">
        <f>'900000'!$L$19</f>
        <v>C09901011</v>
      </c>
      <c r="E895" s="27">
        <f>'900000'!$L115</f>
        <v>0</v>
      </c>
      <c r="F895" s="27" t="s">
        <v>19081</v>
      </c>
    </row>
    <row r="896" spans="1:6">
      <c r="A896" s="27" t="str">
        <f>Resultados!$K$3</f>
        <v/>
      </c>
      <c r="B896" s="27" t="str">
        <f>Resultados!$K$4</f>
        <v/>
      </c>
      <c r="C896" s="568" t="str">
        <f>'900000'!$B116</f>
        <v>09901096</v>
      </c>
      <c r="D896" s="27" t="str">
        <f>'900000'!$L$19</f>
        <v>C09901011</v>
      </c>
      <c r="E896" s="27">
        <f>'900000'!$L116</f>
        <v>0</v>
      </c>
      <c r="F896" s="27" t="s">
        <v>19081</v>
      </c>
    </row>
    <row r="897" spans="1:6">
      <c r="A897" s="27" t="str">
        <f>Resultados!$K$3</f>
        <v/>
      </c>
      <c r="B897" s="27" t="str">
        <f>Resultados!$K$4</f>
        <v/>
      </c>
      <c r="C897" s="568" t="str">
        <f>'900000'!$B117</f>
        <v>09901097</v>
      </c>
      <c r="D897" s="27" t="str">
        <f>'900000'!$L$19</f>
        <v>C09901011</v>
      </c>
      <c r="E897" s="27">
        <f>'900000'!$L117</f>
        <v>0</v>
      </c>
      <c r="F897" s="27" t="s">
        <v>19081</v>
      </c>
    </row>
    <row r="898" spans="1:6">
      <c r="A898" s="27" t="str">
        <f>Resultados!$K$3</f>
        <v/>
      </c>
      <c r="B898" s="27" t="str">
        <f>Resultados!$K$4</f>
        <v/>
      </c>
      <c r="C898" s="568" t="str">
        <f>'900000'!$B118</f>
        <v>09901098</v>
      </c>
      <c r="D898" s="27" t="str">
        <f>'900000'!$L$19</f>
        <v>C09901011</v>
      </c>
      <c r="E898" s="27">
        <f>'900000'!$L118</f>
        <v>0</v>
      </c>
      <c r="F898" s="27" t="s">
        <v>19081</v>
      </c>
    </row>
    <row r="899" spans="1:6">
      <c r="A899" s="27" t="str">
        <f>Resultados!$K$3</f>
        <v/>
      </c>
      <c r="B899" s="27" t="str">
        <f>Resultados!$K$4</f>
        <v/>
      </c>
      <c r="C899" s="568" t="str">
        <f>'900000'!$B119</f>
        <v>09901099</v>
      </c>
      <c r="D899" s="27" t="str">
        <f>'900000'!$L$19</f>
        <v>C09901011</v>
      </c>
      <c r="E899" s="27">
        <f>'900000'!$L119</f>
        <v>0</v>
      </c>
      <c r="F899" s="27" t="s">
        <v>19081</v>
      </c>
    </row>
    <row r="900" spans="1:6">
      <c r="A900" s="27" t="str">
        <f>Resultados!$K$3</f>
        <v/>
      </c>
      <c r="B900" s="27" t="str">
        <f>Resultados!$K$4</f>
        <v/>
      </c>
      <c r="C900" s="568" t="str">
        <f>'900000'!$B120</f>
        <v>09901100</v>
      </c>
      <c r="D900" s="27" t="str">
        <f>'900000'!$L$19</f>
        <v>C09901011</v>
      </c>
      <c r="E900" s="27">
        <f>'900000'!$L120</f>
        <v>0</v>
      </c>
      <c r="F900" s="27" t="s">
        <v>19081</v>
      </c>
    </row>
    <row r="901" spans="1:6">
      <c r="A901" s="27" t="str">
        <f>Resultados!$K$3</f>
        <v/>
      </c>
      <c r="B901" s="27" t="str">
        <f>Resultados!$K$4</f>
        <v/>
      </c>
      <c r="C901" s="568" t="str">
        <f>'900000'!$B121</f>
        <v>09901101</v>
      </c>
      <c r="D901" s="27" t="str">
        <f>'900000'!$L$19</f>
        <v>C09901011</v>
      </c>
      <c r="E901" s="27">
        <f>'900000'!$L121</f>
        <v>0</v>
      </c>
      <c r="F901" s="27" t="s">
        <v>19081</v>
      </c>
    </row>
    <row r="902" spans="1:6">
      <c r="A902" s="27" t="str">
        <f>Resultados!$K$3</f>
        <v/>
      </c>
      <c r="B902" s="27" t="str">
        <f>Resultados!$K$4</f>
        <v/>
      </c>
      <c r="C902" s="568" t="str">
        <f>'900000'!$B22</f>
        <v>09901002</v>
      </c>
      <c r="D902" t="str">
        <f>'900000'!$M$19</f>
        <v>C09901012</v>
      </c>
      <c r="E902" t="str">
        <f>'900000'!$M22</f>
        <v/>
      </c>
      <c r="F902" s="27" t="s">
        <v>19081</v>
      </c>
    </row>
    <row r="903" spans="1:6">
      <c r="A903" s="27" t="str">
        <f>Resultados!$K$3</f>
        <v/>
      </c>
      <c r="B903" s="27" t="str">
        <f>Resultados!$K$4</f>
        <v/>
      </c>
      <c r="C903" s="568" t="str">
        <f>'900000'!$B23</f>
        <v>09901003</v>
      </c>
      <c r="D903" s="27" t="str">
        <f>'900000'!$M$19</f>
        <v>C09901012</v>
      </c>
      <c r="E903" s="27" t="str">
        <f>'900000'!$M23</f>
        <v/>
      </c>
      <c r="F903" s="27" t="s">
        <v>19081</v>
      </c>
    </row>
    <row r="904" spans="1:6">
      <c r="A904" s="27" t="str">
        <f>Resultados!$K$3</f>
        <v/>
      </c>
      <c r="B904" s="27" t="str">
        <f>Resultados!$K$4</f>
        <v/>
      </c>
      <c r="C904" s="568" t="str">
        <f>'900000'!$B24</f>
        <v>09901004</v>
      </c>
      <c r="D904" s="27" t="str">
        <f>'900000'!$M$19</f>
        <v>C09901012</v>
      </c>
      <c r="E904" s="27" t="str">
        <f>'900000'!$M24</f>
        <v/>
      </c>
      <c r="F904" s="27" t="s">
        <v>19081</v>
      </c>
    </row>
    <row r="905" spans="1:6">
      <c r="A905" s="27" t="str">
        <f>Resultados!$K$3</f>
        <v/>
      </c>
      <c r="B905" s="27" t="str">
        <f>Resultados!$K$4</f>
        <v/>
      </c>
      <c r="C905" s="568" t="str">
        <f>'900000'!$B25</f>
        <v>09901005</v>
      </c>
      <c r="D905" s="27" t="str">
        <f>'900000'!$M$19</f>
        <v>C09901012</v>
      </c>
      <c r="E905" s="27" t="str">
        <f>'900000'!$M25</f>
        <v/>
      </c>
      <c r="F905" s="27" t="s">
        <v>19081</v>
      </c>
    </row>
    <row r="906" spans="1:6">
      <c r="A906" s="27" t="str">
        <f>Resultados!$K$3</f>
        <v/>
      </c>
      <c r="B906" s="27" t="str">
        <f>Resultados!$K$4</f>
        <v/>
      </c>
      <c r="C906" s="568" t="str">
        <f>'900000'!$B26</f>
        <v>09901006</v>
      </c>
      <c r="D906" s="27" t="str">
        <f>'900000'!$M$19</f>
        <v>C09901012</v>
      </c>
      <c r="E906" s="27" t="str">
        <f>'900000'!$M26</f>
        <v/>
      </c>
      <c r="F906" s="27" t="s">
        <v>19081</v>
      </c>
    </row>
    <row r="907" spans="1:6">
      <c r="A907" s="27" t="str">
        <f>Resultados!$K$3</f>
        <v/>
      </c>
      <c r="B907" s="27" t="str">
        <f>Resultados!$K$4</f>
        <v/>
      </c>
      <c r="C907" s="568" t="str">
        <f>'900000'!$B27</f>
        <v>09901007</v>
      </c>
      <c r="D907" s="27" t="str">
        <f>'900000'!$M$19</f>
        <v>C09901012</v>
      </c>
      <c r="E907" s="27" t="str">
        <f>'900000'!$M27</f>
        <v/>
      </c>
      <c r="F907" s="27" t="s">
        <v>19081</v>
      </c>
    </row>
    <row r="908" spans="1:6">
      <c r="A908" s="27" t="str">
        <f>Resultados!$K$3</f>
        <v/>
      </c>
      <c r="B908" s="27" t="str">
        <f>Resultados!$K$4</f>
        <v/>
      </c>
      <c r="C908" s="568" t="str">
        <f>'900000'!$B28</f>
        <v>09901008</v>
      </c>
      <c r="D908" s="27" t="str">
        <f>'900000'!$M$19</f>
        <v>C09901012</v>
      </c>
      <c r="E908" s="27" t="str">
        <f>'900000'!$M28</f>
        <v/>
      </c>
      <c r="F908" s="27" t="s">
        <v>19081</v>
      </c>
    </row>
    <row r="909" spans="1:6">
      <c r="A909" s="27" t="str">
        <f>Resultados!$K$3</f>
        <v/>
      </c>
      <c r="B909" s="27" t="str">
        <f>Resultados!$K$4</f>
        <v/>
      </c>
      <c r="C909" s="568" t="str">
        <f>'900000'!$B29</f>
        <v>09901009</v>
      </c>
      <c r="D909" s="27" t="str">
        <f>'900000'!$M$19</f>
        <v>C09901012</v>
      </c>
      <c r="E909" s="27" t="str">
        <f>'900000'!$M29</f>
        <v/>
      </c>
      <c r="F909" s="27" t="s">
        <v>19081</v>
      </c>
    </row>
    <row r="910" spans="1:6">
      <c r="A910" s="27" t="str">
        <f>Resultados!$K$3</f>
        <v/>
      </c>
      <c r="B910" s="27" t="str">
        <f>Resultados!$K$4</f>
        <v/>
      </c>
      <c r="C910" s="568" t="str">
        <f>'900000'!$B30</f>
        <v>09901010</v>
      </c>
      <c r="D910" s="27" t="str">
        <f>'900000'!$M$19</f>
        <v>C09901012</v>
      </c>
      <c r="E910" s="27" t="str">
        <f>'900000'!$M30</f>
        <v/>
      </c>
      <c r="F910" s="27" t="s">
        <v>19081</v>
      </c>
    </row>
    <row r="911" spans="1:6">
      <c r="A911" s="27" t="str">
        <f>Resultados!$K$3</f>
        <v/>
      </c>
      <c r="B911" s="27" t="str">
        <f>Resultados!$K$4</f>
        <v/>
      </c>
      <c r="C911" s="568" t="str">
        <f>'900000'!$B31</f>
        <v>09901011</v>
      </c>
      <c r="D911" s="27" t="str">
        <f>'900000'!$M$19</f>
        <v>C09901012</v>
      </c>
      <c r="E911" s="27" t="str">
        <f>'900000'!$M31</f>
        <v/>
      </c>
      <c r="F911" s="27" t="s">
        <v>19081</v>
      </c>
    </row>
    <row r="912" spans="1:6">
      <c r="A912" s="27" t="str">
        <f>Resultados!$K$3</f>
        <v/>
      </c>
      <c r="B912" s="27" t="str">
        <f>Resultados!$K$4</f>
        <v/>
      </c>
      <c r="C912" s="568" t="str">
        <f>'900000'!$B32</f>
        <v>09901012</v>
      </c>
      <c r="D912" s="27" t="str">
        <f>'900000'!$M$19</f>
        <v>C09901012</v>
      </c>
      <c r="E912" s="27" t="str">
        <f>'900000'!$M32</f>
        <v/>
      </c>
      <c r="F912" s="27" t="s">
        <v>19081</v>
      </c>
    </row>
    <row r="913" spans="1:6">
      <c r="A913" s="27" t="str">
        <f>Resultados!$K$3</f>
        <v/>
      </c>
      <c r="B913" s="27" t="str">
        <f>Resultados!$K$4</f>
        <v/>
      </c>
      <c r="C913" s="568" t="str">
        <f>'900000'!$B33</f>
        <v>09901013</v>
      </c>
      <c r="D913" s="27" t="str">
        <f>'900000'!$M$19</f>
        <v>C09901012</v>
      </c>
      <c r="E913" s="27" t="str">
        <f>'900000'!$M33</f>
        <v/>
      </c>
      <c r="F913" s="27" t="s">
        <v>19081</v>
      </c>
    </row>
    <row r="914" spans="1:6">
      <c r="A914" s="27" t="str">
        <f>Resultados!$K$3</f>
        <v/>
      </c>
      <c r="B914" s="27" t="str">
        <f>Resultados!$K$4</f>
        <v/>
      </c>
      <c r="C914" s="568" t="str">
        <f>'900000'!$B34</f>
        <v>09901014</v>
      </c>
      <c r="D914" s="27" t="str">
        <f>'900000'!$M$19</f>
        <v>C09901012</v>
      </c>
      <c r="E914" s="27" t="str">
        <f>'900000'!$M34</f>
        <v/>
      </c>
      <c r="F914" s="27" t="s">
        <v>19081</v>
      </c>
    </row>
    <row r="915" spans="1:6">
      <c r="A915" s="27" t="str">
        <f>Resultados!$K$3</f>
        <v/>
      </c>
      <c r="B915" s="27" t="str">
        <f>Resultados!$K$4</f>
        <v/>
      </c>
      <c r="C915" s="568" t="str">
        <f>'900000'!$B35</f>
        <v>09901015</v>
      </c>
      <c r="D915" s="27" t="str">
        <f>'900000'!$M$19</f>
        <v>C09901012</v>
      </c>
      <c r="E915" s="27" t="str">
        <f>'900000'!$M35</f>
        <v/>
      </c>
      <c r="F915" s="27" t="s">
        <v>19081</v>
      </c>
    </row>
    <row r="916" spans="1:6">
      <c r="A916" s="27" t="str">
        <f>Resultados!$K$3</f>
        <v/>
      </c>
      <c r="B916" s="27" t="str">
        <f>Resultados!$K$4</f>
        <v/>
      </c>
      <c r="C916" s="568" t="str">
        <f>'900000'!$B36</f>
        <v>09901016</v>
      </c>
      <c r="D916" s="27" t="str">
        <f>'900000'!$M$19</f>
        <v>C09901012</v>
      </c>
      <c r="E916" s="27" t="str">
        <f>'900000'!$M36</f>
        <v/>
      </c>
      <c r="F916" s="27" t="s">
        <v>19081</v>
      </c>
    </row>
    <row r="917" spans="1:6">
      <c r="A917" s="27" t="str">
        <f>Resultados!$K$3</f>
        <v/>
      </c>
      <c r="B917" s="27" t="str">
        <f>Resultados!$K$4</f>
        <v/>
      </c>
      <c r="C917" s="568" t="str">
        <f>'900000'!$B37</f>
        <v>09901017</v>
      </c>
      <c r="D917" s="27" t="str">
        <f>'900000'!$M$19</f>
        <v>C09901012</v>
      </c>
      <c r="E917" s="27" t="str">
        <f>'900000'!$M37</f>
        <v/>
      </c>
      <c r="F917" s="27" t="s">
        <v>19081</v>
      </c>
    </row>
    <row r="918" spans="1:6">
      <c r="A918" s="27" t="str">
        <f>Resultados!$K$3</f>
        <v/>
      </c>
      <c r="B918" s="27" t="str">
        <f>Resultados!$K$4</f>
        <v/>
      </c>
      <c r="C918" s="568" t="str">
        <f>'900000'!$B38</f>
        <v>09901018</v>
      </c>
      <c r="D918" s="27" t="str">
        <f>'900000'!$M$19</f>
        <v>C09901012</v>
      </c>
      <c r="E918" s="27" t="str">
        <f>'900000'!$M38</f>
        <v/>
      </c>
      <c r="F918" s="27" t="s">
        <v>19081</v>
      </c>
    </row>
    <row r="919" spans="1:6">
      <c r="A919" s="27" t="str">
        <f>Resultados!$K$3</f>
        <v/>
      </c>
      <c r="B919" s="27" t="str">
        <f>Resultados!$K$4</f>
        <v/>
      </c>
      <c r="C919" s="568" t="str">
        <f>'900000'!$B39</f>
        <v>09901019</v>
      </c>
      <c r="D919" s="27" t="str">
        <f>'900000'!$M$19</f>
        <v>C09901012</v>
      </c>
      <c r="E919" s="27" t="str">
        <f>'900000'!$M39</f>
        <v/>
      </c>
      <c r="F919" s="27" t="s">
        <v>19081</v>
      </c>
    </row>
    <row r="920" spans="1:6">
      <c r="A920" s="27" t="str">
        <f>Resultados!$K$3</f>
        <v/>
      </c>
      <c r="B920" s="27" t="str">
        <f>Resultados!$K$4</f>
        <v/>
      </c>
      <c r="C920" s="568" t="str">
        <f>'900000'!$B40</f>
        <v>09901020</v>
      </c>
      <c r="D920" s="27" t="str">
        <f>'900000'!$M$19</f>
        <v>C09901012</v>
      </c>
      <c r="E920" s="27" t="str">
        <f>'900000'!$M40</f>
        <v/>
      </c>
      <c r="F920" s="27" t="s">
        <v>19081</v>
      </c>
    </row>
    <row r="921" spans="1:6">
      <c r="A921" s="27" t="str">
        <f>Resultados!$K$3</f>
        <v/>
      </c>
      <c r="B921" s="27" t="str">
        <f>Resultados!$K$4</f>
        <v/>
      </c>
      <c r="C921" s="568" t="str">
        <f>'900000'!$B41</f>
        <v>09901021</v>
      </c>
      <c r="D921" s="27" t="str">
        <f>'900000'!$M$19</f>
        <v>C09901012</v>
      </c>
      <c r="E921" s="27" t="str">
        <f>'900000'!$M41</f>
        <v/>
      </c>
      <c r="F921" s="27" t="s">
        <v>19081</v>
      </c>
    </row>
    <row r="922" spans="1:6">
      <c r="A922" s="27" t="str">
        <f>Resultados!$K$3</f>
        <v/>
      </c>
      <c r="B922" s="27" t="str">
        <f>Resultados!$K$4</f>
        <v/>
      </c>
      <c r="C922" s="568" t="str">
        <f>'900000'!$B42</f>
        <v>09901022</v>
      </c>
      <c r="D922" s="27" t="str">
        <f>'900000'!$M$19</f>
        <v>C09901012</v>
      </c>
      <c r="E922" s="27" t="str">
        <f>'900000'!$M42</f>
        <v/>
      </c>
      <c r="F922" s="27" t="s">
        <v>19081</v>
      </c>
    </row>
    <row r="923" spans="1:6">
      <c r="A923" s="27" t="str">
        <f>Resultados!$K$3</f>
        <v/>
      </c>
      <c r="B923" s="27" t="str">
        <f>Resultados!$K$4</f>
        <v/>
      </c>
      <c r="C923" s="568" t="str">
        <f>'900000'!$B43</f>
        <v>09901023</v>
      </c>
      <c r="D923" s="27" t="str">
        <f>'900000'!$M$19</f>
        <v>C09901012</v>
      </c>
      <c r="E923" s="27" t="str">
        <f>'900000'!$M43</f>
        <v/>
      </c>
      <c r="F923" s="27" t="s">
        <v>19081</v>
      </c>
    </row>
    <row r="924" spans="1:6">
      <c r="A924" s="27" t="str">
        <f>Resultados!$K$3</f>
        <v/>
      </c>
      <c r="B924" s="27" t="str">
        <f>Resultados!$K$4</f>
        <v/>
      </c>
      <c r="C924" s="568" t="str">
        <f>'900000'!$B44</f>
        <v>09901024</v>
      </c>
      <c r="D924" s="27" t="str">
        <f>'900000'!$M$19</f>
        <v>C09901012</v>
      </c>
      <c r="E924" s="27" t="str">
        <f>'900000'!$M44</f>
        <v/>
      </c>
      <c r="F924" s="27" t="s">
        <v>19081</v>
      </c>
    </row>
    <row r="925" spans="1:6">
      <c r="A925" s="27" t="str">
        <f>Resultados!$K$3</f>
        <v/>
      </c>
      <c r="B925" s="27" t="str">
        <f>Resultados!$K$4</f>
        <v/>
      </c>
      <c r="C925" s="568" t="str">
        <f>'900000'!$B45</f>
        <v>09901025</v>
      </c>
      <c r="D925" s="27" t="str">
        <f>'900000'!$M$19</f>
        <v>C09901012</v>
      </c>
      <c r="E925" s="27" t="str">
        <f>'900000'!$M45</f>
        <v/>
      </c>
      <c r="F925" s="27" t="s">
        <v>19081</v>
      </c>
    </row>
    <row r="926" spans="1:6">
      <c r="A926" s="27" t="str">
        <f>Resultados!$K$3</f>
        <v/>
      </c>
      <c r="B926" s="27" t="str">
        <f>Resultados!$K$4</f>
        <v/>
      </c>
      <c r="C926" s="568" t="str">
        <f>'900000'!$B46</f>
        <v>09901026</v>
      </c>
      <c r="D926" s="27" t="str">
        <f>'900000'!$M$19</f>
        <v>C09901012</v>
      </c>
      <c r="E926" s="27" t="str">
        <f>'900000'!$M46</f>
        <v/>
      </c>
      <c r="F926" s="27" t="s">
        <v>19081</v>
      </c>
    </row>
    <row r="927" spans="1:6">
      <c r="A927" s="27" t="str">
        <f>Resultados!$K$3</f>
        <v/>
      </c>
      <c r="B927" s="27" t="str">
        <f>Resultados!$K$4</f>
        <v/>
      </c>
      <c r="C927" s="568" t="str">
        <f>'900000'!$B47</f>
        <v>09901027</v>
      </c>
      <c r="D927" s="27" t="str">
        <f>'900000'!$M$19</f>
        <v>C09901012</v>
      </c>
      <c r="E927" s="27" t="str">
        <f>'900000'!$M47</f>
        <v/>
      </c>
      <c r="F927" s="27" t="s">
        <v>19081</v>
      </c>
    </row>
    <row r="928" spans="1:6">
      <c r="A928" s="27" t="str">
        <f>Resultados!$K$3</f>
        <v/>
      </c>
      <c r="B928" s="27" t="str">
        <f>Resultados!$K$4</f>
        <v/>
      </c>
      <c r="C928" s="568" t="str">
        <f>'900000'!$B48</f>
        <v>09901028</v>
      </c>
      <c r="D928" s="27" t="str">
        <f>'900000'!$M$19</f>
        <v>C09901012</v>
      </c>
      <c r="E928" s="27" t="str">
        <f>'900000'!$M48</f>
        <v/>
      </c>
      <c r="F928" s="27" t="s">
        <v>19081</v>
      </c>
    </row>
    <row r="929" spans="1:6">
      <c r="A929" s="27" t="str">
        <f>Resultados!$K$3</f>
        <v/>
      </c>
      <c r="B929" s="27" t="str">
        <f>Resultados!$K$4</f>
        <v/>
      </c>
      <c r="C929" s="568" t="str">
        <f>'900000'!$B49</f>
        <v>09901029</v>
      </c>
      <c r="D929" s="27" t="str">
        <f>'900000'!$M$19</f>
        <v>C09901012</v>
      </c>
      <c r="E929" s="27" t="str">
        <f>'900000'!$M49</f>
        <v/>
      </c>
      <c r="F929" s="27" t="s">
        <v>19081</v>
      </c>
    </row>
    <row r="930" spans="1:6">
      <c r="A930" s="27" t="str">
        <f>Resultados!$K$3</f>
        <v/>
      </c>
      <c r="B930" s="27" t="str">
        <f>Resultados!$K$4</f>
        <v/>
      </c>
      <c r="C930" s="568" t="str">
        <f>'900000'!$B50</f>
        <v>09901030</v>
      </c>
      <c r="D930" s="27" t="str">
        <f>'900000'!$M$19</f>
        <v>C09901012</v>
      </c>
      <c r="E930" s="27" t="str">
        <f>'900000'!$M50</f>
        <v/>
      </c>
      <c r="F930" s="27" t="s">
        <v>19081</v>
      </c>
    </row>
    <row r="931" spans="1:6">
      <c r="A931" s="27" t="str">
        <f>Resultados!$K$3</f>
        <v/>
      </c>
      <c r="B931" s="27" t="str">
        <f>Resultados!$K$4</f>
        <v/>
      </c>
      <c r="C931" s="568" t="str">
        <f>'900000'!$B51</f>
        <v>09901031</v>
      </c>
      <c r="D931" s="27" t="str">
        <f>'900000'!$M$19</f>
        <v>C09901012</v>
      </c>
      <c r="E931" s="27" t="str">
        <f>'900000'!$M51</f>
        <v/>
      </c>
      <c r="F931" s="27" t="s">
        <v>19081</v>
      </c>
    </row>
    <row r="932" spans="1:6">
      <c r="A932" s="27" t="str">
        <f>Resultados!$K$3</f>
        <v/>
      </c>
      <c r="B932" s="27" t="str">
        <f>Resultados!$K$4</f>
        <v/>
      </c>
      <c r="C932" s="568" t="str">
        <f>'900000'!$B52</f>
        <v>09901032</v>
      </c>
      <c r="D932" s="27" t="str">
        <f>'900000'!$M$19</f>
        <v>C09901012</v>
      </c>
      <c r="E932" s="27" t="str">
        <f>'900000'!$M52</f>
        <v/>
      </c>
      <c r="F932" s="27" t="s">
        <v>19081</v>
      </c>
    </row>
    <row r="933" spans="1:6">
      <c r="A933" s="27" t="str">
        <f>Resultados!$K$3</f>
        <v/>
      </c>
      <c r="B933" s="27" t="str">
        <f>Resultados!$K$4</f>
        <v/>
      </c>
      <c r="C933" s="568" t="str">
        <f>'900000'!$B53</f>
        <v>09901033</v>
      </c>
      <c r="D933" s="27" t="str">
        <f>'900000'!$M$19</f>
        <v>C09901012</v>
      </c>
      <c r="E933" s="27" t="str">
        <f>'900000'!$M53</f>
        <v/>
      </c>
      <c r="F933" s="27" t="s">
        <v>19081</v>
      </c>
    </row>
    <row r="934" spans="1:6">
      <c r="A934" s="27" t="str">
        <f>Resultados!$K$3</f>
        <v/>
      </c>
      <c r="B934" s="27" t="str">
        <f>Resultados!$K$4</f>
        <v/>
      </c>
      <c r="C934" s="568" t="str">
        <f>'900000'!$B54</f>
        <v>09901034</v>
      </c>
      <c r="D934" s="27" t="str">
        <f>'900000'!$M$19</f>
        <v>C09901012</v>
      </c>
      <c r="E934" s="27" t="str">
        <f>'900000'!$M54</f>
        <v/>
      </c>
      <c r="F934" s="27" t="s">
        <v>19081</v>
      </c>
    </row>
    <row r="935" spans="1:6">
      <c r="A935" s="27" t="str">
        <f>Resultados!$K$3</f>
        <v/>
      </c>
      <c r="B935" s="27" t="str">
        <f>Resultados!$K$4</f>
        <v/>
      </c>
      <c r="C935" s="568" t="str">
        <f>'900000'!$B55</f>
        <v>09901035</v>
      </c>
      <c r="D935" s="27" t="str">
        <f>'900000'!$M$19</f>
        <v>C09901012</v>
      </c>
      <c r="E935" s="27" t="str">
        <f>'900000'!$M55</f>
        <v/>
      </c>
      <c r="F935" s="27" t="s">
        <v>19081</v>
      </c>
    </row>
    <row r="936" spans="1:6">
      <c r="A936" s="27" t="str">
        <f>Resultados!$K$3</f>
        <v/>
      </c>
      <c r="B936" s="27" t="str">
        <f>Resultados!$K$4</f>
        <v/>
      </c>
      <c r="C936" s="568" t="str">
        <f>'900000'!$B56</f>
        <v>09901036</v>
      </c>
      <c r="D936" s="27" t="str">
        <f>'900000'!$M$19</f>
        <v>C09901012</v>
      </c>
      <c r="E936" s="27" t="str">
        <f>'900000'!$M56</f>
        <v/>
      </c>
      <c r="F936" s="27" t="s">
        <v>19081</v>
      </c>
    </row>
    <row r="937" spans="1:6">
      <c r="A937" s="27" t="str">
        <f>Resultados!$K$3</f>
        <v/>
      </c>
      <c r="B937" s="27" t="str">
        <f>Resultados!$K$4</f>
        <v/>
      </c>
      <c r="C937" s="568" t="str">
        <f>'900000'!$B57</f>
        <v>09901037</v>
      </c>
      <c r="D937" s="27" t="str">
        <f>'900000'!$M$19</f>
        <v>C09901012</v>
      </c>
      <c r="E937" s="27" t="str">
        <f>'900000'!$M57</f>
        <v/>
      </c>
      <c r="F937" s="27" t="s">
        <v>19081</v>
      </c>
    </row>
    <row r="938" spans="1:6">
      <c r="A938" s="27" t="str">
        <f>Resultados!$K$3</f>
        <v/>
      </c>
      <c r="B938" s="27" t="str">
        <f>Resultados!$K$4</f>
        <v/>
      </c>
      <c r="C938" s="568" t="str">
        <f>'900000'!$B58</f>
        <v>09901038</v>
      </c>
      <c r="D938" s="27" t="str">
        <f>'900000'!$M$19</f>
        <v>C09901012</v>
      </c>
      <c r="E938" s="27" t="str">
        <f>'900000'!$M58</f>
        <v/>
      </c>
      <c r="F938" s="27" t="s">
        <v>19081</v>
      </c>
    </row>
    <row r="939" spans="1:6">
      <c r="A939" s="27" t="str">
        <f>Resultados!$K$3</f>
        <v/>
      </c>
      <c r="B939" s="27" t="str">
        <f>Resultados!$K$4</f>
        <v/>
      </c>
      <c r="C939" s="568" t="str">
        <f>'900000'!$B59</f>
        <v>09901039</v>
      </c>
      <c r="D939" s="27" t="str">
        <f>'900000'!$M$19</f>
        <v>C09901012</v>
      </c>
      <c r="E939" s="27" t="str">
        <f>'900000'!$M59</f>
        <v/>
      </c>
      <c r="F939" s="27" t="s">
        <v>19081</v>
      </c>
    </row>
    <row r="940" spans="1:6">
      <c r="A940" s="27" t="str">
        <f>Resultados!$K$3</f>
        <v/>
      </c>
      <c r="B940" s="27" t="str">
        <f>Resultados!$K$4</f>
        <v/>
      </c>
      <c r="C940" s="568" t="str">
        <f>'900000'!$B60</f>
        <v>09901040</v>
      </c>
      <c r="D940" s="27" t="str">
        <f>'900000'!$M$19</f>
        <v>C09901012</v>
      </c>
      <c r="E940" s="27" t="str">
        <f>'900000'!$M60</f>
        <v/>
      </c>
      <c r="F940" s="27" t="s">
        <v>19081</v>
      </c>
    </row>
    <row r="941" spans="1:6">
      <c r="A941" s="27" t="str">
        <f>Resultados!$K$3</f>
        <v/>
      </c>
      <c r="B941" s="27" t="str">
        <f>Resultados!$K$4</f>
        <v/>
      </c>
      <c r="C941" s="568" t="str">
        <f>'900000'!$B61</f>
        <v>09901041</v>
      </c>
      <c r="D941" s="27" t="str">
        <f>'900000'!$M$19</f>
        <v>C09901012</v>
      </c>
      <c r="E941" s="27" t="str">
        <f>'900000'!$M61</f>
        <v/>
      </c>
      <c r="F941" s="27" t="s">
        <v>19081</v>
      </c>
    </row>
    <row r="942" spans="1:6">
      <c r="A942" s="27" t="str">
        <f>Resultados!$K$3</f>
        <v/>
      </c>
      <c r="B942" s="27" t="str">
        <f>Resultados!$K$4</f>
        <v/>
      </c>
      <c r="C942" s="568" t="str">
        <f>'900000'!$B62</f>
        <v>09901042</v>
      </c>
      <c r="D942" s="27" t="str">
        <f>'900000'!$M$19</f>
        <v>C09901012</v>
      </c>
      <c r="E942" s="27" t="str">
        <f>'900000'!$M62</f>
        <v/>
      </c>
      <c r="F942" s="27" t="s">
        <v>19081</v>
      </c>
    </row>
    <row r="943" spans="1:6">
      <c r="A943" s="27" t="str">
        <f>Resultados!$K$3</f>
        <v/>
      </c>
      <c r="B943" s="27" t="str">
        <f>Resultados!$K$4</f>
        <v/>
      </c>
      <c r="C943" s="568" t="str">
        <f>'900000'!$B63</f>
        <v>09901043</v>
      </c>
      <c r="D943" s="27" t="str">
        <f>'900000'!$M$19</f>
        <v>C09901012</v>
      </c>
      <c r="E943" s="27" t="str">
        <f>'900000'!$M63</f>
        <v/>
      </c>
      <c r="F943" s="27" t="s">
        <v>19081</v>
      </c>
    </row>
    <row r="944" spans="1:6">
      <c r="A944" s="27" t="str">
        <f>Resultados!$K$3</f>
        <v/>
      </c>
      <c r="B944" s="27" t="str">
        <f>Resultados!$K$4</f>
        <v/>
      </c>
      <c r="C944" s="568" t="str">
        <f>'900000'!$B64</f>
        <v>09901044</v>
      </c>
      <c r="D944" s="27" t="str">
        <f>'900000'!$M$19</f>
        <v>C09901012</v>
      </c>
      <c r="E944" s="27" t="str">
        <f>'900000'!$M64</f>
        <v/>
      </c>
      <c r="F944" s="27" t="s">
        <v>19081</v>
      </c>
    </row>
    <row r="945" spans="1:6">
      <c r="A945" s="27" t="str">
        <f>Resultados!$K$3</f>
        <v/>
      </c>
      <c r="B945" s="27" t="str">
        <f>Resultados!$K$4</f>
        <v/>
      </c>
      <c r="C945" s="568" t="str">
        <f>'900000'!$B65</f>
        <v>09901045</v>
      </c>
      <c r="D945" s="27" t="str">
        <f>'900000'!$M$19</f>
        <v>C09901012</v>
      </c>
      <c r="E945" s="27" t="str">
        <f>'900000'!$M65</f>
        <v/>
      </c>
      <c r="F945" s="27" t="s">
        <v>19081</v>
      </c>
    </row>
    <row r="946" spans="1:6">
      <c r="A946" s="27" t="str">
        <f>Resultados!$K$3</f>
        <v/>
      </c>
      <c r="B946" s="27" t="str">
        <f>Resultados!$K$4</f>
        <v/>
      </c>
      <c r="C946" s="568" t="str">
        <f>'900000'!$B66</f>
        <v>09901046</v>
      </c>
      <c r="D946" s="27" t="str">
        <f>'900000'!$M$19</f>
        <v>C09901012</v>
      </c>
      <c r="E946" s="27" t="str">
        <f>'900000'!$M66</f>
        <v/>
      </c>
      <c r="F946" s="27" t="s">
        <v>19081</v>
      </c>
    </row>
    <row r="947" spans="1:6">
      <c r="A947" s="27" t="str">
        <f>Resultados!$K$3</f>
        <v/>
      </c>
      <c r="B947" s="27" t="str">
        <f>Resultados!$K$4</f>
        <v/>
      </c>
      <c r="C947" s="568" t="str">
        <f>'900000'!$B67</f>
        <v>09901047</v>
      </c>
      <c r="D947" s="27" t="str">
        <f>'900000'!$M$19</f>
        <v>C09901012</v>
      </c>
      <c r="E947" s="27" t="str">
        <f>'900000'!$M67</f>
        <v/>
      </c>
      <c r="F947" s="27" t="s">
        <v>19081</v>
      </c>
    </row>
    <row r="948" spans="1:6">
      <c r="A948" s="27" t="str">
        <f>Resultados!$K$3</f>
        <v/>
      </c>
      <c r="B948" s="27" t="str">
        <f>Resultados!$K$4</f>
        <v/>
      </c>
      <c r="C948" s="568" t="str">
        <f>'900000'!$B68</f>
        <v>09901048</v>
      </c>
      <c r="D948" s="27" t="str">
        <f>'900000'!$M$19</f>
        <v>C09901012</v>
      </c>
      <c r="E948" s="27" t="str">
        <f>'900000'!$M68</f>
        <v/>
      </c>
      <c r="F948" s="27" t="s">
        <v>19081</v>
      </c>
    </row>
    <row r="949" spans="1:6">
      <c r="A949" s="27" t="str">
        <f>Resultados!$K$3</f>
        <v/>
      </c>
      <c r="B949" s="27" t="str">
        <f>Resultados!$K$4</f>
        <v/>
      </c>
      <c r="C949" s="568" t="str">
        <f>'900000'!$B69</f>
        <v>09901049</v>
      </c>
      <c r="D949" s="27" t="str">
        <f>'900000'!$M$19</f>
        <v>C09901012</v>
      </c>
      <c r="E949" s="27" t="str">
        <f>'900000'!$M69</f>
        <v/>
      </c>
      <c r="F949" s="27" t="s">
        <v>19081</v>
      </c>
    </row>
    <row r="950" spans="1:6">
      <c r="A950" s="27" t="str">
        <f>Resultados!$K$3</f>
        <v/>
      </c>
      <c r="B950" s="27" t="str">
        <f>Resultados!$K$4</f>
        <v/>
      </c>
      <c r="C950" s="568" t="str">
        <f>'900000'!$B70</f>
        <v>09901050</v>
      </c>
      <c r="D950" s="27" t="str">
        <f>'900000'!$M$19</f>
        <v>C09901012</v>
      </c>
      <c r="E950" s="27" t="str">
        <f>'900000'!$M70</f>
        <v/>
      </c>
      <c r="F950" s="27" t="s">
        <v>19081</v>
      </c>
    </row>
    <row r="951" spans="1:6">
      <c r="A951" s="27" t="str">
        <f>Resultados!$K$3</f>
        <v/>
      </c>
      <c r="B951" s="27" t="str">
        <f>Resultados!$K$4</f>
        <v/>
      </c>
      <c r="C951" s="568" t="str">
        <f>'900000'!$B71</f>
        <v>09901051</v>
      </c>
      <c r="D951" s="27" t="str">
        <f>'900000'!$M$19</f>
        <v>C09901012</v>
      </c>
      <c r="E951" s="27" t="str">
        <f>'900000'!$M71</f>
        <v/>
      </c>
      <c r="F951" s="27" t="s">
        <v>19081</v>
      </c>
    </row>
    <row r="952" spans="1:6">
      <c r="A952" s="27" t="str">
        <f>Resultados!$K$3</f>
        <v/>
      </c>
      <c r="B952" s="27" t="str">
        <f>Resultados!$K$4</f>
        <v/>
      </c>
      <c r="C952" s="568" t="str">
        <f>'900000'!$B72</f>
        <v>09901052</v>
      </c>
      <c r="D952" s="27" t="str">
        <f>'900000'!$M$19</f>
        <v>C09901012</v>
      </c>
      <c r="E952" s="27" t="str">
        <f>'900000'!$M72</f>
        <v/>
      </c>
      <c r="F952" s="27" t="s">
        <v>19081</v>
      </c>
    </row>
    <row r="953" spans="1:6">
      <c r="A953" s="27" t="str">
        <f>Resultados!$K$3</f>
        <v/>
      </c>
      <c r="B953" s="27" t="str">
        <f>Resultados!$K$4</f>
        <v/>
      </c>
      <c r="C953" s="568" t="str">
        <f>'900000'!$B73</f>
        <v>09901053</v>
      </c>
      <c r="D953" s="27" t="str">
        <f>'900000'!$M$19</f>
        <v>C09901012</v>
      </c>
      <c r="E953" s="27" t="str">
        <f>'900000'!$M73</f>
        <v/>
      </c>
      <c r="F953" s="27" t="s">
        <v>19081</v>
      </c>
    </row>
    <row r="954" spans="1:6">
      <c r="A954" s="27" t="str">
        <f>Resultados!$K$3</f>
        <v/>
      </c>
      <c r="B954" s="27" t="str">
        <f>Resultados!$K$4</f>
        <v/>
      </c>
      <c r="C954" s="568" t="str">
        <f>'900000'!$B74</f>
        <v>09901054</v>
      </c>
      <c r="D954" s="27" t="str">
        <f>'900000'!$M$19</f>
        <v>C09901012</v>
      </c>
      <c r="E954" s="27" t="str">
        <f>'900000'!$M74</f>
        <v/>
      </c>
      <c r="F954" s="27" t="s">
        <v>19081</v>
      </c>
    </row>
    <row r="955" spans="1:6">
      <c r="A955" s="27" t="str">
        <f>Resultados!$K$3</f>
        <v/>
      </c>
      <c r="B955" s="27" t="str">
        <f>Resultados!$K$4</f>
        <v/>
      </c>
      <c r="C955" s="568" t="str">
        <f>'900000'!$B75</f>
        <v>09901055</v>
      </c>
      <c r="D955" s="27" t="str">
        <f>'900000'!$M$19</f>
        <v>C09901012</v>
      </c>
      <c r="E955" s="27" t="str">
        <f>'900000'!$M75</f>
        <v/>
      </c>
      <c r="F955" s="27" t="s">
        <v>19081</v>
      </c>
    </row>
    <row r="956" spans="1:6">
      <c r="A956" s="27" t="str">
        <f>Resultados!$K$3</f>
        <v/>
      </c>
      <c r="B956" s="27" t="str">
        <f>Resultados!$K$4</f>
        <v/>
      </c>
      <c r="C956" s="568" t="str">
        <f>'900000'!$B76</f>
        <v>09901056</v>
      </c>
      <c r="D956" s="27" t="str">
        <f>'900000'!$M$19</f>
        <v>C09901012</v>
      </c>
      <c r="E956" s="27" t="str">
        <f>'900000'!$M76</f>
        <v/>
      </c>
      <c r="F956" s="27" t="s">
        <v>19081</v>
      </c>
    </row>
    <row r="957" spans="1:6">
      <c r="A957" s="27" t="str">
        <f>Resultados!$K$3</f>
        <v/>
      </c>
      <c r="B957" s="27" t="str">
        <f>Resultados!$K$4</f>
        <v/>
      </c>
      <c r="C957" s="568" t="str">
        <f>'900000'!$B77</f>
        <v>09901057</v>
      </c>
      <c r="D957" s="27" t="str">
        <f>'900000'!$M$19</f>
        <v>C09901012</v>
      </c>
      <c r="E957" s="27" t="str">
        <f>'900000'!$M77</f>
        <v/>
      </c>
      <c r="F957" s="27" t="s">
        <v>19081</v>
      </c>
    </row>
    <row r="958" spans="1:6">
      <c r="A958" s="27" t="str">
        <f>Resultados!$K$3</f>
        <v/>
      </c>
      <c r="B958" s="27" t="str">
        <f>Resultados!$K$4</f>
        <v/>
      </c>
      <c r="C958" s="568" t="str">
        <f>'900000'!$B78</f>
        <v>09901058</v>
      </c>
      <c r="D958" s="27" t="str">
        <f>'900000'!$M$19</f>
        <v>C09901012</v>
      </c>
      <c r="E958" s="27" t="str">
        <f>'900000'!$M78</f>
        <v/>
      </c>
      <c r="F958" s="27" t="s">
        <v>19081</v>
      </c>
    </row>
    <row r="959" spans="1:6">
      <c r="A959" s="27" t="str">
        <f>Resultados!$K$3</f>
        <v/>
      </c>
      <c r="B959" s="27" t="str">
        <f>Resultados!$K$4</f>
        <v/>
      </c>
      <c r="C959" s="568" t="str">
        <f>'900000'!$B79</f>
        <v>09901059</v>
      </c>
      <c r="D959" s="27" t="str">
        <f>'900000'!$M$19</f>
        <v>C09901012</v>
      </c>
      <c r="E959" s="27" t="str">
        <f>'900000'!$M79</f>
        <v/>
      </c>
      <c r="F959" s="27" t="s">
        <v>19081</v>
      </c>
    </row>
    <row r="960" spans="1:6">
      <c r="A960" s="27" t="str">
        <f>Resultados!$K$3</f>
        <v/>
      </c>
      <c r="B960" s="27" t="str">
        <f>Resultados!$K$4</f>
        <v/>
      </c>
      <c r="C960" s="568" t="str">
        <f>'900000'!$B80</f>
        <v>09901060</v>
      </c>
      <c r="D960" s="27" t="str">
        <f>'900000'!$M$19</f>
        <v>C09901012</v>
      </c>
      <c r="E960" s="27" t="str">
        <f>'900000'!$M80</f>
        <v/>
      </c>
      <c r="F960" s="27" t="s">
        <v>19081</v>
      </c>
    </row>
    <row r="961" spans="1:6">
      <c r="A961" s="27" t="str">
        <f>Resultados!$K$3</f>
        <v/>
      </c>
      <c r="B961" s="27" t="str">
        <f>Resultados!$K$4</f>
        <v/>
      </c>
      <c r="C961" s="568" t="str">
        <f>'900000'!$B81</f>
        <v>09901061</v>
      </c>
      <c r="D961" s="27" t="str">
        <f>'900000'!$M$19</f>
        <v>C09901012</v>
      </c>
      <c r="E961" s="27" t="str">
        <f>'900000'!$M81</f>
        <v/>
      </c>
      <c r="F961" s="27" t="s">
        <v>19081</v>
      </c>
    </row>
    <row r="962" spans="1:6">
      <c r="A962" s="27" t="str">
        <f>Resultados!$K$3</f>
        <v/>
      </c>
      <c r="B962" s="27" t="str">
        <f>Resultados!$K$4</f>
        <v/>
      </c>
      <c r="C962" s="568" t="str">
        <f>'900000'!$B82</f>
        <v>09901062</v>
      </c>
      <c r="D962" s="27" t="str">
        <f>'900000'!$M$19</f>
        <v>C09901012</v>
      </c>
      <c r="E962" s="27" t="str">
        <f>'900000'!$M82</f>
        <v/>
      </c>
      <c r="F962" s="27" t="s">
        <v>19081</v>
      </c>
    </row>
    <row r="963" spans="1:6">
      <c r="A963" s="27" t="str">
        <f>Resultados!$K$3</f>
        <v/>
      </c>
      <c r="B963" s="27" t="str">
        <f>Resultados!$K$4</f>
        <v/>
      </c>
      <c r="C963" s="568" t="str">
        <f>'900000'!$B83</f>
        <v>09901063</v>
      </c>
      <c r="D963" s="27" t="str">
        <f>'900000'!$M$19</f>
        <v>C09901012</v>
      </c>
      <c r="E963" s="27" t="str">
        <f>'900000'!$M83</f>
        <v/>
      </c>
      <c r="F963" s="27" t="s">
        <v>19081</v>
      </c>
    </row>
    <row r="964" spans="1:6">
      <c r="A964" s="27" t="str">
        <f>Resultados!$K$3</f>
        <v/>
      </c>
      <c r="B964" s="27" t="str">
        <f>Resultados!$K$4</f>
        <v/>
      </c>
      <c r="C964" s="568" t="str">
        <f>'900000'!$B84</f>
        <v>09901064</v>
      </c>
      <c r="D964" s="27" t="str">
        <f>'900000'!$M$19</f>
        <v>C09901012</v>
      </c>
      <c r="E964" s="27" t="str">
        <f>'900000'!$M84</f>
        <v/>
      </c>
      <c r="F964" s="27" t="s">
        <v>19081</v>
      </c>
    </row>
    <row r="965" spans="1:6">
      <c r="A965" s="27" t="str">
        <f>Resultados!$K$3</f>
        <v/>
      </c>
      <c r="B965" s="27" t="str">
        <f>Resultados!$K$4</f>
        <v/>
      </c>
      <c r="C965" s="568" t="str">
        <f>'900000'!$B85</f>
        <v>09901065</v>
      </c>
      <c r="D965" s="27" t="str">
        <f>'900000'!$M$19</f>
        <v>C09901012</v>
      </c>
      <c r="E965" s="27" t="str">
        <f>'900000'!$M85</f>
        <v/>
      </c>
      <c r="F965" s="27" t="s">
        <v>19081</v>
      </c>
    </row>
    <row r="966" spans="1:6">
      <c r="A966" s="27" t="str">
        <f>Resultados!$K$3</f>
        <v/>
      </c>
      <c r="B966" s="27" t="str">
        <f>Resultados!$K$4</f>
        <v/>
      </c>
      <c r="C966" s="568" t="str">
        <f>'900000'!$B86</f>
        <v>09901066</v>
      </c>
      <c r="D966" s="27" t="str">
        <f>'900000'!$M$19</f>
        <v>C09901012</v>
      </c>
      <c r="E966" s="27" t="str">
        <f>'900000'!$M86</f>
        <v/>
      </c>
      <c r="F966" s="27" t="s">
        <v>19081</v>
      </c>
    </row>
    <row r="967" spans="1:6">
      <c r="A967" s="27" t="str">
        <f>Resultados!$K$3</f>
        <v/>
      </c>
      <c r="B967" s="27" t="str">
        <f>Resultados!$K$4</f>
        <v/>
      </c>
      <c r="C967" s="568" t="str">
        <f>'900000'!$B87</f>
        <v>09901067</v>
      </c>
      <c r="D967" s="27" t="str">
        <f>'900000'!$M$19</f>
        <v>C09901012</v>
      </c>
      <c r="E967" s="27" t="str">
        <f>'900000'!$M87</f>
        <v/>
      </c>
      <c r="F967" s="27" t="s">
        <v>19081</v>
      </c>
    </row>
    <row r="968" spans="1:6">
      <c r="A968" s="27" t="str">
        <f>Resultados!$K$3</f>
        <v/>
      </c>
      <c r="B968" s="27" t="str">
        <f>Resultados!$K$4</f>
        <v/>
      </c>
      <c r="C968" s="568" t="str">
        <f>'900000'!$B88</f>
        <v>09901068</v>
      </c>
      <c r="D968" s="27" t="str">
        <f>'900000'!$M$19</f>
        <v>C09901012</v>
      </c>
      <c r="E968" s="27" t="str">
        <f>'900000'!$M88</f>
        <v/>
      </c>
      <c r="F968" s="27" t="s">
        <v>19081</v>
      </c>
    </row>
    <row r="969" spans="1:6">
      <c r="A969" s="27" t="str">
        <f>Resultados!$K$3</f>
        <v/>
      </c>
      <c r="B969" s="27" t="str">
        <f>Resultados!$K$4</f>
        <v/>
      </c>
      <c r="C969" s="568" t="str">
        <f>'900000'!$B89</f>
        <v>09901069</v>
      </c>
      <c r="D969" s="27" t="str">
        <f>'900000'!$M$19</f>
        <v>C09901012</v>
      </c>
      <c r="E969" s="27" t="str">
        <f>'900000'!$M89</f>
        <v/>
      </c>
      <c r="F969" s="27" t="s">
        <v>19081</v>
      </c>
    </row>
    <row r="970" spans="1:6">
      <c r="A970" s="27" t="str">
        <f>Resultados!$K$3</f>
        <v/>
      </c>
      <c r="B970" s="27" t="str">
        <f>Resultados!$K$4</f>
        <v/>
      </c>
      <c r="C970" s="568" t="str">
        <f>'900000'!$B90</f>
        <v>09901070</v>
      </c>
      <c r="D970" s="27" t="str">
        <f>'900000'!$M$19</f>
        <v>C09901012</v>
      </c>
      <c r="E970" s="27" t="str">
        <f>'900000'!$M90</f>
        <v/>
      </c>
      <c r="F970" s="27" t="s">
        <v>19081</v>
      </c>
    </row>
    <row r="971" spans="1:6">
      <c r="A971" s="27" t="str">
        <f>Resultados!$K$3</f>
        <v/>
      </c>
      <c r="B971" s="27" t="str">
        <f>Resultados!$K$4</f>
        <v/>
      </c>
      <c r="C971" s="568" t="str">
        <f>'900000'!$B91</f>
        <v>09901071</v>
      </c>
      <c r="D971" s="27" t="str">
        <f>'900000'!$M$19</f>
        <v>C09901012</v>
      </c>
      <c r="E971" s="27" t="str">
        <f>'900000'!$M91</f>
        <v/>
      </c>
      <c r="F971" s="27" t="s">
        <v>19081</v>
      </c>
    </row>
    <row r="972" spans="1:6">
      <c r="A972" s="27" t="str">
        <f>Resultados!$K$3</f>
        <v/>
      </c>
      <c r="B972" s="27" t="str">
        <f>Resultados!$K$4</f>
        <v/>
      </c>
      <c r="C972" s="568" t="str">
        <f>'900000'!$B92</f>
        <v>09901072</v>
      </c>
      <c r="D972" s="27" t="str">
        <f>'900000'!$M$19</f>
        <v>C09901012</v>
      </c>
      <c r="E972" s="27" t="str">
        <f>'900000'!$M92</f>
        <v/>
      </c>
      <c r="F972" s="27" t="s">
        <v>19081</v>
      </c>
    </row>
    <row r="973" spans="1:6">
      <c r="A973" s="27" t="str">
        <f>Resultados!$K$3</f>
        <v/>
      </c>
      <c r="B973" s="27" t="str">
        <f>Resultados!$K$4</f>
        <v/>
      </c>
      <c r="C973" s="568" t="str">
        <f>'900000'!$B93</f>
        <v>09901073</v>
      </c>
      <c r="D973" s="27" t="str">
        <f>'900000'!$M$19</f>
        <v>C09901012</v>
      </c>
      <c r="E973" s="27" t="str">
        <f>'900000'!$M93</f>
        <v/>
      </c>
      <c r="F973" s="27" t="s">
        <v>19081</v>
      </c>
    </row>
    <row r="974" spans="1:6">
      <c r="A974" s="27" t="str">
        <f>Resultados!$K$3</f>
        <v/>
      </c>
      <c r="B974" s="27" t="str">
        <f>Resultados!$K$4</f>
        <v/>
      </c>
      <c r="C974" s="568" t="str">
        <f>'900000'!$B94</f>
        <v>09901074</v>
      </c>
      <c r="D974" s="27" t="str">
        <f>'900000'!$M$19</f>
        <v>C09901012</v>
      </c>
      <c r="E974" s="27" t="str">
        <f>'900000'!$M94</f>
        <v/>
      </c>
      <c r="F974" s="27" t="s">
        <v>19081</v>
      </c>
    </row>
    <row r="975" spans="1:6">
      <c r="A975" s="27" t="str">
        <f>Resultados!$K$3</f>
        <v/>
      </c>
      <c r="B975" s="27" t="str">
        <f>Resultados!$K$4</f>
        <v/>
      </c>
      <c r="C975" s="568" t="str">
        <f>'900000'!$B95</f>
        <v>09901075</v>
      </c>
      <c r="D975" s="27" t="str">
        <f>'900000'!$M$19</f>
        <v>C09901012</v>
      </c>
      <c r="E975" s="27" t="str">
        <f>'900000'!$M95</f>
        <v/>
      </c>
      <c r="F975" s="27" t="s">
        <v>19081</v>
      </c>
    </row>
    <row r="976" spans="1:6">
      <c r="A976" s="27" t="str">
        <f>Resultados!$K$3</f>
        <v/>
      </c>
      <c r="B976" s="27" t="str">
        <f>Resultados!$K$4</f>
        <v/>
      </c>
      <c r="C976" s="568" t="str">
        <f>'900000'!$B96</f>
        <v>09901076</v>
      </c>
      <c r="D976" s="27" t="str">
        <f>'900000'!$M$19</f>
        <v>C09901012</v>
      </c>
      <c r="E976" s="27" t="str">
        <f>'900000'!$M96</f>
        <v/>
      </c>
      <c r="F976" s="27" t="s">
        <v>19081</v>
      </c>
    </row>
    <row r="977" spans="1:6">
      <c r="A977" s="27" t="str">
        <f>Resultados!$K$3</f>
        <v/>
      </c>
      <c r="B977" s="27" t="str">
        <f>Resultados!$K$4</f>
        <v/>
      </c>
      <c r="C977" s="568" t="str">
        <f>'900000'!$B97</f>
        <v>09901077</v>
      </c>
      <c r="D977" s="27" t="str">
        <f>'900000'!$M$19</f>
        <v>C09901012</v>
      </c>
      <c r="E977" s="27" t="str">
        <f>'900000'!$M97</f>
        <v/>
      </c>
      <c r="F977" s="27" t="s">
        <v>19081</v>
      </c>
    </row>
    <row r="978" spans="1:6">
      <c r="A978" s="27" t="str">
        <f>Resultados!$K$3</f>
        <v/>
      </c>
      <c r="B978" s="27" t="str">
        <f>Resultados!$K$4</f>
        <v/>
      </c>
      <c r="C978" s="568" t="str">
        <f>'900000'!$B98</f>
        <v>09901078</v>
      </c>
      <c r="D978" s="27" t="str">
        <f>'900000'!$M$19</f>
        <v>C09901012</v>
      </c>
      <c r="E978" s="27" t="str">
        <f>'900000'!$M98</f>
        <v/>
      </c>
      <c r="F978" s="27" t="s">
        <v>19081</v>
      </c>
    </row>
    <row r="979" spans="1:6">
      <c r="A979" s="27" t="str">
        <f>Resultados!$K$3</f>
        <v/>
      </c>
      <c r="B979" s="27" t="str">
        <f>Resultados!$K$4</f>
        <v/>
      </c>
      <c r="C979" s="568" t="str">
        <f>'900000'!$B99</f>
        <v>09901079</v>
      </c>
      <c r="D979" s="27" t="str">
        <f>'900000'!$M$19</f>
        <v>C09901012</v>
      </c>
      <c r="E979" s="27" t="str">
        <f>'900000'!$M99</f>
        <v/>
      </c>
      <c r="F979" s="27" t="s">
        <v>19081</v>
      </c>
    </row>
    <row r="980" spans="1:6">
      <c r="A980" s="27" t="str">
        <f>Resultados!$K$3</f>
        <v/>
      </c>
      <c r="B980" s="27" t="str">
        <f>Resultados!$K$4</f>
        <v/>
      </c>
      <c r="C980" s="568" t="str">
        <f>'900000'!$B100</f>
        <v>09901080</v>
      </c>
      <c r="D980" s="27" t="str">
        <f>'900000'!$M$19</f>
        <v>C09901012</v>
      </c>
      <c r="E980" s="27" t="str">
        <f>'900000'!$M100</f>
        <v/>
      </c>
      <c r="F980" s="27" t="s">
        <v>19081</v>
      </c>
    </row>
    <row r="981" spans="1:6">
      <c r="A981" s="27" t="str">
        <f>Resultados!$K$3</f>
        <v/>
      </c>
      <c r="B981" s="27" t="str">
        <f>Resultados!$K$4</f>
        <v/>
      </c>
      <c r="C981" s="568" t="str">
        <f>'900000'!$B101</f>
        <v>09901081</v>
      </c>
      <c r="D981" s="27" t="str">
        <f>'900000'!$M$19</f>
        <v>C09901012</v>
      </c>
      <c r="E981" s="27" t="str">
        <f>'900000'!$M101</f>
        <v/>
      </c>
      <c r="F981" s="27" t="s">
        <v>19081</v>
      </c>
    </row>
    <row r="982" spans="1:6">
      <c r="A982" s="27" t="str">
        <f>Resultados!$K$3</f>
        <v/>
      </c>
      <c r="B982" s="27" t="str">
        <f>Resultados!$K$4</f>
        <v/>
      </c>
      <c r="C982" s="568" t="str">
        <f>'900000'!$B102</f>
        <v>09901082</v>
      </c>
      <c r="D982" s="27" t="str">
        <f>'900000'!$M$19</f>
        <v>C09901012</v>
      </c>
      <c r="E982" s="27" t="str">
        <f>'900000'!$M102</f>
        <v/>
      </c>
      <c r="F982" s="27" t="s">
        <v>19081</v>
      </c>
    </row>
    <row r="983" spans="1:6">
      <c r="A983" s="27" t="str">
        <f>Resultados!$K$3</f>
        <v/>
      </c>
      <c r="B983" s="27" t="str">
        <f>Resultados!$K$4</f>
        <v/>
      </c>
      <c r="C983" s="568" t="str">
        <f>'900000'!$B103</f>
        <v>09901083</v>
      </c>
      <c r="D983" s="27" t="str">
        <f>'900000'!$M$19</f>
        <v>C09901012</v>
      </c>
      <c r="E983" s="27" t="str">
        <f>'900000'!$M103</f>
        <v/>
      </c>
      <c r="F983" s="27" t="s">
        <v>19081</v>
      </c>
    </row>
    <row r="984" spans="1:6">
      <c r="A984" s="27" t="str">
        <f>Resultados!$K$3</f>
        <v/>
      </c>
      <c r="B984" s="27" t="str">
        <f>Resultados!$K$4</f>
        <v/>
      </c>
      <c r="C984" s="568" t="str">
        <f>'900000'!$B104</f>
        <v>09901084</v>
      </c>
      <c r="D984" s="27" t="str">
        <f>'900000'!$M$19</f>
        <v>C09901012</v>
      </c>
      <c r="E984" s="27" t="str">
        <f>'900000'!$M104</f>
        <v/>
      </c>
      <c r="F984" s="27" t="s">
        <v>19081</v>
      </c>
    </row>
    <row r="985" spans="1:6">
      <c r="A985" s="27" t="str">
        <f>Resultados!$K$3</f>
        <v/>
      </c>
      <c r="B985" s="27" t="str">
        <f>Resultados!$K$4</f>
        <v/>
      </c>
      <c r="C985" s="568" t="str">
        <f>'900000'!$B105</f>
        <v>09901085</v>
      </c>
      <c r="D985" s="27" t="str">
        <f>'900000'!$M$19</f>
        <v>C09901012</v>
      </c>
      <c r="E985" s="27" t="str">
        <f>'900000'!$M105</f>
        <v/>
      </c>
      <c r="F985" s="27" t="s">
        <v>19081</v>
      </c>
    </row>
    <row r="986" spans="1:6">
      <c r="A986" s="27" t="str">
        <f>Resultados!$K$3</f>
        <v/>
      </c>
      <c r="B986" s="27" t="str">
        <f>Resultados!$K$4</f>
        <v/>
      </c>
      <c r="C986" s="568" t="str">
        <f>'900000'!$B106</f>
        <v>09901086</v>
      </c>
      <c r="D986" s="27" t="str">
        <f>'900000'!$M$19</f>
        <v>C09901012</v>
      </c>
      <c r="E986" s="27" t="str">
        <f>'900000'!$M106</f>
        <v/>
      </c>
      <c r="F986" s="27" t="s">
        <v>19081</v>
      </c>
    </row>
    <row r="987" spans="1:6">
      <c r="A987" s="27" t="str">
        <f>Resultados!$K$3</f>
        <v/>
      </c>
      <c r="B987" s="27" t="str">
        <f>Resultados!$K$4</f>
        <v/>
      </c>
      <c r="C987" s="568" t="str">
        <f>'900000'!$B107</f>
        <v>09901087</v>
      </c>
      <c r="D987" s="27" t="str">
        <f>'900000'!$M$19</f>
        <v>C09901012</v>
      </c>
      <c r="E987" s="27" t="str">
        <f>'900000'!$M107</f>
        <v/>
      </c>
      <c r="F987" s="27" t="s">
        <v>19081</v>
      </c>
    </row>
    <row r="988" spans="1:6">
      <c r="A988" s="27" t="str">
        <f>Resultados!$K$3</f>
        <v/>
      </c>
      <c r="B988" s="27" t="str">
        <f>Resultados!$K$4</f>
        <v/>
      </c>
      <c r="C988" s="568" t="str">
        <f>'900000'!$B108</f>
        <v>09901088</v>
      </c>
      <c r="D988" s="27" t="str">
        <f>'900000'!$M$19</f>
        <v>C09901012</v>
      </c>
      <c r="E988" s="27" t="str">
        <f>'900000'!$M108</f>
        <v/>
      </c>
      <c r="F988" s="27" t="s">
        <v>19081</v>
      </c>
    </row>
    <row r="989" spans="1:6">
      <c r="A989" s="27" t="str">
        <f>Resultados!$K$3</f>
        <v/>
      </c>
      <c r="B989" s="27" t="str">
        <f>Resultados!$K$4</f>
        <v/>
      </c>
      <c r="C989" s="568" t="str">
        <f>'900000'!$B109</f>
        <v>09901089</v>
      </c>
      <c r="D989" s="27" t="str">
        <f>'900000'!$M$19</f>
        <v>C09901012</v>
      </c>
      <c r="E989" s="27" t="str">
        <f>'900000'!$M109</f>
        <v/>
      </c>
      <c r="F989" s="27" t="s">
        <v>19081</v>
      </c>
    </row>
    <row r="990" spans="1:6">
      <c r="A990" s="27" t="str">
        <f>Resultados!$K$3</f>
        <v/>
      </c>
      <c r="B990" s="27" t="str">
        <f>Resultados!$K$4</f>
        <v/>
      </c>
      <c r="C990" s="568" t="str">
        <f>'900000'!$B110</f>
        <v>09901090</v>
      </c>
      <c r="D990" s="27" t="str">
        <f>'900000'!$M$19</f>
        <v>C09901012</v>
      </c>
      <c r="E990" s="27" t="str">
        <f>'900000'!$M110</f>
        <v/>
      </c>
      <c r="F990" s="27" t="s">
        <v>19081</v>
      </c>
    </row>
    <row r="991" spans="1:6">
      <c r="A991" s="27" t="str">
        <f>Resultados!$K$3</f>
        <v/>
      </c>
      <c r="B991" s="27" t="str">
        <f>Resultados!$K$4</f>
        <v/>
      </c>
      <c r="C991" s="568" t="str">
        <f>'900000'!$B111</f>
        <v>09901091</v>
      </c>
      <c r="D991" s="27" t="str">
        <f>'900000'!$M$19</f>
        <v>C09901012</v>
      </c>
      <c r="E991" s="27" t="str">
        <f>'900000'!$M111</f>
        <v/>
      </c>
      <c r="F991" s="27" t="s">
        <v>19081</v>
      </c>
    </row>
    <row r="992" spans="1:6">
      <c r="A992" s="27" t="str">
        <f>Resultados!$K$3</f>
        <v/>
      </c>
      <c r="B992" s="27" t="str">
        <f>Resultados!$K$4</f>
        <v/>
      </c>
      <c r="C992" s="568" t="str">
        <f>'900000'!$B112</f>
        <v>09901092</v>
      </c>
      <c r="D992" s="27" t="str">
        <f>'900000'!$M$19</f>
        <v>C09901012</v>
      </c>
      <c r="E992" s="27" t="str">
        <f>'900000'!$M112</f>
        <v/>
      </c>
      <c r="F992" s="27" t="s">
        <v>19081</v>
      </c>
    </row>
    <row r="993" spans="1:6">
      <c r="A993" s="27" t="str">
        <f>Resultados!$K$3</f>
        <v/>
      </c>
      <c r="B993" s="27" t="str">
        <f>Resultados!$K$4</f>
        <v/>
      </c>
      <c r="C993" s="568" t="str">
        <f>'900000'!$B113</f>
        <v>09901093</v>
      </c>
      <c r="D993" s="27" t="str">
        <f>'900000'!$M$19</f>
        <v>C09901012</v>
      </c>
      <c r="E993" s="27" t="str">
        <f>'900000'!$M113</f>
        <v/>
      </c>
      <c r="F993" s="27" t="s">
        <v>19081</v>
      </c>
    </row>
    <row r="994" spans="1:6">
      <c r="A994" s="27" t="str">
        <f>Resultados!$K$3</f>
        <v/>
      </c>
      <c r="B994" s="27" t="str">
        <f>Resultados!$K$4</f>
        <v/>
      </c>
      <c r="C994" s="568" t="str">
        <f>'900000'!$B114</f>
        <v>09901094</v>
      </c>
      <c r="D994" s="27" t="str">
        <f>'900000'!$M$19</f>
        <v>C09901012</v>
      </c>
      <c r="E994" s="27" t="str">
        <f>'900000'!$M114</f>
        <v/>
      </c>
      <c r="F994" s="27" t="s">
        <v>19081</v>
      </c>
    </row>
    <row r="995" spans="1:6">
      <c r="A995" s="27" t="str">
        <f>Resultados!$K$3</f>
        <v/>
      </c>
      <c r="B995" s="27" t="str">
        <f>Resultados!$K$4</f>
        <v/>
      </c>
      <c r="C995" s="568" t="str">
        <f>'900000'!$B115</f>
        <v>09901095</v>
      </c>
      <c r="D995" s="27" t="str">
        <f>'900000'!$M$19</f>
        <v>C09901012</v>
      </c>
      <c r="E995" s="27" t="str">
        <f>'900000'!$M115</f>
        <v/>
      </c>
      <c r="F995" s="27" t="s">
        <v>19081</v>
      </c>
    </row>
    <row r="996" spans="1:6">
      <c r="A996" s="27" t="str">
        <f>Resultados!$K$3</f>
        <v/>
      </c>
      <c r="B996" s="27" t="str">
        <f>Resultados!$K$4</f>
        <v/>
      </c>
      <c r="C996" s="568" t="str">
        <f>'900000'!$B116</f>
        <v>09901096</v>
      </c>
      <c r="D996" s="27" t="str">
        <f>'900000'!$M$19</f>
        <v>C09901012</v>
      </c>
      <c r="E996" s="27" t="str">
        <f>'900000'!$M116</f>
        <v/>
      </c>
      <c r="F996" s="27" t="s">
        <v>19081</v>
      </c>
    </row>
    <row r="997" spans="1:6">
      <c r="A997" s="27" t="str">
        <f>Resultados!$K$3</f>
        <v/>
      </c>
      <c r="B997" s="27" t="str">
        <f>Resultados!$K$4</f>
        <v/>
      </c>
      <c r="C997" s="568" t="str">
        <f>'900000'!$B117</f>
        <v>09901097</v>
      </c>
      <c r="D997" s="27" t="str">
        <f>'900000'!$M$19</f>
        <v>C09901012</v>
      </c>
      <c r="E997" s="27" t="str">
        <f>'900000'!$M117</f>
        <v/>
      </c>
      <c r="F997" s="27" t="s">
        <v>19081</v>
      </c>
    </row>
    <row r="998" spans="1:6">
      <c r="A998" s="27" t="str">
        <f>Resultados!$K$3</f>
        <v/>
      </c>
      <c r="B998" s="27" t="str">
        <f>Resultados!$K$4</f>
        <v/>
      </c>
      <c r="C998" s="568" t="str">
        <f>'900000'!$B118</f>
        <v>09901098</v>
      </c>
      <c r="D998" s="27" t="str">
        <f>'900000'!$M$19</f>
        <v>C09901012</v>
      </c>
      <c r="E998" s="27" t="str">
        <f>'900000'!$M118</f>
        <v/>
      </c>
      <c r="F998" s="27" t="s">
        <v>19081</v>
      </c>
    </row>
    <row r="999" spans="1:6">
      <c r="A999" s="27" t="str">
        <f>Resultados!$K$3</f>
        <v/>
      </c>
      <c r="B999" s="27" t="str">
        <f>Resultados!$K$4</f>
        <v/>
      </c>
      <c r="C999" s="568" t="str">
        <f>'900000'!$B119</f>
        <v>09901099</v>
      </c>
      <c r="D999" s="27" t="str">
        <f>'900000'!$M$19</f>
        <v>C09901012</v>
      </c>
      <c r="E999" s="27" t="str">
        <f>'900000'!$M119</f>
        <v/>
      </c>
      <c r="F999" s="27" t="s">
        <v>19081</v>
      </c>
    </row>
    <row r="1000" spans="1:6">
      <c r="A1000" s="27" t="str">
        <f>Resultados!$K$3</f>
        <v/>
      </c>
      <c r="B1000" s="27" t="str">
        <f>Resultados!$K$4</f>
        <v/>
      </c>
      <c r="C1000" s="568" t="str">
        <f>'900000'!$B120</f>
        <v>09901100</v>
      </c>
      <c r="D1000" s="27" t="str">
        <f>'900000'!$M$19</f>
        <v>C09901012</v>
      </c>
      <c r="E1000" s="27" t="str">
        <f>'900000'!$M120</f>
        <v/>
      </c>
      <c r="F1000" s="27" t="s">
        <v>19081</v>
      </c>
    </row>
    <row r="1001" spans="1:6">
      <c r="A1001" s="27" t="str">
        <f>Resultados!$K$3</f>
        <v/>
      </c>
      <c r="B1001" s="27" t="str">
        <f>Resultados!$K$4</f>
        <v/>
      </c>
      <c r="C1001" s="568" t="str">
        <f>'900000'!$B121</f>
        <v>09901101</v>
      </c>
      <c r="D1001" s="27" t="str">
        <f>'900000'!$M$19</f>
        <v>C09901012</v>
      </c>
      <c r="E1001" s="27" t="str">
        <f>'900000'!$M121</f>
        <v/>
      </c>
      <c r="F1001" s="27" t="s">
        <v>19081</v>
      </c>
    </row>
    <row r="1002" spans="1:6">
      <c r="A1002" s="27" t="str">
        <f>Resultados!$K$3</f>
        <v/>
      </c>
      <c r="B1002" s="27" t="str">
        <f>Resultados!$K$4</f>
        <v/>
      </c>
      <c r="C1002" s="568" t="str">
        <f>'900000'!$B22</f>
        <v>09901002</v>
      </c>
      <c r="D1002" t="str">
        <f>'900000'!$N$19</f>
        <v>C09901013</v>
      </c>
      <c r="E1002">
        <f>'900000'!$N22</f>
        <v>0</v>
      </c>
      <c r="F1002" s="27" t="s">
        <v>19081</v>
      </c>
    </row>
    <row r="1003" spans="1:6">
      <c r="A1003" s="27" t="str">
        <f>Resultados!$K$3</f>
        <v/>
      </c>
      <c r="B1003" s="27" t="str">
        <f>Resultados!$K$4</f>
        <v/>
      </c>
      <c r="C1003" s="568" t="str">
        <f>'900000'!$B23</f>
        <v>09901003</v>
      </c>
      <c r="D1003" s="27" t="str">
        <f>'900000'!$N$19</f>
        <v>C09901013</v>
      </c>
      <c r="E1003" s="27">
        <f>'900000'!$N23</f>
        <v>0</v>
      </c>
      <c r="F1003" s="27" t="s">
        <v>19081</v>
      </c>
    </row>
    <row r="1004" spans="1:6">
      <c r="A1004" s="27" t="str">
        <f>Resultados!$K$3</f>
        <v/>
      </c>
      <c r="B1004" s="27" t="str">
        <f>Resultados!$K$4</f>
        <v/>
      </c>
      <c r="C1004" s="568" t="str">
        <f>'900000'!$B24</f>
        <v>09901004</v>
      </c>
      <c r="D1004" s="27" t="str">
        <f>'900000'!$N$19</f>
        <v>C09901013</v>
      </c>
      <c r="E1004" s="27">
        <f>'900000'!$N24</f>
        <v>0</v>
      </c>
      <c r="F1004" s="27" t="s">
        <v>19081</v>
      </c>
    </row>
    <row r="1005" spans="1:6">
      <c r="A1005" s="27" t="str">
        <f>Resultados!$K$3</f>
        <v/>
      </c>
      <c r="B1005" s="27" t="str">
        <f>Resultados!$K$4</f>
        <v/>
      </c>
      <c r="C1005" s="568" t="str">
        <f>'900000'!$B25</f>
        <v>09901005</v>
      </c>
      <c r="D1005" s="27" t="str">
        <f>'900000'!$N$19</f>
        <v>C09901013</v>
      </c>
      <c r="E1005" s="27">
        <f>'900000'!$N25</f>
        <v>0</v>
      </c>
      <c r="F1005" s="27" t="s">
        <v>19081</v>
      </c>
    </row>
    <row r="1006" spans="1:6">
      <c r="A1006" s="27" t="str">
        <f>Resultados!$K$3</f>
        <v/>
      </c>
      <c r="B1006" s="27" t="str">
        <f>Resultados!$K$4</f>
        <v/>
      </c>
      <c r="C1006" s="568" t="str">
        <f>'900000'!$B26</f>
        <v>09901006</v>
      </c>
      <c r="D1006" s="27" t="str">
        <f>'900000'!$N$19</f>
        <v>C09901013</v>
      </c>
      <c r="E1006" s="27">
        <f>'900000'!$N26</f>
        <v>0</v>
      </c>
      <c r="F1006" s="27" t="s">
        <v>19081</v>
      </c>
    </row>
    <row r="1007" spans="1:6">
      <c r="A1007" s="27" t="str">
        <f>Resultados!$K$3</f>
        <v/>
      </c>
      <c r="B1007" s="27" t="str">
        <f>Resultados!$K$4</f>
        <v/>
      </c>
      <c r="C1007" s="568" t="str">
        <f>'900000'!$B27</f>
        <v>09901007</v>
      </c>
      <c r="D1007" s="27" t="str">
        <f>'900000'!$N$19</f>
        <v>C09901013</v>
      </c>
      <c r="E1007" s="27">
        <f>'900000'!$N27</f>
        <v>0</v>
      </c>
      <c r="F1007" s="27" t="s">
        <v>19081</v>
      </c>
    </row>
    <row r="1008" spans="1:6">
      <c r="A1008" s="27" t="str">
        <f>Resultados!$K$3</f>
        <v/>
      </c>
      <c r="B1008" s="27" t="str">
        <f>Resultados!$K$4</f>
        <v/>
      </c>
      <c r="C1008" s="568" t="str">
        <f>'900000'!$B28</f>
        <v>09901008</v>
      </c>
      <c r="D1008" s="27" t="str">
        <f>'900000'!$N$19</f>
        <v>C09901013</v>
      </c>
      <c r="E1008" s="27">
        <f>'900000'!$N28</f>
        <v>0</v>
      </c>
      <c r="F1008" s="27" t="s">
        <v>19081</v>
      </c>
    </row>
    <row r="1009" spans="1:6">
      <c r="A1009" s="27" t="str">
        <f>Resultados!$K$3</f>
        <v/>
      </c>
      <c r="B1009" s="27" t="str">
        <f>Resultados!$K$4</f>
        <v/>
      </c>
      <c r="C1009" s="568" t="str">
        <f>'900000'!$B29</f>
        <v>09901009</v>
      </c>
      <c r="D1009" s="27" t="str">
        <f>'900000'!$N$19</f>
        <v>C09901013</v>
      </c>
      <c r="E1009" s="27">
        <f>'900000'!$N29</f>
        <v>0</v>
      </c>
      <c r="F1009" s="27" t="s">
        <v>19081</v>
      </c>
    </row>
    <row r="1010" spans="1:6">
      <c r="A1010" s="27" t="str">
        <f>Resultados!$K$3</f>
        <v/>
      </c>
      <c r="B1010" s="27" t="str">
        <f>Resultados!$K$4</f>
        <v/>
      </c>
      <c r="C1010" s="568" t="str">
        <f>'900000'!$B30</f>
        <v>09901010</v>
      </c>
      <c r="D1010" s="27" t="str">
        <f>'900000'!$N$19</f>
        <v>C09901013</v>
      </c>
      <c r="E1010" s="27">
        <f>'900000'!$N30</f>
        <v>0</v>
      </c>
      <c r="F1010" s="27" t="s">
        <v>19081</v>
      </c>
    </row>
    <row r="1011" spans="1:6">
      <c r="A1011" s="27" t="str">
        <f>Resultados!$K$3</f>
        <v/>
      </c>
      <c r="B1011" s="27" t="str">
        <f>Resultados!$K$4</f>
        <v/>
      </c>
      <c r="C1011" s="568" t="str">
        <f>'900000'!$B31</f>
        <v>09901011</v>
      </c>
      <c r="D1011" s="27" t="str">
        <f>'900000'!$N$19</f>
        <v>C09901013</v>
      </c>
      <c r="E1011" s="27">
        <f>'900000'!$N31</f>
        <v>0</v>
      </c>
      <c r="F1011" s="27" t="s">
        <v>19081</v>
      </c>
    </row>
    <row r="1012" spans="1:6">
      <c r="A1012" s="27" t="str">
        <f>Resultados!$K$3</f>
        <v/>
      </c>
      <c r="B1012" s="27" t="str">
        <f>Resultados!$K$4</f>
        <v/>
      </c>
      <c r="C1012" s="568" t="str">
        <f>'900000'!$B32</f>
        <v>09901012</v>
      </c>
      <c r="D1012" s="27" t="str">
        <f>'900000'!$N$19</f>
        <v>C09901013</v>
      </c>
      <c r="E1012" s="27">
        <f>'900000'!$N32</f>
        <v>0</v>
      </c>
      <c r="F1012" s="27" t="s">
        <v>19081</v>
      </c>
    </row>
    <row r="1013" spans="1:6">
      <c r="A1013" s="27" t="str">
        <f>Resultados!$K$3</f>
        <v/>
      </c>
      <c r="B1013" s="27" t="str">
        <f>Resultados!$K$4</f>
        <v/>
      </c>
      <c r="C1013" s="568" t="str">
        <f>'900000'!$B33</f>
        <v>09901013</v>
      </c>
      <c r="D1013" s="27" t="str">
        <f>'900000'!$N$19</f>
        <v>C09901013</v>
      </c>
      <c r="E1013" s="27">
        <f>'900000'!$N33</f>
        <v>0</v>
      </c>
      <c r="F1013" s="27" t="s">
        <v>19081</v>
      </c>
    </row>
    <row r="1014" spans="1:6">
      <c r="A1014" s="27" t="str">
        <f>Resultados!$K$3</f>
        <v/>
      </c>
      <c r="B1014" s="27" t="str">
        <f>Resultados!$K$4</f>
        <v/>
      </c>
      <c r="C1014" s="568" t="str">
        <f>'900000'!$B34</f>
        <v>09901014</v>
      </c>
      <c r="D1014" s="27" t="str">
        <f>'900000'!$N$19</f>
        <v>C09901013</v>
      </c>
      <c r="E1014" s="27">
        <f>'900000'!$N34</f>
        <v>0</v>
      </c>
      <c r="F1014" s="27" t="s">
        <v>19081</v>
      </c>
    </row>
    <row r="1015" spans="1:6">
      <c r="A1015" s="27" t="str">
        <f>Resultados!$K$3</f>
        <v/>
      </c>
      <c r="B1015" s="27" t="str">
        <f>Resultados!$K$4</f>
        <v/>
      </c>
      <c r="C1015" s="568" t="str">
        <f>'900000'!$B35</f>
        <v>09901015</v>
      </c>
      <c r="D1015" s="27" t="str">
        <f>'900000'!$N$19</f>
        <v>C09901013</v>
      </c>
      <c r="E1015" s="27">
        <f>'900000'!$N35</f>
        <v>0</v>
      </c>
      <c r="F1015" s="27" t="s">
        <v>19081</v>
      </c>
    </row>
    <row r="1016" spans="1:6">
      <c r="A1016" s="27" t="str">
        <f>Resultados!$K$3</f>
        <v/>
      </c>
      <c r="B1016" s="27" t="str">
        <f>Resultados!$K$4</f>
        <v/>
      </c>
      <c r="C1016" s="568" t="str">
        <f>'900000'!$B36</f>
        <v>09901016</v>
      </c>
      <c r="D1016" s="27" t="str">
        <f>'900000'!$N$19</f>
        <v>C09901013</v>
      </c>
      <c r="E1016" s="27">
        <f>'900000'!$N36</f>
        <v>0</v>
      </c>
      <c r="F1016" s="27" t="s">
        <v>19081</v>
      </c>
    </row>
    <row r="1017" spans="1:6">
      <c r="A1017" s="27" t="str">
        <f>Resultados!$K$3</f>
        <v/>
      </c>
      <c r="B1017" s="27" t="str">
        <f>Resultados!$K$4</f>
        <v/>
      </c>
      <c r="C1017" s="568" t="str">
        <f>'900000'!$B37</f>
        <v>09901017</v>
      </c>
      <c r="D1017" s="27" t="str">
        <f>'900000'!$N$19</f>
        <v>C09901013</v>
      </c>
      <c r="E1017" s="27">
        <f>'900000'!$N37</f>
        <v>0</v>
      </c>
      <c r="F1017" s="27" t="s">
        <v>19081</v>
      </c>
    </row>
    <row r="1018" spans="1:6">
      <c r="A1018" s="27" t="str">
        <f>Resultados!$K$3</f>
        <v/>
      </c>
      <c r="B1018" s="27" t="str">
        <f>Resultados!$K$4</f>
        <v/>
      </c>
      <c r="C1018" s="568" t="str">
        <f>'900000'!$B38</f>
        <v>09901018</v>
      </c>
      <c r="D1018" s="27" t="str">
        <f>'900000'!$N$19</f>
        <v>C09901013</v>
      </c>
      <c r="E1018" s="27">
        <f>'900000'!$N38</f>
        <v>0</v>
      </c>
      <c r="F1018" s="27" t="s">
        <v>19081</v>
      </c>
    </row>
    <row r="1019" spans="1:6">
      <c r="A1019" s="27" t="str">
        <f>Resultados!$K$3</f>
        <v/>
      </c>
      <c r="B1019" s="27" t="str">
        <f>Resultados!$K$4</f>
        <v/>
      </c>
      <c r="C1019" s="568" t="str">
        <f>'900000'!$B39</f>
        <v>09901019</v>
      </c>
      <c r="D1019" s="27" t="str">
        <f>'900000'!$N$19</f>
        <v>C09901013</v>
      </c>
      <c r="E1019" s="27">
        <f>'900000'!$N39</f>
        <v>0</v>
      </c>
      <c r="F1019" s="27" t="s">
        <v>19081</v>
      </c>
    </row>
    <row r="1020" spans="1:6">
      <c r="A1020" s="27" t="str">
        <f>Resultados!$K$3</f>
        <v/>
      </c>
      <c r="B1020" s="27" t="str">
        <f>Resultados!$K$4</f>
        <v/>
      </c>
      <c r="C1020" s="568" t="str">
        <f>'900000'!$B40</f>
        <v>09901020</v>
      </c>
      <c r="D1020" s="27" t="str">
        <f>'900000'!$N$19</f>
        <v>C09901013</v>
      </c>
      <c r="E1020" s="27">
        <f>'900000'!$N40</f>
        <v>0</v>
      </c>
      <c r="F1020" s="27" t="s">
        <v>19081</v>
      </c>
    </row>
    <row r="1021" spans="1:6">
      <c r="A1021" s="27" t="str">
        <f>Resultados!$K$3</f>
        <v/>
      </c>
      <c r="B1021" s="27" t="str">
        <f>Resultados!$K$4</f>
        <v/>
      </c>
      <c r="C1021" s="568" t="str">
        <f>'900000'!$B41</f>
        <v>09901021</v>
      </c>
      <c r="D1021" s="27" t="str">
        <f>'900000'!$N$19</f>
        <v>C09901013</v>
      </c>
      <c r="E1021" s="27">
        <f>'900000'!$N41</f>
        <v>0</v>
      </c>
      <c r="F1021" s="27" t="s">
        <v>19081</v>
      </c>
    </row>
    <row r="1022" spans="1:6">
      <c r="A1022" s="27" t="str">
        <f>Resultados!$K$3</f>
        <v/>
      </c>
      <c r="B1022" s="27" t="str">
        <f>Resultados!$K$4</f>
        <v/>
      </c>
      <c r="C1022" s="568" t="str">
        <f>'900000'!$B42</f>
        <v>09901022</v>
      </c>
      <c r="D1022" s="27" t="str">
        <f>'900000'!$N$19</f>
        <v>C09901013</v>
      </c>
      <c r="E1022" s="27">
        <f>'900000'!$N42</f>
        <v>0</v>
      </c>
      <c r="F1022" s="27" t="s">
        <v>19081</v>
      </c>
    </row>
    <row r="1023" spans="1:6">
      <c r="A1023" s="27" t="str">
        <f>Resultados!$K$3</f>
        <v/>
      </c>
      <c r="B1023" s="27" t="str">
        <f>Resultados!$K$4</f>
        <v/>
      </c>
      <c r="C1023" s="568" t="str">
        <f>'900000'!$B43</f>
        <v>09901023</v>
      </c>
      <c r="D1023" s="27" t="str">
        <f>'900000'!$N$19</f>
        <v>C09901013</v>
      </c>
      <c r="E1023" s="27">
        <f>'900000'!$N43</f>
        <v>0</v>
      </c>
      <c r="F1023" s="27" t="s">
        <v>19081</v>
      </c>
    </row>
    <row r="1024" spans="1:6">
      <c r="A1024" s="27" t="str">
        <f>Resultados!$K$3</f>
        <v/>
      </c>
      <c r="B1024" s="27" t="str">
        <f>Resultados!$K$4</f>
        <v/>
      </c>
      <c r="C1024" s="568" t="str">
        <f>'900000'!$B44</f>
        <v>09901024</v>
      </c>
      <c r="D1024" s="27" t="str">
        <f>'900000'!$N$19</f>
        <v>C09901013</v>
      </c>
      <c r="E1024" s="27">
        <f>'900000'!$N44</f>
        <v>0</v>
      </c>
      <c r="F1024" s="27" t="s">
        <v>19081</v>
      </c>
    </row>
    <row r="1025" spans="1:6">
      <c r="A1025" s="27" t="str">
        <f>Resultados!$K$3</f>
        <v/>
      </c>
      <c r="B1025" s="27" t="str">
        <f>Resultados!$K$4</f>
        <v/>
      </c>
      <c r="C1025" s="568" t="str">
        <f>'900000'!$B45</f>
        <v>09901025</v>
      </c>
      <c r="D1025" s="27" t="str">
        <f>'900000'!$N$19</f>
        <v>C09901013</v>
      </c>
      <c r="E1025" s="27">
        <f>'900000'!$N45</f>
        <v>0</v>
      </c>
      <c r="F1025" s="27" t="s">
        <v>19081</v>
      </c>
    </row>
    <row r="1026" spans="1:6">
      <c r="A1026" s="27" t="str">
        <f>Resultados!$K$3</f>
        <v/>
      </c>
      <c r="B1026" s="27" t="str">
        <f>Resultados!$K$4</f>
        <v/>
      </c>
      <c r="C1026" s="568" t="str">
        <f>'900000'!$B46</f>
        <v>09901026</v>
      </c>
      <c r="D1026" s="27" t="str">
        <f>'900000'!$N$19</f>
        <v>C09901013</v>
      </c>
      <c r="E1026" s="27">
        <f>'900000'!$N46</f>
        <v>0</v>
      </c>
      <c r="F1026" s="27" t="s">
        <v>19081</v>
      </c>
    </row>
    <row r="1027" spans="1:6">
      <c r="A1027" s="27" t="str">
        <f>Resultados!$K$3</f>
        <v/>
      </c>
      <c r="B1027" s="27" t="str">
        <f>Resultados!$K$4</f>
        <v/>
      </c>
      <c r="C1027" s="568" t="str">
        <f>'900000'!$B47</f>
        <v>09901027</v>
      </c>
      <c r="D1027" s="27" t="str">
        <f>'900000'!$N$19</f>
        <v>C09901013</v>
      </c>
      <c r="E1027" s="27">
        <f>'900000'!$N47</f>
        <v>0</v>
      </c>
      <c r="F1027" s="27" t="s">
        <v>19081</v>
      </c>
    </row>
    <row r="1028" spans="1:6">
      <c r="A1028" s="27" t="str">
        <f>Resultados!$K$3</f>
        <v/>
      </c>
      <c r="B1028" s="27" t="str">
        <f>Resultados!$K$4</f>
        <v/>
      </c>
      <c r="C1028" s="568" t="str">
        <f>'900000'!$B48</f>
        <v>09901028</v>
      </c>
      <c r="D1028" s="27" t="str">
        <f>'900000'!$N$19</f>
        <v>C09901013</v>
      </c>
      <c r="E1028" s="27">
        <f>'900000'!$N48</f>
        <v>0</v>
      </c>
      <c r="F1028" s="27" t="s">
        <v>19081</v>
      </c>
    </row>
    <row r="1029" spans="1:6">
      <c r="A1029" s="27" t="str">
        <f>Resultados!$K$3</f>
        <v/>
      </c>
      <c r="B1029" s="27" t="str">
        <f>Resultados!$K$4</f>
        <v/>
      </c>
      <c r="C1029" s="568" t="str">
        <f>'900000'!$B49</f>
        <v>09901029</v>
      </c>
      <c r="D1029" s="27" t="str">
        <f>'900000'!$N$19</f>
        <v>C09901013</v>
      </c>
      <c r="E1029" s="27">
        <f>'900000'!$N49</f>
        <v>0</v>
      </c>
      <c r="F1029" s="27" t="s">
        <v>19081</v>
      </c>
    </row>
    <row r="1030" spans="1:6">
      <c r="A1030" s="27" t="str">
        <f>Resultados!$K$3</f>
        <v/>
      </c>
      <c r="B1030" s="27" t="str">
        <f>Resultados!$K$4</f>
        <v/>
      </c>
      <c r="C1030" s="568" t="str">
        <f>'900000'!$B50</f>
        <v>09901030</v>
      </c>
      <c r="D1030" s="27" t="str">
        <f>'900000'!$N$19</f>
        <v>C09901013</v>
      </c>
      <c r="E1030" s="27">
        <f>'900000'!$N50</f>
        <v>0</v>
      </c>
      <c r="F1030" s="27" t="s">
        <v>19081</v>
      </c>
    </row>
    <row r="1031" spans="1:6">
      <c r="A1031" s="27" t="str">
        <f>Resultados!$K$3</f>
        <v/>
      </c>
      <c r="B1031" s="27" t="str">
        <f>Resultados!$K$4</f>
        <v/>
      </c>
      <c r="C1031" s="568" t="str">
        <f>'900000'!$B51</f>
        <v>09901031</v>
      </c>
      <c r="D1031" s="27" t="str">
        <f>'900000'!$N$19</f>
        <v>C09901013</v>
      </c>
      <c r="E1031" s="27">
        <f>'900000'!$N51</f>
        <v>0</v>
      </c>
      <c r="F1031" s="27" t="s">
        <v>19081</v>
      </c>
    </row>
    <row r="1032" spans="1:6">
      <c r="A1032" s="27" t="str">
        <f>Resultados!$K$3</f>
        <v/>
      </c>
      <c r="B1032" s="27" t="str">
        <f>Resultados!$K$4</f>
        <v/>
      </c>
      <c r="C1032" s="568" t="str">
        <f>'900000'!$B52</f>
        <v>09901032</v>
      </c>
      <c r="D1032" s="27" t="str">
        <f>'900000'!$N$19</f>
        <v>C09901013</v>
      </c>
      <c r="E1032" s="27">
        <f>'900000'!$N52</f>
        <v>0</v>
      </c>
      <c r="F1032" s="27" t="s">
        <v>19081</v>
      </c>
    </row>
    <row r="1033" spans="1:6">
      <c r="A1033" s="27" t="str">
        <f>Resultados!$K$3</f>
        <v/>
      </c>
      <c r="B1033" s="27" t="str">
        <f>Resultados!$K$4</f>
        <v/>
      </c>
      <c r="C1033" s="568" t="str">
        <f>'900000'!$B53</f>
        <v>09901033</v>
      </c>
      <c r="D1033" s="27" t="str">
        <f>'900000'!$N$19</f>
        <v>C09901013</v>
      </c>
      <c r="E1033" s="27">
        <f>'900000'!$N53</f>
        <v>0</v>
      </c>
      <c r="F1033" s="27" t="s">
        <v>19081</v>
      </c>
    </row>
    <row r="1034" spans="1:6">
      <c r="A1034" s="27" t="str">
        <f>Resultados!$K$3</f>
        <v/>
      </c>
      <c r="B1034" s="27" t="str">
        <f>Resultados!$K$4</f>
        <v/>
      </c>
      <c r="C1034" s="568" t="str">
        <f>'900000'!$B54</f>
        <v>09901034</v>
      </c>
      <c r="D1034" s="27" t="str">
        <f>'900000'!$N$19</f>
        <v>C09901013</v>
      </c>
      <c r="E1034" s="27">
        <f>'900000'!$N54</f>
        <v>0</v>
      </c>
      <c r="F1034" s="27" t="s">
        <v>19081</v>
      </c>
    </row>
    <row r="1035" spans="1:6">
      <c r="A1035" s="27" t="str">
        <f>Resultados!$K$3</f>
        <v/>
      </c>
      <c r="B1035" s="27" t="str">
        <f>Resultados!$K$4</f>
        <v/>
      </c>
      <c r="C1035" s="568" t="str">
        <f>'900000'!$B55</f>
        <v>09901035</v>
      </c>
      <c r="D1035" s="27" t="str">
        <f>'900000'!$N$19</f>
        <v>C09901013</v>
      </c>
      <c r="E1035" s="27">
        <f>'900000'!$N55</f>
        <v>0</v>
      </c>
      <c r="F1035" s="27" t="s">
        <v>19081</v>
      </c>
    </row>
    <row r="1036" spans="1:6">
      <c r="A1036" s="27" t="str">
        <f>Resultados!$K$3</f>
        <v/>
      </c>
      <c r="B1036" s="27" t="str">
        <f>Resultados!$K$4</f>
        <v/>
      </c>
      <c r="C1036" s="568" t="str">
        <f>'900000'!$B56</f>
        <v>09901036</v>
      </c>
      <c r="D1036" s="27" t="str">
        <f>'900000'!$N$19</f>
        <v>C09901013</v>
      </c>
      <c r="E1036" s="27">
        <f>'900000'!$N56</f>
        <v>0</v>
      </c>
      <c r="F1036" s="27" t="s">
        <v>19081</v>
      </c>
    </row>
    <row r="1037" spans="1:6">
      <c r="A1037" s="27" t="str">
        <f>Resultados!$K$3</f>
        <v/>
      </c>
      <c r="B1037" s="27" t="str">
        <f>Resultados!$K$4</f>
        <v/>
      </c>
      <c r="C1037" s="568" t="str">
        <f>'900000'!$B57</f>
        <v>09901037</v>
      </c>
      <c r="D1037" s="27" t="str">
        <f>'900000'!$N$19</f>
        <v>C09901013</v>
      </c>
      <c r="E1037" s="27">
        <f>'900000'!$N57</f>
        <v>0</v>
      </c>
      <c r="F1037" s="27" t="s">
        <v>19081</v>
      </c>
    </row>
    <row r="1038" spans="1:6">
      <c r="A1038" s="27" t="str">
        <f>Resultados!$K$3</f>
        <v/>
      </c>
      <c r="B1038" s="27" t="str">
        <f>Resultados!$K$4</f>
        <v/>
      </c>
      <c r="C1038" s="568" t="str">
        <f>'900000'!$B58</f>
        <v>09901038</v>
      </c>
      <c r="D1038" s="27" t="str">
        <f>'900000'!$N$19</f>
        <v>C09901013</v>
      </c>
      <c r="E1038" s="27">
        <f>'900000'!$N58</f>
        <v>0</v>
      </c>
      <c r="F1038" s="27" t="s">
        <v>19081</v>
      </c>
    </row>
    <row r="1039" spans="1:6">
      <c r="A1039" s="27" t="str">
        <f>Resultados!$K$3</f>
        <v/>
      </c>
      <c r="B1039" s="27" t="str">
        <f>Resultados!$K$4</f>
        <v/>
      </c>
      <c r="C1039" s="568" t="str">
        <f>'900000'!$B59</f>
        <v>09901039</v>
      </c>
      <c r="D1039" s="27" t="str">
        <f>'900000'!$N$19</f>
        <v>C09901013</v>
      </c>
      <c r="E1039" s="27">
        <f>'900000'!$N59</f>
        <v>0</v>
      </c>
      <c r="F1039" s="27" t="s">
        <v>19081</v>
      </c>
    </row>
    <row r="1040" spans="1:6">
      <c r="A1040" s="27" t="str">
        <f>Resultados!$K$3</f>
        <v/>
      </c>
      <c r="B1040" s="27" t="str">
        <f>Resultados!$K$4</f>
        <v/>
      </c>
      <c r="C1040" s="568" t="str">
        <f>'900000'!$B60</f>
        <v>09901040</v>
      </c>
      <c r="D1040" s="27" t="str">
        <f>'900000'!$N$19</f>
        <v>C09901013</v>
      </c>
      <c r="E1040" s="27">
        <f>'900000'!$N60</f>
        <v>0</v>
      </c>
      <c r="F1040" s="27" t="s">
        <v>19081</v>
      </c>
    </row>
    <row r="1041" spans="1:6">
      <c r="A1041" s="27" t="str">
        <f>Resultados!$K$3</f>
        <v/>
      </c>
      <c r="B1041" s="27" t="str">
        <f>Resultados!$K$4</f>
        <v/>
      </c>
      <c r="C1041" s="568" t="str">
        <f>'900000'!$B61</f>
        <v>09901041</v>
      </c>
      <c r="D1041" s="27" t="str">
        <f>'900000'!$N$19</f>
        <v>C09901013</v>
      </c>
      <c r="E1041" s="27">
        <f>'900000'!$N61</f>
        <v>0</v>
      </c>
      <c r="F1041" s="27" t="s">
        <v>19081</v>
      </c>
    </row>
    <row r="1042" spans="1:6">
      <c r="A1042" s="27" t="str">
        <f>Resultados!$K$3</f>
        <v/>
      </c>
      <c r="B1042" s="27" t="str">
        <f>Resultados!$K$4</f>
        <v/>
      </c>
      <c r="C1042" s="568" t="str">
        <f>'900000'!$B62</f>
        <v>09901042</v>
      </c>
      <c r="D1042" s="27" t="str">
        <f>'900000'!$N$19</f>
        <v>C09901013</v>
      </c>
      <c r="E1042" s="27">
        <f>'900000'!$N62</f>
        <v>0</v>
      </c>
      <c r="F1042" s="27" t="s">
        <v>19081</v>
      </c>
    </row>
    <row r="1043" spans="1:6">
      <c r="A1043" s="27" t="str">
        <f>Resultados!$K$3</f>
        <v/>
      </c>
      <c r="B1043" s="27" t="str">
        <f>Resultados!$K$4</f>
        <v/>
      </c>
      <c r="C1043" s="568" t="str">
        <f>'900000'!$B63</f>
        <v>09901043</v>
      </c>
      <c r="D1043" s="27" t="str">
        <f>'900000'!$N$19</f>
        <v>C09901013</v>
      </c>
      <c r="E1043" s="27">
        <f>'900000'!$N63</f>
        <v>0</v>
      </c>
      <c r="F1043" s="27" t="s">
        <v>19081</v>
      </c>
    </row>
    <row r="1044" spans="1:6">
      <c r="A1044" s="27" t="str">
        <f>Resultados!$K$3</f>
        <v/>
      </c>
      <c r="B1044" s="27" t="str">
        <f>Resultados!$K$4</f>
        <v/>
      </c>
      <c r="C1044" s="568" t="str">
        <f>'900000'!$B64</f>
        <v>09901044</v>
      </c>
      <c r="D1044" s="27" t="str">
        <f>'900000'!$N$19</f>
        <v>C09901013</v>
      </c>
      <c r="E1044" s="27">
        <f>'900000'!$N64</f>
        <v>0</v>
      </c>
      <c r="F1044" s="27" t="s">
        <v>19081</v>
      </c>
    </row>
    <row r="1045" spans="1:6">
      <c r="A1045" s="27" t="str">
        <f>Resultados!$K$3</f>
        <v/>
      </c>
      <c r="B1045" s="27" t="str">
        <f>Resultados!$K$4</f>
        <v/>
      </c>
      <c r="C1045" s="568" t="str">
        <f>'900000'!$B65</f>
        <v>09901045</v>
      </c>
      <c r="D1045" s="27" t="str">
        <f>'900000'!$N$19</f>
        <v>C09901013</v>
      </c>
      <c r="E1045" s="27">
        <f>'900000'!$N65</f>
        <v>0</v>
      </c>
      <c r="F1045" s="27" t="s">
        <v>19081</v>
      </c>
    </row>
    <row r="1046" spans="1:6">
      <c r="A1046" s="27" t="str">
        <f>Resultados!$K$3</f>
        <v/>
      </c>
      <c r="B1046" s="27" t="str">
        <f>Resultados!$K$4</f>
        <v/>
      </c>
      <c r="C1046" s="568" t="str">
        <f>'900000'!$B66</f>
        <v>09901046</v>
      </c>
      <c r="D1046" s="27" t="str">
        <f>'900000'!$N$19</f>
        <v>C09901013</v>
      </c>
      <c r="E1046" s="27">
        <f>'900000'!$N66</f>
        <v>0</v>
      </c>
      <c r="F1046" s="27" t="s">
        <v>19081</v>
      </c>
    </row>
    <row r="1047" spans="1:6">
      <c r="A1047" s="27" t="str">
        <f>Resultados!$K$3</f>
        <v/>
      </c>
      <c r="B1047" s="27" t="str">
        <f>Resultados!$K$4</f>
        <v/>
      </c>
      <c r="C1047" s="568" t="str">
        <f>'900000'!$B67</f>
        <v>09901047</v>
      </c>
      <c r="D1047" s="27" t="str">
        <f>'900000'!$N$19</f>
        <v>C09901013</v>
      </c>
      <c r="E1047" s="27">
        <f>'900000'!$N67</f>
        <v>0</v>
      </c>
      <c r="F1047" s="27" t="s">
        <v>19081</v>
      </c>
    </row>
    <row r="1048" spans="1:6">
      <c r="A1048" s="27" t="str">
        <f>Resultados!$K$3</f>
        <v/>
      </c>
      <c r="B1048" s="27" t="str">
        <f>Resultados!$K$4</f>
        <v/>
      </c>
      <c r="C1048" s="568" t="str">
        <f>'900000'!$B68</f>
        <v>09901048</v>
      </c>
      <c r="D1048" s="27" t="str">
        <f>'900000'!$N$19</f>
        <v>C09901013</v>
      </c>
      <c r="E1048" s="27">
        <f>'900000'!$N68</f>
        <v>0</v>
      </c>
      <c r="F1048" s="27" t="s">
        <v>19081</v>
      </c>
    </row>
    <row r="1049" spans="1:6">
      <c r="A1049" s="27" t="str">
        <f>Resultados!$K$3</f>
        <v/>
      </c>
      <c r="B1049" s="27" t="str">
        <f>Resultados!$K$4</f>
        <v/>
      </c>
      <c r="C1049" s="568" t="str">
        <f>'900000'!$B69</f>
        <v>09901049</v>
      </c>
      <c r="D1049" s="27" t="str">
        <f>'900000'!$N$19</f>
        <v>C09901013</v>
      </c>
      <c r="E1049" s="27">
        <f>'900000'!$N69</f>
        <v>0</v>
      </c>
      <c r="F1049" s="27" t="s">
        <v>19081</v>
      </c>
    </row>
    <row r="1050" spans="1:6">
      <c r="A1050" s="27" t="str">
        <f>Resultados!$K$3</f>
        <v/>
      </c>
      <c r="B1050" s="27" t="str">
        <f>Resultados!$K$4</f>
        <v/>
      </c>
      <c r="C1050" s="568" t="str">
        <f>'900000'!$B70</f>
        <v>09901050</v>
      </c>
      <c r="D1050" s="27" t="str">
        <f>'900000'!$N$19</f>
        <v>C09901013</v>
      </c>
      <c r="E1050" s="27">
        <f>'900000'!$N70</f>
        <v>0</v>
      </c>
      <c r="F1050" s="27" t="s">
        <v>19081</v>
      </c>
    </row>
    <row r="1051" spans="1:6">
      <c r="A1051" s="27" t="str">
        <f>Resultados!$K$3</f>
        <v/>
      </c>
      <c r="B1051" s="27" t="str">
        <f>Resultados!$K$4</f>
        <v/>
      </c>
      <c r="C1051" s="568" t="str">
        <f>'900000'!$B71</f>
        <v>09901051</v>
      </c>
      <c r="D1051" s="27" t="str">
        <f>'900000'!$N$19</f>
        <v>C09901013</v>
      </c>
      <c r="E1051" s="27">
        <f>'900000'!$N71</f>
        <v>0</v>
      </c>
      <c r="F1051" s="27" t="s">
        <v>19081</v>
      </c>
    </row>
    <row r="1052" spans="1:6">
      <c r="A1052" s="27" t="str">
        <f>Resultados!$K$3</f>
        <v/>
      </c>
      <c r="B1052" s="27" t="str">
        <f>Resultados!$K$4</f>
        <v/>
      </c>
      <c r="C1052" s="568" t="str">
        <f>'900000'!$B72</f>
        <v>09901052</v>
      </c>
      <c r="D1052" s="27" t="str">
        <f>'900000'!$N$19</f>
        <v>C09901013</v>
      </c>
      <c r="E1052" s="27">
        <f>'900000'!$N72</f>
        <v>0</v>
      </c>
      <c r="F1052" s="27" t="s">
        <v>19081</v>
      </c>
    </row>
    <row r="1053" spans="1:6">
      <c r="A1053" s="27" t="str">
        <f>Resultados!$K$3</f>
        <v/>
      </c>
      <c r="B1053" s="27" t="str">
        <f>Resultados!$K$4</f>
        <v/>
      </c>
      <c r="C1053" s="568" t="str">
        <f>'900000'!$B73</f>
        <v>09901053</v>
      </c>
      <c r="D1053" s="27" t="str">
        <f>'900000'!$N$19</f>
        <v>C09901013</v>
      </c>
      <c r="E1053" s="27">
        <f>'900000'!$N73</f>
        <v>0</v>
      </c>
      <c r="F1053" s="27" t="s">
        <v>19081</v>
      </c>
    </row>
    <row r="1054" spans="1:6">
      <c r="A1054" s="27" t="str">
        <f>Resultados!$K$3</f>
        <v/>
      </c>
      <c r="B1054" s="27" t="str">
        <f>Resultados!$K$4</f>
        <v/>
      </c>
      <c r="C1054" s="568" t="str">
        <f>'900000'!$B74</f>
        <v>09901054</v>
      </c>
      <c r="D1054" s="27" t="str">
        <f>'900000'!$N$19</f>
        <v>C09901013</v>
      </c>
      <c r="E1054" s="27">
        <f>'900000'!$N74</f>
        <v>0</v>
      </c>
      <c r="F1054" s="27" t="s">
        <v>19081</v>
      </c>
    </row>
    <row r="1055" spans="1:6">
      <c r="A1055" s="27" t="str">
        <f>Resultados!$K$3</f>
        <v/>
      </c>
      <c r="B1055" s="27" t="str">
        <f>Resultados!$K$4</f>
        <v/>
      </c>
      <c r="C1055" s="568" t="str">
        <f>'900000'!$B75</f>
        <v>09901055</v>
      </c>
      <c r="D1055" s="27" t="str">
        <f>'900000'!$N$19</f>
        <v>C09901013</v>
      </c>
      <c r="E1055" s="27">
        <f>'900000'!$N75</f>
        <v>0</v>
      </c>
      <c r="F1055" s="27" t="s">
        <v>19081</v>
      </c>
    </row>
    <row r="1056" spans="1:6">
      <c r="A1056" s="27" t="str">
        <f>Resultados!$K$3</f>
        <v/>
      </c>
      <c r="B1056" s="27" t="str">
        <f>Resultados!$K$4</f>
        <v/>
      </c>
      <c r="C1056" s="568" t="str">
        <f>'900000'!$B76</f>
        <v>09901056</v>
      </c>
      <c r="D1056" s="27" t="str">
        <f>'900000'!$N$19</f>
        <v>C09901013</v>
      </c>
      <c r="E1056" s="27">
        <f>'900000'!$N76</f>
        <v>0</v>
      </c>
      <c r="F1056" s="27" t="s">
        <v>19081</v>
      </c>
    </row>
    <row r="1057" spans="1:6">
      <c r="A1057" s="27" t="str">
        <f>Resultados!$K$3</f>
        <v/>
      </c>
      <c r="B1057" s="27" t="str">
        <f>Resultados!$K$4</f>
        <v/>
      </c>
      <c r="C1057" s="568" t="str">
        <f>'900000'!$B77</f>
        <v>09901057</v>
      </c>
      <c r="D1057" s="27" t="str">
        <f>'900000'!$N$19</f>
        <v>C09901013</v>
      </c>
      <c r="E1057" s="27">
        <f>'900000'!$N77</f>
        <v>0</v>
      </c>
      <c r="F1057" s="27" t="s">
        <v>19081</v>
      </c>
    </row>
    <row r="1058" spans="1:6">
      <c r="A1058" s="27" t="str">
        <f>Resultados!$K$3</f>
        <v/>
      </c>
      <c r="B1058" s="27" t="str">
        <f>Resultados!$K$4</f>
        <v/>
      </c>
      <c r="C1058" s="568" t="str">
        <f>'900000'!$B78</f>
        <v>09901058</v>
      </c>
      <c r="D1058" s="27" t="str">
        <f>'900000'!$N$19</f>
        <v>C09901013</v>
      </c>
      <c r="E1058" s="27">
        <f>'900000'!$N78</f>
        <v>0</v>
      </c>
      <c r="F1058" s="27" t="s">
        <v>19081</v>
      </c>
    </row>
    <row r="1059" spans="1:6">
      <c r="A1059" s="27" t="str">
        <f>Resultados!$K$3</f>
        <v/>
      </c>
      <c r="B1059" s="27" t="str">
        <f>Resultados!$K$4</f>
        <v/>
      </c>
      <c r="C1059" s="568" t="str">
        <f>'900000'!$B79</f>
        <v>09901059</v>
      </c>
      <c r="D1059" s="27" t="str">
        <f>'900000'!$N$19</f>
        <v>C09901013</v>
      </c>
      <c r="E1059" s="27">
        <f>'900000'!$N79</f>
        <v>0</v>
      </c>
      <c r="F1059" s="27" t="s">
        <v>19081</v>
      </c>
    </row>
    <row r="1060" spans="1:6">
      <c r="A1060" s="27" t="str">
        <f>Resultados!$K$3</f>
        <v/>
      </c>
      <c r="B1060" s="27" t="str">
        <f>Resultados!$K$4</f>
        <v/>
      </c>
      <c r="C1060" s="568" t="str">
        <f>'900000'!$B80</f>
        <v>09901060</v>
      </c>
      <c r="D1060" s="27" t="str">
        <f>'900000'!$N$19</f>
        <v>C09901013</v>
      </c>
      <c r="E1060" s="27">
        <f>'900000'!$N80</f>
        <v>0</v>
      </c>
      <c r="F1060" s="27" t="s">
        <v>19081</v>
      </c>
    </row>
    <row r="1061" spans="1:6">
      <c r="A1061" s="27" t="str">
        <f>Resultados!$K$3</f>
        <v/>
      </c>
      <c r="B1061" s="27" t="str">
        <f>Resultados!$K$4</f>
        <v/>
      </c>
      <c r="C1061" s="568" t="str">
        <f>'900000'!$B81</f>
        <v>09901061</v>
      </c>
      <c r="D1061" s="27" t="str">
        <f>'900000'!$N$19</f>
        <v>C09901013</v>
      </c>
      <c r="E1061" s="27">
        <f>'900000'!$N81</f>
        <v>0</v>
      </c>
      <c r="F1061" s="27" t="s">
        <v>19081</v>
      </c>
    </row>
    <row r="1062" spans="1:6">
      <c r="A1062" s="27" t="str">
        <f>Resultados!$K$3</f>
        <v/>
      </c>
      <c r="B1062" s="27" t="str">
        <f>Resultados!$K$4</f>
        <v/>
      </c>
      <c r="C1062" s="568" t="str">
        <f>'900000'!$B82</f>
        <v>09901062</v>
      </c>
      <c r="D1062" s="27" t="str">
        <f>'900000'!$N$19</f>
        <v>C09901013</v>
      </c>
      <c r="E1062" s="27">
        <f>'900000'!$N82</f>
        <v>0</v>
      </c>
      <c r="F1062" s="27" t="s">
        <v>19081</v>
      </c>
    </row>
    <row r="1063" spans="1:6">
      <c r="A1063" s="27" t="str">
        <f>Resultados!$K$3</f>
        <v/>
      </c>
      <c r="B1063" s="27" t="str">
        <f>Resultados!$K$4</f>
        <v/>
      </c>
      <c r="C1063" s="568" t="str">
        <f>'900000'!$B83</f>
        <v>09901063</v>
      </c>
      <c r="D1063" s="27" t="str">
        <f>'900000'!$N$19</f>
        <v>C09901013</v>
      </c>
      <c r="E1063" s="27">
        <f>'900000'!$N83</f>
        <v>0</v>
      </c>
      <c r="F1063" s="27" t="s">
        <v>19081</v>
      </c>
    </row>
    <row r="1064" spans="1:6">
      <c r="A1064" s="27" t="str">
        <f>Resultados!$K$3</f>
        <v/>
      </c>
      <c r="B1064" s="27" t="str">
        <f>Resultados!$K$4</f>
        <v/>
      </c>
      <c r="C1064" s="568" t="str">
        <f>'900000'!$B84</f>
        <v>09901064</v>
      </c>
      <c r="D1064" s="27" t="str">
        <f>'900000'!$N$19</f>
        <v>C09901013</v>
      </c>
      <c r="E1064" s="27">
        <f>'900000'!$N84</f>
        <v>0</v>
      </c>
      <c r="F1064" s="27" t="s">
        <v>19081</v>
      </c>
    </row>
    <row r="1065" spans="1:6">
      <c r="A1065" s="27" t="str">
        <f>Resultados!$K$3</f>
        <v/>
      </c>
      <c r="B1065" s="27" t="str">
        <f>Resultados!$K$4</f>
        <v/>
      </c>
      <c r="C1065" s="568" t="str">
        <f>'900000'!$B85</f>
        <v>09901065</v>
      </c>
      <c r="D1065" s="27" t="str">
        <f>'900000'!$N$19</f>
        <v>C09901013</v>
      </c>
      <c r="E1065" s="27">
        <f>'900000'!$N85</f>
        <v>0</v>
      </c>
      <c r="F1065" s="27" t="s">
        <v>19081</v>
      </c>
    </row>
    <row r="1066" spans="1:6">
      <c r="A1066" s="27" t="str">
        <f>Resultados!$K$3</f>
        <v/>
      </c>
      <c r="B1066" s="27" t="str">
        <f>Resultados!$K$4</f>
        <v/>
      </c>
      <c r="C1066" s="568" t="str">
        <f>'900000'!$B86</f>
        <v>09901066</v>
      </c>
      <c r="D1066" s="27" t="str">
        <f>'900000'!$N$19</f>
        <v>C09901013</v>
      </c>
      <c r="E1066" s="27">
        <f>'900000'!$N86</f>
        <v>0</v>
      </c>
      <c r="F1066" s="27" t="s">
        <v>19081</v>
      </c>
    </row>
    <row r="1067" spans="1:6">
      <c r="A1067" s="27" t="str">
        <f>Resultados!$K$3</f>
        <v/>
      </c>
      <c r="B1067" s="27" t="str">
        <f>Resultados!$K$4</f>
        <v/>
      </c>
      <c r="C1067" s="568" t="str">
        <f>'900000'!$B87</f>
        <v>09901067</v>
      </c>
      <c r="D1067" s="27" t="str">
        <f>'900000'!$N$19</f>
        <v>C09901013</v>
      </c>
      <c r="E1067" s="27">
        <f>'900000'!$N87</f>
        <v>0</v>
      </c>
      <c r="F1067" s="27" t="s">
        <v>19081</v>
      </c>
    </row>
    <row r="1068" spans="1:6">
      <c r="A1068" s="27" t="str">
        <f>Resultados!$K$3</f>
        <v/>
      </c>
      <c r="B1068" s="27" t="str">
        <f>Resultados!$K$4</f>
        <v/>
      </c>
      <c r="C1068" s="568" t="str">
        <f>'900000'!$B88</f>
        <v>09901068</v>
      </c>
      <c r="D1068" s="27" t="str">
        <f>'900000'!$N$19</f>
        <v>C09901013</v>
      </c>
      <c r="E1068" s="27">
        <f>'900000'!$N88</f>
        <v>0</v>
      </c>
      <c r="F1068" s="27" t="s">
        <v>19081</v>
      </c>
    </row>
    <row r="1069" spans="1:6">
      <c r="A1069" s="27" t="str">
        <f>Resultados!$K$3</f>
        <v/>
      </c>
      <c r="B1069" s="27" t="str">
        <f>Resultados!$K$4</f>
        <v/>
      </c>
      <c r="C1069" s="568" t="str">
        <f>'900000'!$B89</f>
        <v>09901069</v>
      </c>
      <c r="D1069" s="27" t="str">
        <f>'900000'!$N$19</f>
        <v>C09901013</v>
      </c>
      <c r="E1069" s="27">
        <f>'900000'!$N89</f>
        <v>0</v>
      </c>
      <c r="F1069" s="27" t="s">
        <v>19081</v>
      </c>
    </row>
    <row r="1070" spans="1:6">
      <c r="A1070" s="27" t="str">
        <f>Resultados!$K$3</f>
        <v/>
      </c>
      <c r="B1070" s="27" t="str">
        <f>Resultados!$K$4</f>
        <v/>
      </c>
      <c r="C1070" s="568" t="str">
        <f>'900000'!$B90</f>
        <v>09901070</v>
      </c>
      <c r="D1070" s="27" t="str">
        <f>'900000'!$N$19</f>
        <v>C09901013</v>
      </c>
      <c r="E1070" s="27">
        <f>'900000'!$N90</f>
        <v>0</v>
      </c>
      <c r="F1070" s="27" t="s">
        <v>19081</v>
      </c>
    </row>
    <row r="1071" spans="1:6">
      <c r="A1071" s="27" t="str">
        <f>Resultados!$K$3</f>
        <v/>
      </c>
      <c r="B1071" s="27" t="str">
        <f>Resultados!$K$4</f>
        <v/>
      </c>
      <c r="C1071" s="568" t="str">
        <f>'900000'!$B91</f>
        <v>09901071</v>
      </c>
      <c r="D1071" s="27" t="str">
        <f>'900000'!$N$19</f>
        <v>C09901013</v>
      </c>
      <c r="E1071" s="27">
        <f>'900000'!$N91</f>
        <v>0</v>
      </c>
      <c r="F1071" s="27" t="s">
        <v>19081</v>
      </c>
    </row>
    <row r="1072" spans="1:6">
      <c r="A1072" s="27" t="str">
        <f>Resultados!$K$3</f>
        <v/>
      </c>
      <c r="B1072" s="27" t="str">
        <f>Resultados!$K$4</f>
        <v/>
      </c>
      <c r="C1072" s="568" t="str">
        <f>'900000'!$B92</f>
        <v>09901072</v>
      </c>
      <c r="D1072" s="27" t="str">
        <f>'900000'!$N$19</f>
        <v>C09901013</v>
      </c>
      <c r="E1072" s="27">
        <f>'900000'!$N92</f>
        <v>0</v>
      </c>
      <c r="F1072" s="27" t="s">
        <v>19081</v>
      </c>
    </row>
    <row r="1073" spans="1:6">
      <c r="A1073" s="27" t="str">
        <f>Resultados!$K$3</f>
        <v/>
      </c>
      <c r="B1073" s="27" t="str">
        <f>Resultados!$K$4</f>
        <v/>
      </c>
      <c r="C1073" s="568" t="str">
        <f>'900000'!$B93</f>
        <v>09901073</v>
      </c>
      <c r="D1073" s="27" t="str">
        <f>'900000'!$N$19</f>
        <v>C09901013</v>
      </c>
      <c r="E1073" s="27">
        <f>'900000'!$N93</f>
        <v>0</v>
      </c>
      <c r="F1073" s="27" t="s">
        <v>19081</v>
      </c>
    </row>
    <row r="1074" spans="1:6">
      <c r="A1074" s="27" t="str">
        <f>Resultados!$K$3</f>
        <v/>
      </c>
      <c r="B1074" s="27" t="str">
        <f>Resultados!$K$4</f>
        <v/>
      </c>
      <c r="C1074" s="568" t="str">
        <f>'900000'!$B94</f>
        <v>09901074</v>
      </c>
      <c r="D1074" s="27" t="str">
        <f>'900000'!$N$19</f>
        <v>C09901013</v>
      </c>
      <c r="E1074" s="27">
        <f>'900000'!$N94</f>
        <v>0</v>
      </c>
      <c r="F1074" s="27" t="s">
        <v>19081</v>
      </c>
    </row>
    <row r="1075" spans="1:6">
      <c r="A1075" s="27" t="str">
        <f>Resultados!$K$3</f>
        <v/>
      </c>
      <c r="B1075" s="27" t="str">
        <f>Resultados!$K$4</f>
        <v/>
      </c>
      <c r="C1075" s="568" t="str">
        <f>'900000'!$B95</f>
        <v>09901075</v>
      </c>
      <c r="D1075" s="27" t="str">
        <f>'900000'!$N$19</f>
        <v>C09901013</v>
      </c>
      <c r="E1075" s="27">
        <f>'900000'!$N95</f>
        <v>0</v>
      </c>
      <c r="F1075" s="27" t="s">
        <v>19081</v>
      </c>
    </row>
    <row r="1076" spans="1:6">
      <c r="A1076" s="27" t="str">
        <f>Resultados!$K$3</f>
        <v/>
      </c>
      <c r="B1076" s="27" t="str">
        <f>Resultados!$K$4</f>
        <v/>
      </c>
      <c r="C1076" s="568" t="str">
        <f>'900000'!$B96</f>
        <v>09901076</v>
      </c>
      <c r="D1076" s="27" t="str">
        <f>'900000'!$N$19</f>
        <v>C09901013</v>
      </c>
      <c r="E1076" s="27">
        <f>'900000'!$N96</f>
        <v>0</v>
      </c>
      <c r="F1076" s="27" t="s">
        <v>19081</v>
      </c>
    </row>
    <row r="1077" spans="1:6">
      <c r="A1077" s="27" t="str">
        <f>Resultados!$K$3</f>
        <v/>
      </c>
      <c r="B1077" s="27" t="str">
        <f>Resultados!$K$4</f>
        <v/>
      </c>
      <c r="C1077" s="568" t="str">
        <f>'900000'!$B97</f>
        <v>09901077</v>
      </c>
      <c r="D1077" s="27" t="str">
        <f>'900000'!$N$19</f>
        <v>C09901013</v>
      </c>
      <c r="E1077" s="27">
        <f>'900000'!$N97</f>
        <v>0</v>
      </c>
      <c r="F1077" s="27" t="s">
        <v>19081</v>
      </c>
    </row>
    <row r="1078" spans="1:6">
      <c r="A1078" s="27" t="str">
        <f>Resultados!$K$3</f>
        <v/>
      </c>
      <c r="B1078" s="27" t="str">
        <f>Resultados!$K$4</f>
        <v/>
      </c>
      <c r="C1078" s="568" t="str">
        <f>'900000'!$B98</f>
        <v>09901078</v>
      </c>
      <c r="D1078" s="27" t="str">
        <f>'900000'!$N$19</f>
        <v>C09901013</v>
      </c>
      <c r="E1078" s="27">
        <f>'900000'!$N98</f>
        <v>0</v>
      </c>
      <c r="F1078" s="27" t="s">
        <v>19081</v>
      </c>
    </row>
    <row r="1079" spans="1:6">
      <c r="A1079" s="27" t="str">
        <f>Resultados!$K$3</f>
        <v/>
      </c>
      <c r="B1079" s="27" t="str">
        <f>Resultados!$K$4</f>
        <v/>
      </c>
      <c r="C1079" s="568" t="str">
        <f>'900000'!$B99</f>
        <v>09901079</v>
      </c>
      <c r="D1079" s="27" t="str">
        <f>'900000'!$N$19</f>
        <v>C09901013</v>
      </c>
      <c r="E1079" s="27">
        <f>'900000'!$N99</f>
        <v>0</v>
      </c>
      <c r="F1079" s="27" t="s">
        <v>19081</v>
      </c>
    </row>
    <row r="1080" spans="1:6">
      <c r="A1080" s="27" t="str">
        <f>Resultados!$K$3</f>
        <v/>
      </c>
      <c r="B1080" s="27" t="str">
        <f>Resultados!$K$4</f>
        <v/>
      </c>
      <c r="C1080" s="568" t="str">
        <f>'900000'!$B100</f>
        <v>09901080</v>
      </c>
      <c r="D1080" s="27" t="str">
        <f>'900000'!$N$19</f>
        <v>C09901013</v>
      </c>
      <c r="E1080" s="27">
        <f>'900000'!$N100</f>
        <v>0</v>
      </c>
      <c r="F1080" s="27" t="s">
        <v>19081</v>
      </c>
    </row>
    <row r="1081" spans="1:6">
      <c r="A1081" s="27" t="str">
        <f>Resultados!$K$3</f>
        <v/>
      </c>
      <c r="B1081" s="27" t="str">
        <f>Resultados!$K$4</f>
        <v/>
      </c>
      <c r="C1081" s="568" t="str">
        <f>'900000'!$B101</f>
        <v>09901081</v>
      </c>
      <c r="D1081" s="27" t="str">
        <f>'900000'!$N$19</f>
        <v>C09901013</v>
      </c>
      <c r="E1081" s="27">
        <f>'900000'!$N101</f>
        <v>0</v>
      </c>
      <c r="F1081" s="27" t="s">
        <v>19081</v>
      </c>
    </row>
    <row r="1082" spans="1:6">
      <c r="A1082" s="27" t="str">
        <f>Resultados!$K$3</f>
        <v/>
      </c>
      <c r="B1082" s="27" t="str">
        <f>Resultados!$K$4</f>
        <v/>
      </c>
      <c r="C1082" s="568" t="str">
        <f>'900000'!$B102</f>
        <v>09901082</v>
      </c>
      <c r="D1082" s="27" t="str">
        <f>'900000'!$N$19</f>
        <v>C09901013</v>
      </c>
      <c r="E1082" s="27">
        <f>'900000'!$N102</f>
        <v>0</v>
      </c>
      <c r="F1082" s="27" t="s">
        <v>19081</v>
      </c>
    </row>
    <row r="1083" spans="1:6">
      <c r="A1083" s="27" t="str">
        <f>Resultados!$K$3</f>
        <v/>
      </c>
      <c r="B1083" s="27" t="str">
        <f>Resultados!$K$4</f>
        <v/>
      </c>
      <c r="C1083" s="568" t="str">
        <f>'900000'!$B103</f>
        <v>09901083</v>
      </c>
      <c r="D1083" s="27" t="str">
        <f>'900000'!$N$19</f>
        <v>C09901013</v>
      </c>
      <c r="E1083" s="27">
        <f>'900000'!$N103</f>
        <v>0</v>
      </c>
      <c r="F1083" s="27" t="s">
        <v>19081</v>
      </c>
    </row>
    <row r="1084" spans="1:6">
      <c r="A1084" s="27" t="str">
        <f>Resultados!$K$3</f>
        <v/>
      </c>
      <c r="B1084" s="27" t="str">
        <f>Resultados!$K$4</f>
        <v/>
      </c>
      <c r="C1084" s="568" t="str">
        <f>'900000'!$B104</f>
        <v>09901084</v>
      </c>
      <c r="D1084" s="27" t="str">
        <f>'900000'!$N$19</f>
        <v>C09901013</v>
      </c>
      <c r="E1084" s="27">
        <f>'900000'!$N104</f>
        <v>0</v>
      </c>
      <c r="F1084" s="27" t="s">
        <v>19081</v>
      </c>
    </row>
    <row r="1085" spans="1:6">
      <c r="A1085" s="27" t="str">
        <f>Resultados!$K$3</f>
        <v/>
      </c>
      <c r="B1085" s="27" t="str">
        <f>Resultados!$K$4</f>
        <v/>
      </c>
      <c r="C1085" s="568" t="str">
        <f>'900000'!$B105</f>
        <v>09901085</v>
      </c>
      <c r="D1085" s="27" t="str">
        <f>'900000'!$N$19</f>
        <v>C09901013</v>
      </c>
      <c r="E1085" s="27">
        <f>'900000'!$N105</f>
        <v>0</v>
      </c>
      <c r="F1085" s="27" t="s">
        <v>19081</v>
      </c>
    </row>
    <row r="1086" spans="1:6">
      <c r="A1086" s="27" t="str">
        <f>Resultados!$K$3</f>
        <v/>
      </c>
      <c r="B1086" s="27" t="str">
        <f>Resultados!$K$4</f>
        <v/>
      </c>
      <c r="C1086" s="568" t="str">
        <f>'900000'!$B106</f>
        <v>09901086</v>
      </c>
      <c r="D1086" s="27" t="str">
        <f>'900000'!$N$19</f>
        <v>C09901013</v>
      </c>
      <c r="E1086" s="27">
        <f>'900000'!$N106</f>
        <v>0</v>
      </c>
      <c r="F1086" s="27" t="s">
        <v>19081</v>
      </c>
    </row>
    <row r="1087" spans="1:6">
      <c r="A1087" s="27" t="str">
        <f>Resultados!$K$3</f>
        <v/>
      </c>
      <c r="B1087" s="27" t="str">
        <f>Resultados!$K$4</f>
        <v/>
      </c>
      <c r="C1087" s="568" t="str">
        <f>'900000'!$B107</f>
        <v>09901087</v>
      </c>
      <c r="D1087" s="27" t="str">
        <f>'900000'!$N$19</f>
        <v>C09901013</v>
      </c>
      <c r="E1087" s="27">
        <f>'900000'!$N107</f>
        <v>0</v>
      </c>
      <c r="F1087" s="27" t="s">
        <v>19081</v>
      </c>
    </row>
    <row r="1088" spans="1:6">
      <c r="A1088" s="27" t="str">
        <f>Resultados!$K$3</f>
        <v/>
      </c>
      <c r="B1088" s="27" t="str">
        <f>Resultados!$K$4</f>
        <v/>
      </c>
      <c r="C1088" s="568" t="str">
        <f>'900000'!$B108</f>
        <v>09901088</v>
      </c>
      <c r="D1088" s="27" t="str">
        <f>'900000'!$N$19</f>
        <v>C09901013</v>
      </c>
      <c r="E1088" s="27">
        <f>'900000'!$N108</f>
        <v>0</v>
      </c>
      <c r="F1088" s="27" t="s">
        <v>19081</v>
      </c>
    </row>
    <row r="1089" spans="1:6">
      <c r="A1089" s="27" t="str">
        <f>Resultados!$K$3</f>
        <v/>
      </c>
      <c r="B1089" s="27" t="str">
        <f>Resultados!$K$4</f>
        <v/>
      </c>
      <c r="C1089" s="568" t="str">
        <f>'900000'!$B109</f>
        <v>09901089</v>
      </c>
      <c r="D1089" s="27" t="str">
        <f>'900000'!$N$19</f>
        <v>C09901013</v>
      </c>
      <c r="E1089" s="27">
        <f>'900000'!$N109</f>
        <v>0</v>
      </c>
      <c r="F1089" s="27" t="s">
        <v>19081</v>
      </c>
    </row>
    <row r="1090" spans="1:6">
      <c r="A1090" s="27" t="str">
        <f>Resultados!$K$3</f>
        <v/>
      </c>
      <c r="B1090" s="27" t="str">
        <f>Resultados!$K$4</f>
        <v/>
      </c>
      <c r="C1090" s="568" t="str">
        <f>'900000'!$B110</f>
        <v>09901090</v>
      </c>
      <c r="D1090" s="27" t="str">
        <f>'900000'!$N$19</f>
        <v>C09901013</v>
      </c>
      <c r="E1090" s="27">
        <f>'900000'!$N110</f>
        <v>0</v>
      </c>
      <c r="F1090" s="27" t="s">
        <v>19081</v>
      </c>
    </row>
    <row r="1091" spans="1:6">
      <c r="A1091" s="27" t="str">
        <f>Resultados!$K$3</f>
        <v/>
      </c>
      <c r="B1091" s="27" t="str">
        <f>Resultados!$K$4</f>
        <v/>
      </c>
      <c r="C1091" s="568" t="str">
        <f>'900000'!$B111</f>
        <v>09901091</v>
      </c>
      <c r="D1091" s="27" t="str">
        <f>'900000'!$N$19</f>
        <v>C09901013</v>
      </c>
      <c r="E1091" s="27">
        <f>'900000'!$N111</f>
        <v>0</v>
      </c>
      <c r="F1091" s="27" t="s">
        <v>19081</v>
      </c>
    </row>
    <row r="1092" spans="1:6">
      <c r="A1092" s="27" t="str">
        <f>Resultados!$K$3</f>
        <v/>
      </c>
      <c r="B1092" s="27" t="str">
        <f>Resultados!$K$4</f>
        <v/>
      </c>
      <c r="C1092" s="568" t="str">
        <f>'900000'!$B112</f>
        <v>09901092</v>
      </c>
      <c r="D1092" s="27" t="str">
        <f>'900000'!$N$19</f>
        <v>C09901013</v>
      </c>
      <c r="E1092" s="27">
        <f>'900000'!$N112</f>
        <v>0</v>
      </c>
      <c r="F1092" s="27" t="s">
        <v>19081</v>
      </c>
    </row>
    <row r="1093" spans="1:6">
      <c r="A1093" s="27" t="str">
        <f>Resultados!$K$3</f>
        <v/>
      </c>
      <c r="B1093" s="27" t="str">
        <f>Resultados!$K$4</f>
        <v/>
      </c>
      <c r="C1093" s="568" t="str">
        <f>'900000'!$B113</f>
        <v>09901093</v>
      </c>
      <c r="D1093" s="27" t="str">
        <f>'900000'!$N$19</f>
        <v>C09901013</v>
      </c>
      <c r="E1093" s="27">
        <f>'900000'!$N113</f>
        <v>0</v>
      </c>
      <c r="F1093" s="27" t="s">
        <v>19081</v>
      </c>
    </row>
    <row r="1094" spans="1:6">
      <c r="A1094" s="27" t="str">
        <f>Resultados!$K$3</f>
        <v/>
      </c>
      <c r="B1094" s="27" t="str">
        <f>Resultados!$K$4</f>
        <v/>
      </c>
      <c r="C1094" s="568" t="str">
        <f>'900000'!$B114</f>
        <v>09901094</v>
      </c>
      <c r="D1094" s="27" t="str">
        <f>'900000'!$N$19</f>
        <v>C09901013</v>
      </c>
      <c r="E1094" s="27">
        <f>'900000'!$N114</f>
        <v>0</v>
      </c>
      <c r="F1094" s="27" t="s">
        <v>19081</v>
      </c>
    </row>
    <row r="1095" spans="1:6">
      <c r="A1095" s="27" t="str">
        <f>Resultados!$K$3</f>
        <v/>
      </c>
      <c r="B1095" s="27" t="str">
        <f>Resultados!$K$4</f>
        <v/>
      </c>
      <c r="C1095" s="568" t="str">
        <f>'900000'!$B115</f>
        <v>09901095</v>
      </c>
      <c r="D1095" s="27" t="str">
        <f>'900000'!$N$19</f>
        <v>C09901013</v>
      </c>
      <c r="E1095" s="27">
        <f>'900000'!$N115</f>
        <v>0</v>
      </c>
      <c r="F1095" s="27" t="s">
        <v>19081</v>
      </c>
    </row>
    <row r="1096" spans="1:6">
      <c r="A1096" s="27" t="str">
        <f>Resultados!$K$3</f>
        <v/>
      </c>
      <c r="B1096" s="27" t="str">
        <f>Resultados!$K$4</f>
        <v/>
      </c>
      <c r="C1096" s="568" t="str">
        <f>'900000'!$B116</f>
        <v>09901096</v>
      </c>
      <c r="D1096" s="27" t="str">
        <f>'900000'!$N$19</f>
        <v>C09901013</v>
      </c>
      <c r="E1096" s="27">
        <f>'900000'!$N116</f>
        <v>0</v>
      </c>
      <c r="F1096" s="27" t="s">
        <v>19081</v>
      </c>
    </row>
    <row r="1097" spans="1:6">
      <c r="A1097" s="27" t="str">
        <f>Resultados!$K$3</f>
        <v/>
      </c>
      <c r="B1097" s="27" t="str">
        <f>Resultados!$K$4</f>
        <v/>
      </c>
      <c r="C1097" s="568" t="str">
        <f>'900000'!$B117</f>
        <v>09901097</v>
      </c>
      <c r="D1097" s="27" t="str">
        <f>'900000'!$N$19</f>
        <v>C09901013</v>
      </c>
      <c r="E1097" s="27">
        <f>'900000'!$N117</f>
        <v>0</v>
      </c>
      <c r="F1097" s="27" t="s">
        <v>19081</v>
      </c>
    </row>
    <row r="1098" spans="1:6">
      <c r="A1098" s="27" t="str">
        <f>Resultados!$K$3</f>
        <v/>
      </c>
      <c r="B1098" s="27" t="str">
        <f>Resultados!$K$4</f>
        <v/>
      </c>
      <c r="C1098" s="568" t="str">
        <f>'900000'!$B118</f>
        <v>09901098</v>
      </c>
      <c r="D1098" s="27" t="str">
        <f>'900000'!$N$19</f>
        <v>C09901013</v>
      </c>
      <c r="E1098" s="27">
        <f>'900000'!$N118</f>
        <v>0</v>
      </c>
      <c r="F1098" s="27" t="s">
        <v>19081</v>
      </c>
    </row>
    <row r="1099" spans="1:6">
      <c r="A1099" s="27" t="str">
        <f>Resultados!$K$3</f>
        <v/>
      </c>
      <c r="B1099" s="27" t="str">
        <f>Resultados!$K$4</f>
        <v/>
      </c>
      <c r="C1099" s="568" t="str">
        <f>'900000'!$B119</f>
        <v>09901099</v>
      </c>
      <c r="D1099" s="27" t="str">
        <f>'900000'!$N$19</f>
        <v>C09901013</v>
      </c>
      <c r="E1099" s="27">
        <f>'900000'!$N119</f>
        <v>0</v>
      </c>
      <c r="F1099" s="27" t="s">
        <v>19081</v>
      </c>
    </row>
    <row r="1100" spans="1:6">
      <c r="A1100" s="27" t="str">
        <f>Resultados!$K$3</f>
        <v/>
      </c>
      <c r="B1100" s="27" t="str">
        <f>Resultados!$K$4</f>
        <v/>
      </c>
      <c r="C1100" s="568" t="str">
        <f>'900000'!$B120</f>
        <v>09901100</v>
      </c>
      <c r="D1100" s="27" t="str">
        <f>'900000'!$N$19</f>
        <v>C09901013</v>
      </c>
      <c r="E1100" s="27">
        <f>'900000'!$N120</f>
        <v>0</v>
      </c>
      <c r="F1100" s="27" t="s">
        <v>19081</v>
      </c>
    </row>
    <row r="1101" spans="1:6">
      <c r="A1101" s="27" t="str">
        <f>Resultados!$K$3</f>
        <v/>
      </c>
      <c r="B1101" s="27" t="str">
        <f>Resultados!$K$4</f>
        <v/>
      </c>
      <c r="C1101" s="568" t="str">
        <f>'900000'!$B121</f>
        <v>09901101</v>
      </c>
      <c r="D1101" s="27" t="str">
        <f>'900000'!$N$19</f>
        <v>C09901013</v>
      </c>
      <c r="E1101" s="27">
        <f>'900000'!$N121</f>
        <v>0</v>
      </c>
      <c r="F1101" s="27" t="s">
        <v>19081</v>
      </c>
    </row>
    <row r="1102" spans="1:6">
      <c r="A1102" s="27" t="str">
        <f>Resultados!$K$3</f>
        <v/>
      </c>
      <c r="B1102" s="27" t="str">
        <f>Resultados!$K$4</f>
        <v/>
      </c>
      <c r="C1102" s="568" t="str">
        <f>'900000'!$B22</f>
        <v>09901002</v>
      </c>
      <c r="D1102" t="str">
        <f>'900000'!$P$19</f>
        <v>C09901015</v>
      </c>
      <c r="E1102">
        <f>'900000'!$P22</f>
        <v>0</v>
      </c>
      <c r="F1102" s="27" t="s">
        <v>19081</v>
      </c>
    </row>
    <row r="1103" spans="1:6">
      <c r="A1103" s="27" t="str">
        <f>Resultados!$K$3</f>
        <v/>
      </c>
      <c r="B1103" s="27" t="str">
        <f>Resultados!$K$4</f>
        <v/>
      </c>
      <c r="C1103" s="568" t="str">
        <f>'900000'!$B23</f>
        <v>09901003</v>
      </c>
      <c r="D1103" s="27" t="str">
        <f>'900000'!$P$19</f>
        <v>C09901015</v>
      </c>
      <c r="E1103" s="27">
        <f>'900000'!$P23</f>
        <v>0</v>
      </c>
      <c r="F1103" s="27" t="s">
        <v>19081</v>
      </c>
    </row>
    <row r="1104" spans="1:6">
      <c r="A1104" s="27" t="str">
        <f>Resultados!$K$3</f>
        <v/>
      </c>
      <c r="B1104" s="27" t="str">
        <f>Resultados!$K$4</f>
        <v/>
      </c>
      <c r="C1104" s="568" t="str">
        <f>'900000'!$B24</f>
        <v>09901004</v>
      </c>
      <c r="D1104" s="27" t="str">
        <f>'900000'!$P$19</f>
        <v>C09901015</v>
      </c>
      <c r="E1104" s="27">
        <f>'900000'!$P24</f>
        <v>0</v>
      </c>
      <c r="F1104" s="27" t="s">
        <v>19081</v>
      </c>
    </row>
    <row r="1105" spans="1:6">
      <c r="A1105" s="27" t="str">
        <f>Resultados!$K$3</f>
        <v/>
      </c>
      <c r="B1105" s="27" t="str">
        <f>Resultados!$K$4</f>
        <v/>
      </c>
      <c r="C1105" s="568" t="str">
        <f>'900000'!$B25</f>
        <v>09901005</v>
      </c>
      <c r="D1105" s="27" t="str">
        <f>'900000'!$P$19</f>
        <v>C09901015</v>
      </c>
      <c r="E1105" s="27">
        <f>'900000'!$P25</f>
        <v>0</v>
      </c>
      <c r="F1105" s="27" t="s">
        <v>19081</v>
      </c>
    </row>
    <row r="1106" spans="1:6">
      <c r="A1106" s="27" t="str">
        <f>Resultados!$K$3</f>
        <v/>
      </c>
      <c r="B1106" s="27" t="str">
        <f>Resultados!$K$4</f>
        <v/>
      </c>
      <c r="C1106" s="568" t="str">
        <f>'900000'!$B26</f>
        <v>09901006</v>
      </c>
      <c r="D1106" s="27" t="str">
        <f>'900000'!$P$19</f>
        <v>C09901015</v>
      </c>
      <c r="E1106" s="27">
        <f>'900000'!$P26</f>
        <v>0</v>
      </c>
      <c r="F1106" s="27" t="s">
        <v>19081</v>
      </c>
    </row>
    <row r="1107" spans="1:6">
      <c r="A1107" s="27" t="str">
        <f>Resultados!$K$3</f>
        <v/>
      </c>
      <c r="B1107" s="27" t="str">
        <f>Resultados!$K$4</f>
        <v/>
      </c>
      <c r="C1107" s="568" t="str">
        <f>'900000'!$B27</f>
        <v>09901007</v>
      </c>
      <c r="D1107" s="27" t="str">
        <f>'900000'!$P$19</f>
        <v>C09901015</v>
      </c>
      <c r="E1107" s="27">
        <f>'900000'!$P27</f>
        <v>0</v>
      </c>
      <c r="F1107" s="27" t="s">
        <v>19081</v>
      </c>
    </row>
    <row r="1108" spans="1:6">
      <c r="A1108" s="27" t="str">
        <f>Resultados!$K$3</f>
        <v/>
      </c>
      <c r="B1108" s="27" t="str">
        <f>Resultados!$K$4</f>
        <v/>
      </c>
      <c r="C1108" s="568" t="str">
        <f>'900000'!$B28</f>
        <v>09901008</v>
      </c>
      <c r="D1108" s="27" t="str">
        <f>'900000'!$P$19</f>
        <v>C09901015</v>
      </c>
      <c r="E1108" s="27">
        <f>'900000'!$P28</f>
        <v>0</v>
      </c>
      <c r="F1108" s="27" t="s">
        <v>19081</v>
      </c>
    </row>
    <row r="1109" spans="1:6">
      <c r="A1109" s="27" t="str">
        <f>Resultados!$K$3</f>
        <v/>
      </c>
      <c r="B1109" s="27" t="str">
        <f>Resultados!$K$4</f>
        <v/>
      </c>
      <c r="C1109" s="568" t="str">
        <f>'900000'!$B29</f>
        <v>09901009</v>
      </c>
      <c r="D1109" s="27" t="str">
        <f>'900000'!$P$19</f>
        <v>C09901015</v>
      </c>
      <c r="E1109" s="27">
        <f>'900000'!$P29</f>
        <v>0</v>
      </c>
      <c r="F1109" s="27" t="s">
        <v>19081</v>
      </c>
    </row>
    <row r="1110" spans="1:6">
      <c r="A1110" s="27" t="str">
        <f>Resultados!$K$3</f>
        <v/>
      </c>
      <c r="B1110" s="27" t="str">
        <f>Resultados!$K$4</f>
        <v/>
      </c>
      <c r="C1110" s="568" t="str">
        <f>'900000'!$B30</f>
        <v>09901010</v>
      </c>
      <c r="D1110" s="27" t="str">
        <f>'900000'!$P$19</f>
        <v>C09901015</v>
      </c>
      <c r="E1110" s="27">
        <f>'900000'!$P30</f>
        <v>0</v>
      </c>
      <c r="F1110" s="27" t="s">
        <v>19081</v>
      </c>
    </row>
    <row r="1111" spans="1:6">
      <c r="A1111" s="27" t="str">
        <f>Resultados!$K$3</f>
        <v/>
      </c>
      <c r="B1111" s="27" t="str">
        <f>Resultados!$K$4</f>
        <v/>
      </c>
      <c r="C1111" s="568" t="str">
        <f>'900000'!$B31</f>
        <v>09901011</v>
      </c>
      <c r="D1111" s="27" t="str">
        <f>'900000'!$P$19</f>
        <v>C09901015</v>
      </c>
      <c r="E1111" s="27">
        <f>'900000'!$P31</f>
        <v>0</v>
      </c>
      <c r="F1111" s="27" t="s">
        <v>19081</v>
      </c>
    </row>
    <row r="1112" spans="1:6">
      <c r="A1112" s="27" t="str">
        <f>Resultados!$K$3</f>
        <v/>
      </c>
      <c r="B1112" s="27" t="str">
        <f>Resultados!$K$4</f>
        <v/>
      </c>
      <c r="C1112" s="568" t="str">
        <f>'900000'!$B32</f>
        <v>09901012</v>
      </c>
      <c r="D1112" s="27" t="str">
        <f>'900000'!$P$19</f>
        <v>C09901015</v>
      </c>
      <c r="E1112" s="27">
        <f>'900000'!$P32</f>
        <v>0</v>
      </c>
      <c r="F1112" s="27" t="s">
        <v>19081</v>
      </c>
    </row>
    <row r="1113" spans="1:6">
      <c r="A1113" s="27" t="str">
        <f>Resultados!$K$3</f>
        <v/>
      </c>
      <c r="B1113" s="27" t="str">
        <f>Resultados!$K$4</f>
        <v/>
      </c>
      <c r="C1113" s="568" t="str">
        <f>'900000'!$B33</f>
        <v>09901013</v>
      </c>
      <c r="D1113" s="27" t="str">
        <f>'900000'!$P$19</f>
        <v>C09901015</v>
      </c>
      <c r="E1113" s="27">
        <f>'900000'!$P33</f>
        <v>0</v>
      </c>
      <c r="F1113" s="27" t="s">
        <v>19081</v>
      </c>
    </row>
    <row r="1114" spans="1:6">
      <c r="A1114" s="27" t="str">
        <f>Resultados!$K$3</f>
        <v/>
      </c>
      <c r="B1114" s="27" t="str">
        <f>Resultados!$K$4</f>
        <v/>
      </c>
      <c r="C1114" s="568" t="str">
        <f>'900000'!$B34</f>
        <v>09901014</v>
      </c>
      <c r="D1114" s="27" t="str">
        <f>'900000'!$P$19</f>
        <v>C09901015</v>
      </c>
      <c r="E1114" s="27">
        <f>'900000'!$P34</f>
        <v>0</v>
      </c>
      <c r="F1114" s="27" t="s">
        <v>19081</v>
      </c>
    </row>
    <row r="1115" spans="1:6">
      <c r="A1115" s="27" t="str">
        <f>Resultados!$K$3</f>
        <v/>
      </c>
      <c r="B1115" s="27" t="str">
        <f>Resultados!$K$4</f>
        <v/>
      </c>
      <c r="C1115" s="568" t="str">
        <f>'900000'!$B35</f>
        <v>09901015</v>
      </c>
      <c r="D1115" s="27" t="str">
        <f>'900000'!$P$19</f>
        <v>C09901015</v>
      </c>
      <c r="E1115" s="27">
        <f>'900000'!$P35</f>
        <v>0</v>
      </c>
      <c r="F1115" s="27" t="s">
        <v>19081</v>
      </c>
    </row>
    <row r="1116" spans="1:6">
      <c r="A1116" s="27" t="str">
        <f>Resultados!$K$3</f>
        <v/>
      </c>
      <c r="B1116" s="27" t="str">
        <f>Resultados!$K$4</f>
        <v/>
      </c>
      <c r="C1116" s="568" t="str">
        <f>'900000'!$B36</f>
        <v>09901016</v>
      </c>
      <c r="D1116" s="27" t="str">
        <f>'900000'!$P$19</f>
        <v>C09901015</v>
      </c>
      <c r="E1116" s="27">
        <f>'900000'!$P36</f>
        <v>0</v>
      </c>
      <c r="F1116" s="27" t="s">
        <v>19081</v>
      </c>
    </row>
    <row r="1117" spans="1:6">
      <c r="A1117" s="27" t="str">
        <f>Resultados!$K$3</f>
        <v/>
      </c>
      <c r="B1117" s="27" t="str">
        <f>Resultados!$K$4</f>
        <v/>
      </c>
      <c r="C1117" s="568" t="str">
        <f>'900000'!$B37</f>
        <v>09901017</v>
      </c>
      <c r="D1117" s="27" t="str">
        <f>'900000'!$P$19</f>
        <v>C09901015</v>
      </c>
      <c r="E1117" s="27">
        <f>'900000'!$P37</f>
        <v>0</v>
      </c>
      <c r="F1117" s="27" t="s">
        <v>19081</v>
      </c>
    </row>
    <row r="1118" spans="1:6">
      <c r="A1118" s="27" t="str">
        <f>Resultados!$K$3</f>
        <v/>
      </c>
      <c r="B1118" s="27" t="str">
        <f>Resultados!$K$4</f>
        <v/>
      </c>
      <c r="C1118" s="568" t="str">
        <f>'900000'!$B38</f>
        <v>09901018</v>
      </c>
      <c r="D1118" s="27" t="str">
        <f>'900000'!$P$19</f>
        <v>C09901015</v>
      </c>
      <c r="E1118" s="27">
        <f>'900000'!$P38</f>
        <v>0</v>
      </c>
      <c r="F1118" s="27" t="s">
        <v>19081</v>
      </c>
    </row>
    <row r="1119" spans="1:6">
      <c r="A1119" s="27" t="str">
        <f>Resultados!$K$3</f>
        <v/>
      </c>
      <c r="B1119" s="27" t="str">
        <f>Resultados!$K$4</f>
        <v/>
      </c>
      <c r="C1119" s="568" t="str">
        <f>'900000'!$B39</f>
        <v>09901019</v>
      </c>
      <c r="D1119" s="27" t="str">
        <f>'900000'!$P$19</f>
        <v>C09901015</v>
      </c>
      <c r="E1119" s="27">
        <f>'900000'!$P39</f>
        <v>0</v>
      </c>
      <c r="F1119" s="27" t="s">
        <v>19081</v>
      </c>
    </row>
    <row r="1120" spans="1:6">
      <c r="A1120" s="27" t="str">
        <f>Resultados!$K$3</f>
        <v/>
      </c>
      <c r="B1120" s="27" t="str">
        <f>Resultados!$K$4</f>
        <v/>
      </c>
      <c r="C1120" s="568" t="str">
        <f>'900000'!$B40</f>
        <v>09901020</v>
      </c>
      <c r="D1120" s="27" t="str">
        <f>'900000'!$P$19</f>
        <v>C09901015</v>
      </c>
      <c r="E1120" s="27">
        <f>'900000'!$P40</f>
        <v>0</v>
      </c>
      <c r="F1120" s="27" t="s">
        <v>19081</v>
      </c>
    </row>
    <row r="1121" spans="1:6">
      <c r="A1121" s="27" t="str">
        <f>Resultados!$K$3</f>
        <v/>
      </c>
      <c r="B1121" s="27" t="str">
        <f>Resultados!$K$4</f>
        <v/>
      </c>
      <c r="C1121" s="568" t="str">
        <f>'900000'!$B41</f>
        <v>09901021</v>
      </c>
      <c r="D1121" s="27" t="str">
        <f>'900000'!$P$19</f>
        <v>C09901015</v>
      </c>
      <c r="E1121" s="27">
        <f>'900000'!$P41</f>
        <v>0</v>
      </c>
      <c r="F1121" s="27" t="s">
        <v>19081</v>
      </c>
    </row>
    <row r="1122" spans="1:6">
      <c r="A1122" s="27" t="str">
        <f>Resultados!$K$3</f>
        <v/>
      </c>
      <c r="B1122" s="27" t="str">
        <f>Resultados!$K$4</f>
        <v/>
      </c>
      <c r="C1122" s="568" t="str">
        <f>'900000'!$B42</f>
        <v>09901022</v>
      </c>
      <c r="D1122" s="27" t="str">
        <f>'900000'!$P$19</f>
        <v>C09901015</v>
      </c>
      <c r="E1122" s="27">
        <f>'900000'!$P42</f>
        <v>0</v>
      </c>
      <c r="F1122" s="27" t="s">
        <v>19081</v>
      </c>
    </row>
    <row r="1123" spans="1:6">
      <c r="A1123" s="27" t="str">
        <f>Resultados!$K$3</f>
        <v/>
      </c>
      <c r="B1123" s="27" t="str">
        <f>Resultados!$K$4</f>
        <v/>
      </c>
      <c r="C1123" s="568" t="str">
        <f>'900000'!$B43</f>
        <v>09901023</v>
      </c>
      <c r="D1123" s="27" t="str">
        <f>'900000'!$P$19</f>
        <v>C09901015</v>
      </c>
      <c r="E1123" s="27">
        <f>'900000'!$P43</f>
        <v>0</v>
      </c>
      <c r="F1123" s="27" t="s">
        <v>19081</v>
      </c>
    </row>
    <row r="1124" spans="1:6">
      <c r="A1124" s="27" t="str">
        <f>Resultados!$K$3</f>
        <v/>
      </c>
      <c r="B1124" s="27" t="str">
        <f>Resultados!$K$4</f>
        <v/>
      </c>
      <c r="C1124" s="568" t="str">
        <f>'900000'!$B44</f>
        <v>09901024</v>
      </c>
      <c r="D1124" s="27" t="str">
        <f>'900000'!$P$19</f>
        <v>C09901015</v>
      </c>
      <c r="E1124" s="27">
        <f>'900000'!$P44</f>
        <v>0</v>
      </c>
      <c r="F1124" s="27" t="s">
        <v>19081</v>
      </c>
    </row>
    <row r="1125" spans="1:6">
      <c r="A1125" s="27" t="str">
        <f>Resultados!$K$3</f>
        <v/>
      </c>
      <c r="B1125" s="27" t="str">
        <f>Resultados!$K$4</f>
        <v/>
      </c>
      <c r="C1125" s="568" t="str">
        <f>'900000'!$B45</f>
        <v>09901025</v>
      </c>
      <c r="D1125" s="27" t="str">
        <f>'900000'!$P$19</f>
        <v>C09901015</v>
      </c>
      <c r="E1125" s="27">
        <f>'900000'!$P45</f>
        <v>0</v>
      </c>
      <c r="F1125" s="27" t="s">
        <v>19081</v>
      </c>
    </row>
    <row r="1126" spans="1:6">
      <c r="A1126" s="27" t="str">
        <f>Resultados!$K$3</f>
        <v/>
      </c>
      <c r="B1126" s="27" t="str">
        <f>Resultados!$K$4</f>
        <v/>
      </c>
      <c r="C1126" s="568" t="str">
        <f>'900000'!$B46</f>
        <v>09901026</v>
      </c>
      <c r="D1126" s="27" t="str">
        <f>'900000'!$P$19</f>
        <v>C09901015</v>
      </c>
      <c r="E1126" s="27">
        <f>'900000'!$P46</f>
        <v>0</v>
      </c>
      <c r="F1126" s="27" t="s">
        <v>19081</v>
      </c>
    </row>
    <row r="1127" spans="1:6">
      <c r="A1127" s="27" t="str">
        <f>Resultados!$K$3</f>
        <v/>
      </c>
      <c r="B1127" s="27" t="str">
        <f>Resultados!$K$4</f>
        <v/>
      </c>
      <c r="C1127" s="568" t="str">
        <f>'900000'!$B47</f>
        <v>09901027</v>
      </c>
      <c r="D1127" s="27" t="str">
        <f>'900000'!$P$19</f>
        <v>C09901015</v>
      </c>
      <c r="E1127" s="27">
        <f>'900000'!$P47</f>
        <v>0</v>
      </c>
      <c r="F1127" s="27" t="s">
        <v>19081</v>
      </c>
    </row>
    <row r="1128" spans="1:6">
      <c r="A1128" s="27" t="str">
        <f>Resultados!$K$3</f>
        <v/>
      </c>
      <c r="B1128" s="27" t="str">
        <f>Resultados!$K$4</f>
        <v/>
      </c>
      <c r="C1128" s="568" t="str">
        <f>'900000'!$B48</f>
        <v>09901028</v>
      </c>
      <c r="D1128" s="27" t="str">
        <f>'900000'!$P$19</f>
        <v>C09901015</v>
      </c>
      <c r="E1128" s="27">
        <f>'900000'!$P48</f>
        <v>0</v>
      </c>
      <c r="F1128" s="27" t="s">
        <v>19081</v>
      </c>
    </row>
    <row r="1129" spans="1:6">
      <c r="A1129" s="27" t="str">
        <f>Resultados!$K$3</f>
        <v/>
      </c>
      <c r="B1129" s="27" t="str">
        <f>Resultados!$K$4</f>
        <v/>
      </c>
      <c r="C1129" s="568" t="str">
        <f>'900000'!$B49</f>
        <v>09901029</v>
      </c>
      <c r="D1129" s="27" t="str">
        <f>'900000'!$P$19</f>
        <v>C09901015</v>
      </c>
      <c r="E1129" s="27">
        <f>'900000'!$P49</f>
        <v>0</v>
      </c>
      <c r="F1129" s="27" t="s">
        <v>19081</v>
      </c>
    </row>
    <row r="1130" spans="1:6">
      <c r="A1130" s="27" t="str">
        <f>Resultados!$K$3</f>
        <v/>
      </c>
      <c r="B1130" s="27" t="str">
        <f>Resultados!$K$4</f>
        <v/>
      </c>
      <c r="C1130" s="568" t="str">
        <f>'900000'!$B50</f>
        <v>09901030</v>
      </c>
      <c r="D1130" s="27" t="str">
        <f>'900000'!$P$19</f>
        <v>C09901015</v>
      </c>
      <c r="E1130" s="27">
        <f>'900000'!$P50</f>
        <v>0</v>
      </c>
      <c r="F1130" s="27" t="s">
        <v>19081</v>
      </c>
    </row>
    <row r="1131" spans="1:6">
      <c r="A1131" s="27" t="str">
        <f>Resultados!$K$3</f>
        <v/>
      </c>
      <c r="B1131" s="27" t="str">
        <f>Resultados!$K$4</f>
        <v/>
      </c>
      <c r="C1131" s="568" t="str">
        <f>'900000'!$B51</f>
        <v>09901031</v>
      </c>
      <c r="D1131" s="27" t="str">
        <f>'900000'!$P$19</f>
        <v>C09901015</v>
      </c>
      <c r="E1131" s="27">
        <f>'900000'!$P51</f>
        <v>0</v>
      </c>
      <c r="F1131" s="27" t="s">
        <v>19081</v>
      </c>
    </row>
    <row r="1132" spans="1:6">
      <c r="A1132" s="27" t="str">
        <f>Resultados!$K$3</f>
        <v/>
      </c>
      <c r="B1132" s="27" t="str">
        <f>Resultados!$K$4</f>
        <v/>
      </c>
      <c r="C1132" s="568" t="str">
        <f>'900000'!$B52</f>
        <v>09901032</v>
      </c>
      <c r="D1132" s="27" t="str">
        <f>'900000'!$P$19</f>
        <v>C09901015</v>
      </c>
      <c r="E1132" s="27">
        <f>'900000'!$P52</f>
        <v>0</v>
      </c>
      <c r="F1132" s="27" t="s">
        <v>19081</v>
      </c>
    </row>
    <row r="1133" spans="1:6">
      <c r="A1133" s="27" t="str">
        <f>Resultados!$K$3</f>
        <v/>
      </c>
      <c r="B1133" s="27" t="str">
        <f>Resultados!$K$4</f>
        <v/>
      </c>
      <c r="C1133" s="568" t="str">
        <f>'900000'!$B53</f>
        <v>09901033</v>
      </c>
      <c r="D1133" s="27" t="str">
        <f>'900000'!$P$19</f>
        <v>C09901015</v>
      </c>
      <c r="E1133" s="27">
        <f>'900000'!$P53</f>
        <v>0</v>
      </c>
      <c r="F1133" s="27" t="s">
        <v>19081</v>
      </c>
    </row>
    <row r="1134" spans="1:6">
      <c r="A1134" s="27" t="str">
        <f>Resultados!$K$3</f>
        <v/>
      </c>
      <c r="B1134" s="27" t="str">
        <f>Resultados!$K$4</f>
        <v/>
      </c>
      <c r="C1134" s="568" t="str">
        <f>'900000'!$B54</f>
        <v>09901034</v>
      </c>
      <c r="D1134" s="27" t="str">
        <f>'900000'!$P$19</f>
        <v>C09901015</v>
      </c>
      <c r="E1134" s="27">
        <f>'900000'!$P54</f>
        <v>0</v>
      </c>
      <c r="F1134" s="27" t="s">
        <v>19081</v>
      </c>
    </row>
    <row r="1135" spans="1:6">
      <c r="A1135" s="27" t="str">
        <f>Resultados!$K$3</f>
        <v/>
      </c>
      <c r="B1135" s="27" t="str">
        <f>Resultados!$K$4</f>
        <v/>
      </c>
      <c r="C1135" s="568" t="str">
        <f>'900000'!$B55</f>
        <v>09901035</v>
      </c>
      <c r="D1135" s="27" t="str">
        <f>'900000'!$P$19</f>
        <v>C09901015</v>
      </c>
      <c r="E1135" s="27">
        <f>'900000'!$P55</f>
        <v>0</v>
      </c>
      <c r="F1135" s="27" t="s">
        <v>19081</v>
      </c>
    </row>
    <row r="1136" spans="1:6">
      <c r="A1136" s="27" t="str">
        <f>Resultados!$K$3</f>
        <v/>
      </c>
      <c r="B1136" s="27" t="str">
        <f>Resultados!$K$4</f>
        <v/>
      </c>
      <c r="C1136" s="568" t="str">
        <f>'900000'!$B56</f>
        <v>09901036</v>
      </c>
      <c r="D1136" s="27" t="str">
        <f>'900000'!$P$19</f>
        <v>C09901015</v>
      </c>
      <c r="E1136" s="27">
        <f>'900000'!$P56</f>
        <v>0</v>
      </c>
      <c r="F1136" s="27" t="s">
        <v>19081</v>
      </c>
    </row>
    <row r="1137" spans="1:6">
      <c r="A1137" s="27" t="str">
        <f>Resultados!$K$3</f>
        <v/>
      </c>
      <c r="B1137" s="27" t="str">
        <f>Resultados!$K$4</f>
        <v/>
      </c>
      <c r="C1137" s="568" t="str">
        <f>'900000'!$B57</f>
        <v>09901037</v>
      </c>
      <c r="D1137" s="27" t="str">
        <f>'900000'!$P$19</f>
        <v>C09901015</v>
      </c>
      <c r="E1137" s="27">
        <f>'900000'!$P57</f>
        <v>0</v>
      </c>
      <c r="F1137" s="27" t="s">
        <v>19081</v>
      </c>
    </row>
    <row r="1138" spans="1:6">
      <c r="A1138" s="27" t="str">
        <f>Resultados!$K$3</f>
        <v/>
      </c>
      <c r="B1138" s="27" t="str">
        <f>Resultados!$K$4</f>
        <v/>
      </c>
      <c r="C1138" s="568" t="str">
        <f>'900000'!$B58</f>
        <v>09901038</v>
      </c>
      <c r="D1138" s="27" t="str">
        <f>'900000'!$P$19</f>
        <v>C09901015</v>
      </c>
      <c r="E1138" s="27">
        <f>'900000'!$P58</f>
        <v>0</v>
      </c>
      <c r="F1138" s="27" t="s">
        <v>19081</v>
      </c>
    </row>
    <row r="1139" spans="1:6">
      <c r="A1139" s="27" t="str">
        <f>Resultados!$K$3</f>
        <v/>
      </c>
      <c r="B1139" s="27" t="str">
        <f>Resultados!$K$4</f>
        <v/>
      </c>
      <c r="C1139" s="568" t="str">
        <f>'900000'!$B59</f>
        <v>09901039</v>
      </c>
      <c r="D1139" s="27" t="str">
        <f>'900000'!$P$19</f>
        <v>C09901015</v>
      </c>
      <c r="E1139" s="27">
        <f>'900000'!$P59</f>
        <v>0</v>
      </c>
      <c r="F1139" s="27" t="s">
        <v>19081</v>
      </c>
    </row>
    <row r="1140" spans="1:6">
      <c r="A1140" s="27" t="str">
        <f>Resultados!$K$3</f>
        <v/>
      </c>
      <c r="B1140" s="27" t="str">
        <f>Resultados!$K$4</f>
        <v/>
      </c>
      <c r="C1140" s="568" t="str">
        <f>'900000'!$B60</f>
        <v>09901040</v>
      </c>
      <c r="D1140" s="27" t="str">
        <f>'900000'!$P$19</f>
        <v>C09901015</v>
      </c>
      <c r="E1140" s="27">
        <f>'900000'!$P60</f>
        <v>0</v>
      </c>
      <c r="F1140" s="27" t="s">
        <v>19081</v>
      </c>
    </row>
    <row r="1141" spans="1:6">
      <c r="A1141" s="27" t="str">
        <f>Resultados!$K$3</f>
        <v/>
      </c>
      <c r="B1141" s="27" t="str">
        <f>Resultados!$K$4</f>
        <v/>
      </c>
      <c r="C1141" s="568" t="str">
        <f>'900000'!$B61</f>
        <v>09901041</v>
      </c>
      <c r="D1141" s="27" t="str">
        <f>'900000'!$P$19</f>
        <v>C09901015</v>
      </c>
      <c r="E1141" s="27">
        <f>'900000'!$P61</f>
        <v>0</v>
      </c>
      <c r="F1141" s="27" t="s">
        <v>19081</v>
      </c>
    </row>
    <row r="1142" spans="1:6">
      <c r="A1142" s="27" t="str">
        <f>Resultados!$K$3</f>
        <v/>
      </c>
      <c r="B1142" s="27" t="str">
        <f>Resultados!$K$4</f>
        <v/>
      </c>
      <c r="C1142" s="568" t="str">
        <f>'900000'!$B62</f>
        <v>09901042</v>
      </c>
      <c r="D1142" s="27" t="str">
        <f>'900000'!$P$19</f>
        <v>C09901015</v>
      </c>
      <c r="E1142" s="27">
        <f>'900000'!$P62</f>
        <v>0</v>
      </c>
      <c r="F1142" s="27" t="s">
        <v>19081</v>
      </c>
    </row>
    <row r="1143" spans="1:6">
      <c r="A1143" s="27" t="str">
        <f>Resultados!$K$3</f>
        <v/>
      </c>
      <c r="B1143" s="27" t="str">
        <f>Resultados!$K$4</f>
        <v/>
      </c>
      <c r="C1143" s="568" t="str">
        <f>'900000'!$B63</f>
        <v>09901043</v>
      </c>
      <c r="D1143" s="27" t="str">
        <f>'900000'!$P$19</f>
        <v>C09901015</v>
      </c>
      <c r="E1143" s="27">
        <f>'900000'!$P63</f>
        <v>0</v>
      </c>
      <c r="F1143" s="27" t="s">
        <v>19081</v>
      </c>
    </row>
    <row r="1144" spans="1:6">
      <c r="A1144" s="27" t="str">
        <f>Resultados!$K$3</f>
        <v/>
      </c>
      <c r="B1144" s="27" t="str">
        <f>Resultados!$K$4</f>
        <v/>
      </c>
      <c r="C1144" s="568" t="str">
        <f>'900000'!$B64</f>
        <v>09901044</v>
      </c>
      <c r="D1144" s="27" t="str">
        <f>'900000'!$P$19</f>
        <v>C09901015</v>
      </c>
      <c r="E1144" s="27">
        <f>'900000'!$P64</f>
        <v>0</v>
      </c>
      <c r="F1144" s="27" t="s">
        <v>19081</v>
      </c>
    </row>
    <row r="1145" spans="1:6">
      <c r="A1145" s="27" t="str">
        <f>Resultados!$K$3</f>
        <v/>
      </c>
      <c r="B1145" s="27" t="str">
        <f>Resultados!$K$4</f>
        <v/>
      </c>
      <c r="C1145" s="568" t="str">
        <f>'900000'!$B65</f>
        <v>09901045</v>
      </c>
      <c r="D1145" s="27" t="str">
        <f>'900000'!$P$19</f>
        <v>C09901015</v>
      </c>
      <c r="E1145" s="27">
        <f>'900000'!$P65</f>
        <v>0</v>
      </c>
      <c r="F1145" s="27" t="s">
        <v>19081</v>
      </c>
    </row>
    <row r="1146" spans="1:6">
      <c r="A1146" s="27" t="str">
        <f>Resultados!$K$3</f>
        <v/>
      </c>
      <c r="B1146" s="27" t="str">
        <f>Resultados!$K$4</f>
        <v/>
      </c>
      <c r="C1146" s="568" t="str">
        <f>'900000'!$B66</f>
        <v>09901046</v>
      </c>
      <c r="D1146" s="27" t="str">
        <f>'900000'!$P$19</f>
        <v>C09901015</v>
      </c>
      <c r="E1146" s="27">
        <f>'900000'!$P66</f>
        <v>0</v>
      </c>
      <c r="F1146" s="27" t="s">
        <v>19081</v>
      </c>
    </row>
    <row r="1147" spans="1:6">
      <c r="A1147" s="27" t="str">
        <f>Resultados!$K$3</f>
        <v/>
      </c>
      <c r="B1147" s="27" t="str">
        <f>Resultados!$K$4</f>
        <v/>
      </c>
      <c r="C1147" s="568" t="str">
        <f>'900000'!$B67</f>
        <v>09901047</v>
      </c>
      <c r="D1147" s="27" t="str">
        <f>'900000'!$P$19</f>
        <v>C09901015</v>
      </c>
      <c r="E1147" s="27">
        <f>'900000'!$P67</f>
        <v>0</v>
      </c>
      <c r="F1147" s="27" t="s">
        <v>19081</v>
      </c>
    </row>
    <row r="1148" spans="1:6">
      <c r="A1148" s="27" t="str">
        <f>Resultados!$K$3</f>
        <v/>
      </c>
      <c r="B1148" s="27" t="str">
        <f>Resultados!$K$4</f>
        <v/>
      </c>
      <c r="C1148" s="568" t="str">
        <f>'900000'!$B68</f>
        <v>09901048</v>
      </c>
      <c r="D1148" s="27" t="str">
        <f>'900000'!$P$19</f>
        <v>C09901015</v>
      </c>
      <c r="E1148" s="27">
        <f>'900000'!$P68</f>
        <v>0</v>
      </c>
      <c r="F1148" s="27" t="s">
        <v>19081</v>
      </c>
    </row>
    <row r="1149" spans="1:6">
      <c r="A1149" s="27" t="str">
        <f>Resultados!$K$3</f>
        <v/>
      </c>
      <c r="B1149" s="27" t="str">
        <f>Resultados!$K$4</f>
        <v/>
      </c>
      <c r="C1149" s="568" t="str">
        <f>'900000'!$B69</f>
        <v>09901049</v>
      </c>
      <c r="D1149" s="27" t="str">
        <f>'900000'!$P$19</f>
        <v>C09901015</v>
      </c>
      <c r="E1149" s="27">
        <f>'900000'!$P69</f>
        <v>0</v>
      </c>
      <c r="F1149" s="27" t="s">
        <v>19081</v>
      </c>
    </row>
    <row r="1150" spans="1:6">
      <c r="A1150" s="27" t="str">
        <f>Resultados!$K$3</f>
        <v/>
      </c>
      <c r="B1150" s="27" t="str">
        <f>Resultados!$K$4</f>
        <v/>
      </c>
      <c r="C1150" s="568" t="str">
        <f>'900000'!$B70</f>
        <v>09901050</v>
      </c>
      <c r="D1150" s="27" t="str">
        <f>'900000'!$P$19</f>
        <v>C09901015</v>
      </c>
      <c r="E1150" s="27">
        <f>'900000'!$P70</f>
        <v>0</v>
      </c>
      <c r="F1150" s="27" t="s">
        <v>19081</v>
      </c>
    </row>
    <row r="1151" spans="1:6">
      <c r="A1151" s="27" t="str">
        <f>Resultados!$K$3</f>
        <v/>
      </c>
      <c r="B1151" s="27" t="str">
        <f>Resultados!$K$4</f>
        <v/>
      </c>
      <c r="C1151" s="568" t="str">
        <f>'900000'!$B71</f>
        <v>09901051</v>
      </c>
      <c r="D1151" s="27" t="str">
        <f>'900000'!$P$19</f>
        <v>C09901015</v>
      </c>
      <c r="E1151" s="27">
        <f>'900000'!$P71</f>
        <v>0</v>
      </c>
      <c r="F1151" s="27" t="s">
        <v>19081</v>
      </c>
    </row>
    <row r="1152" spans="1:6">
      <c r="A1152" s="27" t="str">
        <f>Resultados!$K$3</f>
        <v/>
      </c>
      <c r="B1152" s="27" t="str">
        <f>Resultados!$K$4</f>
        <v/>
      </c>
      <c r="C1152" s="568" t="str">
        <f>'900000'!$B72</f>
        <v>09901052</v>
      </c>
      <c r="D1152" s="27" t="str">
        <f>'900000'!$P$19</f>
        <v>C09901015</v>
      </c>
      <c r="E1152" s="27">
        <f>'900000'!$P72</f>
        <v>0</v>
      </c>
      <c r="F1152" s="27" t="s">
        <v>19081</v>
      </c>
    </row>
    <row r="1153" spans="1:6">
      <c r="A1153" s="27" t="str">
        <f>Resultados!$K$3</f>
        <v/>
      </c>
      <c r="B1153" s="27" t="str">
        <f>Resultados!$K$4</f>
        <v/>
      </c>
      <c r="C1153" s="568" t="str">
        <f>'900000'!$B73</f>
        <v>09901053</v>
      </c>
      <c r="D1153" s="27" t="str">
        <f>'900000'!$P$19</f>
        <v>C09901015</v>
      </c>
      <c r="E1153" s="27">
        <f>'900000'!$P73</f>
        <v>0</v>
      </c>
      <c r="F1153" s="27" t="s">
        <v>19081</v>
      </c>
    </row>
    <row r="1154" spans="1:6">
      <c r="A1154" s="27" t="str">
        <f>Resultados!$K$3</f>
        <v/>
      </c>
      <c r="B1154" s="27" t="str">
        <f>Resultados!$K$4</f>
        <v/>
      </c>
      <c r="C1154" s="568" t="str">
        <f>'900000'!$B74</f>
        <v>09901054</v>
      </c>
      <c r="D1154" s="27" t="str">
        <f>'900000'!$P$19</f>
        <v>C09901015</v>
      </c>
      <c r="E1154" s="27">
        <f>'900000'!$P74</f>
        <v>0</v>
      </c>
      <c r="F1154" s="27" t="s">
        <v>19081</v>
      </c>
    </row>
    <row r="1155" spans="1:6">
      <c r="A1155" s="27" t="str">
        <f>Resultados!$K$3</f>
        <v/>
      </c>
      <c r="B1155" s="27" t="str">
        <f>Resultados!$K$4</f>
        <v/>
      </c>
      <c r="C1155" s="568" t="str">
        <f>'900000'!$B75</f>
        <v>09901055</v>
      </c>
      <c r="D1155" s="27" t="str">
        <f>'900000'!$P$19</f>
        <v>C09901015</v>
      </c>
      <c r="E1155" s="27">
        <f>'900000'!$P75</f>
        <v>0</v>
      </c>
      <c r="F1155" s="27" t="s">
        <v>19081</v>
      </c>
    </row>
    <row r="1156" spans="1:6">
      <c r="A1156" s="27" t="str">
        <f>Resultados!$K$3</f>
        <v/>
      </c>
      <c r="B1156" s="27" t="str">
        <f>Resultados!$K$4</f>
        <v/>
      </c>
      <c r="C1156" s="568" t="str">
        <f>'900000'!$B76</f>
        <v>09901056</v>
      </c>
      <c r="D1156" s="27" t="str">
        <f>'900000'!$P$19</f>
        <v>C09901015</v>
      </c>
      <c r="E1156" s="27">
        <f>'900000'!$P76</f>
        <v>0</v>
      </c>
      <c r="F1156" s="27" t="s">
        <v>19081</v>
      </c>
    </row>
    <row r="1157" spans="1:6">
      <c r="A1157" s="27" t="str">
        <f>Resultados!$K$3</f>
        <v/>
      </c>
      <c r="B1157" s="27" t="str">
        <f>Resultados!$K$4</f>
        <v/>
      </c>
      <c r="C1157" s="568" t="str">
        <f>'900000'!$B77</f>
        <v>09901057</v>
      </c>
      <c r="D1157" s="27" t="str">
        <f>'900000'!$P$19</f>
        <v>C09901015</v>
      </c>
      <c r="E1157" s="27">
        <f>'900000'!$P77</f>
        <v>0</v>
      </c>
      <c r="F1157" s="27" t="s">
        <v>19081</v>
      </c>
    </row>
    <row r="1158" spans="1:6">
      <c r="A1158" s="27" t="str">
        <f>Resultados!$K$3</f>
        <v/>
      </c>
      <c r="B1158" s="27" t="str">
        <f>Resultados!$K$4</f>
        <v/>
      </c>
      <c r="C1158" s="568" t="str">
        <f>'900000'!$B78</f>
        <v>09901058</v>
      </c>
      <c r="D1158" s="27" t="str">
        <f>'900000'!$P$19</f>
        <v>C09901015</v>
      </c>
      <c r="E1158" s="27">
        <f>'900000'!$P78</f>
        <v>0</v>
      </c>
      <c r="F1158" s="27" t="s">
        <v>19081</v>
      </c>
    </row>
    <row r="1159" spans="1:6">
      <c r="A1159" s="27" t="str">
        <f>Resultados!$K$3</f>
        <v/>
      </c>
      <c r="B1159" s="27" t="str">
        <f>Resultados!$K$4</f>
        <v/>
      </c>
      <c r="C1159" s="568" t="str">
        <f>'900000'!$B79</f>
        <v>09901059</v>
      </c>
      <c r="D1159" s="27" t="str">
        <f>'900000'!$P$19</f>
        <v>C09901015</v>
      </c>
      <c r="E1159" s="27">
        <f>'900000'!$P79</f>
        <v>0</v>
      </c>
      <c r="F1159" s="27" t="s">
        <v>19081</v>
      </c>
    </row>
    <row r="1160" spans="1:6">
      <c r="A1160" s="27" t="str">
        <f>Resultados!$K$3</f>
        <v/>
      </c>
      <c r="B1160" s="27" t="str">
        <f>Resultados!$K$4</f>
        <v/>
      </c>
      <c r="C1160" s="568" t="str">
        <f>'900000'!$B80</f>
        <v>09901060</v>
      </c>
      <c r="D1160" s="27" t="str">
        <f>'900000'!$P$19</f>
        <v>C09901015</v>
      </c>
      <c r="E1160" s="27">
        <f>'900000'!$P80</f>
        <v>0</v>
      </c>
      <c r="F1160" s="27" t="s">
        <v>19081</v>
      </c>
    </row>
    <row r="1161" spans="1:6">
      <c r="A1161" s="27" t="str">
        <f>Resultados!$K$3</f>
        <v/>
      </c>
      <c r="B1161" s="27" t="str">
        <f>Resultados!$K$4</f>
        <v/>
      </c>
      <c r="C1161" s="568" t="str">
        <f>'900000'!$B81</f>
        <v>09901061</v>
      </c>
      <c r="D1161" s="27" t="str">
        <f>'900000'!$P$19</f>
        <v>C09901015</v>
      </c>
      <c r="E1161" s="27">
        <f>'900000'!$P81</f>
        <v>0</v>
      </c>
      <c r="F1161" s="27" t="s">
        <v>19081</v>
      </c>
    </row>
    <row r="1162" spans="1:6">
      <c r="A1162" s="27" t="str">
        <f>Resultados!$K$3</f>
        <v/>
      </c>
      <c r="B1162" s="27" t="str">
        <f>Resultados!$K$4</f>
        <v/>
      </c>
      <c r="C1162" s="568" t="str">
        <f>'900000'!$B82</f>
        <v>09901062</v>
      </c>
      <c r="D1162" s="27" t="str">
        <f>'900000'!$P$19</f>
        <v>C09901015</v>
      </c>
      <c r="E1162" s="27">
        <f>'900000'!$P82</f>
        <v>0</v>
      </c>
      <c r="F1162" s="27" t="s">
        <v>19081</v>
      </c>
    </row>
    <row r="1163" spans="1:6">
      <c r="A1163" s="27" t="str">
        <f>Resultados!$K$3</f>
        <v/>
      </c>
      <c r="B1163" s="27" t="str">
        <f>Resultados!$K$4</f>
        <v/>
      </c>
      <c r="C1163" s="568" t="str">
        <f>'900000'!$B83</f>
        <v>09901063</v>
      </c>
      <c r="D1163" s="27" t="str">
        <f>'900000'!$P$19</f>
        <v>C09901015</v>
      </c>
      <c r="E1163" s="27">
        <f>'900000'!$P83</f>
        <v>0</v>
      </c>
      <c r="F1163" s="27" t="s">
        <v>19081</v>
      </c>
    </row>
    <row r="1164" spans="1:6">
      <c r="A1164" s="27" t="str">
        <f>Resultados!$K$3</f>
        <v/>
      </c>
      <c r="B1164" s="27" t="str">
        <f>Resultados!$K$4</f>
        <v/>
      </c>
      <c r="C1164" s="568" t="str">
        <f>'900000'!$B84</f>
        <v>09901064</v>
      </c>
      <c r="D1164" s="27" t="str">
        <f>'900000'!$P$19</f>
        <v>C09901015</v>
      </c>
      <c r="E1164" s="27">
        <f>'900000'!$P84</f>
        <v>0</v>
      </c>
      <c r="F1164" s="27" t="s">
        <v>19081</v>
      </c>
    </row>
    <row r="1165" spans="1:6">
      <c r="A1165" s="27" t="str">
        <f>Resultados!$K$3</f>
        <v/>
      </c>
      <c r="B1165" s="27" t="str">
        <f>Resultados!$K$4</f>
        <v/>
      </c>
      <c r="C1165" s="568" t="str">
        <f>'900000'!$B85</f>
        <v>09901065</v>
      </c>
      <c r="D1165" s="27" t="str">
        <f>'900000'!$P$19</f>
        <v>C09901015</v>
      </c>
      <c r="E1165" s="27">
        <f>'900000'!$P85</f>
        <v>0</v>
      </c>
      <c r="F1165" s="27" t="s">
        <v>19081</v>
      </c>
    </row>
    <row r="1166" spans="1:6">
      <c r="A1166" s="27" t="str">
        <f>Resultados!$K$3</f>
        <v/>
      </c>
      <c r="B1166" s="27" t="str">
        <f>Resultados!$K$4</f>
        <v/>
      </c>
      <c r="C1166" s="568" t="str">
        <f>'900000'!$B86</f>
        <v>09901066</v>
      </c>
      <c r="D1166" s="27" t="str">
        <f>'900000'!$P$19</f>
        <v>C09901015</v>
      </c>
      <c r="E1166" s="27">
        <f>'900000'!$P86</f>
        <v>0</v>
      </c>
      <c r="F1166" s="27" t="s">
        <v>19081</v>
      </c>
    </row>
    <row r="1167" spans="1:6">
      <c r="A1167" s="27" t="str">
        <f>Resultados!$K$3</f>
        <v/>
      </c>
      <c r="B1167" s="27" t="str">
        <f>Resultados!$K$4</f>
        <v/>
      </c>
      <c r="C1167" s="568" t="str">
        <f>'900000'!$B87</f>
        <v>09901067</v>
      </c>
      <c r="D1167" s="27" t="str">
        <f>'900000'!$P$19</f>
        <v>C09901015</v>
      </c>
      <c r="E1167" s="27">
        <f>'900000'!$P87</f>
        <v>0</v>
      </c>
      <c r="F1167" s="27" t="s">
        <v>19081</v>
      </c>
    </row>
    <row r="1168" spans="1:6">
      <c r="A1168" s="27" t="str">
        <f>Resultados!$K$3</f>
        <v/>
      </c>
      <c r="B1168" s="27" t="str">
        <f>Resultados!$K$4</f>
        <v/>
      </c>
      <c r="C1168" s="568" t="str">
        <f>'900000'!$B88</f>
        <v>09901068</v>
      </c>
      <c r="D1168" s="27" t="str">
        <f>'900000'!$P$19</f>
        <v>C09901015</v>
      </c>
      <c r="E1168" s="27">
        <f>'900000'!$P88</f>
        <v>0</v>
      </c>
      <c r="F1168" s="27" t="s">
        <v>19081</v>
      </c>
    </row>
    <row r="1169" spans="1:6">
      <c r="A1169" s="27" t="str">
        <f>Resultados!$K$3</f>
        <v/>
      </c>
      <c r="B1169" s="27" t="str">
        <f>Resultados!$K$4</f>
        <v/>
      </c>
      <c r="C1169" s="568" t="str">
        <f>'900000'!$B89</f>
        <v>09901069</v>
      </c>
      <c r="D1169" s="27" t="str">
        <f>'900000'!$P$19</f>
        <v>C09901015</v>
      </c>
      <c r="E1169" s="27">
        <f>'900000'!$P89</f>
        <v>0</v>
      </c>
      <c r="F1169" s="27" t="s">
        <v>19081</v>
      </c>
    </row>
    <row r="1170" spans="1:6">
      <c r="A1170" s="27" t="str">
        <f>Resultados!$K$3</f>
        <v/>
      </c>
      <c r="B1170" s="27" t="str">
        <f>Resultados!$K$4</f>
        <v/>
      </c>
      <c r="C1170" s="568" t="str">
        <f>'900000'!$B90</f>
        <v>09901070</v>
      </c>
      <c r="D1170" s="27" t="str">
        <f>'900000'!$P$19</f>
        <v>C09901015</v>
      </c>
      <c r="E1170" s="27">
        <f>'900000'!$P90</f>
        <v>0</v>
      </c>
      <c r="F1170" s="27" t="s">
        <v>19081</v>
      </c>
    </row>
    <row r="1171" spans="1:6">
      <c r="A1171" s="27" t="str">
        <f>Resultados!$K$3</f>
        <v/>
      </c>
      <c r="B1171" s="27" t="str">
        <f>Resultados!$K$4</f>
        <v/>
      </c>
      <c r="C1171" s="568" t="str">
        <f>'900000'!$B91</f>
        <v>09901071</v>
      </c>
      <c r="D1171" s="27" t="str">
        <f>'900000'!$P$19</f>
        <v>C09901015</v>
      </c>
      <c r="E1171" s="27">
        <f>'900000'!$P91</f>
        <v>0</v>
      </c>
      <c r="F1171" s="27" t="s">
        <v>19081</v>
      </c>
    </row>
    <row r="1172" spans="1:6">
      <c r="A1172" s="27" t="str">
        <f>Resultados!$K$3</f>
        <v/>
      </c>
      <c r="B1172" s="27" t="str">
        <f>Resultados!$K$4</f>
        <v/>
      </c>
      <c r="C1172" s="568" t="str">
        <f>'900000'!$B92</f>
        <v>09901072</v>
      </c>
      <c r="D1172" s="27" t="str">
        <f>'900000'!$P$19</f>
        <v>C09901015</v>
      </c>
      <c r="E1172" s="27">
        <f>'900000'!$P92</f>
        <v>0</v>
      </c>
      <c r="F1172" s="27" t="s">
        <v>19081</v>
      </c>
    </row>
    <row r="1173" spans="1:6">
      <c r="A1173" s="27" t="str">
        <f>Resultados!$K$3</f>
        <v/>
      </c>
      <c r="B1173" s="27" t="str">
        <f>Resultados!$K$4</f>
        <v/>
      </c>
      <c r="C1173" s="568" t="str">
        <f>'900000'!$B93</f>
        <v>09901073</v>
      </c>
      <c r="D1173" s="27" t="str">
        <f>'900000'!$P$19</f>
        <v>C09901015</v>
      </c>
      <c r="E1173" s="27">
        <f>'900000'!$P93</f>
        <v>0</v>
      </c>
      <c r="F1173" s="27" t="s">
        <v>19081</v>
      </c>
    </row>
    <row r="1174" spans="1:6">
      <c r="A1174" s="27" t="str">
        <f>Resultados!$K$3</f>
        <v/>
      </c>
      <c r="B1174" s="27" t="str">
        <f>Resultados!$K$4</f>
        <v/>
      </c>
      <c r="C1174" s="568" t="str">
        <f>'900000'!$B94</f>
        <v>09901074</v>
      </c>
      <c r="D1174" s="27" t="str">
        <f>'900000'!$P$19</f>
        <v>C09901015</v>
      </c>
      <c r="E1174" s="27">
        <f>'900000'!$P94</f>
        <v>0</v>
      </c>
      <c r="F1174" s="27" t="s">
        <v>19081</v>
      </c>
    </row>
    <row r="1175" spans="1:6">
      <c r="A1175" s="27" t="str">
        <f>Resultados!$K$3</f>
        <v/>
      </c>
      <c r="B1175" s="27" t="str">
        <f>Resultados!$K$4</f>
        <v/>
      </c>
      <c r="C1175" s="568" t="str">
        <f>'900000'!$B95</f>
        <v>09901075</v>
      </c>
      <c r="D1175" s="27" t="str">
        <f>'900000'!$P$19</f>
        <v>C09901015</v>
      </c>
      <c r="E1175" s="27">
        <f>'900000'!$P95</f>
        <v>0</v>
      </c>
      <c r="F1175" s="27" t="s">
        <v>19081</v>
      </c>
    </row>
    <row r="1176" spans="1:6">
      <c r="A1176" s="27" t="str">
        <f>Resultados!$K$3</f>
        <v/>
      </c>
      <c r="B1176" s="27" t="str">
        <f>Resultados!$K$4</f>
        <v/>
      </c>
      <c r="C1176" s="568" t="str">
        <f>'900000'!$B96</f>
        <v>09901076</v>
      </c>
      <c r="D1176" s="27" t="str">
        <f>'900000'!$P$19</f>
        <v>C09901015</v>
      </c>
      <c r="E1176" s="27">
        <f>'900000'!$P96</f>
        <v>0</v>
      </c>
      <c r="F1176" s="27" t="s">
        <v>19081</v>
      </c>
    </row>
    <row r="1177" spans="1:6">
      <c r="A1177" s="27" t="str">
        <f>Resultados!$K$3</f>
        <v/>
      </c>
      <c r="B1177" s="27" t="str">
        <f>Resultados!$K$4</f>
        <v/>
      </c>
      <c r="C1177" s="568" t="str">
        <f>'900000'!$B97</f>
        <v>09901077</v>
      </c>
      <c r="D1177" s="27" t="str">
        <f>'900000'!$P$19</f>
        <v>C09901015</v>
      </c>
      <c r="E1177" s="27">
        <f>'900000'!$P97</f>
        <v>0</v>
      </c>
      <c r="F1177" s="27" t="s">
        <v>19081</v>
      </c>
    </row>
    <row r="1178" spans="1:6">
      <c r="A1178" s="27" t="str">
        <f>Resultados!$K$3</f>
        <v/>
      </c>
      <c r="B1178" s="27" t="str">
        <f>Resultados!$K$4</f>
        <v/>
      </c>
      <c r="C1178" s="568" t="str">
        <f>'900000'!$B98</f>
        <v>09901078</v>
      </c>
      <c r="D1178" s="27" t="str">
        <f>'900000'!$P$19</f>
        <v>C09901015</v>
      </c>
      <c r="E1178" s="27">
        <f>'900000'!$P98</f>
        <v>0</v>
      </c>
      <c r="F1178" s="27" t="s">
        <v>19081</v>
      </c>
    </row>
    <row r="1179" spans="1:6">
      <c r="A1179" s="27" t="str">
        <f>Resultados!$K$3</f>
        <v/>
      </c>
      <c r="B1179" s="27" t="str">
        <f>Resultados!$K$4</f>
        <v/>
      </c>
      <c r="C1179" s="568" t="str">
        <f>'900000'!$B99</f>
        <v>09901079</v>
      </c>
      <c r="D1179" s="27" t="str">
        <f>'900000'!$P$19</f>
        <v>C09901015</v>
      </c>
      <c r="E1179" s="27">
        <f>'900000'!$P99</f>
        <v>0</v>
      </c>
      <c r="F1179" s="27" t="s">
        <v>19081</v>
      </c>
    </row>
    <row r="1180" spans="1:6">
      <c r="A1180" s="27" t="str">
        <f>Resultados!$K$3</f>
        <v/>
      </c>
      <c r="B1180" s="27" t="str">
        <f>Resultados!$K$4</f>
        <v/>
      </c>
      <c r="C1180" s="568" t="str">
        <f>'900000'!$B100</f>
        <v>09901080</v>
      </c>
      <c r="D1180" s="27" t="str">
        <f>'900000'!$P$19</f>
        <v>C09901015</v>
      </c>
      <c r="E1180" s="27">
        <f>'900000'!$P100</f>
        <v>0</v>
      </c>
      <c r="F1180" s="27" t="s">
        <v>19081</v>
      </c>
    </row>
    <row r="1181" spans="1:6">
      <c r="A1181" s="27" t="str">
        <f>Resultados!$K$3</f>
        <v/>
      </c>
      <c r="B1181" s="27" t="str">
        <f>Resultados!$K$4</f>
        <v/>
      </c>
      <c r="C1181" s="568" t="str">
        <f>'900000'!$B101</f>
        <v>09901081</v>
      </c>
      <c r="D1181" s="27" t="str">
        <f>'900000'!$P$19</f>
        <v>C09901015</v>
      </c>
      <c r="E1181" s="27">
        <f>'900000'!$P101</f>
        <v>0</v>
      </c>
      <c r="F1181" s="27" t="s">
        <v>19081</v>
      </c>
    </row>
    <row r="1182" spans="1:6">
      <c r="A1182" s="27" t="str">
        <f>Resultados!$K$3</f>
        <v/>
      </c>
      <c r="B1182" s="27" t="str">
        <f>Resultados!$K$4</f>
        <v/>
      </c>
      <c r="C1182" s="568" t="str">
        <f>'900000'!$B102</f>
        <v>09901082</v>
      </c>
      <c r="D1182" s="27" t="str">
        <f>'900000'!$P$19</f>
        <v>C09901015</v>
      </c>
      <c r="E1182" s="27">
        <f>'900000'!$P102</f>
        <v>0</v>
      </c>
      <c r="F1182" s="27" t="s">
        <v>19081</v>
      </c>
    </row>
    <row r="1183" spans="1:6">
      <c r="A1183" s="27" t="str">
        <f>Resultados!$K$3</f>
        <v/>
      </c>
      <c r="B1183" s="27" t="str">
        <f>Resultados!$K$4</f>
        <v/>
      </c>
      <c r="C1183" s="568" t="str">
        <f>'900000'!$B103</f>
        <v>09901083</v>
      </c>
      <c r="D1183" s="27" t="str">
        <f>'900000'!$P$19</f>
        <v>C09901015</v>
      </c>
      <c r="E1183" s="27">
        <f>'900000'!$P103</f>
        <v>0</v>
      </c>
      <c r="F1183" s="27" t="s">
        <v>19081</v>
      </c>
    </row>
    <row r="1184" spans="1:6">
      <c r="A1184" s="27" t="str">
        <f>Resultados!$K$3</f>
        <v/>
      </c>
      <c r="B1184" s="27" t="str">
        <f>Resultados!$K$4</f>
        <v/>
      </c>
      <c r="C1184" s="568" t="str">
        <f>'900000'!$B104</f>
        <v>09901084</v>
      </c>
      <c r="D1184" s="27" t="str">
        <f>'900000'!$P$19</f>
        <v>C09901015</v>
      </c>
      <c r="E1184" s="27">
        <f>'900000'!$P104</f>
        <v>0</v>
      </c>
      <c r="F1184" s="27" t="s">
        <v>19081</v>
      </c>
    </row>
    <row r="1185" spans="1:6">
      <c r="A1185" s="27" t="str">
        <f>Resultados!$K$3</f>
        <v/>
      </c>
      <c r="B1185" s="27" t="str">
        <f>Resultados!$K$4</f>
        <v/>
      </c>
      <c r="C1185" s="568" t="str">
        <f>'900000'!$B105</f>
        <v>09901085</v>
      </c>
      <c r="D1185" s="27" t="str">
        <f>'900000'!$P$19</f>
        <v>C09901015</v>
      </c>
      <c r="E1185" s="27">
        <f>'900000'!$P105</f>
        <v>0</v>
      </c>
      <c r="F1185" s="27" t="s">
        <v>19081</v>
      </c>
    </row>
    <row r="1186" spans="1:6">
      <c r="A1186" s="27" t="str">
        <f>Resultados!$K$3</f>
        <v/>
      </c>
      <c r="B1186" s="27" t="str">
        <f>Resultados!$K$4</f>
        <v/>
      </c>
      <c r="C1186" s="568" t="str">
        <f>'900000'!$B106</f>
        <v>09901086</v>
      </c>
      <c r="D1186" s="27" t="str">
        <f>'900000'!$P$19</f>
        <v>C09901015</v>
      </c>
      <c r="E1186" s="27">
        <f>'900000'!$P106</f>
        <v>0</v>
      </c>
      <c r="F1186" s="27" t="s">
        <v>19081</v>
      </c>
    </row>
    <row r="1187" spans="1:6">
      <c r="A1187" s="27" t="str">
        <f>Resultados!$K$3</f>
        <v/>
      </c>
      <c r="B1187" s="27" t="str">
        <f>Resultados!$K$4</f>
        <v/>
      </c>
      <c r="C1187" s="568" t="str">
        <f>'900000'!$B107</f>
        <v>09901087</v>
      </c>
      <c r="D1187" s="27" t="str">
        <f>'900000'!$P$19</f>
        <v>C09901015</v>
      </c>
      <c r="E1187" s="27">
        <f>'900000'!$P107</f>
        <v>0</v>
      </c>
      <c r="F1187" s="27" t="s">
        <v>19081</v>
      </c>
    </row>
    <row r="1188" spans="1:6">
      <c r="A1188" s="27" t="str">
        <f>Resultados!$K$3</f>
        <v/>
      </c>
      <c r="B1188" s="27" t="str">
        <f>Resultados!$K$4</f>
        <v/>
      </c>
      <c r="C1188" s="568" t="str">
        <f>'900000'!$B108</f>
        <v>09901088</v>
      </c>
      <c r="D1188" s="27" t="str">
        <f>'900000'!$P$19</f>
        <v>C09901015</v>
      </c>
      <c r="E1188" s="27">
        <f>'900000'!$P108</f>
        <v>0</v>
      </c>
      <c r="F1188" s="27" t="s">
        <v>19081</v>
      </c>
    </row>
    <row r="1189" spans="1:6">
      <c r="A1189" s="27" t="str">
        <f>Resultados!$K$3</f>
        <v/>
      </c>
      <c r="B1189" s="27" t="str">
        <f>Resultados!$K$4</f>
        <v/>
      </c>
      <c r="C1189" s="568" t="str">
        <f>'900000'!$B109</f>
        <v>09901089</v>
      </c>
      <c r="D1189" s="27" t="str">
        <f>'900000'!$P$19</f>
        <v>C09901015</v>
      </c>
      <c r="E1189" s="27">
        <f>'900000'!$P109</f>
        <v>0</v>
      </c>
      <c r="F1189" s="27" t="s">
        <v>19081</v>
      </c>
    </row>
    <row r="1190" spans="1:6">
      <c r="A1190" s="27" t="str">
        <f>Resultados!$K$3</f>
        <v/>
      </c>
      <c r="B1190" s="27" t="str">
        <f>Resultados!$K$4</f>
        <v/>
      </c>
      <c r="C1190" s="568" t="str">
        <f>'900000'!$B110</f>
        <v>09901090</v>
      </c>
      <c r="D1190" s="27" t="str">
        <f>'900000'!$P$19</f>
        <v>C09901015</v>
      </c>
      <c r="E1190" s="27">
        <f>'900000'!$P110</f>
        <v>0</v>
      </c>
      <c r="F1190" s="27" t="s">
        <v>19081</v>
      </c>
    </row>
    <row r="1191" spans="1:6">
      <c r="A1191" s="27" t="str">
        <f>Resultados!$K$3</f>
        <v/>
      </c>
      <c r="B1191" s="27" t="str">
        <f>Resultados!$K$4</f>
        <v/>
      </c>
      <c r="C1191" s="568" t="str">
        <f>'900000'!$B111</f>
        <v>09901091</v>
      </c>
      <c r="D1191" s="27" t="str">
        <f>'900000'!$P$19</f>
        <v>C09901015</v>
      </c>
      <c r="E1191" s="27">
        <f>'900000'!$P111</f>
        <v>0</v>
      </c>
      <c r="F1191" s="27" t="s">
        <v>19081</v>
      </c>
    </row>
    <row r="1192" spans="1:6">
      <c r="A1192" s="27" t="str">
        <f>Resultados!$K$3</f>
        <v/>
      </c>
      <c r="B1192" s="27" t="str">
        <f>Resultados!$K$4</f>
        <v/>
      </c>
      <c r="C1192" s="568" t="str">
        <f>'900000'!$B112</f>
        <v>09901092</v>
      </c>
      <c r="D1192" s="27" t="str">
        <f>'900000'!$P$19</f>
        <v>C09901015</v>
      </c>
      <c r="E1192" s="27">
        <f>'900000'!$P112</f>
        <v>0</v>
      </c>
      <c r="F1192" s="27" t="s">
        <v>19081</v>
      </c>
    </row>
    <row r="1193" spans="1:6">
      <c r="A1193" s="27" t="str">
        <f>Resultados!$K$3</f>
        <v/>
      </c>
      <c r="B1193" s="27" t="str">
        <f>Resultados!$K$4</f>
        <v/>
      </c>
      <c r="C1193" s="568" t="str">
        <f>'900000'!$B113</f>
        <v>09901093</v>
      </c>
      <c r="D1193" s="27" t="str">
        <f>'900000'!$P$19</f>
        <v>C09901015</v>
      </c>
      <c r="E1193" s="27">
        <f>'900000'!$P113</f>
        <v>0</v>
      </c>
      <c r="F1193" s="27" t="s">
        <v>19081</v>
      </c>
    </row>
    <row r="1194" spans="1:6">
      <c r="A1194" s="27" t="str">
        <f>Resultados!$K$3</f>
        <v/>
      </c>
      <c r="B1194" s="27" t="str">
        <f>Resultados!$K$4</f>
        <v/>
      </c>
      <c r="C1194" s="568" t="str">
        <f>'900000'!$B114</f>
        <v>09901094</v>
      </c>
      <c r="D1194" s="27" t="str">
        <f>'900000'!$P$19</f>
        <v>C09901015</v>
      </c>
      <c r="E1194" s="27">
        <f>'900000'!$P114</f>
        <v>0</v>
      </c>
      <c r="F1194" s="27" t="s">
        <v>19081</v>
      </c>
    </row>
    <row r="1195" spans="1:6">
      <c r="A1195" s="27" t="str">
        <f>Resultados!$K$3</f>
        <v/>
      </c>
      <c r="B1195" s="27" t="str">
        <f>Resultados!$K$4</f>
        <v/>
      </c>
      <c r="C1195" s="568" t="str">
        <f>'900000'!$B115</f>
        <v>09901095</v>
      </c>
      <c r="D1195" s="27" t="str">
        <f>'900000'!$P$19</f>
        <v>C09901015</v>
      </c>
      <c r="E1195" s="27">
        <f>'900000'!$P115</f>
        <v>0</v>
      </c>
      <c r="F1195" s="27" t="s">
        <v>19081</v>
      </c>
    </row>
    <row r="1196" spans="1:6">
      <c r="A1196" s="27" t="str">
        <f>Resultados!$K$3</f>
        <v/>
      </c>
      <c r="B1196" s="27" t="str">
        <f>Resultados!$K$4</f>
        <v/>
      </c>
      <c r="C1196" s="568" t="str">
        <f>'900000'!$B116</f>
        <v>09901096</v>
      </c>
      <c r="D1196" s="27" t="str">
        <f>'900000'!$P$19</f>
        <v>C09901015</v>
      </c>
      <c r="E1196" s="27">
        <f>'900000'!$P116</f>
        <v>0</v>
      </c>
      <c r="F1196" s="27" t="s">
        <v>19081</v>
      </c>
    </row>
    <row r="1197" spans="1:6">
      <c r="A1197" s="27" t="str">
        <f>Resultados!$K$3</f>
        <v/>
      </c>
      <c r="B1197" s="27" t="str">
        <f>Resultados!$K$4</f>
        <v/>
      </c>
      <c r="C1197" s="568" t="str">
        <f>'900000'!$B117</f>
        <v>09901097</v>
      </c>
      <c r="D1197" s="27" t="str">
        <f>'900000'!$P$19</f>
        <v>C09901015</v>
      </c>
      <c r="E1197" s="27">
        <f>'900000'!$P117</f>
        <v>0</v>
      </c>
      <c r="F1197" s="27" t="s">
        <v>19081</v>
      </c>
    </row>
    <row r="1198" spans="1:6">
      <c r="A1198" s="27" t="str">
        <f>Resultados!$K$3</f>
        <v/>
      </c>
      <c r="B1198" s="27" t="str">
        <f>Resultados!$K$4</f>
        <v/>
      </c>
      <c r="C1198" s="568" t="str">
        <f>'900000'!$B118</f>
        <v>09901098</v>
      </c>
      <c r="D1198" s="27" t="str">
        <f>'900000'!$P$19</f>
        <v>C09901015</v>
      </c>
      <c r="E1198" s="27">
        <f>'900000'!$P118</f>
        <v>0</v>
      </c>
      <c r="F1198" s="27" t="s">
        <v>19081</v>
      </c>
    </row>
    <row r="1199" spans="1:6">
      <c r="A1199" s="27" t="str">
        <f>Resultados!$K$3</f>
        <v/>
      </c>
      <c r="B1199" s="27" t="str">
        <f>Resultados!$K$4</f>
        <v/>
      </c>
      <c r="C1199" s="568" t="str">
        <f>'900000'!$B119</f>
        <v>09901099</v>
      </c>
      <c r="D1199" s="27" t="str">
        <f>'900000'!$P$19</f>
        <v>C09901015</v>
      </c>
      <c r="E1199" s="27">
        <f>'900000'!$P119</f>
        <v>0</v>
      </c>
      <c r="F1199" s="27" t="s">
        <v>19081</v>
      </c>
    </row>
    <row r="1200" spans="1:6">
      <c r="A1200" s="27" t="str">
        <f>Resultados!$K$3</f>
        <v/>
      </c>
      <c r="B1200" s="27" t="str">
        <f>Resultados!$K$4</f>
        <v/>
      </c>
      <c r="C1200" s="568" t="str">
        <f>'900000'!$B120</f>
        <v>09901100</v>
      </c>
      <c r="D1200" s="27" t="str">
        <f>'900000'!$P$19</f>
        <v>C09901015</v>
      </c>
      <c r="E1200" s="27">
        <f>'900000'!$P120</f>
        <v>0</v>
      </c>
      <c r="F1200" s="27" t="s">
        <v>19081</v>
      </c>
    </row>
    <row r="1201" spans="1:6">
      <c r="A1201" s="27" t="str">
        <f>Resultados!$K$3</f>
        <v/>
      </c>
      <c r="B1201" s="27" t="str">
        <f>Resultados!$K$4</f>
        <v/>
      </c>
      <c r="C1201" s="568" t="str">
        <f>'900000'!$B121</f>
        <v>09901101</v>
      </c>
      <c r="D1201" s="27" t="str">
        <f>'900000'!$P$19</f>
        <v>C09901015</v>
      </c>
      <c r="E1201" s="27">
        <f>'900000'!$P121</f>
        <v>0</v>
      </c>
      <c r="F1201" s="27" t="s">
        <v>19081</v>
      </c>
    </row>
    <row r="1202" spans="1:6">
      <c r="A1202" s="27" t="str">
        <f>Resultados!$K$3</f>
        <v/>
      </c>
      <c r="B1202" s="27" t="str">
        <f>Resultados!$K$4</f>
        <v/>
      </c>
      <c r="C1202" s="568" t="str">
        <f>'900000'!$B22</f>
        <v>09901002</v>
      </c>
      <c r="D1202" t="str">
        <f>'900000'!$Q$19</f>
        <v>C09901016</v>
      </c>
      <c r="E1202" s="684">
        <f>'900000'!$Q22</f>
        <v>0</v>
      </c>
      <c r="F1202" s="27" t="s">
        <v>19081</v>
      </c>
    </row>
    <row r="1203" spans="1:6">
      <c r="A1203" s="27" t="str">
        <f>Resultados!$K$3</f>
        <v/>
      </c>
      <c r="B1203" s="27" t="str">
        <f>Resultados!$K$4</f>
        <v/>
      </c>
      <c r="C1203" s="568" t="str">
        <f>'900000'!$B23</f>
        <v>09901003</v>
      </c>
      <c r="D1203" s="27" t="str">
        <f>'900000'!$Q$19</f>
        <v>C09901016</v>
      </c>
      <c r="E1203" s="684">
        <f>'900000'!$Q23</f>
        <v>0</v>
      </c>
      <c r="F1203" s="27" t="s">
        <v>19081</v>
      </c>
    </row>
    <row r="1204" spans="1:6">
      <c r="A1204" s="27" t="str">
        <f>Resultados!$K$3</f>
        <v/>
      </c>
      <c r="B1204" s="27" t="str">
        <f>Resultados!$K$4</f>
        <v/>
      </c>
      <c r="C1204" s="568" t="str">
        <f>'900000'!$B24</f>
        <v>09901004</v>
      </c>
      <c r="D1204" s="27" t="str">
        <f>'900000'!$Q$19</f>
        <v>C09901016</v>
      </c>
      <c r="E1204" s="684">
        <f>'900000'!$Q24</f>
        <v>0</v>
      </c>
      <c r="F1204" s="27" t="s">
        <v>19081</v>
      </c>
    </row>
    <row r="1205" spans="1:6">
      <c r="A1205" s="27" t="str">
        <f>Resultados!$K$3</f>
        <v/>
      </c>
      <c r="B1205" s="27" t="str">
        <f>Resultados!$K$4</f>
        <v/>
      </c>
      <c r="C1205" s="568" t="str">
        <f>'900000'!$B25</f>
        <v>09901005</v>
      </c>
      <c r="D1205" s="27" t="str">
        <f>'900000'!$Q$19</f>
        <v>C09901016</v>
      </c>
      <c r="E1205" s="684">
        <f>'900000'!$Q25</f>
        <v>0</v>
      </c>
      <c r="F1205" s="27" t="s">
        <v>19081</v>
      </c>
    </row>
    <row r="1206" spans="1:6">
      <c r="A1206" s="27" t="str">
        <f>Resultados!$K$3</f>
        <v/>
      </c>
      <c r="B1206" s="27" t="str">
        <f>Resultados!$K$4</f>
        <v/>
      </c>
      <c r="C1206" s="568" t="str">
        <f>'900000'!$B26</f>
        <v>09901006</v>
      </c>
      <c r="D1206" s="27" t="str">
        <f>'900000'!$Q$19</f>
        <v>C09901016</v>
      </c>
      <c r="E1206" s="684">
        <f>'900000'!$Q26</f>
        <v>0</v>
      </c>
      <c r="F1206" s="27" t="s">
        <v>19081</v>
      </c>
    </row>
    <row r="1207" spans="1:6">
      <c r="A1207" s="27" t="str">
        <f>Resultados!$K$3</f>
        <v/>
      </c>
      <c r="B1207" s="27" t="str">
        <f>Resultados!$K$4</f>
        <v/>
      </c>
      <c r="C1207" s="568" t="str">
        <f>'900000'!$B27</f>
        <v>09901007</v>
      </c>
      <c r="D1207" s="27" t="str">
        <f>'900000'!$Q$19</f>
        <v>C09901016</v>
      </c>
      <c r="E1207" s="684">
        <f>'900000'!$Q27</f>
        <v>0</v>
      </c>
      <c r="F1207" s="27" t="s">
        <v>19081</v>
      </c>
    </row>
    <row r="1208" spans="1:6">
      <c r="A1208" s="27" t="str">
        <f>Resultados!$K$3</f>
        <v/>
      </c>
      <c r="B1208" s="27" t="str">
        <f>Resultados!$K$4</f>
        <v/>
      </c>
      <c r="C1208" s="568" t="str">
        <f>'900000'!$B28</f>
        <v>09901008</v>
      </c>
      <c r="D1208" s="27" t="str">
        <f>'900000'!$Q$19</f>
        <v>C09901016</v>
      </c>
      <c r="E1208" s="684">
        <f>'900000'!$Q28</f>
        <v>0</v>
      </c>
      <c r="F1208" s="27" t="s">
        <v>19081</v>
      </c>
    </row>
    <row r="1209" spans="1:6">
      <c r="A1209" s="27" t="str">
        <f>Resultados!$K$3</f>
        <v/>
      </c>
      <c r="B1209" s="27" t="str">
        <f>Resultados!$K$4</f>
        <v/>
      </c>
      <c r="C1209" s="568" t="str">
        <f>'900000'!$B29</f>
        <v>09901009</v>
      </c>
      <c r="D1209" s="27" t="str">
        <f>'900000'!$Q$19</f>
        <v>C09901016</v>
      </c>
      <c r="E1209" s="684">
        <f>'900000'!$Q29</f>
        <v>0</v>
      </c>
      <c r="F1209" s="27" t="s">
        <v>19081</v>
      </c>
    </row>
    <row r="1210" spans="1:6">
      <c r="A1210" s="27" t="str">
        <f>Resultados!$K$3</f>
        <v/>
      </c>
      <c r="B1210" s="27" t="str">
        <f>Resultados!$K$4</f>
        <v/>
      </c>
      <c r="C1210" s="568" t="str">
        <f>'900000'!$B30</f>
        <v>09901010</v>
      </c>
      <c r="D1210" s="27" t="str">
        <f>'900000'!$Q$19</f>
        <v>C09901016</v>
      </c>
      <c r="E1210" s="684">
        <f>'900000'!$Q30</f>
        <v>0</v>
      </c>
      <c r="F1210" s="27" t="s">
        <v>19081</v>
      </c>
    </row>
    <row r="1211" spans="1:6">
      <c r="A1211" s="27" t="str">
        <f>Resultados!$K$3</f>
        <v/>
      </c>
      <c r="B1211" s="27" t="str">
        <f>Resultados!$K$4</f>
        <v/>
      </c>
      <c r="C1211" s="568" t="str">
        <f>'900000'!$B31</f>
        <v>09901011</v>
      </c>
      <c r="D1211" s="27" t="str">
        <f>'900000'!$Q$19</f>
        <v>C09901016</v>
      </c>
      <c r="E1211" s="684">
        <f>'900000'!$Q31</f>
        <v>0</v>
      </c>
      <c r="F1211" s="27" t="s">
        <v>19081</v>
      </c>
    </row>
    <row r="1212" spans="1:6">
      <c r="A1212" s="27" t="str">
        <f>Resultados!$K$3</f>
        <v/>
      </c>
      <c r="B1212" s="27" t="str">
        <f>Resultados!$K$4</f>
        <v/>
      </c>
      <c r="C1212" s="568" t="str">
        <f>'900000'!$B32</f>
        <v>09901012</v>
      </c>
      <c r="D1212" s="27" t="str">
        <f>'900000'!$Q$19</f>
        <v>C09901016</v>
      </c>
      <c r="E1212" s="684">
        <f>'900000'!$Q32</f>
        <v>0</v>
      </c>
      <c r="F1212" s="27" t="s">
        <v>19081</v>
      </c>
    </row>
    <row r="1213" spans="1:6">
      <c r="A1213" s="27" t="str">
        <f>Resultados!$K$3</f>
        <v/>
      </c>
      <c r="B1213" s="27" t="str">
        <f>Resultados!$K$4</f>
        <v/>
      </c>
      <c r="C1213" s="568" t="str">
        <f>'900000'!$B33</f>
        <v>09901013</v>
      </c>
      <c r="D1213" s="27" t="str">
        <f>'900000'!$Q$19</f>
        <v>C09901016</v>
      </c>
      <c r="E1213" s="684">
        <f>'900000'!$Q33</f>
        <v>0</v>
      </c>
      <c r="F1213" s="27" t="s">
        <v>19081</v>
      </c>
    </row>
    <row r="1214" spans="1:6">
      <c r="A1214" s="27" t="str">
        <f>Resultados!$K$3</f>
        <v/>
      </c>
      <c r="B1214" s="27" t="str">
        <f>Resultados!$K$4</f>
        <v/>
      </c>
      <c r="C1214" s="568" t="str">
        <f>'900000'!$B34</f>
        <v>09901014</v>
      </c>
      <c r="D1214" s="27" t="str">
        <f>'900000'!$Q$19</f>
        <v>C09901016</v>
      </c>
      <c r="E1214" s="684">
        <f>'900000'!$Q34</f>
        <v>0</v>
      </c>
      <c r="F1214" s="27" t="s">
        <v>19081</v>
      </c>
    </row>
    <row r="1215" spans="1:6">
      <c r="A1215" s="27" t="str">
        <f>Resultados!$K$3</f>
        <v/>
      </c>
      <c r="B1215" s="27" t="str">
        <f>Resultados!$K$4</f>
        <v/>
      </c>
      <c r="C1215" s="568" t="str">
        <f>'900000'!$B35</f>
        <v>09901015</v>
      </c>
      <c r="D1215" s="27" t="str">
        <f>'900000'!$Q$19</f>
        <v>C09901016</v>
      </c>
      <c r="E1215" s="684">
        <f>'900000'!$Q35</f>
        <v>0</v>
      </c>
      <c r="F1215" s="27" t="s">
        <v>19081</v>
      </c>
    </row>
    <row r="1216" spans="1:6">
      <c r="A1216" s="27" t="str">
        <f>Resultados!$K$3</f>
        <v/>
      </c>
      <c r="B1216" s="27" t="str">
        <f>Resultados!$K$4</f>
        <v/>
      </c>
      <c r="C1216" s="568" t="str">
        <f>'900000'!$B36</f>
        <v>09901016</v>
      </c>
      <c r="D1216" s="27" t="str">
        <f>'900000'!$Q$19</f>
        <v>C09901016</v>
      </c>
      <c r="E1216" s="684">
        <f>'900000'!$Q36</f>
        <v>0</v>
      </c>
      <c r="F1216" s="27" t="s">
        <v>19081</v>
      </c>
    </row>
    <row r="1217" spans="1:6">
      <c r="A1217" s="27" t="str">
        <f>Resultados!$K$3</f>
        <v/>
      </c>
      <c r="B1217" s="27" t="str">
        <f>Resultados!$K$4</f>
        <v/>
      </c>
      <c r="C1217" s="568" t="str">
        <f>'900000'!$B37</f>
        <v>09901017</v>
      </c>
      <c r="D1217" s="27" t="str">
        <f>'900000'!$Q$19</f>
        <v>C09901016</v>
      </c>
      <c r="E1217" s="684">
        <f>'900000'!$Q37</f>
        <v>0</v>
      </c>
      <c r="F1217" s="27" t="s">
        <v>19081</v>
      </c>
    </row>
    <row r="1218" spans="1:6">
      <c r="A1218" s="27" t="str">
        <f>Resultados!$K$3</f>
        <v/>
      </c>
      <c r="B1218" s="27" t="str">
        <f>Resultados!$K$4</f>
        <v/>
      </c>
      <c r="C1218" s="568" t="str">
        <f>'900000'!$B38</f>
        <v>09901018</v>
      </c>
      <c r="D1218" s="27" t="str">
        <f>'900000'!$Q$19</f>
        <v>C09901016</v>
      </c>
      <c r="E1218" s="684">
        <f>'900000'!$Q38</f>
        <v>0</v>
      </c>
      <c r="F1218" s="27" t="s">
        <v>19081</v>
      </c>
    </row>
    <row r="1219" spans="1:6">
      <c r="A1219" s="27" t="str">
        <f>Resultados!$K$3</f>
        <v/>
      </c>
      <c r="B1219" s="27" t="str">
        <f>Resultados!$K$4</f>
        <v/>
      </c>
      <c r="C1219" s="568" t="str">
        <f>'900000'!$B39</f>
        <v>09901019</v>
      </c>
      <c r="D1219" s="27" t="str">
        <f>'900000'!$Q$19</f>
        <v>C09901016</v>
      </c>
      <c r="E1219" s="684">
        <f>'900000'!$Q39</f>
        <v>0</v>
      </c>
      <c r="F1219" s="27" t="s">
        <v>19081</v>
      </c>
    </row>
    <row r="1220" spans="1:6">
      <c r="A1220" s="27" t="str">
        <f>Resultados!$K$3</f>
        <v/>
      </c>
      <c r="B1220" s="27" t="str">
        <f>Resultados!$K$4</f>
        <v/>
      </c>
      <c r="C1220" s="568" t="str">
        <f>'900000'!$B40</f>
        <v>09901020</v>
      </c>
      <c r="D1220" s="27" t="str">
        <f>'900000'!$Q$19</f>
        <v>C09901016</v>
      </c>
      <c r="E1220" s="684">
        <f>'900000'!$Q40</f>
        <v>0</v>
      </c>
      <c r="F1220" s="27" t="s">
        <v>19081</v>
      </c>
    </row>
    <row r="1221" spans="1:6">
      <c r="A1221" s="27" t="str">
        <f>Resultados!$K$3</f>
        <v/>
      </c>
      <c r="B1221" s="27" t="str">
        <f>Resultados!$K$4</f>
        <v/>
      </c>
      <c r="C1221" s="568" t="str">
        <f>'900000'!$B41</f>
        <v>09901021</v>
      </c>
      <c r="D1221" s="27" t="str">
        <f>'900000'!$Q$19</f>
        <v>C09901016</v>
      </c>
      <c r="E1221" s="684">
        <f>'900000'!$Q41</f>
        <v>0</v>
      </c>
      <c r="F1221" s="27" t="s">
        <v>19081</v>
      </c>
    </row>
    <row r="1222" spans="1:6">
      <c r="A1222" s="27" t="str">
        <f>Resultados!$K$3</f>
        <v/>
      </c>
      <c r="B1222" s="27" t="str">
        <f>Resultados!$K$4</f>
        <v/>
      </c>
      <c r="C1222" s="568" t="str">
        <f>'900000'!$B42</f>
        <v>09901022</v>
      </c>
      <c r="D1222" s="27" t="str">
        <f>'900000'!$Q$19</f>
        <v>C09901016</v>
      </c>
      <c r="E1222" s="684">
        <f>'900000'!$Q42</f>
        <v>0</v>
      </c>
      <c r="F1222" s="27" t="s">
        <v>19081</v>
      </c>
    </row>
    <row r="1223" spans="1:6">
      <c r="A1223" s="27" t="str">
        <f>Resultados!$K$3</f>
        <v/>
      </c>
      <c r="B1223" s="27" t="str">
        <f>Resultados!$K$4</f>
        <v/>
      </c>
      <c r="C1223" s="568" t="str">
        <f>'900000'!$B43</f>
        <v>09901023</v>
      </c>
      <c r="D1223" s="27" t="str">
        <f>'900000'!$Q$19</f>
        <v>C09901016</v>
      </c>
      <c r="E1223" s="684">
        <f>'900000'!$Q43</f>
        <v>0</v>
      </c>
      <c r="F1223" s="27" t="s">
        <v>19081</v>
      </c>
    </row>
    <row r="1224" spans="1:6">
      <c r="A1224" s="27" t="str">
        <f>Resultados!$K$3</f>
        <v/>
      </c>
      <c r="B1224" s="27" t="str">
        <f>Resultados!$K$4</f>
        <v/>
      </c>
      <c r="C1224" s="568" t="str">
        <f>'900000'!$B44</f>
        <v>09901024</v>
      </c>
      <c r="D1224" s="27" t="str">
        <f>'900000'!$Q$19</f>
        <v>C09901016</v>
      </c>
      <c r="E1224" s="684">
        <f>'900000'!$Q44</f>
        <v>0</v>
      </c>
      <c r="F1224" s="27" t="s">
        <v>19081</v>
      </c>
    </row>
    <row r="1225" spans="1:6">
      <c r="A1225" s="27" t="str">
        <f>Resultados!$K$3</f>
        <v/>
      </c>
      <c r="B1225" s="27" t="str">
        <f>Resultados!$K$4</f>
        <v/>
      </c>
      <c r="C1225" s="568" t="str">
        <f>'900000'!$B45</f>
        <v>09901025</v>
      </c>
      <c r="D1225" s="27" t="str">
        <f>'900000'!$Q$19</f>
        <v>C09901016</v>
      </c>
      <c r="E1225" s="684">
        <f>'900000'!$Q45</f>
        <v>0</v>
      </c>
      <c r="F1225" s="27" t="s">
        <v>19081</v>
      </c>
    </row>
    <row r="1226" spans="1:6">
      <c r="A1226" s="27" t="str">
        <f>Resultados!$K$3</f>
        <v/>
      </c>
      <c r="B1226" s="27" t="str">
        <f>Resultados!$K$4</f>
        <v/>
      </c>
      <c r="C1226" s="568" t="str">
        <f>'900000'!$B46</f>
        <v>09901026</v>
      </c>
      <c r="D1226" s="27" t="str">
        <f>'900000'!$Q$19</f>
        <v>C09901016</v>
      </c>
      <c r="E1226" s="684">
        <f>'900000'!$Q46</f>
        <v>0</v>
      </c>
      <c r="F1226" s="27" t="s">
        <v>19081</v>
      </c>
    </row>
    <row r="1227" spans="1:6">
      <c r="A1227" s="27" t="str">
        <f>Resultados!$K$3</f>
        <v/>
      </c>
      <c r="B1227" s="27" t="str">
        <f>Resultados!$K$4</f>
        <v/>
      </c>
      <c r="C1227" s="568" t="str">
        <f>'900000'!$B47</f>
        <v>09901027</v>
      </c>
      <c r="D1227" s="27" t="str">
        <f>'900000'!$Q$19</f>
        <v>C09901016</v>
      </c>
      <c r="E1227" s="684">
        <f>'900000'!$Q47</f>
        <v>0</v>
      </c>
      <c r="F1227" s="27" t="s">
        <v>19081</v>
      </c>
    </row>
    <row r="1228" spans="1:6">
      <c r="A1228" s="27" t="str">
        <f>Resultados!$K$3</f>
        <v/>
      </c>
      <c r="B1228" s="27" t="str">
        <f>Resultados!$K$4</f>
        <v/>
      </c>
      <c r="C1228" s="568" t="str">
        <f>'900000'!$B48</f>
        <v>09901028</v>
      </c>
      <c r="D1228" s="27" t="str">
        <f>'900000'!$Q$19</f>
        <v>C09901016</v>
      </c>
      <c r="E1228" s="684">
        <f>'900000'!$Q48</f>
        <v>0</v>
      </c>
      <c r="F1228" s="27" t="s">
        <v>19081</v>
      </c>
    </row>
    <row r="1229" spans="1:6">
      <c r="A1229" s="27" t="str">
        <f>Resultados!$K$3</f>
        <v/>
      </c>
      <c r="B1229" s="27" t="str">
        <f>Resultados!$K$4</f>
        <v/>
      </c>
      <c r="C1229" s="568" t="str">
        <f>'900000'!$B49</f>
        <v>09901029</v>
      </c>
      <c r="D1229" s="27" t="str">
        <f>'900000'!$Q$19</f>
        <v>C09901016</v>
      </c>
      <c r="E1229" s="684">
        <f>'900000'!$Q49</f>
        <v>0</v>
      </c>
      <c r="F1229" s="27" t="s">
        <v>19081</v>
      </c>
    </row>
    <row r="1230" spans="1:6">
      <c r="A1230" s="27" t="str">
        <f>Resultados!$K$3</f>
        <v/>
      </c>
      <c r="B1230" s="27" t="str">
        <f>Resultados!$K$4</f>
        <v/>
      </c>
      <c r="C1230" s="568" t="str">
        <f>'900000'!$B50</f>
        <v>09901030</v>
      </c>
      <c r="D1230" s="27" t="str">
        <f>'900000'!$Q$19</f>
        <v>C09901016</v>
      </c>
      <c r="E1230" s="684">
        <f>'900000'!$Q50</f>
        <v>0</v>
      </c>
      <c r="F1230" s="27" t="s">
        <v>19081</v>
      </c>
    </row>
    <row r="1231" spans="1:6">
      <c r="A1231" s="27" t="str">
        <f>Resultados!$K$3</f>
        <v/>
      </c>
      <c r="B1231" s="27" t="str">
        <f>Resultados!$K$4</f>
        <v/>
      </c>
      <c r="C1231" s="568" t="str">
        <f>'900000'!$B51</f>
        <v>09901031</v>
      </c>
      <c r="D1231" s="27" t="str">
        <f>'900000'!$Q$19</f>
        <v>C09901016</v>
      </c>
      <c r="E1231" s="684">
        <f>'900000'!$Q51</f>
        <v>0</v>
      </c>
      <c r="F1231" s="27" t="s">
        <v>19081</v>
      </c>
    </row>
    <row r="1232" spans="1:6">
      <c r="A1232" s="27" t="str">
        <f>Resultados!$K$3</f>
        <v/>
      </c>
      <c r="B1232" s="27" t="str">
        <f>Resultados!$K$4</f>
        <v/>
      </c>
      <c r="C1232" s="568" t="str">
        <f>'900000'!$B52</f>
        <v>09901032</v>
      </c>
      <c r="D1232" s="27" t="str">
        <f>'900000'!$Q$19</f>
        <v>C09901016</v>
      </c>
      <c r="E1232" s="684">
        <f>'900000'!$Q52</f>
        <v>0</v>
      </c>
      <c r="F1232" s="27" t="s">
        <v>19081</v>
      </c>
    </row>
    <row r="1233" spans="1:6">
      <c r="A1233" s="27" t="str">
        <f>Resultados!$K$3</f>
        <v/>
      </c>
      <c r="B1233" s="27" t="str">
        <f>Resultados!$K$4</f>
        <v/>
      </c>
      <c r="C1233" s="568" t="str">
        <f>'900000'!$B53</f>
        <v>09901033</v>
      </c>
      <c r="D1233" s="27" t="str">
        <f>'900000'!$Q$19</f>
        <v>C09901016</v>
      </c>
      <c r="E1233" s="684">
        <f>'900000'!$Q53</f>
        <v>0</v>
      </c>
      <c r="F1233" s="27" t="s">
        <v>19081</v>
      </c>
    </row>
    <row r="1234" spans="1:6">
      <c r="A1234" s="27" t="str">
        <f>Resultados!$K$3</f>
        <v/>
      </c>
      <c r="B1234" s="27" t="str">
        <f>Resultados!$K$4</f>
        <v/>
      </c>
      <c r="C1234" s="568" t="str">
        <f>'900000'!$B54</f>
        <v>09901034</v>
      </c>
      <c r="D1234" s="27" t="str">
        <f>'900000'!$Q$19</f>
        <v>C09901016</v>
      </c>
      <c r="E1234" s="684">
        <f>'900000'!$Q54</f>
        <v>0</v>
      </c>
      <c r="F1234" s="27" t="s">
        <v>19081</v>
      </c>
    </row>
    <row r="1235" spans="1:6">
      <c r="A1235" s="27" t="str">
        <f>Resultados!$K$3</f>
        <v/>
      </c>
      <c r="B1235" s="27" t="str">
        <f>Resultados!$K$4</f>
        <v/>
      </c>
      <c r="C1235" s="568" t="str">
        <f>'900000'!$B55</f>
        <v>09901035</v>
      </c>
      <c r="D1235" s="27" t="str">
        <f>'900000'!$Q$19</f>
        <v>C09901016</v>
      </c>
      <c r="E1235" s="684">
        <f>'900000'!$Q55</f>
        <v>0</v>
      </c>
      <c r="F1235" s="27" t="s">
        <v>19081</v>
      </c>
    </row>
    <row r="1236" spans="1:6">
      <c r="A1236" s="27" t="str">
        <f>Resultados!$K$3</f>
        <v/>
      </c>
      <c r="B1236" s="27" t="str">
        <f>Resultados!$K$4</f>
        <v/>
      </c>
      <c r="C1236" s="568" t="str">
        <f>'900000'!$B56</f>
        <v>09901036</v>
      </c>
      <c r="D1236" s="27" t="str">
        <f>'900000'!$Q$19</f>
        <v>C09901016</v>
      </c>
      <c r="E1236" s="684">
        <f>'900000'!$Q56</f>
        <v>0</v>
      </c>
      <c r="F1236" s="27" t="s">
        <v>19081</v>
      </c>
    </row>
    <row r="1237" spans="1:6">
      <c r="A1237" s="27" t="str">
        <f>Resultados!$K$3</f>
        <v/>
      </c>
      <c r="B1237" s="27" t="str">
        <f>Resultados!$K$4</f>
        <v/>
      </c>
      <c r="C1237" s="568" t="str">
        <f>'900000'!$B57</f>
        <v>09901037</v>
      </c>
      <c r="D1237" s="27" t="str">
        <f>'900000'!$Q$19</f>
        <v>C09901016</v>
      </c>
      <c r="E1237" s="684">
        <f>'900000'!$Q57</f>
        <v>0</v>
      </c>
      <c r="F1237" s="27" t="s">
        <v>19081</v>
      </c>
    </row>
    <row r="1238" spans="1:6">
      <c r="A1238" s="27" t="str">
        <f>Resultados!$K$3</f>
        <v/>
      </c>
      <c r="B1238" s="27" t="str">
        <f>Resultados!$K$4</f>
        <v/>
      </c>
      <c r="C1238" s="568" t="str">
        <f>'900000'!$B58</f>
        <v>09901038</v>
      </c>
      <c r="D1238" s="27" t="str">
        <f>'900000'!$Q$19</f>
        <v>C09901016</v>
      </c>
      <c r="E1238" s="684">
        <f>'900000'!$Q58</f>
        <v>0</v>
      </c>
      <c r="F1238" s="27" t="s">
        <v>19081</v>
      </c>
    </row>
    <row r="1239" spans="1:6">
      <c r="A1239" s="27" t="str">
        <f>Resultados!$K$3</f>
        <v/>
      </c>
      <c r="B1239" s="27" t="str">
        <f>Resultados!$K$4</f>
        <v/>
      </c>
      <c r="C1239" s="568" t="str">
        <f>'900000'!$B59</f>
        <v>09901039</v>
      </c>
      <c r="D1239" s="27" t="str">
        <f>'900000'!$Q$19</f>
        <v>C09901016</v>
      </c>
      <c r="E1239" s="684">
        <f>'900000'!$Q59</f>
        <v>0</v>
      </c>
      <c r="F1239" s="27" t="s">
        <v>19081</v>
      </c>
    </row>
    <row r="1240" spans="1:6">
      <c r="A1240" s="27" t="str">
        <f>Resultados!$K$3</f>
        <v/>
      </c>
      <c r="B1240" s="27" t="str">
        <f>Resultados!$K$4</f>
        <v/>
      </c>
      <c r="C1240" s="568" t="str">
        <f>'900000'!$B60</f>
        <v>09901040</v>
      </c>
      <c r="D1240" s="27" t="str">
        <f>'900000'!$Q$19</f>
        <v>C09901016</v>
      </c>
      <c r="E1240" s="684">
        <f>'900000'!$Q60</f>
        <v>0</v>
      </c>
      <c r="F1240" s="27" t="s">
        <v>19081</v>
      </c>
    </row>
    <row r="1241" spans="1:6">
      <c r="A1241" s="27" t="str">
        <f>Resultados!$K$3</f>
        <v/>
      </c>
      <c r="B1241" s="27" t="str">
        <f>Resultados!$K$4</f>
        <v/>
      </c>
      <c r="C1241" s="568" t="str">
        <f>'900000'!$B61</f>
        <v>09901041</v>
      </c>
      <c r="D1241" s="27" t="str">
        <f>'900000'!$Q$19</f>
        <v>C09901016</v>
      </c>
      <c r="E1241" s="684">
        <f>'900000'!$Q61</f>
        <v>0</v>
      </c>
      <c r="F1241" s="27" t="s">
        <v>19081</v>
      </c>
    </row>
    <row r="1242" spans="1:6">
      <c r="A1242" s="27" t="str">
        <f>Resultados!$K$3</f>
        <v/>
      </c>
      <c r="B1242" s="27" t="str">
        <f>Resultados!$K$4</f>
        <v/>
      </c>
      <c r="C1242" s="568" t="str">
        <f>'900000'!$B62</f>
        <v>09901042</v>
      </c>
      <c r="D1242" s="27" t="str">
        <f>'900000'!$Q$19</f>
        <v>C09901016</v>
      </c>
      <c r="E1242" s="684">
        <f>'900000'!$Q62</f>
        <v>0</v>
      </c>
      <c r="F1242" s="27" t="s">
        <v>19081</v>
      </c>
    </row>
    <row r="1243" spans="1:6">
      <c r="A1243" s="27" t="str">
        <f>Resultados!$K$3</f>
        <v/>
      </c>
      <c r="B1243" s="27" t="str">
        <f>Resultados!$K$4</f>
        <v/>
      </c>
      <c r="C1243" s="568" t="str">
        <f>'900000'!$B63</f>
        <v>09901043</v>
      </c>
      <c r="D1243" s="27" t="str">
        <f>'900000'!$Q$19</f>
        <v>C09901016</v>
      </c>
      <c r="E1243" s="684">
        <f>'900000'!$Q63</f>
        <v>0</v>
      </c>
      <c r="F1243" s="27" t="s">
        <v>19081</v>
      </c>
    </row>
    <row r="1244" spans="1:6">
      <c r="A1244" s="27" t="str">
        <f>Resultados!$K$3</f>
        <v/>
      </c>
      <c r="B1244" s="27" t="str">
        <f>Resultados!$K$4</f>
        <v/>
      </c>
      <c r="C1244" s="568" t="str">
        <f>'900000'!$B64</f>
        <v>09901044</v>
      </c>
      <c r="D1244" s="27" t="str">
        <f>'900000'!$Q$19</f>
        <v>C09901016</v>
      </c>
      <c r="E1244" s="684">
        <f>'900000'!$Q64</f>
        <v>0</v>
      </c>
      <c r="F1244" s="27" t="s">
        <v>19081</v>
      </c>
    </row>
    <row r="1245" spans="1:6">
      <c r="A1245" s="27" t="str">
        <f>Resultados!$K$3</f>
        <v/>
      </c>
      <c r="B1245" s="27" t="str">
        <f>Resultados!$K$4</f>
        <v/>
      </c>
      <c r="C1245" s="568" t="str">
        <f>'900000'!$B65</f>
        <v>09901045</v>
      </c>
      <c r="D1245" s="27" t="str">
        <f>'900000'!$Q$19</f>
        <v>C09901016</v>
      </c>
      <c r="E1245" s="684">
        <f>'900000'!$Q65</f>
        <v>0</v>
      </c>
      <c r="F1245" s="27" t="s">
        <v>19081</v>
      </c>
    </row>
    <row r="1246" spans="1:6">
      <c r="A1246" s="27" t="str">
        <f>Resultados!$K$3</f>
        <v/>
      </c>
      <c r="B1246" s="27" t="str">
        <f>Resultados!$K$4</f>
        <v/>
      </c>
      <c r="C1246" s="568" t="str">
        <f>'900000'!$B66</f>
        <v>09901046</v>
      </c>
      <c r="D1246" s="27" t="str">
        <f>'900000'!$Q$19</f>
        <v>C09901016</v>
      </c>
      <c r="E1246" s="684">
        <f>'900000'!$Q66</f>
        <v>0</v>
      </c>
      <c r="F1246" s="27" t="s">
        <v>19081</v>
      </c>
    </row>
    <row r="1247" spans="1:6">
      <c r="A1247" s="27" t="str">
        <f>Resultados!$K$3</f>
        <v/>
      </c>
      <c r="B1247" s="27" t="str">
        <f>Resultados!$K$4</f>
        <v/>
      </c>
      <c r="C1247" s="568" t="str">
        <f>'900000'!$B67</f>
        <v>09901047</v>
      </c>
      <c r="D1247" s="27" t="str">
        <f>'900000'!$Q$19</f>
        <v>C09901016</v>
      </c>
      <c r="E1247" s="684">
        <f>'900000'!$Q67</f>
        <v>0</v>
      </c>
      <c r="F1247" s="27" t="s">
        <v>19081</v>
      </c>
    </row>
    <row r="1248" spans="1:6">
      <c r="A1248" s="27" t="str">
        <f>Resultados!$K$3</f>
        <v/>
      </c>
      <c r="B1248" s="27" t="str">
        <f>Resultados!$K$4</f>
        <v/>
      </c>
      <c r="C1248" s="568" t="str">
        <f>'900000'!$B68</f>
        <v>09901048</v>
      </c>
      <c r="D1248" s="27" t="str">
        <f>'900000'!$Q$19</f>
        <v>C09901016</v>
      </c>
      <c r="E1248" s="684">
        <f>'900000'!$Q68</f>
        <v>0</v>
      </c>
      <c r="F1248" s="27" t="s">
        <v>19081</v>
      </c>
    </row>
    <row r="1249" spans="1:6">
      <c r="A1249" s="27" t="str">
        <f>Resultados!$K$3</f>
        <v/>
      </c>
      <c r="B1249" s="27" t="str">
        <f>Resultados!$K$4</f>
        <v/>
      </c>
      <c r="C1249" s="568" t="str">
        <f>'900000'!$B69</f>
        <v>09901049</v>
      </c>
      <c r="D1249" s="27" t="str">
        <f>'900000'!$Q$19</f>
        <v>C09901016</v>
      </c>
      <c r="E1249" s="684">
        <f>'900000'!$Q69</f>
        <v>0</v>
      </c>
      <c r="F1249" s="27" t="s">
        <v>19081</v>
      </c>
    </row>
    <row r="1250" spans="1:6">
      <c r="A1250" s="27" t="str">
        <f>Resultados!$K$3</f>
        <v/>
      </c>
      <c r="B1250" s="27" t="str">
        <f>Resultados!$K$4</f>
        <v/>
      </c>
      <c r="C1250" s="568" t="str">
        <f>'900000'!$B70</f>
        <v>09901050</v>
      </c>
      <c r="D1250" s="27" t="str">
        <f>'900000'!$Q$19</f>
        <v>C09901016</v>
      </c>
      <c r="E1250" s="684">
        <f>'900000'!$Q70</f>
        <v>0</v>
      </c>
      <c r="F1250" s="27" t="s">
        <v>19081</v>
      </c>
    </row>
    <row r="1251" spans="1:6">
      <c r="A1251" s="27" t="str">
        <f>Resultados!$K$3</f>
        <v/>
      </c>
      <c r="B1251" s="27" t="str">
        <f>Resultados!$K$4</f>
        <v/>
      </c>
      <c r="C1251" s="568" t="str">
        <f>'900000'!$B71</f>
        <v>09901051</v>
      </c>
      <c r="D1251" s="27" t="str">
        <f>'900000'!$Q$19</f>
        <v>C09901016</v>
      </c>
      <c r="E1251" s="684">
        <f>'900000'!$Q71</f>
        <v>0</v>
      </c>
      <c r="F1251" s="27" t="s">
        <v>19081</v>
      </c>
    </row>
    <row r="1252" spans="1:6">
      <c r="A1252" s="27" t="str">
        <f>Resultados!$K$3</f>
        <v/>
      </c>
      <c r="B1252" s="27" t="str">
        <f>Resultados!$K$4</f>
        <v/>
      </c>
      <c r="C1252" s="568" t="str">
        <f>'900000'!$B72</f>
        <v>09901052</v>
      </c>
      <c r="D1252" s="27" t="str">
        <f>'900000'!$Q$19</f>
        <v>C09901016</v>
      </c>
      <c r="E1252" s="684">
        <f>'900000'!$Q72</f>
        <v>0</v>
      </c>
      <c r="F1252" s="27" t="s">
        <v>19081</v>
      </c>
    </row>
    <row r="1253" spans="1:6">
      <c r="A1253" s="27" t="str">
        <f>Resultados!$K$3</f>
        <v/>
      </c>
      <c r="B1253" s="27" t="str">
        <f>Resultados!$K$4</f>
        <v/>
      </c>
      <c r="C1253" s="568" t="str">
        <f>'900000'!$B73</f>
        <v>09901053</v>
      </c>
      <c r="D1253" s="27" t="str">
        <f>'900000'!$Q$19</f>
        <v>C09901016</v>
      </c>
      <c r="E1253" s="684">
        <f>'900000'!$Q73</f>
        <v>0</v>
      </c>
      <c r="F1253" s="27" t="s">
        <v>19081</v>
      </c>
    </row>
    <row r="1254" spans="1:6">
      <c r="A1254" s="27" t="str">
        <f>Resultados!$K$3</f>
        <v/>
      </c>
      <c r="B1254" s="27" t="str">
        <f>Resultados!$K$4</f>
        <v/>
      </c>
      <c r="C1254" s="568" t="str">
        <f>'900000'!$B74</f>
        <v>09901054</v>
      </c>
      <c r="D1254" s="27" t="str">
        <f>'900000'!$Q$19</f>
        <v>C09901016</v>
      </c>
      <c r="E1254" s="684">
        <f>'900000'!$Q74</f>
        <v>0</v>
      </c>
      <c r="F1254" s="27" t="s">
        <v>19081</v>
      </c>
    </row>
    <row r="1255" spans="1:6">
      <c r="A1255" s="27" t="str">
        <f>Resultados!$K$3</f>
        <v/>
      </c>
      <c r="B1255" s="27" t="str">
        <f>Resultados!$K$4</f>
        <v/>
      </c>
      <c r="C1255" s="568" t="str">
        <f>'900000'!$B75</f>
        <v>09901055</v>
      </c>
      <c r="D1255" s="27" t="str">
        <f>'900000'!$Q$19</f>
        <v>C09901016</v>
      </c>
      <c r="E1255" s="684">
        <f>'900000'!$Q75</f>
        <v>0</v>
      </c>
      <c r="F1255" s="27" t="s">
        <v>19081</v>
      </c>
    </row>
    <row r="1256" spans="1:6">
      <c r="A1256" s="27" t="str">
        <f>Resultados!$K$3</f>
        <v/>
      </c>
      <c r="B1256" s="27" t="str">
        <f>Resultados!$K$4</f>
        <v/>
      </c>
      <c r="C1256" s="568" t="str">
        <f>'900000'!$B76</f>
        <v>09901056</v>
      </c>
      <c r="D1256" s="27" t="str">
        <f>'900000'!$Q$19</f>
        <v>C09901016</v>
      </c>
      <c r="E1256" s="684">
        <f>'900000'!$Q76</f>
        <v>0</v>
      </c>
      <c r="F1256" s="27" t="s">
        <v>19081</v>
      </c>
    </row>
    <row r="1257" spans="1:6">
      <c r="A1257" s="27" t="str">
        <f>Resultados!$K$3</f>
        <v/>
      </c>
      <c r="B1257" s="27" t="str">
        <f>Resultados!$K$4</f>
        <v/>
      </c>
      <c r="C1257" s="568" t="str">
        <f>'900000'!$B77</f>
        <v>09901057</v>
      </c>
      <c r="D1257" s="27" t="str">
        <f>'900000'!$Q$19</f>
        <v>C09901016</v>
      </c>
      <c r="E1257" s="684">
        <f>'900000'!$Q77</f>
        <v>0</v>
      </c>
      <c r="F1257" s="27" t="s">
        <v>19081</v>
      </c>
    </row>
    <row r="1258" spans="1:6">
      <c r="A1258" s="27" t="str">
        <f>Resultados!$K$3</f>
        <v/>
      </c>
      <c r="B1258" s="27" t="str">
        <f>Resultados!$K$4</f>
        <v/>
      </c>
      <c r="C1258" s="568" t="str">
        <f>'900000'!$B78</f>
        <v>09901058</v>
      </c>
      <c r="D1258" s="27" t="str">
        <f>'900000'!$Q$19</f>
        <v>C09901016</v>
      </c>
      <c r="E1258" s="684">
        <f>'900000'!$Q78</f>
        <v>0</v>
      </c>
      <c r="F1258" s="27" t="s">
        <v>19081</v>
      </c>
    </row>
    <row r="1259" spans="1:6">
      <c r="A1259" s="27" t="str">
        <f>Resultados!$K$3</f>
        <v/>
      </c>
      <c r="B1259" s="27" t="str">
        <f>Resultados!$K$4</f>
        <v/>
      </c>
      <c r="C1259" s="568" t="str">
        <f>'900000'!$B79</f>
        <v>09901059</v>
      </c>
      <c r="D1259" s="27" t="str">
        <f>'900000'!$Q$19</f>
        <v>C09901016</v>
      </c>
      <c r="E1259" s="684">
        <f>'900000'!$Q79</f>
        <v>0</v>
      </c>
      <c r="F1259" s="27" t="s">
        <v>19081</v>
      </c>
    </row>
    <row r="1260" spans="1:6">
      <c r="A1260" s="27" t="str">
        <f>Resultados!$K$3</f>
        <v/>
      </c>
      <c r="B1260" s="27" t="str">
        <f>Resultados!$K$4</f>
        <v/>
      </c>
      <c r="C1260" s="568" t="str">
        <f>'900000'!$B80</f>
        <v>09901060</v>
      </c>
      <c r="D1260" s="27" t="str">
        <f>'900000'!$Q$19</f>
        <v>C09901016</v>
      </c>
      <c r="E1260" s="684">
        <f>'900000'!$Q80</f>
        <v>0</v>
      </c>
      <c r="F1260" s="27" t="s">
        <v>19081</v>
      </c>
    </row>
    <row r="1261" spans="1:6">
      <c r="A1261" s="27" t="str">
        <f>Resultados!$K$3</f>
        <v/>
      </c>
      <c r="B1261" s="27" t="str">
        <f>Resultados!$K$4</f>
        <v/>
      </c>
      <c r="C1261" s="568" t="str">
        <f>'900000'!$B81</f>
        <v>09901061</v>
      </c>
      <c r="D1261" s="27" t="str">
        <f>'900000'!$Q$19</f>
        <v>C09901016</v>
      </c>
      <c r="E1261" s="684">
        <f>'900000'!$Q81</f>
        <v>0</v>
      </c>
      <c r="F1261" s="27" t="s">
        <v>19081</v>
      </c>
    </row>
    <row r="1262" spans="1:6">
      <c r="A1262" s="27" t="str">
        <f>Resultados!$K$3</f>
        <v/>
      </c>
      <c r="B1262" s="27" t="str">
        <f>Resultados!$K$4</f>
        <v/>
      </c>
      <c r="C1262" s="568" t="str">
        <f>'900000'!$B82</f>
        <v>09901062</v>
      </c>
      <c r="D1262" s="27" t="str">
        <f>'900000'!$Q$19</f>
        <v>C09901016</v>
      </c>
      <c r="E1262" s="684">
        <f>'900000'!$Q82</f>
        <v>0</v>
      </c>
      <c r="F1262" s="27" t="s">
        <v>19081</v>
      </c>
    </row>
    <row r="1263" spans="1:6">
      <c r="A1263" s="27" t="str">
        <f>Resultados!$K$3</f>
        <v/>
      </c>
      <c r="B1263" s="27" t="str">
        <f>Resultados!$K$4</f>
        <v/>
      </c>
      <c r="C1263" s="568" t="str">
        <f>'900000'!$B83</f>
        <v>09901063</v>
      </c>
      <c r="D1263" s="27" t="str">
        <f>'900000'!$Q$19</f>
        <v>C09901016</v>
      </c>
      <c r="E1263" s="684">
        <f>'900000'!$Q83</f>
        <v>0</v>
      </c>
      <c r="F1263" s="27" t="s">
        <v>19081</v>
      </c>
    </row>
    <row r="1264" spans="1:6">
      <c r="A1264" s="27" t="str">
        <f>Resultados!$K$3</f>
        <v/>
      </c>
      <c r="B1264" s="27" t="str">
        <f>Resultados!$K$4</f>
        <v/>
      </c>
      <c r="C1264" s="568" t="str">
        <f>'900000'!$B84</f>
        <v>09901064</v>
      </c>
      <c r="D1264" s="27" t="str">
        <f>'900000'!$Q$19</f>
        <v>C09901016</v>
      </c>
      <c r="E1264" s="684">
        <f>'900000'!$Q84</f>
        <v>0</v>
      </c>
      <c r="F1264" s="27" t="s">
        <v>19081</v>
      </c>
    </row>
    <row r="1265" spans="1:6">
      <c r="A1265" s="27" t="str">
        <f>Resultados!$K$3</f>
        <v/>
      </c>
      <c r="B1265" s="27" t="str">
        <f>Resultados!$K$4</f>
        <v/>
      </c>
      <c r="C1265" s="568" t="str">
        <f>'900000'!$B85</f>
        <v>09901065</v>
      </c>
      <c r="D1265" s="27" t="str">
        <f>'900000'!$Q$19</f>
        <v>C09901016</v>
      </c>
      <c r="E1265" s="684">
        <f>'900000'!$Q85</f>
        <v>0</v>
      </c>
      <c r="F1265" s="27" t="s">
        <v>19081</v>
      </c>
    </row>
    <row r="1266" spans="1:6">
      <c r="A1266" s="27" t="str">
        <f>Resultados!$K$3</f>
        <v/>
      </c>
      <c r="B1266" s="27" t="str">
        <f>Resultados!$K$4</f>
        <v/>
      </c>
      <c r="C1266" s="568" t="str">
        <f>'900000'!$B86</f>
        <v>09901066</v>
      </c>
      <c r="D1266" s="27" t="str">
        <f>'900000'!$Q$19</f>
        <v>C09901016</v>
      </c>
      <c r="E1266" s="684">
        <f>'900000'!$Q86</f>
        <v>0</v>
      </c>
      <c r="F1266" s="27" t="s">
        <v>19081</v>
      </c>
    </row>
    <row r="1267" spans="1:6">
      <c r="A1267" s="27" t="str">
        <f>Resultados!$K$3</f>
        <v/>
      </c>
      <c r="B1267" s="27" t="str">
        <f>Resultados!$K$4</f>
        <v/>
      </c>
      <c r="C1267" s="568" t="str">
        <f>'900000'!$B87</f>
        <v>09901067</v>
      </c>
      <c r="D1267" s="27" t="str">
        <f>'900000'!$Q$19</f>
        <v>C09901016</v>
      </c>
      <c r="E1267" s="684">
        <f>'900000'!$Q87</f>
        <v>0</v>
      </c>
      <c r="F1267" s="27" t="s">
        <v>19081</v>
      </c>
    </row>
    <row r="1268" spans="1:6">
      <c r="A1268" s="27" t="str">
        <f>Resultados!$K$3</f>
        <v/>
      </c>
      <c r="B1268" s="27" t="str">
        <f>Resultados!$K$4</f>
        <v/>
      </c>
      <c r="C1268" s="568" t="str">
        <f>'900000'!$B88</f>
        <v>09901068</v>
      </c>
      <c r="D1268" s="27" t="str">
        <f>'900000'!$Q$19</f>
        <v>C09901016</v>
      </c>
      <c r="E1268" s="684">
        <f>'900000'!$Q88</f>
        <v>0</v>
      </c>
      <c r="F1268" s="27" t="s">
        <v>19081</v>
      </c>
    </row>
    <row r="1269" spans="1:6">
      <c r="A1269" s="27" t="str">
        <f>Resultados!$K$3</f>
        <v/>
      </c>
      <c r="B1269" s="27" t="str">
        <f>Resultados!$K$4</f>
        <v/>
      </c>
      <c r="C1269" s="568" t="str">
        <f>'900000'!$B89</f>
        <v>09901069</v>
      </c>
      <c r="D1269" s="27" t="str">
        <f>'900000'!$Q$19</f>
        <v>C09901016</v>
      </c>
      <c r="E1269" s="684">
        <f>'900000'!$Q89</f>
        <v>0</v>
      </c>
      <c r="F1269" s="27" t="s">
        <v>19081</v>
      </c>
    </row>
    <row r="1270" spans="1:6">
      <c r="A1270" s="27" t="str">
        <f>Resultados!$K$3</f>
        <v/>
      </c>
      <c r="B1270" s="27" t="str">
        <f>Resultados!$K$4</f>
        <v/>
      </c>
      <c r="C1270" s="568" t="str">
        <f>'900000'!$B90</f>
        <v>09901070</v>
      </c>
      <c r="D1270" s="27" t="str">
        <f>'900000'!$Q$19</f>
        <v>C09901016</v>
      </c>
      <c r="E1270" s="684">
        <f>'900000'!$Q90</f>
        <v>0</v>
      </c>
      <c r="F1270" s="27" t="s">
        <v>19081</v>
      </c>
    </row>
    <row r="1271" spans="1:6">
      <c r="A1271" s="27" t="str">
        <f>Resultados!$K$3</f>
        <v/>
      </c>
      <c r="B1271" s="27" t="str">
        <f>Resultados!$K$4</f>
        <v/>
      </c>
      <c r="C1271" s="568" t="str">
        <f>'900000'!$B91</f>
        <v>09901071</v>
      </c>
      <c r="D1271" s="27" t="str">
        <f>'900000'!$Q$19</f>
        <v>C09901016</v>
      </c>
      <c r="E1271" s="684">
        <f>'900000'!$Q91</f>
        <v>0</v>
      </c>
      <c r="F1271" s="27" t="s">
        <v>19081</v>
      </c>
    </row>
    <row r="1272" spans="1:6">
      <c r="A1272" s="27" t="str">
        <f>Resultados!$K$3</f>
        <v/>
      </c>
      <c r="B1272" s="27" t="str">
        <f>Resultados!$K$4</f>
        <v/>
      </c>
      <c r="C1272" s="568" t="str">
        <f>'900000'!$B92</f>
        <v>09901072</v>
      </c>
      <c r="D1272" s="27" t="str">
        <f>'900000'!$Q$19</f>
        <v>C09901016</v>
      </c>
      <c r="E1272" s="684">
        <f>'900000'!$Q92</f>
        <v>0</v>
      </c>
      <c r="F1272" s="27" t="s">
        <v>19081</v>
      </c>
    </row>
    <row r="1273" spans="1:6">
      <c r="A1273" s="27" t="str">
        <f>Resultados!$K$3</f>
        <v/>
      </c>
      <c r="B1273" s="27" t="str">
        <f>Resultados!$K$4</f>
        <v/>
      </c>
      <c r="C1273" s="568" t="str">
        <f>'900000'!$B93</f>
        <v>09901073</v>
      </c>
      <c r="D1273" s="27" t="str">
        <f>'900000'!$Q$19</f>
        <v>C09901016</v>
      </c>
      <c r="E1273" s="684">
        <f>'900000'!$Q93</f>
        <v>0</v>
      </c>
      <c r="F1273" s="27" t="s">
        <v>19081</v>
      </c>
    </row>
    <row r="1274" spans="1:6">
      <c r="A1274" s="27" t="str">
        <f>Resultados!$K$3</f>
        <v/>
      </c>
      <c r="B1274" s="27" t="str">
        <f>Resultados!$K$4</f>
        <v/>
      </c>
      <c r="C1274" s="568" t="str">
        <f>'900000'!$B94</f>
        <v>09901074</v>
      </c>
      <c r="D1274" s="27" t="str">
        <f>'900000'!$Q$19</f>
        <v>C09901016</v>
      </c>
      <c r="E1274" s="684">
        <f>'900000'!$Q94</f>
        <v>0</v>
      </c>
      <c r="F1274" s="27" t="s">
        <v>19081</v>
      </c>
    </row>
    <row r="1275" spans="1:6">
      <c r="A1275" s="27" t="str">
        <f>Resultados!$K$3</f>
        <v/>
      </c>
      <c r="B1275" s="27" t="str">
        <f>Resultados!$K$4</f>
        <v/>
      </c>
      <c r="C1275" s="568" t="str">
        <f>'900000'!$B95</f>
        <v>09901075</v>
      </c>
      <c r="D1275" s="27" t="str">
        <f>'900000'!$Q$19</f>
        <v>C09901016</v>
      </c>
      <c r="E1275" s="684">
        <f>'900000'!$Q95</f>
        <v>0</v>
      </c>
      <c r="F1275" s="27" t="s">
        <v>19081</v>
      </c>
    </row>
    <row r="1276" spans="1:6">
      <c r="A1276" s="27" t="str">
        <f>Resultados!$K$3</f>
        <v/>
      </c>
      <c r="B1276" s="27" t="str">
        <f>Resultados!$K$4</f>
        <v/>
      </c>
      <c r="C1276" s="568" t="str">
        <f>'900000'!$B96</f>
        <v>09901076</v>
      </c>
      <c r="D1276" s="27" t="str">
        <f>'900000'!$Q$19</f>
        <v>C09901016</v>
      </c>
      <c r="E1276" s="684">
        <f>'900000'!$Q96</f>
        <v>0</v>
      </c>
      <c r="F1276" s="27" t="s">
        <v>19081</v>
      </c>
    </row>
    <row r="1277" spans="1:6">
      <c r="A1277" s="27" t="str">
        <f>Resultados!$K$3</f>
        <v/>
      </c>
      <c r="B1277" s="27" t="str">
        <f>Resultados!$K$4</f>
        <v/>
      </c>
      <c r="C1277" s="568" t="str">
        <f>'900000'!$B97</f>
        <v>09901077</v>
      </c>
      <c r="D1277" s="27" t="str">
        <f>'900000'!$Q$19</f>
        <v>C09901016</v>
      </c>
      <c r="E1277" s="684">
        <f>'900000'!$Q97</f>
        <v>0</v>
      </c>
      <c r="F1277" s="27" t="s">
        <v>19081</v>
      </c>
    </row>
    <row r="1278" spans="1:6">
      <c r="A1278" s="27" t="str">
        <f>Resultados!$K$3</f>
        <v/>
      </c>
      <c r="B1278" s="27" t="str">
        <f>Resultados!$K$4</f>
        <v/>
      </c>
      <c r="C1278" s="568" t="str">
        <f>'900000'!$B98</f>
        <v>09901078</v>
      </c>
      <c r="D1278" s="27" t="str">
        <f>'900000'!$Q$19</f>
        <v>C09901016</v>
      </c>
      <c r="E1278" s="684">
        <f>'900000'!$Q98</f>
        <v>0</v>
      </c>
      <c r="F1278" s="27" t="s">
        <v>19081</v>
      </c>
    </row>
    <row r="1279" spans="1:6">
      <c r="A1279" s="27" t="str">
        <f>Resultados!$K$3</f>
        <v/>
      </c>
      <c r="B1279" s="27" t="str">
        <f>Resultados!$K$4</f>
        <v/>
      </c>
      <c r="C1279" s="568" t="str">
        <f>'900000'!$B99</f>
        <v>09901079</v>
      </c>
      <c r="D1279" s="27" t="str">
        <f>'900000'!$Q$19</f>
        <v>C09901016</v>
      </c>
      <c r="E1279" s="684">
        <f>'900000'!$Q99</f>
        <v>0</v>
      </c>
      <c r="F1279" s="27" t="s">
        <v>19081</v>
      </c>
    </row>
    <row r="1280" spans="1:6">
      <c r="A1280" s="27" t="str">
        <f>Resultados!$K$3</f>
        <v/>
      </c>
      <c r="B1280" s="27" t="str">
        <f>Resultados!$K$4</f>
        <v/>
      </c>
      <c r="C1280" s="568" t="str">
        <f>'900000'!$B100</f>
        <v>09901080</v>
      </c>
      <c r="D1280" s="27" t="str">
        <f>'900000'!$Q$19</f>
        <v>C09901016</v>
      </c>
      <c r="E1280" s="684">
        <f>'900000'!$Q100</f>
        <v>0</v>
      </c>
      <c r="F1280" s="27" t="s">
        <v>19081</v>
      </c>
    </row>
    <row r="1281" spans="1:6">
      <c r="A1281" s="27" t="str">
        <f>Resultados!$K$3</f>
        <v/>
      </c>
      <c r="B1281" s="27" t="str">
        <f>Resultados!$K$4</f>
        <v/>
      </c>
      <c r="C1281" s="568" t="str">
        <f>'900000'!$B101</f>
        <v>09901081</v>
      </c>
      <c r="D1281" s="27" t="str">
        <f>'900000'!$Q$19</f>
        <v>C09901016</v>
      </c>
      <c r="E1281" s="684">
        <f>'900000'!$Q101</f>
        <v>0</v>
      </c>
      <c r="F1281" s="27" t="s">
        <v>19081</v>
      </c>
    </row>
    <row r="1282" spans="1:6">
      <c r="A1282" s="27" t="str">
        <f>Resultados!$K$3</f>
        <v/>
      </c>
      <c r="B1282" s="27" t="str">
        <f>Resultados!$K$4</f>
        <v/>
      </c>
      <c r="C1282" s="568" t="str">
        <f>'900000'!$B102</f>
        <v>09901082</v>
      </c>
      <c r="D1282" s="27" t="str">
        <f>'900000'!$Q$19</f>
        <v>C09901016</v>
      </c>
      <c r="E1282" s="684">
        <f>'900000'!$Q102</f>
        <v>0</v>
      </c>
      <c r="F1282" s="27" t="s">
        <v>19081</v>
      </c>
    </row>
    <row r="1283" spans="1:6">
      <c r="A1283" s="27" t="str">
        <f>Resultados!$K$3</f>
        <v/>
      </c>
      <c r="B1283" s="27" t="str">
        <f>Resultados!$K$4</f>
        <v/>
      </c>
      <c r="C1283" s="568" t="str">
        <f>'900000'!$B103</f>
        <v>09901083</v>
      </c>
      <c r="D1283" s="27" t="str">
        <f>'900000'!$Q$19</f>
        <v>C09901016</v>
      </c>
      <c r="E1283" s="684">
        <f>'900000'!$Q103</f>
        <v>0</v>
      </c>
      <c r="F1283" s="27" t="s">
        <v>19081</v>
      </c>
    </row>
    <row r="1284" spans="1:6">
      <c r="A1284" s="27" t="str">
        <f>Resultados!$K$3</f>
        <v/>
      </c>
      <c r="B1284" s="27" t="str">
        <f>Resultados!$K$4</f>
        <v/>
      </c>
      <c r="C1284" s="568" t="str">
        <f>'900000'!$B104</f>
        <v>09901084</v>
      </c>
      <c r="D1284" s="27" t="str">
        <f>'900000'!$Q$19</f>
        <v>C09901016</v>
      </c>
      <c r="E1284" s="684">
        <f>'900000'!$Q104</f>
        <v>0</v>
      </c>
      <c r="F1284" s="27" t="s">
        <v>19081</v>
      </c>
    </row>
    <row r="1285" spans="1:6">
      <c r="A1285" s="27" t="str">
        <f>Resultados!$K$3</f>
        <v/>
      </c>
      <c r="B1285" s="27" t="str">
        <f>Resultados!$K$4</f>
        <v/>
      </c>
      <c r="C1285" s="568" t="str">
        <f>'900000'!$B105</f>
        <v>09901085</v>
      </c>
      <c r="D1285" s="27" t="str">
        <f>'900000'!$Q$19</f>
        <v>C09901016</v>
      </c>
      <c r="E1285" s="684">
        <f>'900000'!$Q105</f>
        <v>0</v>
      </c>
      <c r="F1285" s="27" t="s">
        <v>19081</v>
      </c>
    </row>
    <row r="1286" spans="1:6">
      <c r="A1286" s="27" t="str">
        <f>Resultados!$K$3</f>
        <v/>
      </c>
      <c r="B1286" s="27" t="str">
        <f>Resultados!$K$4</f>
        <v/>
      </c>
      <c r="C1286" s="568" t="str">
        <f>'900000'!$B106</f>
        <v>09901086</v>
      </c>
      <c r="D1286" s="27" t="str">
        <f>'900000'!$Q$19</f>
        <v>C09901016</v>
      </c>
      <c r="E1286" s="684">
        <f>'900000'!$Q106</f>
        <v>0</v>
      </c>
      <c r="F1286" s="27" t="s">
        <v>19081</v>
      </c>
    </row>
    <row r="1287" spans="1:6">
      <c r="A1287" s="27" t="str">
        <f>Resultados!$K$3</f>
        <v/>
      </c>
      <c r="B1287" s="27" t="str">
        <f>Resultados!$K$4</f>
        <v/>
      </c>
      <c r="C1287" s="568" t="str">
        <f>'900000'!$B107</f>
        <v>09901087</v>
      </c>
      <c r="D1287" s="27" t="str">
        <f>'900000'!$Q$19</f>
        <v>C09901016</v>
      </c>
      <c r="E1287" s="684">
        <f>'900000'!$Q107</f>
        <v>0</v>
      </c>
      <c r="F1287" s="27" t="s">
        <v>19081</v>
      </c>
    </row>
    <row r="1288" spans="1:6">
      <c r="A1288" s="27" t="str">
        <f>Resultados!$K$3</f>
        <v/>
      </c>
      <c r="B1288" s="27" t="str">
        <f>Resultados!$K$4</f>
        <v/>
      </c>
      <c r="C1288" s="568" t="str">
        <f>'900000'!$B108</f>
        <v>09901088</v>
      </c>
      <c r="D1288" s="27" t="str">
        <f>'900000'!$Q$19</f>
        <v>C09901016</v>
      </c>
      <c r="E1288" s="684">
        <f>'900000'!$Q108</f>
        <v>0</v>
      </c>
      <c r="F1288" s="27" t="s">
        <v>19081</v>
      </c>
    </row>
    <row r="1289" spans="1:6">
      <c r="A1289" s="27" t="str">
        <f>Resultados!$K$3</f>
        <v/>
      </c>
      <c r="B1289" s="27" t="str">
        <f>Resultados!$K$4</f>
        <v/>
      </c>
      <c r="C1289" s="568" t="str">
        <f>'900000'!$B109</f>
        <v>09901089</v>
      </c>
      <c r="D1289" s="27" t="str">
        <f>'900000'!$Q$19</f>
        <v>C09901016</v>
      </c>
      <c r="E1289" s="684">
        <f>'900000'!$Q109</f>
        <v>0</v>
      </c>
      <c r="F1289" s="27" t="s">
        <v>19081</v>
      </c>
    </row>
    <row r="1290" spans="1:6">
      <c r="A1290" s="27" t="str">
        <f>Resultados!$K$3</f>
        <v/>
      </c>
      <c r="B1290" s="27" t="str">
        <f>Resultados!$K$4</f>
        <v/>
      </c>
      <c r="C1290" s="568" t="str">
        <f>'900000'!$B110</f>
        <v>09901090</v>
      </c>
      <c r="D1290" s="27" t="str">
        <f>'900000'!$Q$19</f>
        <v>C09901016</v>
      </c>
      <c r="E1290" s="684">
        <f>'900000'!$Q110</f>
        <v>0</v>
      </c>
      <c r="F1290" s="27" t="s">
        <v>19081</v>
      </c>
    </row>
    <row r="1291" spans="1:6">
      <c r="A1291" s="27" t="str">
        <f>Resultados!$K$3</f>
        <v/>
      </c>
      <c r="B1291" s="27" t="str">
        <f>Resultados!$K$4</f>
        <v/>
      </c>
      <c r="C1291" s="568" t="str">
        <f>'900000'!$B111</f>
        <v>09901091</v>
      </c>
      <c r="D1291" s="27" t="str">
        <f>'900000'!$Q$19</f>
        <v>C09901016</v>
      </c>
      <c r="E1291" s="684">
        <f>'900000'!$Q111</f>
        <v>0</v>
      </c>
      <c r="F1291" s="27" t="s">
        <v>19081</v>
      </c>
    </row>
    <row r="1292" spans="1:6">
      <c r="A1292" s="27" t="str">
        <f>Resultados!$K$3</f>
        <v/>
      </c>
      <c r="B1292" s="27" t="str">
        <f>Resultados!$K$4</f>
        <v/>
      </c>
      <c r="C1292" s="568" t="str">
        <f>'900000'!$B112</f>
        <v>09901092</v>
      </c>
      <c r="D1292" s="27" t="str">
        <f>'900000'!$Q$19</f>
        <v>C09901016</v>
      </c>
      <c r="E1292" s="684">
        <f>'900000'!$Q112</f>
        <v>0</v>
      </c>
      <c r="F1292" s="27" t="s">
        <v>19081</v>
      </c>
    </row>
    <row r="1293" spans="1:6">
      <c r="A1293" s="27" t="str">
        <f>Resultados!$K$3</f>
        <v/>
      </c>
      <c r="B1293" s="27" t="str">
        <f>Resultados!$K$4</f>
        <v/>
      </c>
      <c r="C1293" s="568" t="str">
        <f>'900000'!$B113</f>
        <v>09901093</v>
      </c>
      <c r="D1293" s="27" t="str">
        <f>'900000'!$Q$19</f>
        <v>C09901016</v>
      </c>
      <c r="E1293" s="684">
        <f>'900000'!$Q113</f>
        <v>0</v>
      </c>
      <c r="F1293" s="27" t="s">
        <v>19081</v>
      </c>
    </row>
    <row r="1294" spans="1:6">
      <c r="A1294" s="27" t="str">
        <f>Resultados!$K$3</f>
        <v/>
      </c>
      <c r="B1294" s="27" t="str">
        <f>Resultados!$K$4</f>
        <v/>
      </c>
      <c r="C1294" s="568" t="str">
        <f>'900000'!$B114</f>
        <v>09901094</v>
      </c>
      <c r="D1294" s="27" t="str">
        <f>'900000'!$Q$19</f>
        <v>C09901016</v>
      </c>
      <c r="E1294" s="684">
        <f>'900000'!$Q114</f>
        <v>0</v>
      </c>
      <c r="F1294" s="27" t="s">
        <v>19081</v>
      </c>
    </row>
    <row r="1295" spans="1:6">
      <c r="A1295" s="27" t="str">
        <f>Resultados!$K$3</f>
        <v/>
      </c>
      <c r="B1295" s="27" t="str">
        <f>Resultados!$K$4</f>
        <v/>
      </c>
      <c r="C1295" s="568" t="str">
        <f>'900000'!$B115</f>
        <v>09901095</v>
      </c>
      <c r="D1295" s="27" t="str">
        <f>'900000'!$Q$19</f>
        <v>C09901016</v>
      </c>
      <c r="E1295" s="684">
        <f>'900000'!$Q115</f>
        <v>0</v>
      </c>
      <c r="F1295" s="27" t="s">
        <v>19081</v>
      </c>
    </row>
    <row r="1296" spans="1:6">
      <c r="A1296" s="27" t="str">
        <f>Resultados!$K$3</f>
        <v/>
      </c>
      <c r="B1296" s="27" t="str">
        <f>Resultados!$K$4</f>
        <v/>
      </c>
      <c r="C1296" s="568" t="str">
        <f>'900000'!$B116</f>
        <v>09901096</v>
      </c>
      <c r="D1296" s="27" t="str">
        <f>'900000'!$Q$19</f>
        <v>C09901016</v>
      </c>
      <c r="E1296" s="684">
        <f>'900000'!$Q116</f>
        <v>0</v>
      </c>
      <c r="F1296" s="27" t="s">
        <v>19081</v>
      </c>
    </row>
    <row r="1297" spans="1:6">
      <c r="A1297" s="27" t="str">
        <f>Resultados!$K$3</f>
        <v/>
      </c>
      <c r="B1297" s="27" t="str">
        <f>Resultados!$K$4</f>
        <v/>
      </c>
      <c r="C1297" s="568" t="str">
        <f>'900000'!$B117</f>
        <v>09901097</v>
      </c>
      <c r="D1297" s="27" t="str">
        <f>'900000'!$Q$19</f>
        <v>C09901016</v>
      </c>
      <c r="E1297" s="684">
        <f>'900000'!$Q117</f>
        <v>0</v>
      </c>
      <c r="F1297" s="27" t="s">
        <v>19081</v>
      </c>
    </row>
    <row r="1298" spans="1:6">
      <c r="A1298" s="27" t="str">
        <f>Resultados!$K$3</f>
        <v/>
      </c>
      <c r="B1298" s="27" t="str">
        <f>Resultados!$K$4</f>
        <v/>
      </c>
      <c r="C1298" s="568" t="str">
        <f>'900000'!$B118</f>
        <v>09901098</v>
      </c>
      <c r="D1298" s="27" t="str">
        <f>'900000'!$Q$19</f>
        <v>C09901016</v>
      </c>
      <c r="E1298" s="684">
        <f>'900000'!$Q118</f>
        <v>0</v>
      </c>
      <c r="F1298" s="27" t="s">
        <v>19081</v>
      </c>
    </row>
    <row r="1299" spans="1:6">
      <c r="A1299" s="27" t="str">
        <f>Resultados!$K$3</f>
        <v/>
      </c>
      <c r="B1299" s="27" t="str">
        <f>Resultados!$K$4</f>
        <v/>
      </c>
      <c r="C1299" s="568" t="str">
        <f>'900000'!$B119</f>
        <v>09901099</v>
      </c>
      <c r="D1299" s="27" t="str">
        <f>'900000'!$Q$19</f>
        <v>C09901016</v>
      </c>
      <c r="E1299" s="684">
        <f>'900000'!$Q119</f>
        <v>0</v>
      </c>
      <c r="F1299" s="27" t="s">
        <v>19081</v>
      </c>
    </row>
    <row r="1300" spans="1:6">
      <c r="A1300" s="27" t="str">
        <f>Resultados!$K$3</f>
        <v/>
      </c>
      <c r="B1300" s="27" t="str">
        <f>Resultados!$K$4</f>
        <v/>
      </c>
      <c r="C1300" s="568" t="str">
        <f>'900000'!$B120</f>
        <v>09901100</v>
      </c>
      <c r="D1300" s="27" t="str">
        <f>'900000'!$Q$19</f>
        <v>C09901016</v>
      </c>
      <c r="E1300" s="684">
        <f>'900000'!$Q120</f>
        <v>0</v>
      </c>
      <c r="F1300" s="27" t="s">
        <v>19081</v>
      </c>
    </row>
    <row r="1301" spans="1:6">
      <c r="A1301" s="27" t="str">
        <f>Resultados!$K$3</f>
        <v/>
      </c>
      <c r="B1301" s="27" t="str">
        <f>Resultados!$K$4</f>
        <v/>
      </c>
      <c r="C1301" s="568" t="str">
        <f>'900000'!$B121</f>
        <v>09901101</v>
      </c>
      <c r="D1301" s="27" t="str">
        <f>'900000'!$Q$19</f>
        <v>C09901016</v>
      </c>
      <c r="E1301" s="684">
        <f>'900000'!$Q121</f>
        <v>0</v>
      </c>
      <c r="F1301" s="27" t="s">
        <v>19081</v>
      </c>
    </row>
    <row r="1302" spans="1:6">
      <c r="A1302" s="27" t="str">
        <f>Resultados!$K$3</f>
        <v/>
      </c>
      <c r="B1302" s="27" t="str">
        <f>Resultados!$K$4</f>
        <v/>
      </c>
      <c r="C1302" s="568" t="str">
        <f>'900000'!$B22</f>
        <v>09901002</v>
      </c>
      <c r="D1302" t="str">
        <f>'900000'!$R$19</f>
        <v>C09901017</v>
      </c>
      <c r="E1302" s="684">
        <f>'900000'!$R22</f>
        <v>0</v>
      </c>
      <c r="F1302" s="27" t="s">
        <v>19081</v>
      </c>
    </row>
    <row r="1303" spans="1:6">
      <c r="A1303" s="27" t="str">
        <f>Resultados!$K$3</f>
        <v/>
      </c>
      <c r="B1303" s="27" t="str">
        <f>Resultados!$K$4</f>
        <v/>
      </c>
      <c r="C1303" s="568" t="str">
        <f>'900000'!$B23</f>
        <v>09901003</v>
      </c>
      <c r="D1303" s="27" t="str">
        <f>'900000'!$R$19</f>
        <v>C09901017</v>
      </c>
      <c r="E1303" s="684">
        <f>'900000'!$R23</f>
        <v>0</v>
      </c>
      <c r="F1303" s="27" t="s">
        <v>19081</v>
      </c>
    </row>
    <row r="1304" spans="1:6">
      <c r="A1304" s="27" t="str">
        <f>Resultados!$K$3</f>
        <v/>
      </c>
      <c r="B1304" s="27" t="str">
        <f>Resultados!$K$4</f>
        <v/>
      </c>
      <c r="C1304" s="568" t="str">
        <f>'900000'!$B24</f>
        <v>09901004</v>
      </c>
      <c r="D1304" s="27" t="str">
        <f>'900000'!$R$19</f>
        <v>C09901017</v>
      </c>
      <c r="E1304" s="684">
        <f>'900000'!$R24</f>
        <v>0</v>
      </c>
      <c r="F1304" s="27" t="s">
        <v>19081</v>
      </c>
    </row>
    <row r="1305" spans="1:6">
      <c r="A1305" s="27" t="str">
        <f>Resultados!$K$3</f>
        <v/>
      </c>
      <c r="B1305" s="27" t="str">
        <f>Resultados!$K$4</f>
        <v/>
      </c>
      <c r="C1305" s="568" t="str">
        <f>'900000'!$B25</f>
        <v>09901005</v>
      </c>
      <c r="D1305" s="27" t="str">
        <f>'900000'!$R$19</f>
        <v>C09901017</v>
      </c>
      <c r="E1305" s="684">
        <f>'900000'!$R25</f>
        <v>0</v>
      </c>
      <c r="F1305" s="27" t="s">
        <v>19081</v>
      </c>
    </row>
    <row r="1306" spans="1:6">
      <c r="A1306" s="27" t="str">
        <f>Resultados!$K$3</f>
        <v/>
      </c>
      <c r="B1306" s="27" t="str">
        <f>Resultados!$K$4</f>
        <v/>
      </c>
      <c r="C1306" s="568" t="str">
        <f>'900000'!$B26</f>
        <v>09901006</v>
      </c>
      <c r="D1306" s="27" t="str">
        <f>'900000'!$R$19</f>
        <v>C09901017</v>
      </c>
      <c r="E1306" s="684">
        <f>'900000'!$R26</f>
        <v>0</v>
      </c>
      <c r="F1306" s="27" t="s">
        <v>19081</v>
      </c>
    </row>
    <row r="1307" spans="1:6">
      <c r="A1307" s="27" t="str">
        <f>Resultados!$K$3</f>
        <v/>
      </c>
      <c r="B1307" s="27" t="str">
        <f>Resultados!$K$4</f>
        <v/>
      </c>
      <c r="C1307" s="568" t="str">
        <f>'900000'!$B27</f>
        <v>09901007</v>
      </c>
      <c r="D1307" s="27" t="str">
        <f>'900000'!$R$19</f>
        <v>C09901017</v>
      </c>
      <c r="E1307" s="684">
        <f>'900000'!$R27</f>
        <v>0</v>
      </c>
      <c r="F1307" s="27" t="s">
        <v>19081</v>
      </c>
    </row>
    <row r="1308" spans="1:6">
      <c r="A1308" s="27" t="str">
        <f>Resultados!$K$3</f>
        <v/>
      </c>
      <c r="B1308" s="27" t="str">
        <f>Resultados!$K$4</f>
        <v/>
      </c>
      <c r="C1308" s="568" t="str">
        <f>'900000'!$B28</f>
        <v>09901008</v>
      </c>
      <c r="D1308" s="27" t="str">
        <f>'900000'!$R$19</f>
        <v>C09901017</v>
      </c>
      <c r="E1308" s="684">
        <f>'900000'!$R28</f>
        <v>0</v>
      </c>
      <c r="F1308" s="27" t="s">
        <v>19081</v>
      </c>
    </row>
    <row r="1309" spans="1:6">
      <c r="A1309" s="27" t="str">
        <f>Resultados!$K$3</f>
        <v/>
      </c>
      <c r="B1309" s="27" t="str">
        <f>Resultados!$K$4</f>
        <v/>
      </c>
      <c r="C1309" s="568" t="str">
        <f>'900000'!$B29</f>
        <v>09901009</v>
      </c>
      <c r="D1309" s="27" t="str">
        <f>'900000'!$R$19</f>
        <v>C09901017</v>
      </c>
      <c r="E1309" s="684">
        <f>'900000'!$R29</f>
        <v>0</v>
      </c>
      <c r="F1309" s="27" t="s">
        <v>19081</v>
      </c>
    </row>
    <row r="1310" spans="1:6">
      <c r="A1310" s="27" t="str">
        <f>Resultados!$K$3</f>
        <v/>
      </c>
      <c r="B1310" s="27" t="str">
        <f>Resultados!$K$4</f>
        <v/>
      </c>
      <c r="C1310" s="568" t="str">
        <f>'900000'!$B30</f>
        <v>09901010</v>
      </c>
      <c r="D1310" s="27" t="str">
        <f>'900000'!$R$19</f>
        <v>C09901017</v>
      </c>
      <c r="E1310" s="684">
        <f>'900000'!$R30</f>
        <v>0</v>
      </c>
      <c r="F1310" s="27" t="s">
        <v>19081</v>
      </c>
    </row>
    <row r="1311" spans="1:6">
      <c r="A1311" s="27" t="str">
        <f>Resultados!$K$3</f>
        <v/>
      </c>
      <c r="B1311" s="27" t="str">
        <f>Resultados!$K$4</f>
        <v/>
      </c>
      <c r="C1311" s="568" t="str">
        <f>'900000'!$B31</f>
        <v>09901011</v>
      </c>
      <c r="D1311" s="27" t="str">
        <f>'900000'!$R$19</f>
        <v>C09901017</v>
      </c>
      <c r="E1311" s="684">
        <f>'900000'!$R31</f>
        <v>0</v>
      </c>
      <c r="F1311" s="27" t="s">
        <v>19081</v>
      </c>
    </row>
    <row r="1312" spans="1:6">
      <c r="A1312" s="27" t="str">
        <f>Resultados!$K$3</f>
        <v/>
      </c>
      <c r="B1312" s="27" t="str">
        <f>Resultados!$K$4</f>
        <v/>
      </c>
      <c r="C1312" s="568" t="str">
        <f>'900000'!$B32</f>
        <v>09901012</v>
      </c>
      <c r="D1312" s="27" t="str">
        <f>'900000'!$R$19</f>
        <v>C09901017</v>
      </c>
      <c r="E1312" s="684">
        <f>'900000'!$R32</f>
        <v>0</v>
      </c>
      <c r="F1312" s="27" t="s">
        <v>19081</v>
      </c>
    </row>
    <row r="1313" spans="1:6">
      <c r="A1313" s="27" t="str">
        <f>Resultados!$K$3</f>
        <v/>
      </c>
      <c r="B1313" s="27" t="str">
        <f>Resultados!$K$4</f>
        <v/>
      </c>
      <c r="C1313" s="568" t="str">
        <f>'900000'!$B33</f>
        <v>09901013</v>
      </c>
      <c r="D1313" s="27" t="str">
        <f>'900000'!$R$19</f>
        <v>C09901017</v>
      </c>
      <c r="E1313" s="684">
        <f>'900000'!$R33</f>
        <v>0</v>
      </c>
      <c r="F1313" s="27" t="s">
        <v>19081</v>
      </c>
    </row>
    <row r="1314" spans="1:6">
      <c r="A1314" s="27" t="str">
        <f>Resultados!$K$3</f>
        <v/>
      </c>
      <c r="B1314" s="27" t="str">
        <f>Resultados!$K$4</f>
        <v/>
      </c>
      <c r="C1314" s="568" t="str">
        <f>'900000'!$B34</f>
        <v>09901014</v>
      </c>
      <c r="D1314" s="27" t="str">
        <f>'900000'!$R$19</f>
        <v>C09901017</v>
      </c>
      <c r="E1314" s="684">
        <f>'900000'!$R34</f>
        <v>0</v>
      </c>
      <c r="F1314" s="27" t="s">
        <v>19081</v>
      </c>
    </row>
    <row r="1315" spans="1:6">
      <c r="A1315" s="27" t="str">
        <f>Resultados!$K$3</f>
        <v/>
      </c>
      <c r="B1315" s="27" t="str">
        <f>Resultados!$K$4</f>
        <v/>
      </c>
      <c r="C1315" s="568" t="str">
        <f>'900000'!$B35</f>
        <v>09901015</v>
      </c>
      <c r="D1315" s="27" t="str">
        <f>'900000'!$R$19</f>
        <v>C09901017</v>
      </c>
      <c r="E1315" s="684">
        <f>'900000'!$R35</f>
        <v>0</v>
      </c>
      <c r="F1315" s="27" t="s">
        <v>19081</v>
      </c>
    </row>
    <row r="1316" spans="1:6">
      <c r="A1316" s="27" t="str">
        <f>Resultados!$K$3</f>
        <v/>
      </c>
      <c r="B1316" s="27" t="str">
        <f>Resultados!$K$4</f>
        <v/>
      </c>
      <c r="C1316" s="568" t="str">
        <f>'900000'!$B36</f>
        <v>09901016</v>
      </c>
      <c r="D1316" s="27" t="str">
        <f>'900000'!$R$19</f>
        <v>C09901017</v>
      </c>
      <c r="E1316" s="684">
        <f>'900000'!$R36</f>
        <v>0</v>
      </c>
      <c r="F1316" s="27" t="s">
        <v>19081</v>
      </c>
    </row>
    <row r="1317" spans="1:6">
      <c r="A1317" s="27" t="str">
        <f>Resultados!$K$3</f>
        <v/>
      </c>
      <c r="B1317" s="27" t="str">
        <f>Resultados!$K$4</f>
        <v/>
      </c>
      <c r="C1317" s="568" t="str">
        <f>'900000'!$B37</f>
        <v>09901017</v>
      </c>
      <c r="D1317" s="27" t="str">
        <f>'900000'!$R$19</f>
        <v>C09901017</v>
      </c>
      <c r="E1317" s="684">
        <f>'900000'!$R37</f>
        <v>0</v>
      </c>
      <c r="F1317" s="27" t="s">
        <v>19081</v>
      </c>
    </row>
    <row r="1318" spans="1:6">
      <c r="A1318" s="27" t="str">
        <f>Resultados!$K$3</f>
        <v/>
      </c>
      <c r="B1318" s="27" t="str">
        <f>Resultados!$K$4</f>
        <v/>
      </c>
      <c r="C1318" s="568" t="str">
        <f>'900000'!$B38</f>
        <v>09901018</v>
      </c>
      <c r="D1318" s="27" t="str">
        <f>'900000'!$R$19</f>
        <v>C09901017</v>
      </c>
      <c r="E1318" s="684">
        <f>'900000'!$R38</f>
        <v>0</v>
      </c>
      <c r="F1318" s="27" t="s">
        <v>19081</v>
      </c>
    </row>
    <row r="1319" spans="1:6">
      <c r="A1319" s="27" t="str">
        <f>Resultados!$K$3</f>
        <v/>
      </c>
      <c r="B1319" s="27" t="str">
        <f>Resultados!$K$4</f>
        <v/>
      </c>
      <c r="C1319" s="568" t="str">
        <f>'900000'!$B39</f>
        <v>09901019</v>
      </c>
      <c r="D1319" s="27" t="str">
        <f>'900000'!$R$19</f>
        <v>C09901017</v>
      </c>
      <c r="E1319" s="684">
        <f>'900000'!$R39</f>
        <v>0</v>
      </c>
      <c r="F1319" s="27" t="s">
        <v>19081</v>
      </c>
    </row>
    <row r="1320" spans="1:6">
      <c r="A1320" s="27" t="str">
        <f>Resultados!$K$3</f>
        <v/>
      </c>
      <c r="B1320" s="27" t="str">
        <f>Resultados!$K$4</f>
        <v/>
      </c>
      <c r="C1320" s="568" t="str">
        <f>'900000'!$B40</f>
        <v>09901020</v>
      </c>
      <c r="D1320" s="27" t="str">
        <f>'900000'!$R$19</f>
        <v>C09901017</v>
      </c>
      <c r="E1320" s="684">
        <f>'900000'!$R40</f>
        <v>0</v>
      </c>
      <c r="F1320" s="27" t="s">
        <v>19081</v>
      </c>
    </row>
    <row r="1321" spans="1:6">
      <c r="A1321" s="27" t="str">
        <f>Resultados!$K$3</f>
        <v/>
      </c>
      <c r="B1321" s="27" t="str">
        <f>Resultados!$K$4</f>
        <v/>
      </c>
      <c r="C1321" s="568" t="str">
        <f>'900000'!$B41</f>
        <v>09901021</v>
      </c>
      <c r="D1321" s="27" t="str">
        <f>'900000'!$R$19</f>
        <v>C09901017</v>
      </c>
      <c r="E1321" s="684">
        <f>'900000'!$R41</f>
        <v>0</v>
      </c>
      <c r="F1321" s="27" t="s">
        <v>19081</v>
      </c>
    </row>
    <row r="1322" spans="1:6">
      <c r="A1322" s="27" t="str">
        <f>Resultados!$K$3</f>
        <v/>
      </c>
      <c r="B1322" s="27" t="str">
        <f>Resultados!$K$4</f>
        <v/>
      </c>
      <c r="C1322" s="568" t="str">
        <f>'900000'!$B42</f>
        <v>09901022</v>
      </c>
      <c r="D1322" s="27" t="str">
        <f>'900000'!$R$19</f>
        <v>C09901017</v>
      </c>
      <c r="E1322" s="684">
        <f>'900000'!$R42</f>
        <v>0</v>
      </c>
      <c r="F1322" s="27" t="s">
        <v>19081</v>
      </c>
    </row>
    <row r="1323" spans="1:6">
      <c r="A1323" s="27" t="str">
        <f>Resultados!$K$3</f>
        <v/>
      </c>
      <c r="B1323" s="27" t="str">
        <f>Resultados!$K$4</f>
        <v/>
      </c>
      <c r="C1323" s="568" t="str">
        <f>'900000'!$B43</f>
        <v>09901023</v>
      </c>
      <c r="D1323" s="27" t="str">
        <f>'900000'!$R$19</f>
        <v>C09901017</v>
      </c>
      <c r="E1323" s="684">
        <f>'900000'!$R43</f>
        <v>0</v>
      </c>
      <c r="F1323" s="27" t="s">
        <v>19081</v>
      </c>
    </row>
    <row r="1324" spans="1:6">
      <c r="A1324" s="27" t="str">
        <f>Resultados!$K$3</f>
        <v/>
      </c>
      <c r="B1324" s="27" t="str">
        <f>Resultados!$K$4</f>
        <v/>
      </c>
      <c r="C1324" s="568" t="str">
        <f>'900000'!$B44</f>
        <v>09901024</v>
      </c>
      <c r="D1324" s="27" t="str">
        <f>'900000'!$R$19</f>
        <v>C09901017</v>
      </c>
      <c r="E1324" s="684">
        <f>'900000'!$R44</f>
        <v>0</v>
      </c>
      <c r="F1324" s="27" t="s">
        <v>19081</v>
      </c>
    </row>
    <row r="1325" spans="1:6">
      <c r="A1325" s="27" t="str">
        <f>Resultados!$K$3</f>
        <v/>
      </c>
      <c r="B1325" s="27" t="str">
        <f>Resultados!$K$4</f>
        <v/>
      </c>
      <c r="C1325" s="568" t="str">
        <f>'900000'!$B45</f>
        <v>09901025</v>
      </c>
      <c r="D1325" s="27" t="str">
        <f>'900000'!$R$19</f>
        <v>C09901017</v>
      </c>
      <c r="E1325" s="684">
        <f>'900000'!$R45</f>
        <v>0</v>
      </c>
      <c r="F1325" s="27" t="s">
        <v>19081</v>
      </c>
    </row>
    <row r="1326" spans="1:6">
      <c r="A1326" s="27" t="str">
        <f>Resultados!$K$3</f>
        <v/>
      </c>
      <c r="B1326" s="27" t="str">
        <f>Resultados!$K$4</f>
        <v/>
      </c>
      <c r="C1326" s="568" t="str">
        <f>'900000'!$B46</f>
        <v>09901026</v>
      </c>
      <c r="D1326" s="27" t="str">
        <f>'900000'!$R$19</f>
        <v>C09901017</v>
      </c>
      <c r="E1326" s="684">
        <f>'900000'!$R46</f>
        <v>0</v>
      </c>
      <c r="F1326" s="27" t="s">
        <v>19081</v>
      </c>
    </row>
    <row r="1327" spans="1:6">
      <c r="A1327" s="27" t="str">
        <f>Resultados!$K$3</f>
        <v/>
      </c>
      <c r="B1327" s="27" t="str">
        <f>Resultados!$K$4</f>
        <v/>
      </c>
      <c r="C1327" s="568" t="str">
        <f>'900000'!$B47</f>
        <v>09901027</v>
      </c>
      <c r="D1327" s="27" t="str">
        <f>'900000'!$R$19</f>
        <v>C09901017</v>
      </c>
      <c r="E1327" s="684">
        <f>'900000'!$R47</f>
        <v>0</v>
      </c>
      <c r="F1327" s="27" t="s">
        <v>19081</v>
      </c>
    </row>
    <row r="1328" spans="1:6">
      <c r="A1328" s="27" t="str">
        <f>Resultados!$K$3</f>
        <v/>
      </c>
      <c r="B1328" s="27" t="str">
        <f>Resultados!$K$4</f>
        <v/>
      </c>
      <c r="C1328" s="568" t="str">
        <f>'900000'!$B48</f>
        <v>09901028</v>
      </c>
      <c r="D1328" s="27" t="str">
        <f>'900000'!$R$19</f>
        <v>C09901017</v>
      </c>
      <c r="E1328" s="684">
        <f>'900000'!$R48</f>
        <v>0</v>
      </c>
      <c r="F1328" s="27" t="s">
        <v>19081</v>
      </c>
    </row>
    <row r="1329" spans="1:6">
      <c r="A1329" s="27" t="str">
        <f>Resultados!$K$3</f>
        <v/>
      </c>
      <c r="B1329" s="27" t="str">
        <f>Resultados!$K$4</f>
        <v/>
      </c>
      <c r="C1329" s="568" t="str">
        <f>'900000'!$B49</f>
        <v>09901029</v>
      </c>
      <c r="D1329" s="27" t="str">
        <f>'900000'!$R$19</f>
        <v>C09901017</v>
      </c>
      <c r="E1329" s="684">
        <f>'900000'!$R49</f>
        <v>0</v>
      </c>
      <c r="F1329" s="27" t="s">
        <v>19081</v>
      </c>
    </row>
    <row r="1330" spans="1:6">
      <c r="A1330" s="27" t="str">
        <f>Resultados!$K$3</f>
        <v/>
      </c>
      <c r="B1330" s="27" t="str">
        <f>Resultados!$K$4</f>
        <v/>
      </c>
      <c r="C1330" s="568" t="str">
        <f>'900000'!$B50</f>
        <v>09901030</v>
      </c>
      <c r="D1330" s="27" t="str">
        <f>'900000'!$R$19</f>
        <v>C09901017</v>
      </c>
      <c r="E1330" s="684">
        <f>'900000'!$R50</f>
        <v>0</v>
      </c>
      <c r="F1330" s="27" t="s">
        <v>19081</v>
      </c>
    </row>
    <row r="1331" spans="1:6">
      <c r="A1331" s="27" t="str">
        <f>Resultados!$K$3</f>
        <v/>
      </c>
      <c r="B1331" s="27" t="str">
        <f>Resultados!$K$4</f>
        <v/>
      </c>
      <c r="C1331" s="568" t="str">
        <f>'900000'!$B51</f>
        <v>09901031</v>
      </c>
      <c r="D1331" s="27" t="str">
        <f>'900000'!$R$19</f>
        <v>C09901017</v>
      </c>
      <c r="E1331" s="684">
        <f>'900000'!$R51</f>
        <v>0</v>
      </c>
      <c r="F1331" s="27" t="s">
        <v>19081</v>
      </c>
    </row>
    <row r="1332" spans="1:6">
      <c r="A1332" s="27" t="str">
        <f>Resultados!$K$3</f>
        <v/>
      </c>
      <c r="B1332" s="27" t="str">
        <f>Resultados!$K$4</f>
        <v/>
      </c>
      <c r="C1332" s="568" t="str">
        <f>'900000'!$B52</f>
        <v>09901032</v>
      </c>
      <c r="D1332" s="27" t="str">
        <f>'900000'!$R$19</f>
        <v>C09901017</v>
      </c>
      <c r="E1332" s="684">
        <f>'900000'!$R52</f>
        <v>0</v>
      </c>
      <c r="F1332" s="27" t="s">
        <v>19081</v>
      </c>
    </row>
    <row r="1333" spans="1:6">
      <c r="A1333" s="27" t="str">
        <f>Resultados!$K$3</f>
        <v/>
      </c>
      <c r="B1333" s="27" t="str">
        <f>Resultados!$K$4</f>
        <v/>
      </c>
      <c r="C1333" s="568" t="str">
        <f>'900000'!$B53</f>
        <v>09901033</v>
      </c>
      <c r="D1333" s="27" t="str">
        <f>'900000'!$R$19</f>
        <v>C09901017</v>
      </c>
      <c r="E1333" s="684">
        <f>'900000'!$R53</f>
        <v>0</v>
      </c>
      <c r="F1333" s="27" t="s">
        <v>19081</v>
      </c>
    </row>
    <row r="1334" spans="1:6">
      <c r="A1334" s="27" t="str">
        <f>Resultados!$K$3</f>
        <v/>
      </c>
      <c r="B1334" s="27" t="str">
        <f>Resultados!$K$4</f>
        <v/>
      </c>
      <c r="C1334" s="568" t="str">
        <f>'900000'!$B54</f>
        <v>09901034</v>
      </c>
      <c r="D1334" s="27" t="str">
        <f>'900000'!$R$19</f>
        <v>C09901017</v>
      </c>
      <c r="E1334" s="684">
        <f>'900000'!$R54</f>
        <v>0</v>
      </c>
      <c r="F1334" s="27" t="s">
        <v>19081</v>
      </c>
    </row>
    <row r="1335" spans="1:6">
      <c r="A1335" s="27" t="str">
        <f>Resultados!$K$3</f>
        <v/>
      </c>
      <c r="B1335" s="27" t="str">
        <f>Resultados!$K$4</f>
        <v/>
      </c>
      <c r="C1335" s="568" t="str">
        <f>'900000'!$B55</f>
        <v>09901035</v>
      </c>
      <c r="D1335" s="27" t="str">
        <f>'900000'!$R$19</f>
        <v>C09901017</v>
      </c>
      <c r="E1335" s="684">
        <f>'900000'!$R55</f>
        <v>0</v>
      </c>
      <c r="F1335" s="27" t="s">
        <v>19081</v>
      </c>
    </row>
    <row r="1336" spans="1:6">
      <c r="A1336" s="27" t="str">
        <f>Resultados!$K$3</f>
        <v/>
      </c>
      <c r="B1336" s="27" t="str">
        <f>Resultados!$K$4</f>
        <v/>
      </c>
      <c r="C1336" s="568" t="str">
        <f>'900000'!$B56</f>
        <v>09901036</v>
      </c>
      <c r="D1336" s="27" t="str">
        <f>'900000'!$R$19</f>
        <v>C09901017</v>
      </c>
      <c r="E1336" s="684">
        <f>'900000'!$R56</f>
        <v>0</v>
      </c>
      <c r="F1336" s="27" t="s">
        <v>19081</v>
      </c>
    </row>
    <row r="1337" spans="1:6">
      <c r="A1337" s="27" t="str">
        <f>Resultados!$K$3</f>
        <v/>
      </c>
      <c r="B1337" s="27" t="str">
        <f>Resultados!$K$4</f>
        <v/>
      </c>
      <c r="C1337" s="568" t="str">
        <f>'900000'!$B57</f>
        <v>09901037</v>
      </c>
      <c r="D1337" s="27" t="str">
        <f>'900000'!$R$19</f>
        <v>C09901017</v>
      </c>
      <c r="E1337" s="684">
        <f>'900000'!$R57</f>
        <v>0</v>
      </c>
      <c r="F1337" s="27" t="s">
        <v>19081</v>
      </c>
    </row>
    <row r="1338" spans="1:6">
      <c r="A1338" s="27" t="str">
        <f>Resultados!$K$3</f>
        <v/>
      </c>
      <c r="B1338" s="27" t="str">
        <f>Resultados!$K$4</f>
        <v/>
      </c>
      <c r="C1338" s="568" t="str">
        <f>'900000'!$B58</f>
        <v>09901038</v>
      </c>
      <c r="D1338" s="27" t="str">
        <f>'900000'!$R$19</f>
        <v>C09901017</v>
      </c>
      <c r="E1338" s="684">
        <f>'900000'!$R58</f>
        <v>0</v>
      </c>
      <c r="F1338" s="27" t="s">
        <v>19081</v>
      </c>
    </row>
    <row r="1339" spans="1:6">
      <c r="A1339" s="27" t="str">
        <f>Resultados!$K$3</f>
        <v/>
      </c>
      <c r="B1339" s="27" t="str">
        <f>Resultados!$K$4</f>
        <v/>
      </c>
      <c r="C1339" s="568" t="str">
        <f>'900000'!$B59</f>
        <v>09901039</v>
      </c>
      <c r="D1339" s="27" t="str">
        <f>'900000'!$R$19</f>
        <v>C09901017</v>
      </c>
      <c r="E1339" s="684">
        <f>'900000'!$R59</f>
        <v>0</v>
      </c>
      <c r="F1339" s="27" t="s">
        <v>19081</v>
      </c>
    </row>
    <row r="1340" spans="1:6">
      <c r="A1340" s="27" t="str">
        <f>Resultados!$K$3</f>
        <v/>
      </c>
      <c r="B1340" s="27" t="str">
        <f>Resultados!$K$4</f>
        <v/>
      </c>
      <c r="C1340" s="568" t="str">
        <f>'900000'!$B60</f>
        <v>09901040</v>
      </c>
      <c r="D1340" s="27" t="str">
        <f>'900000'!$R$19</f>
        <v>C09901017</v>
      </c>
      <c r="E1340" s="684">
        <f>'900000'!$R60</f>
        <v>0</v>
      </c>
      <c r="F1340" s="27" t="s">
        <v>19081</v>
      </c>
    </row>
    <row r="1341" spans="1:6">
      <c r="A1341" s="27" t="str">
        <f>Resultados!$K$3</f>
        <v/>
      </c>
      <c r="B1341" s="27" t="str">
        <f>Resultados!$K$4</f>
        <v/>
      </c>
      <c r="C1341" s="568" t="str">
        <f>'900000'!$B61</f>
        <v>09901041</v>
      </c>
      <c r="D1341" s="27" t="str">
        <f>'900000'!$R$19</f>
        <v>C09901017</v>
      </c>
      <c r="E1341" s="684">
        <f>'900000'!$R61</f>
        <v>0</v>
      </c>
      <c r="F1341" s="27" t="s">
        <v>19081</v>
      </c>
    </row>
    <row r="1342" spans="1:6">
      <c r="A1342" s="27" t="str">
        <f>Resultados!$K$3</f>
        <v/>
      </c>
      <c r="B1342" s="27" t="str">
        <f>Resultados!$K$4</f>
        <v/>
      </c>
      <c r="C1342" s="568" t="str">
        <f>'900000'!$B62</f>
        <v>09901042</v>
      </c>
      <c r="D1342" s="27" t="str">
        <f>'900000'!$R$19</f>
        <v>C09901017</v>
      </c>
      <c r="E1342" s="684">
        <f>'900000'!$R62</f>
        <v>0</v>
      </c>
      <c r="F1342" s="27" t="s">
        <v>19081</v>
      </c>
    </row>
    <row r="1343" spans="1:6">
      <c r="A1343" s="27" t="str">
        <f>Resultados!$K$3</f>
        <v/>
      </c>
      <c r="B1343" s="27" t="str">
        <f>Resultados!$K$4</f>
        <v/>
      </c>
      <c r="C1343" s="568" t="str">
        <f>'900000'!$B63</f>
        <v>09901043</v>
      </c>
      <c r="D1343" s="27" t="str">
        <f>'900000'!$R$19</f>
        <v>C09901017</v>
      </c>
      <c r="E1343" s="684">
        <f>'900000'!$R63</f>
        <v>0</v>
      </c>
      <c r="F1343" s="27" t="s">
        <v>19081</v>
      </c>
    </row>
    <row r="1344" spans="1:6">
      <c r="A1344" s="27" t="str">
        <f>Resultados!$K$3</f>
        <v/>
      </c>
      <c r="B1344" s="27" t="str">
        <f>Resultados!$K$4</f>
        <v/>
      </c>
      <c r="C1344" s="568" t="str">
        <f>'900000'!$B64</f>
        <v>09901044</v>
      </c>
      <c r="D1344" s="27" t="str">
        <f>'900000'!$R$19</f>
        <v>C09901017</v>
      </c>
      <c r="E1344" s="684">
        <f>'900000'!$R64</f>
        <v>0</v>
      </c>
      <c r="F1344" s="27" t="s">
        <v>19081</v>
      </c>
    </row>
    <row r="1345" spans="1:6">
      <c r="A1345" s="27" t="str">
        <f>Resultados!$K$3</f>
        <v/>
      </c>
      <c r="B1345" s="27" t="str">
        <f>Resultados!$K$4</f>
        <v/>
      </c>
      <c r="C1345" s="568" t="str">
        <f>'900000'!$B65</f>
        <v>09901045</v>
      </c>
      <c r="D1345" s="27" t="str">
        <f>'900000'!$R$19</f>
        <v>C09901017</v>
      </c>
      <c r="E1345" s="684">
        <f>'900000'!$R65</f>
        <v>0</v>
      </c>
      <c r="F1345" s="27" t="s">
        <v>19081</v>
      </c>
    </row>
    <row r="1346" spans="1:6">
      <c r="A1346" s="27" t="str">
        <f>Resultados!$K$3</f>
        <v/>
      </c>
      <c r="B1346" s="27" t="str">
        <f>Resultados!$K$4</f>
        <v/>
      </c>
      <c r="C1346" s="568" t="str">
        <f>'900000'!$B66</f>
        <v>09901046</v>
      </c>
      <c r="D1346" s="27" t="str">
        <f>'900000'!$R$19</f>
        <v>C09901017</v>
      </c>
      <c r="E1346" s="684">
        <f>'900000'!$R66</f>
        <v>0</v>
      </c>
      <c r="F1346" s="27" t="s">
        <v>19081</v>
      </c>
    </row>
    <row r="1347" spans="1:6">
      <c r="A1347" s="27" t="str">
        <f>Resultados!$K$3</f>
        <v/>
      </c>
      <c r="B1347" s="27" t="str">
        <f>Resultados!$K$4</f>
        <v/>
      </c>
      <c r="C1347" s="568" t="str">
        <f>'900000'!$B67</f>
        <v>09901047</v>
      </c>
      <c r="D1347" s="27" t="str">
        <f>'900000'!$R$19</f>
        <v>C09901017</v>
      </c>
      <c r="E1347" s="684">
        <f>'900000'!$R67</f>
        <v>0</v>
      </c>
      <c r="F1347" s="27" t="s">
        <v>19081</v>
      </c>
    </row>
    <row r="1348" spans="1:6">
      <c r="A1348" s="27" t="str">
        <f>Resultados!$K$3</f>
        <v/>
      </c>
      <c r="B1348" s="27" t="str">
        <f>Resultados!$K$4</f>
        <v/>
      </c>
      <c r="C1348" s="568" t="str">
        <f>'900000'!$B68</f>
        <v>09901048</v>
      </c>
      <c r="D1348" s="27" t="str">
        <f>'900000'!$R$19</f>
        <v>C09901017</v>
      </c>
      <c r="E1348" s="684">
        <f>'900000'!$R68</f>
        <v>0</v>
      </c>
      <c r="F1348" s="27" t="s">
        <v>19081</v>
      </c>
    </row>
    <row r="1349" spans="1:6">
      <c r="A1349" s="27" t="str">
        <f>Resultados!$K$3</f>
        <v/>
      </c>
      <c r="B1349" s="27" t="str">
        <f>Resultados!$K$4</f>
        <v/>
      </c>
      <c r="C1349" s="568" t="str">
        <f>'900000'!$B69</f>
        <v>09901049</v>
      </c>
      <c r="D1349" s="27" t="str">
        <f>'900000'!$R$19</f>
        <v>C09901017</v>
      </c>
      <c r="E1349" s="684">
        <f>'900000'!$R69</f>
        <v>0</v>
      </c>
      <c r="F1349" s="27" t="s">
        <v>19081</v>
      </c>
    </row>
    <row r="1350" spans="1:6">
      <c r="A1350" s="27" t="str">
        <f>Resultados!$K$3</f>
        <v/>
      </c>
      <c r="B1350" s="27" t="str">
        <f>Resultados!$K$4</f>
        <v/>
      </c>
      <c r="C1350" s="568" t="str">
        <f>'900000'!$B70</f>
        <v>09901050</v>
      </c>
      <c r="D1350" s="27" t="str">
        <f>'900000'!$R$19</f>
        <v>C09901017</v>
      </c>
      <c r="E1350" s="684">
        <f>'900000'!$R70</f>
        <v>0</v>
      </c>
      <c r="F1350" s="27" t="s">
        <v>19081</v>
      </c>
    </row>
    <row r="1351" spans="1:6">
      <c r="A1351" s="27" t="str">
        <f>Resultados!$K$3</f>
        <v/>
      </c>
      <c r="B1351" s="27" t="str">
        <f>Resultados!$K$4</f>
        <v/>
      </c>
      <c r="C1351" s="568" t="str">
        <f>'900000'!$B71</f>
        <v>09901051</v>
      </c>
      <c r="D1351" s="27" t="str">
        <f>'900000'!$R$19</f>
        <v>C09901017</v>
      </c>
      <c r="E1351" s="684">
        <f>'900000'!$R71</f>
        <v>0</v>
      </c>
      <c r="F1351" s="27" t="s">
        <v>19081</v>
      </c>
    </row>
    <row r="1352" spans="1:6">
      <c r="A1352" s="27" t="str">
        <f>Resultados!$K$3</f>
        <v/>
      </c>
      <c r="B1352" s="27" t="str">
        <f>Resultados!$K$4</f>
        <v/>
      </c>
      <c r="C1352" s="568" t="str">
        <f>'900000'!$B72</f>
        <v>09901052</v>
      </c>
      <c r="D1352" s="27" t="str">
        <f>'900000'!$R$19</f>
        <v>C09901017</v>
      </c>
      <c r="E1352" s="684">
        <f>'900000'!$R72</f>
        <v>0</v>
      </c>
      <c r="F1352" s="27" t="s">
        <v>19081</v>
      </c>
    </row>
    <row r="1353" spans="1:6">
      <c r="A1353" s="27" t="str">
        <f>Resultados!$K$3</f>
        <v/>
      </c>
      <c r="B1353" s="27" t="str">
        <f>Resultados!$K$4</f>
        <v/>
      </c>
      <c r="C1353" s="568" t="str">
        <f>'900000'!$B73</f>
        <v>09901053</v>
      </c>
      <c r="D1353" s="27" t="str">
        <f>'900000'!$R$19</f>
        <v>C09901017</v>
      </c>
      <c r="E1353" s="684">
        <f>'900000'!$R73</f>
        <v>0</v>
      </c>
      <c r="F1353" s="27" t="s">
        <v>19081</v>
      </c>
    </row>
    <row r="1354" spans="1:6">
      <c r="A1354" s="27" t="str">
        <f>Resultados!$K$3</f>
        <v/>
      </c>
      <c r="B1354" s="27" t="str">
        <f>Resultados!$K$4</f>
        <v/>
      </c>
      <c r="C1354" s="568" t="str">
        <f>'900000'!$B74</f>
        <v>09901054</v>
      </c>
      <c r="D1354" s="27" t="str">
        <f>'900000'!$R$19</f>
        <v>C09901017</v>
      </c>
      <c r="E1354" s="684">
        <f>'900000'!$R74</f>
        <v>0</v>
      </c>
      <c r="F1354" s="27" t="s">
        <v>19081</v>
      </c>
    </row>
    <row r="1355" spans="1:6">
      <c r="A1355" s="27" t="str">
        <f>Resultados!$K$3</f>
        <v/>
      </c>
      <c r="B1355" s="27" t="str">
        <f>Resultados!$K$4</f>
        <v/>
      </c>
      <c r="C1355" s="568" t="str">
        <f>'900000'!$B75</f>
        <v>09901055</v>
      </c>
      <c r="D1355" s="27" t="str">
        <f>'900000'!$R$19</f>
        <v>C09901017</v>
      </c>
      <c r="E1355" s="684">
        <f>'900000'!$R75</f>
        <v>0</v>
      </c>
      <c r="F1355" s="27" t="s">
        <v>19081</v>
      </c>
    </row>
    <row r="1356" spans="1:6">
      <c r="A1356" s="27" t="str">
        <f>Resultados!$K$3</f>
        <v/>
      </c>
      <c r="B1356" s="27" t="str">
        <f>Resultados!$K$4</f>
        <v/>
      </c>
      <c r="C1356" s="568" t="str">
        <f>'900000'!$B76</f>
        <v>09901056</v>
      </c>
      <c r="D1356" s="27" t="str">
        <f>'900000'!$R$19</f>
        <v>C09901017</v>
      </c>
      <c r="E1356" s="684">
        <f>'900000'!$R76</f>
        <v>0</v>
      </c>
      <c r="F1356" s="27" t="s">
        <v>19081</v>
      </c>
    </row>
    <row r="1357" spans="1:6">
      <c r="A1357" s="27" t="str">
        <f>Resultados!$K$3</f>
        <v/>
      </c>
      <c r="B1357" s="27" t="str">
        <f>Resultados!$K$4</f>
        <v/>
      </c>
      <c r="C1357" s="568" t="str">
        <f>'900000'!$B77</f>
        <v>09901057</v>
      </c>
      <c r="D1357" s="27" t="str">
        <f>'900000'!$R$19</f>
        <v>C09901017</v>
      </c>
      <c r="E1357" s="684">
        <f>'900000'!$R77</f>
        <v>0</v>
      </c>
      <c r="F1357" s="27" t="s">
        <v>19081</v>
      </c>
    </row>
    <row r="1358" spans="1:6">
      <c r="A1358" s="27" t="str">
        <f>Resultados!$K$3</f>
        <v/>
      </c>
      <c r="B1358" s="27" t="str">
        <f>Resultados!$K$4</f>
        <v/>
      </c>
      <c r="C1358" s="568" t="str">
        <f>'900000'!$B78</f>
        <v>09901058</v>
      </c>
      <c r="D1358" s="27" t="str">
        <f>'900000'!$R$19</f>
        <v>C09901017</v>
      </c>
      <c r="E1358" s="684">
        <f>'900000'!$R78</f>
        <v>0</v>
      </c>
      <c r="F1358" s="27" t="s">
        <v>19081</v>
      </c>
    </row>
    <row r="1359" spans="1:6">
      <c r="A1359" s="27" t="str">
        <f>Resultados!$K$3</f>
        <v/>
      </c>
      <c r="B1359" s="27" t="str">
        <f>Resultados!$K$4</f>
        <v/>
      </c>
      <c r="C1359" s="568" t="str">
        <f>'900000'!$B79</f>
        <v>09901059</v>
      </c>
      <c r="D1359" s="27" t="str">
        <f>'900000'!$R$19</f>
        <v>C09901017</v>
      </c>
      <c r="E1359" s="684">
        <f>'900000'!$R79</f>
        <v>0</v>
      </c>
      <c r="F1359" s="27" t="s">
        <v>19081</v>
      </c>
    </row>
    <row r="1360" spans="1:6">
      <c r="A1360" s="27" t="str">
        <f>Resultados!$K$3</f>
        <v/>
      </c>
      <c r="B1360" s="27" t="str">
        <f>Resultados!$K$4</f>
        <v/>
      </c>
      <c r="C1360" s="568" t="str">
        <f>'900000'!$B80</f>
        <v>09901060</v>
      </c>
      <c r="D1360" s="27" t="str">
        <f>'900000'!$R$19</f>
        <v>C09901017</v>
      </c>
      <c r="E1360" s="684">
        <f>'900000'!$R80</f>
        <v>0</v>
      </c>
      <c r="F1360" s="27" t="s">
        <v>19081</v>
      </c>
    </row>
    <row r="1361" spans="1:6">
      <c r="A1361" s="27" t="str">
        <f>Resultados!$K$3</f>
        <v/>
      </c>
      <c r="B1361" s="27" t="str">
        <f>Resultados!$K$4</f>
        <v/>
      </c>
      <c r="C1361" s="568" t="str">
        <f>'900000'!$B81</f>
        <v>09901061</v>
      </c>
      <c r="D1361" s="27" t="str">
        <f>'900000'!$R$19</f>
        <v>C09901017</v>
      </c>
      <c r="E1361" s="684">
        <f>'900000'!$R81</f>
        <v>0</v>
      </c>
      <c r="F1361" s="27" t="s">
        <v>19081</v>
      </c>
    </row>
    <row r="1362" spans="1:6">
      <c r="A1362" s="27" t="str">
        <f>Resultados!$K$3</f>
        <v/>
      </c>
      <c r="B1362" s="27" t="str">
        <f>Resultados!$K$4</f>
        <v/>
      </c>
      <c r="C1362" s="568" t="str">
        <f>'900000'!$B82</f>
        <v>09901062</v>
      </c>
      <c r="D1362" s="27" t="str">
        <f>'900000'!$R$19</f>
        <v>C09901017</v>
      </c>
      <c r="E1362" s="684">
        <f>'900000'!$R82</f>
        <v>0</v>
      </c>
      <c r="F1362" s="27" t="s">
        <v>19081</v>
      </c>
    </row>
    <row r="1363" spans="1:6">
      <c r="A1363" s="27" t="str">
        <f>Resultados!$K$3</f>
        <v/>
      </c>
      <c r="B1363" s="27" t="str">
        <f>Resultados!$K$4</f>
        <v/>
      </c>
      <c r="C1363" s="568" t="str">
        <f>'900000'!$B83</f>
        <v>09901063</v>
      </c>
      <c r="D1363" s="27" t="str">
        <f>'900000'!$R$19</f>
        <v>C09901017</v>
      </c>
      <c r="E1363" s="684">
        <f>'900000'!$R83</f>
        <v>0</v>
      </c>
      <c r="F1363" s="27" t="s">
        <v>19081</v>
      </c>
    </row>
    <row r="1364" spans="1:6">
      <c r="A1364" s="27" t="str">
        <f>Resultados!$K$3</f>
        <v/>
      </c>
      <c r="B1364" s="27" t="str">
        <f>Resultados!$K$4</f>
        <v/>
      </c>
      <c r="C1364" s="568" t="str">
        <f>'900000'!$B84</f>
        <v>09901064</v>
      </c>
      <c r="D1364" s="27" t="str">
        <f>'900000'!$R$19</f>
        <v>C09901017</v>
      </c>
      <c r="E1364" s="684">
        <f>'900000'!$R84</f>
        <v>0</v>
      </c>
      <c r="F1364" s="27" t="s">
        <v>19081</v>
      </c>
    </row>
    <row r="1365" spans="1:6">
      <c r="A1365" s="27" t="str">
        <f>Resultados!$K$3</f>
        <v/>
      </c>
      <c r="B1365" s="27" t="str">
        <f>Resultados!$K$4</f>
        <v/>
      </c>
      <c r="C1365" s="568" t="str">
        <f>'900000'!$B85</f>
        <v>09901065</v>
      </c>
      <c r="D1365" s="27" t="str">
        <f>'900000'!$R$19</f>
        <v>C09901017</v>
      </c>
      <c r="E1365" s="684">
        <f>'900000'!$R85</f>
        <v>0</v>
      </c>
      <c r="F1365" s="27" t="s">
        <v>19081</v>
      </c>
    </row>
    <row r="1366" spans="1:6">
      <c r="A1366" s="27" t="str">
        <f>Resultados!$K$3</f>
        <v/>
      </c>
      <c r="B1366" s="27" t="str">
        <f>Resultados!$K$4</f>
        <v/>
      </c>
      <c r="C1366" s="568" t="str">
        <f>'900000'!$B86</f>
        <v>09901066</v>
      </c>
      <c r="D1366" s="27" t="str">
        <f>'900000'!$R$19</f>
        <v>C09901017</v>
      </c>
      <c r="E1366" s="684">
        <f>'900000'!$R86</f>
        <v>0</v>
      </c>
      <c r="F1366" s="27" t="s">
        <v>19081</v>
      </c>
    </row>
    <row r="1367" spans="1:6">
      <c r="A1367" s="27" t="str">
        <f>Resultados!$K$3</f>
        <v/>
      </c>
      <c r="B1367" s="27" t="str">
        <f>Resultados!$K$4</f>
        <v/>
      </c>
      <c r="C1367" s="568" t="str">
        <f>'900000'!$B87</f>
        <v>09901067</v>
      </c>
      <c r="D1367" s="27" t="str">
        <f>'900000'!$R$19</f>
        <v>C09901017</v>
      </c>
      <c r="E1367" s="684">
        <f>'900000'!$R87</f>
        <v>0</v>
      </c>
      <c r="F1367" s="27" t="s">
        <v>19081</v>
      </c>
    </row>
    <row r="1368" spans="1:6">
      <c r="A1368" s="27" t="str">
        <f>Resultados!$K$3</f>
        <v/>
      </c>
      <c r="B1368" s="27" t="str">
        <f>Resultados!$K$4</f>
        <v/>
      </c>
      <c r="C1368" s="568" t="str">
        <f>'900000'!$B88</f>
        <v>09901068</v>
      </c>
      <c r="D1368" s="27" t="str">
        <f>'900000'!$R$19</f>
        <v>C09901017</v>
      </c>
      <c r="E1368" s="684">
        <f>'900000'!$R88</f>
        <v>0</v>
      </c>
      <c r="F1368" s="27" t="s">
        <v>19081</v>
      </c>
    </row>
    <row r="1369" spans="1:6">
      <c r="A1369" s="27" t="str">
        <f>Resultados!$K$3</f>
        <v/>
      </c>
      <c r="B1369" s="27" t="str">
        <f>Resultados!$K$4</f>
        <v/>
      </c>
      <c r="C1369" s="568" t="str">
        <f>'900000'!$B89</f>
        <v>09901069</v>
      </c>
      <c r="D1369" s="27" t="str">
        <f>'900000'!$R$19</f>
        <v>C09901017</v>
      </c>
      <c r="E1369" s="684">
        <f>'900000'!$R89</f>
        <v>0</v>
      </c>
      <c r="F1369" s="27" t="s">
        <v>19081</v>
      </c>
    </row>
    <row r="1370" spans="1:6">
      <c r="A1370" s="27" t="str">
        <f>Resultados!$K$3</f>
        <v/>
      </c>
      <c r="B1370" s="27" t="str">
        <f>Resultados!$K$4</f>
        <v/>
      </c>
      <c r="C1370" s="568" t="str">
        <f>'900000'!$B90</f>
        <v>09901070</v>
      </c>
      <c r="D1370" s="27" t="str">
        <f>'900000'!$R$19</f>
        <v>C09901017</v>
      </c>
      <c r="E1370" s="684">
        <f>'900000'!$R90</f>
        <v>0</v>
      </c>
      <c r="F1370" s="27" t="s">
        <v>19081</v>
      </c>
    </row>
    <row r="1371" spans="1:6">
      <c r="A1371" s="27" t="str">
        <f>Resultados!$K$3</f>
        <v/>
      </c>
      <c r="B1371" s="27" t="str">
        <f>Resultados!$K$4</f>
        <v/>
      </c>
      <c r="C1371" s="568" t="str">
        <f>'900000'!$B91</f>
        <v>09901071</v>
      </c>
      <c r="D1371" s="27" t="str">
        <f>'900000'!$R$19</f>
        <v>C09901017</v>
      </c>
      <c r="E1371" s="684">
        <f>'900000'!$R91</f>
        <v>0</v>
      </c>
      <c r="F1371" s="27" t="s">
        <v>19081</v>
      </c>
    </row>
    <row r="1372" spans="1:6">
      <c r="A1372" s="27" t="str">
        <f>Resultados!$K$3</f>
        <v/>
      </c>
      <c r="B1372" s="27" t="str">
        <f>Resultados!$K$4</f>
        <v/>
      </c>
      <c r="C1372" s="568" t="str">
        <f>'900000'!$B92</f>
        <v>09901072</v>
      </c>
      <c r="D1372" s="27" t="str">
        <f>'900000'!$R$19</f>
        <v>C09901017</v>
      </c>
      <c r="E1372" s="684">
        <f>'900000'!$R92</f>
        <v>0</v>
      </c>
      <c r="F1372" s="27" t="s">
        <v>19081</v>
      </c>
    </row>
    <row r="1373" spans="1:6">
      <c r="A1373" s="27" t="str">
        <f>Resultados!$K$3</f>
        <v/>
      </c>
      <c r="B1373" s="27" t="str">
        <f>Resultados!$K$4</f>
        <v/>
      </c>
      <c r="C1373" s="568" t="str">
        <f>'900000'!$B93</f>
        <v>09901073</v>
      </c>
      <c r="D1373" s="27" t="str">
        <f>'900000'!$R$19</f>
        <v>C09901017</v>
      </c>
      <c r="E1373" s="684">
        <f>'900000'!$R93</f>
        <v>0</v>
      </c>
      <c r="F1373" s="27" t="s">
        <v>19081</v>
      </c>
    </row>
    <row r="1374" spans="1:6">
      <c r="A1374" s="27" t="str">
        <f>Resultados!$K$3</f>
        <v/>
      </c>
      <c r="B1374" s="27" t="str">
        <f>Resultados!$K$4</f>
        <v/>
      </c>
      <c r="C1374" s="568" t="str">
        <f>'900000'!$B94</f>
        <v>09901074</v>
      </c>
      <c r="D1374" s="27" t="str">
        <f>'900000'!$R$19</f>
        <v>C09901017</v>
      </c>
      <c r="E1374" s="684">
        <f>'900000'!$R94</f>
        <v>0</v>
      </c>
      <c r="F1374" s="27" t="s">
        <v>19081</v>
      </c>
    </row>
    <row r="1375" spans="1:6">
      <c r="A1375" s="27" t="str">
        <f>Resultados!$K$3</f>
        <v/>
      </c>
      <c r="B1375" s="27" t="str">
        <f>Resultados!$K$4</f>
        <v/>
      </c>
      <c r="C1375" s="568" t="str">
        <f>'900000'!$B95</f>
        <v>09901075</v>
      </c>
      <c r="D1375" s="27" t="str">
        <f>'900000'!$R$19</f>
        <v>C09901017</v>
      </c>
      <c r="E1375" s="684">
        <f>'900000'!$R95</f>
        <v>0</v>
      </c>
      <c r="F1375" s="27" t="s">
        <v>19081</v>
      </c>
    </row>
    <row r="1376" spans="1:6">
      <c r="A1376" s="27" t="str">
        <f>Resultados!$K$3</f>
        <v/>
      </c>
      <c r="B1376" s="27" t="str">
        <f>Resultados!$K$4</f>
        <v/>
      </c>
      <c r="C1376" s="568" t="str">
        <f>'900000'!$B96</f>
        <v>09901076</v>
      </c>
      <c r="D1376" s="27" t="str">
        <f>'900000'!$R$19</f>
        <v>C09901017</v>
      </c>
      <c r="E1376" s="684">
        <f>'900000'!$R96</f>
        <v>0</v>
      </c>
      <c r="F1376" s="27" t="s">
        <v>19081</v>
      </c>
    </row>
    <row r="1377" spans="1:6">
      <c r="A1377" s="27" t="str">
        <f>Resultados!$K$3</f>
        <v/>
      </c>
      <c r="B1377" s="27" t="str">
        <f>Resultados!$K$4</f>
        <v/>
      </c>
      <c r="C1377" s="568" t="str">
        <f>'900000'!$B97</f>
        <v>09901077</v>
      </c>
      <c r="D1377" s="27" t="str">
        <f>'900000'!$R$19</f>
        <v>C09901017</v>
      </c>
      <c r="E1377" s="684">
        <f>'900000'!$R97</f>
        <v>0</v>
      </c>
      <c r="F1377" s="27" t="s">
        <v>19081</v>
      </c>
    </row>
    <row r="1378" spans="1:6">
      <c r="A1378" s="27" t="str">
        <f>Resultados!$K$3</f>
        <v/>
      </c>
      <c r="B1378" s="27" t="str">
        <f>Resultados!$K$4</f>
        <v/>
      </c>
      <c r="C1378" s="568" t="str">
        <f>'900000'!$B98</f>
        <v>09901078</v>
      </c>
      <c r="D1378" s="27" t="str">
        <f>'900000'!$R$19</f>
        <v>C09901017</v>
      </c>
      <c r="E1378" s="684">
        <f>'900000'!$R98</f>
        <v>0</v>
      </c>
      <c r="F1378" s="27" t="s">
        <v>19081</v>
      </c>
    </row>
    <row r="1379" spans="1:6">
      <c r="A1379" s="27" t="str">
        <f>Resultados!$K$3</f>
        <v/>
      </c>
      <c r="B1379" s="27" t="str">
        <f>Resultados!$K$4</f>
        <v/>
      </c>
      <c r="C1379" s="568" t="str">
        <f>'900000'!$B99</f>
        <v>09901079</v>
      </c>
      <c r="D1379" s="27" t="str">
        <f>'900000'!$R$19</f>
        <v>C09901017</v>
      </c>
      <c r="E1379" s="684">
        <f>'900000'!$R99</f>
        <v>0</v>
      </c>
      <c r="F1379" s="27" t="s">
        <v>19081</v>
      </c>
    </row>
    <row r="1380" spans="1:6">
      <c r="A1380" s="27" t="str">
        <f>Resultados!$K$3</f>
        <v/>
      </c>
      <c r="B1380" s="27" t="str">
        <f>Resultados!$K$4</f>
        <v/>
      </c>
      <c r="C1380" s="568" t="str">
        <f>'900000'!$B100</f>
        <v>09901080</v>
      </c>
      <c r="D1380" s="27" t="str">
        <f>'900000'!$R$19</f>
        <v>C09901017</v>
      </c>
      <c r="E1380" s="684">
        <f>'900000'!$R100</f>
        <v>0</v>
      </c>
      <c r="F1380" s="27" t="s">
        <v>19081</v>
      </c>
    </row>
    <row r="1381" spans="1:6">
      <c r="A1381" s="27" t="str">
        <f>Resultados!$K$3</f>
        <v/>
      </c>
      <c r="B1381" s="27" t="str">
        <f>Resultados!$K$4</f>
        <v/>
      </c>
      <c r="C1381" s="568" t="str">
        <f>'900000'!$B101</f>
        <v>09901081</v>
      </c>
      <c r="D1381" s="27" t="str">
        <f>'900000'!$R$19</f>
        <v>C09901017</v>
      </c>
      <c r="E1381" s="684">
        <f>'900000'!$R101</f>
        <v>0</v>
      </c>
      <c r="F1381" s="27" t="s">
        <v>19081</v>
      </c>
    </row>
    <row r="1382" spans="1:6">
      <c r="A1382" s="27" t="str">
        <f>Resultados!$K$3</f>
        <v/>
      </c>
      <c r="B1382" s="27" t="str">
        <f>Resultados!$K$4</f>
        <v/>
      </c>
      <c r="C1382" s="568" t="str">
        <f>'900000'!$B102</f>
        <v>09901082</v>
      </c>
      <c r="D1382" s="27" t="str">
        <f>'900000'!$R$19</f>
        <v>C09901017</v>
      </c>
      <c r="E1382" s="684">
        <f>'900000'!$R102</f>
        <v>0</v>
      </c>
      <c r="F1382" s="27" t="s">
        <v>19081</v>
      </c>
    </row>
    <row r="1383" spans="1:6">
      <c r="A1383" s="27" t="str">
        <f>Resultados!$K$3</f>
        <v/>
      </c>
      <c r="B1383" s="27" t="str">
        <f>Resultados!$K$4</f>
        <v/>
      </c>
      <c r="C1383" s="568" t="str">
        <f>'900000'!$B103</f>
        <v>09901083</v>
      </c>
      <c r="D1383" s="27" t="str">
        <f>'900000'!$R$19</f>
        <v>C09901017</v>
      </c>
      <c r="E1383" s="684">
        <f>'900000'!$R103</f>
        <v>0</v>
      </c>
      <c r="F1383" s="27" t="s">
        <v>19081</v>
      </c>
    </row>
    <row r="1384" spans="1:6">
      <c r="A1384" s="27" t="str">
        <f>Resultados!$K$3</f>
        <v/>
      </c>
      <c r="B1384" s="27" t="str">
        <f>Resultados!$K$4</f>
        <v/>
      </c>
      <c r="C1384" s="568" t="str">
        <f>'900000'!$B104</f>
        <v>09901084</v>
      </c>
      <c r="D1384" s="27" t="str">
        <f>'900000'!$R$19</f>
        <v>C09901017</v>
      </c>
      <c r="E1384" s="684">
        <f>'900000'!$R104</f>
        <v>0</v>
      </c>
      <c r="F1384" s="27" t="s">
        <v>19081</v>
      </c>
    </row>
    <row r="1385" spans="1:6">
      <c r="A1385" s="27" t="str">
        <f>Resultados!$K$3</f>
        <v/>
      </c>
      <c r="B1385" s="27" t="str">
        <f>Resultados!$K$4</f>
        <v/>
      </c>
      <c r="C1385" s="568" t="str">
        <f>'900000'!$B105</f>
        <v>09901085</v>
      </c>
      <c r="D1385" s="27" t="str">
        <f>'900000'!$R$19</f>
        <v>C09901017</v>
      </c>
      <c r="E1385" s="684">
        <f>'900000'!$R105</f>
        <v>0</v>
      </c>
      <c r="F1385" s="27" t="s">
        <v>19081</v>
      </c>
    </row>
    <row r="1386" spans="1:6">
      <c r="A1386" s="27" t="str">
        <f>Resultados!$K$3</f>
        <v/>
      </c>
      <c r="B1386" s="27" t="str">
        <f>Resultados!$K$4</f>
        <v/>
      </c>
      <c r="C1386" s="568" t="str">
        <f>'900000'!$B106</f>
        <v>09901086</v>
      </c>
      <c r="D1386" s="27" t="str">
        <f>'900000'!$R$19</f>
        <v>C09901017</v>
      </c>
      <c r="E1386" s="684">
        <f>'900000'!$R106</f>
        <v>0</v>
      </c>
      <c r="F1386" s="27" t="s">
        <v>19081</v>
      </c>
    </row>
    <row r="1387" spans="1:6">
      <c r="A1387" s="27" t="str">
        <f>Resultados!$K$3</f>
        <v/>
      </c>
      <c r="B1387" s="27" t="str">
        <f>Resultados!$K$4</f>
        <v/>
      </c>
      <c r="C1387" s="568" t="str">
        <f>'900000'!$B107</f>
        <v>09901087</v>
      </c>
      <c r="D1387" s="27" t="str">
        <f>'900000'!$R$19</f>
        <v>C09901017</v>
      </c>
      <c r="E1387" s="684">
        <f>'900000'!$R107</f>
        <v>0</v>
      </c>
      <c r="F1387" s="27" t="s">
        <v>19081</v>
      </c>
    </row>
    <row r="1388" spans="1:6">
      <c r="A1388" s="27" t="str">
        <f>Resultados!$K$3</f>
        <v/>
      </c>
      <c r="B1388" s="27" t="str">
        <f>Resultados!$K$4</f>
        <v/>
      </c>
      <c r="C1388" s="568" t="str">
        <f>'900000'!$B108</f>
        <v>09901088</v>
      </c>
      <c r="D1388" s="27" t="str">
        <f>'900000'!$R$19</f>
        <v>C09901017</v>
      </c>
      <c r="E1388" s="684">
        <f>'900000'!$R108</f>
        <v>0</v>
      </c>
      <c r="F1388" s="27" t="s">
        <v>19081</v>
      </c>
    </row>
    <row r="1389" spans="1:6">
      <c r="A1389" s="27" t="str">
        <f>Resultados!$K$3</f>
        <v/>
      </c>
      <c r="B1389" s="27" t="str">
        <f>Resultados!$K$4</f>
        <v/>
      </c>
      <c r="C1389" s="568" t="str">
        <f>'900000'!$B109</f>
        <v>09901089</v>
      </c>
      <c r="D1389" s="27" t="str">
        <f>'900000'!$R$19</f>
        <v>C09901017</v>
      </c>
      <c r="E1389" s="684">
        <f>'900000'!$R109</f>
        <v>0</v>
      </c>
      <c r="F1389" s="27" t="s">
        <v>19081</v>
      </c>
    </row>
    <row r="1390" spans="1:6">
      <c r="A1390" s="27" t="str">
        <f>Resultados!$K$3</f>
        <v/>
      </c>
      <c r="B1390" s="27" t="str">
        <f>Resultados!$K$4</f>
        <v/>
      </c>
      <c r="C1390" s="568" t="str">
        <f>'900000'!$B110</f>
        <v>09901090</v>
      </c>
      <c r="D1390" s="27" t="str">
        <f>'900000'!$R$19</f>
        <v>C09901017</v>
      </c>
      <c r="E1390" s="684">
        <f>'900000'!$R110</f>
        <v>0</v>
      </c>
      <c r="F1390" s="27" t="s">
        <v>19081</v>
      </c>
    </row>
    <row r="1391" spans="1:6">
      <c r="A1391" s="27" t="str">
        <f>Resultados!$K$3</f>
        <v/>
      </c>
      <c r="B1391" s="27" t="str">
        <f>Resultados!$K$4</f>
        <v/>
      </c>
      <c r="C1391" s="568" t="str">
        <f>'900000'!$B111</f>
        <v>09901091</v>
      </c>
      <c r="D1391" s="27" t="str">
        <f>'900000'!$R$19</f>
        <v>C09901017</v>
      </c>
      <c r="E1391" s="684">
        <f>'900000'!$R111</f>
        <v>0</v>
      </c>
      <c r="F1391" s="27" t="s">
        <v>19081</v>
      </c>
    </row>
    <row r="1392" spans="1:6">
      <c r="A1392" s="27" t="str">
        <f>Resultados!$K$3</f>
        <v/>
      </c>
      <c r="B1392" s="27" t="str">
        <f>Resultados!$K$4</f>
        <v/>
      </c>
      <c r="C1392" s="568" t="str">
        <f>'900000'!$B112</f>
        <v>09901092</v>
      </c>
      <c r="D1392" s="27" t="str">
        <f>'900000'!$R$19</f>
        <v>C09901017</v>
      </c>
      <c r="E1392" s="684">
        <f>'900000'!$R112</f>
        <v>0</v>
      </c>
      <c r="F1392" s="27" t="s">
        <v>19081</v>
      </c>
    </row>
    <row r="1393" spans="1:6">
      <c r="A1393" s="27" t="str">
        <f>Resultados!$K$3</f>
        <v/>
      </c>
      <c r="B1393" s="27" t="str">
        <f>Resultados!$K$4</f>
        <v/>
      </c>
      <c r="C1393" s="568" t="str">
        <f>'900000'!$B113</f>
        <v>09901093</v>
      </c>
      <c r="D1393" s="27" t="str">
        <f>'900000'!$R$19</f>
        <v>C09901017</v>
      </c>
      <c r="E1393" s="684">
        <f>'900000'!$R113</f>
        <v>0</v>
      </c>
      <c r="F1393" s="27" t="s">
        <v>19081</v>
      </c>
    </row>
    <row r="1394" spans="1:6">
      <c r="A1394" s="27" t="str">
        <f>Resultados!$K$3</f>
        <v/>
      </c>
      <c r="B1394" s="27" t="str">
        <f>Resultados!$K$4</f>
        <v/>
      </c>
      <c r="C1394" s="568" t="str">
        <f>'900000'!$B114</f>
        <v>09901094</v>
      </c>
      <c r="D1394" s="27" t="str">
        <f>'900000'!$R$19</f>
        <v>C09901017</v>
      </c>
      <c r="E1394" s="684">
        <f>'900000'!$R114</f>
        <v>0</v>
      </c>
      <c r="F1394" s="27" t="s">
        <v>19081</v>
      </c>
    </row>
    <row r="1395" spans="1:6">
      <c r="A1395" s="27" t="str">
        <f>Resultados!$K$3</f>
        <v/>
      </c>
      <c r="B1395" s="27" t="str">
        <f>Resultados!$K$4</f>
        <v/>
      </c>
      <c r="C1395" s="568" t="str">
        <f>'900000'!$B115</f>
        <v>09901095</v>
      </c>
      <c r="D1395" s="27" t="str">
        <f>'900000'!$R$19</f>
        <v>C09901017</v>
      </c>
      <c r="E1395" s="684">
        <f>'900000'!$R115</f>
        <v>0</v>
      </c>
      <c r="F1395" s="27" t="s">
        <v>19081</v>
      </c>
    </row>
    <row r="1396" spans="1:6">
      <c r="A1396" s="27" t="str">
        <f>Resultados!$K$3</f>
        <v/>
      </c>
      <c r="B1396" s="27" t="str">
        <f>Resultados!$K$4</f>
        <v/>
      </c>
      <c r="C1396" s="568" t="str">
        <f>'900000'!$B116</f>
        <v>09901096</v>
      </c>
      <c r="D1396" s="27" t="str">
        <f>'900000'!$R$19</f>
        <v>C09901017</v>
      </c>
      <c r="E1396" s="684">
        <f>'900000'!$R116</f>
        <v>0</v>
      </c>
      <c r="F1396" s="27" t="s">
        <v>19081</v>
      </c>
    </row>
    <row r="1397" spans="1:6">
      <c r="A1397" s="27" t="str">
        <f>Resultados!$K$3</f>
        <v/>
      </c>
      <c r="B1397" s="27" t="str">
        <f>Resultados!$K$4</f>
        <v/>
      </c>
      <c r="C1397" s="568" t="str">
        <f>'900000'!$B117</f>
        <v>09901097</v>
      </c>
      <c r="D1397" s="27" t="str">
        <f>'900000'!$R$19</f>
        <v>C09901017</v>
      </c>
      <c r="E1397" s="684">
        <f>'900000'!$R117</f>
        <v>0</v>
      </c>
      <c r="F1397" s="27" t="s">
        <v>19081</v>
      </c>
    </row>
    <row r="1398" spans="1:6">
      <c r="A1398" s="27" t="str">
        <f>Resultados!$K$3</f>
        <v/>
      </c>
      <c r="B1398" s="27" t="str">
        <f>Resultados!$K$4</f>
        <v/>
      </c>
      <c r="C1398" s="568" t="str">
        <f>'900000'!$B118</f>
        <v>09901098</v>
      </c>
      <c r="D1398" s="27" t="str">
        <f>'900000'!$R$19</f>
        <v>C09901017</v>
      </c>
      <c r="E1398" s="684">
        <f>'900000'!$R118</f>
        <v>0</v>
      </c>
      <c r="F1398" s="27" t="s">
        <v>19081</v>
      </c>
    </row>
    <row r="1399" spans="1:6">
      <c r="A1399" s="27" t="str">
        <f>Resultados!$K$3</f>
        <v/>
      </c>
      <c r="B1399" s="27" t="str">
        <f>Resultados!$K$4</f>
        <v/>
      </c>
      <c r="C1399" s="568" t="str">
        <f>'900000'!$B119</f>
        <v>09901099</v>
      </c>
      <c r="D1399" s="27" t="str">
        <f>'900000'!$R$19</f>
        <v>C09901017</v>
      </c>
      <c r="E1399" s="684">
        <f>'900000'!$R119</f>
        <v>0</v>
      </c>
      <c r="F1399" s="27" t="s">
        <v>19081</v>
      </c>
    </row>
    <row r="1400" spans="1:6">
      <c r="A1400" s="27" t="str">
        <f>Resultados!$K$3</f>
        <v/>
      </c>
      <c r="B1400" s="27" t="str">
        <f>Resultados!$K$4</f>
        <v/>
      </c>
      <c r="C1400" s="568" t="str">
        <f>'900000'!$B120</f>
        <v>09901100</v>
      </c>
      <c r="D1400" s="27" t="str">
        <f>'900000'!$R$19</f>
        <v>C09901017</v>
      </c>
      <c r="E1400" s="684">
        <f>'900000'!$R120</f>
        <v>0</v>
      </c>
      <c r="F1400" s="27" t="s">
        <v>19081</v>
      </c>
    </row>
    <row r="1401" spans="1:6">
      <c r="A1401" s="27" t="str">
        <f>Resultados!$K$3</f>
        <v/>
      </c>
      <c r="B1401" s="27" t="str">
        <f>Resultados!$K$4</f>
        <v/>
      </c>
      <c r="C1401" s="568" t="str">
        <f>'900000'!$B121</f>
        <v>09901101</v>
      </c>
      <c r="D1401" s="27" t="str">
        <f>'900000'!$R$19</f>
        <v>C09901017</v>
      </c>
      <c r="E1401" s="684">
        <f>'900000'!$R121</f>
        <v>0</v>
      </c>
      <c r="F1401" s="27" t="s">
        <v>19081</v>
      </c>
    </row>
    <row r="1402" spans="1:6">
      <c r="A1402" s="27" t="str">
        <f>Resultados!$K$3</f>
        <v/>
      </c>
      <c r="B1402" s="27" t="str">
        <f>Resultados!$K$4</f>
        <v/>
      </c>
      <c r="C1402" s="568" t="str">
        <f>'900000'!$B22</f>
        <v>09901002</v>
      </c>
      <c r="D1402" t="str">
        <f>'900000'!$AK$15</f>
        <v>C09903004</v>
      </c>
      <c r="E1402">
        <f>'900000'!$AK22</f>
        <v>0</v>
      </c>
      <c r="F1402" s="27" t="s">
        <v>19081</v>
      </c>
    </row>
    <row r="1403" spans="1:6">
      <c r="A1403" s="27" t="str">
        <f>Resultados!$K$3</f>
        <v/>
      </c>
      <c r="B1403" s="27" t="str">
        <f>Resultados!$K$4</f>
        <v/>
      </c>
      <c r="C1403" s="568" t="str">
        <f>'900000'!$B23</f>
        <v>09901003</v>
      </c>
      <c r="D1403" s="27" t="str">
        <f>'900000'!$AK$15</f>
        <v>C09903004</v>
      </c>
      <c r="E1403" s="27">
        <f>'900000'!$AK23</f>
        <v>0</v>
      </c>
      <c r="F1403" s="27" t="s">
        <v>19081</v>
      </c>
    </row>
    <row r="1404" spans="1:6">
      <c r="A1404" s="27" t="str">
        <f>Resultados!$K$3</f>
        <v/>
      </c>
      <c r="B1404" s="27" t="str">
        <f>Resultados!$K$4</f>
        <v/>
      </c>
      <c r="C1404" s="568" t="str">
        <f>'900000'!$B24</f>
        <v>09901004</v>
      </c>
      <c r="D1404" s="27" t="str">
        <f>'900000'!$AK$15</f>
        <v>C09903004</v>
      </c>
      <c r="E1404" s="27">
        <f>'900000'!$AK24</f>
        <v>0</v>
      </c>
      <c r="F1404" s="27" t="s">
        <v>19081</v>
      </c>
    </row>
    <row r="1405" spans="1:6">
      <c r="A1405" s="27" t="str">
        <f>Resultados!$K$3</f>
        <v/>
      </c>
      <c r="B1405" s="27" t="str">
        <f>Resultados!$K$4</f>
        <v/>
      </c>
      <c r="C1405" s="568" t="str">
        <f>'900000'!$B25</f>
        <v>09901005</v>
      </c>
      <c r="D1405" s="27" t="str">
        <f>'900000'!$AK$15</f>
        <v>C09903004</v>
      </c>
      <c r="E1405" s="27">
        <f>'900000'!$AK25</f>
        <v>0</v>
      </c>
      <c r="F1405" s="27" t="s">
        <v>19081</v>
      </c>
    </row>
    <row r="1406" spans="1:6">
      <c r="A1406" s="27" t="str">
        <f>Resultados!$K$3</f>
        <v/>
      </c>
      <c r="B1406" s="27" t="str">
        <f>Resultados!$K$4</f>
        <v/>
      </c>
      <c r="C1406" s="568" t="str">
        <f>'900000'!$B26</f>
        <v>09901006</v>
      </c>
      <c r="D1406" s="27" t="str">
        <f>'900000'!$AK$15</f>
        <v>C09903004</v>
      </c>
      <c r="E1406" s="27">
        <f>'900000'!$AK26</f>
        <v>0</v>
      </c>
      <c r="F1406" s="27" t="s">
        <v>19081</v>
      </c>
    </row>
    <row r="1407" spans="1:6">
      <c r="A1407" s="27" t="str">
        <f>Resultados!$K$3</f>
        <v/>
      </c>
      <c r="B1407" s="27" t="str">
        <f>Resultados!$K$4</f>
        <v/>
      </c>
      <c r="C1407" s="568" t="str">
        <f>'900000'!$B27</f>
        <v>09901007</v>
      </c>
      <c r="D1407" s="27" t="str">
        <f>'900000'!$AK$15</f>
        <v>C09903004</v>
      </c>
      <c r="E1407" s="27">
        <f>'900000'!$AK27</f>
        <v>0</v>
      </c>
      <c r="F1407" s="27" t="s">
        <v>19081</v>
      </c>
    </row>
    <row r="1408" spans="1:6">
      <c r="A1408" s="27" t="str">
        <f>Resultados!$K$3</f>
        <v/>
      </c>
      <c r="B1408" s="27" t="str">
        <f>Resultados!$K$4</f>
        <v/>
      </c>
      <c r="C1408" s="568" t="str">
        <f>'900000'!$B28</f>
        <v>09901008</v>
      </c>
      <c r="D1408" s="27" t="str">
        <f>'900000'!$AK$15</f>
        <v>C09903004</v>
      </c>
      <c r="E1408" s="27">
        <f>'900000'!$AK28</f>
        <v>0</v>
      </c>
      <c r="F1408" s="27" t="s">
        <v>19081</v>
      </c>
    </row>
    <row r="1409" spans="1:6">
      <c r="A1409" s="27" t="str">
        <f>Resultados!$K$3</f>
        <v/>
      </c>
      <c r="B1409" s="27" t="str">
        <f>Resultados!$K$4</f>
        <v/>
      </c>
      <c r="C1409" s="568" t="str">
        <f>'900000'!$B29</f>
        <v>09901009</v>
      </c>
      <c r="D1409" s="27" t="str">
        <f>'900000'!$AK$15</f>
        <v>C09903004</v>
      </c>
      <c r="E1409" s="27">
        <f>'900000'!$AK29</f>
        <v>0</v>
      </c>
      <c r="F1409" s="27" t="s">
        <v>19081</v>
      </c>
    </row>
    <row r="1410" spans="1:6">
      <c r="A1410" s="27" t="str">
        <f>Resultados!$K$3</f>
        <v/>
      </c>
      <c r="B1410" s="27" t="str">
        <f>Resultados!$K$4</f>
        <v/>
      </c>
      <c r="C1410" s="568" t="str">
        <f>'900000'!$B30</f>
        <v>09901010</v>
      </c>
      <c r="D1410" s="27" t="str">
        <f>'900000'!$AK$15</f>
        <v>C09903004</v>
      </c>
      <c r="E1410" s="27">
        <f>'900000'!$AK30</f>
        <v>0</v>
      </c>
      <c r="F1410" s="27" t="s">
        <v>19081</v>
      </c>
    </row>
    <row r="1411" spans="1:6">
      <c r="A1411" s="27" t="str">
        <f>Resultados!$K$3</f>
        <v/>
      </c>
      <c r="B1411" s="27" t="str">
        <f>Resultados!$K$4</f>
        <v/>
      </c>
      <c r="C1411" s="568" t="str">
        <f>'900000'!$B31</f>
        <v>09901011</v>
      </c>
      <c r="D1411" s="27" t="str">
        <f>'900000'!$AK$15</f>
        <v>C09903004</v>
      </c>
      <c r="E1411" s="27">
        <f>'900000'!$AK31</f>
        <v>0</v>
      </c>
      <c r="F1411" s="27" t="s">
        <v>19081</v>
      </c>
    </row>
    <row r="1412" spans="1:6">
      <c r="A1412" s="27" t="str">
        <f>Resultados!$K$3</f>
        <v/>
      </c>
      <c r="B1412" s="27" t="str">
        <f>Resultados!$K$4</f>
        <v/>
      </c>
      <c r="C1412" s="568" t="str">
        <f>'900000'!$B32</f>
        <v>09901012</v>
      </c>
      <c r="D1412" s="27" t="str">
        <f>'900000'!$AK$15</f>
        <v>C09903004</v>
      </c>
      <c r="E1412" s="27">
        <f>'900000'!$AK32</f>
        <v>0</v>
      </c>
      <c r="F1412" s="27" t="s">
        <v>19081</v>
      </c>
    </row>
    <row r="1413" spans="1:6">
      <c r="A1413" s="27" t="str">
        <f>Resultados!$K$3</f>
        <v/>
      </c>
      <c r="B1413" s="27" t="str">
        <f>Resultados!$K$4</f>
        <v/>
      </c>
      <c r="C1413" s="568" t="str">
        <f>'900000'!$B33</f>
        <v>09901013</v>
      </c>
      <c r="D1413" s="27" t="str">
        <f>'900000'!$AK$15</f>
        <v>C09903004</v>
      </c>
      <c r="E1413" s="27">
        <f>'900000'!$AK33</f>
        <v>0</v>
      </c>
      <c r="F1413" s="27" t="s">
        <v>19081</v>
      </c>
    </row>
    <row r="1414" spans="1:6">
      <c r="A1414" s="27" t="str">
        <f>Resultados!$K$3</f>
        <v/>
      </c>
      <c r="B1414" s="27" t="str">
        <f>Resultados!$K$4</f>
        <v/>
      </c>
      <c r="C1414" s="568" t="str">
        <f>'900000'!$B34</f>
        <v>09901014</v>
      </c>
      <c r="D1414" s="27" t="str">
        <f>'900000'!$AK$15</f>
        <v>C09903004</v>
      </c>
      <c r="E1414" s="27">
        <f>'900000'!$AK34</f>
        <v>0</v>
      </c>
      <c r="F1414" s="27" t="s">
        <v>19081</v>
      </c>
    </row>
    <row r="1415" spans="1:6">
      <c r="A1415" s="27" t="str">
        <f>Resultados!$K$3</f>
        <v/>
      </c>
      <c r="B1415" s="27" t="str">
        <f>Resultados!$K$4</f>
        <v/>
      </c>
      <c r="C1415" s="568" t="str">
        <f>'900000'!$B35</f>
        <v>09901015</v>
      </c>
      <c r="D1415" s="27" t="str">
        <f>'900000'!$AK$15</f>
        <v>C09903004</v>
      </c>
      <c r="E1415" s="27">
        <f>'900000'!$AK35</f>
        <v>0</v>
      </c>
      <c r="F1415" s="27" t="s">
        <v>19081</v>
      </c>
    </row>
    <row r="1416" spans="1:6">
      <c r="A1416" s="27" t="str">
        <f>Resultados!$K$3</f>
        <v/>
      </c>
      <c r="B1416" s="27" t="str">
        <f>Resultados!$K$4</f>
        <v/>
      </c>
      <c r="C1416" s="568" t="str">
        <f>'900000'!$B36</f>
        <v>09901016</v>
      </c>
      <c r="D1416" s="27" t="str">
        <f>'900000'!$AK$15</f>
        <v>C09903004</v>
      </c>
      <c r="E1416" s="27">
        <f>'900000'!$AK36</f>
        <v>0</v>
      </c>
      <c r="F1416" s="27" t="s">
        <v>19081</v>
      </c>
    </row>
    <row r="1417" spans="1:6">
      <c r="A1417" s="27" t="str">
        <f>Resultados!$K$3</f>
        <v/>
      </c>
      <c r="B1417" s="27" t="str">
        <f>Resultados!$K$4</f>
        <v/>
      </c>
      <c r="C1417" s="568" t="str">
        <f>'900000'!$B37</f>
        <v>09901017</v>
      </c>
      <c r="D1417" s="27" t="str">
        <f>'900000'!$AK$15</f>
        <v>C09903004</v>
      </c>
      <c r="E1417" s="27">
        <f>'900000'!$AK37</f>
        <v>0</v>
      </c>
      <c r="F1417" s="27" t="s">
        <v>19081</v>
      </c>
    </row>
    <row r="1418" spans="1:6">
      <c r="A1418" s="27" t="str">
        <f>Resultados!$K$3</f>
        <v/>
      </c>
      <c r="B1418" s="27" t="str">
        <f>Resultados!$K$4</f>
        <v/>
      </c>
      <c r="C1418" s="568" t="str">
        <f>'900000'!$B38</f>
        <v>09901018</v>
      </c>
      <c r="D1418" s="27" t="str">
        <f>'900000'!$AK$15</f>
        <v>C09903004</v>
      </c>
      <c r="E1418" s="27">
        <f>'900000'!$AK38</f>
        <v>0</v>
      </c>
      <c r="F1418" s="27" t="s">
        <v>19081</v>
      </c>
    </row>
    <row r="1419" spans="1:6">
      <c r="A1419" s="27" t="str">
        <f>Resultados!$K$3</f>
        <v/>
      </c>
      <c r="B1419" s="27" t="str">
        <f>Resultados!$K$4</f>
        <v/>
      </c>
      <c r="C1419" s="568" t="str">
        <f>'900000'!$B39</f>
        <v>09901019</v>
      </c>
      <c r="D1419" s="27" t="str">
        <f>'900000'!$AK$15</f>
        <v>C09903004</v>
      </c>
      <c r="E1419" s="27">
        <f>'900000'!$AK39</f>
        <v>0</v>
      </c>
      <c r="F1419" s="27" t="s">
        <v>19081</v>
      </c>
    </row>
    <row r="1420" spans="1:6">
      <c r="A1420" s="27" t="str">
        <f>Resultados!$K$3</f>
        <v/>
      </c>
      <c r="B1420" s="27" t="str">
        <f>Resultados!$K$4</f>
        <v/>
      </c>
      <c r="C1420" s="568" t="str">
        <f>'900000'!$B40</f>
        <v>09901020</v>
      </c>
      <c r="D1420" s="27" t="str">
        <f>'900000'!$AK$15</f>
        <v>C09903004</v>
      </c>
      <c r="E1420" s="27">
        <f>'900000'!$AK40</f>
        <v>0</v>
      </c>
      <c r="F1420" s="27" t="s">
        <v>19081</v>
      </c>
    </row>
    <row r="1421" spans="1:6">
      <c r="A1421" s="27" t="str">
        <f>Resultados!$K$3</f>
        <v/>
      </c>
      <c r="B1421" s="27" t="str">
        <f>Resultados!$K$4</f>
        <v/>
      </c>
      <c r="C1421" s="568" t="str">
        <f>'900000'!$B41</f>
        <v>09901021</v>
      </c>
      <c r="D1421" s="27" t="str">
        <f>'900000'!$AK$15</f>
        <v>C09903004</v>
      </c>
      <c r="E1421" s="27">
        <f>'900000'!$AK41</f>
        <v>0</v>
      </c>
      <c r="F1421" s="27" t="s">
        <v>19081</v>
      </c>
    </row>
    <row r="1422" spans="1:6">
      <c r="A1422" s="27" t="str">
        <f>Resultados!$K$3</f>
        <v/>
      </c>
      <c r="B1422" s="27" t="str">
        <f>Resultados!$K$4</f>
        <v/>
      </c>
      <c r="C1422" s="568" t="str">
        <f>'900000'!$B42</f>
        <v>09901022</v>
      </c>
      <c r="D1422" s="27" t="str">
        <f>'900000'!$AK$15</f>
        <v>C09903004</v>
      </c>
      <c r="E1422" s="27">
        <f>'900000'!$AK42</f>
        <v>0</v>
      </c>
      <c r="F1422" s="27" t="s">
        <v>19081</v>
      </c>
    </row>
    <row r="1423" spans="1:6">
      <c r="A1423" s="27" t="str">
        <f>Resultados!$K$3</f>
        <v/>
      </c>
      <c r="B1423" s="27" t="str">
        <f>Resultados!$K$4</f>
        <v/>
      </c>
      <c r="C1423" s="568" t="str">
        <f>'900000'!$B43</f>
        <v>09901023</v>
      </c>
      <c r="D1423" s="27" t="str">
        <f>'900000'!$AK$15</f>
        <v>C09903004</v>
      </c>
      <c r="E1423" s="27">
        <f>'900000'!$AK43</f>
        <v>0</v>
      </c>
      <c r="F1423" s="27" t="s">
        <v>19081</v>
      </c>
    </row>
    <row r="1424" spans="1:6">
      <c r="A1424" s="27" t="str">
        <f>Resultados!$K$3</f>
        <v/>
      </c>
      <c r="B1424" s="27" t="str">
        <f>Resultados!$K$4</f>
        <v/>
      </c>
      <c r="C1424" s="568" t="str">
        <f>'900000'!$B44</f>
        <v>09901024</v>
      </c>
      <c r="D1424" s="27" t="str">
        <f>'900000'!$AK$15</f>
        <v>C09903004</v>
      </c>
      <c r="E1424" s="27">
        <f>'900000'!$AK44</f>
        <v>0</v>
      </c>
      <c r="F1424" s="27" t="s">
        <v>19081</v>
      </c>
    </row>
    <row r="1425" spans="1:6">
      <c r="A1425" s="27" t="str">
        <f>Resultados!$K$3</f>
        <v/>
      </c>
      <c r="B1425" s="27" t="str">
        <f>Resultados!$K$4</f>
        <v/>
      </c>
      <c r="C1425" s="568" t="str">
        <f>'900000'!$B45</f>
        <v>09901025</v>
      </c>
      <c r="D1425" s="27" t="str">
        <f>'900000'!$AK$15</f>
        <v>C09903004</v>
      </c>
      <c r="E1425" s="27">
        <f>'900000'!$AK45</f>
        <v>0</v>
      </c>
      <c r="F1425" s="27" t="s">
        <v>19081</v>
      </c>
    </row>
    <row r="1426" spans="1:6">
      <c r="A1426" s="27" t="str">
        <f>Resultados!$K$3</f>
        <v/>
      </c>
      <c r="B1426" s="27" t="str">
        <f>Resultados!$K$4</f>
        <v/>
      </c>
      <c r="C1426" s="568" t="str">
        <f>'900000'!$B46</f>
        <v>09901026</v>
      </c>
      <c r="D1426" s="27" t="str">
        <f>'900000'!$AK$15</f>
        <v>C09903004</v>
      </c>
      <c r="E1426" s="27">
        <f>'900000'!$AK46</f>
        <v>0</v>
      </c>
      <c r="F1426" s="27" t="s">
        <v>19081</v>
      </c>
    </row>
    <row r="1427" spans="1:6">
      <c r="A1427" s="27" t="str">
        <f>Resultados!$K$3</f>
        <v/>
      </c>
      <c r="B1427" s="27" t="str">
        <f>Resultados!$K$4</f>
        <v/>
      </c>
      <c r="C1427" s="568" t="str">
        <f>'900000'!$B47</f>
        <v>09901027</v>
      </c>
      <c r="D1427" s="27" t="str">
        <f>'900000'!$AK$15</f>
        <v>C09903004</v>
      </c>
      <c r="E1427" s="27">
        <f>'900000'!$AK47</f>
        <v>0</v>
      </c>
      <c r="F1427" s="27" t="s">
        <v>19081</v>
      </c>
    </row>
    <row r="1428" spans="1:6">
      <c r="A1428" s="27" t="str">
        <f>Resultados!$K$3</f>
        <v/>
      </c>
      <c r="B1428" s="27" t="str">
        <f>Resultados!$K$4</f>
        <v/>
      </c>
      <c r="C1428" s="568" t="str">
        <f>'900000'!$B48</f>
        <v>09901028</v>
      </c>
      <c r="D1428" s="27" t="str">
        <f>'900000'!$AK$15</f>
        <v>C09903004</v>
      </c>
      <c r="E1428" s="27">
        <f>'900000'!$AK48</f>
        <v>0</v>
      </c>
      <c r="F1428" s="27" t="s">
        <v>19081</v>
      </c>
    </row>
    <row r="1429" spans="1:6">
      <c r="A1429" s="27" t="str">
        <f>Resultados!$K$3</f>
        <v/>
      </c>
      <c r="B1429" s="27" t="str">
        <f>Resultados!$K$4</f>
        <v/>
      </c>
      <c r="C1429" s="568" t="str">
        <f>'900000'!$B49</f>
        <v>09901029</v>
      </c>
      <c r="D1429" s="27" t="str">
        <f>'900000'!$AK$15</f>
        <v>C09903004</v>
      </c>
      <c r="E1429" s="27">
        <f>'900000'!$AK49</f>
        <v>0</v>
      </c>
      <c r="F1429" s="27" t="s">
        <v>19081</v>
      </c>
    </row>
    <row r="1430" spans="1:6">
      <c r="A1430" s="27" t="str">
        <f>Resultados!$K$3</f>
        <v/>
      </c>
      <c r="B1430" s="27" t="str">
        <f>Resultados!$K$4</f>
        <v/>
      </c>
      <c r="C1430" s="568" t="str">
        <f>'900000'!$B50</f>
        <v>09901030</v>
      </c>
      <c r="D1430" s="27" t="str">
        <f>'900000'!$AK$15</f>
        <v>C09903004</v>
      </c>
      <c r="E1430" s="27">
        <f>'900000'!$AK50</f>
        <v>0</v>
      </c>
      <c r="F1430" s="27" t="s">
        <v>19081</v>
      </c>
    </row>
    <row r="1431" spans="1:6">
      <c r="A1431" s="27" t="str">
        <f>Resultados!$K$3</f>
        <v/>
      </c>
      <c r="B1431" s="27" t="str">
        <f>Resultados!$K$4</f>
        <v/>
      </c>
      <c r="C1431" s="568" t="str">
        <f>'900000'!$B51</f>
        <v>09901031</v>
      </c>
      <c r="D1431" s="27" t="str">
        <f>'900000'!$AK$15</f>
        <v>C09903004</v>
      </c>
      <c r="E1431" s="27">
        <f>'900000'!$AK51</f>
        <v>0</v>
      </c>
      <c r="F1431" s="27" t="s">
        <v>19081</v>
      </c>
    </row>
    <row r="1432" spans="1:6">
      <c r="A1432" s="27" t="str">
        <f>Resultados!$K$3</f>
        <v/>
      </c>
      <c r="B1432" s="27" t="str">
        <f>Resultados!$K$4</f>
        <v/>
      </c>
      <c r="C1432" s="568" t="str">
        <f>'900000'!$B52</f>
        <v>09901032</v>
      </c>
      <c r="D1432" s="27" t="str">
        <f>'900000'!$AK$15</f>
        <v>C09903004</v>
      </c>
      <c r="E1432" s="27">
        <f>'900000'!$AK52</f>
        <v>0</v>
      </c>
      <c r="F1432" s="27" t="s">
        <v>19081</v>
      </c>
    </row>
    <row r="1433" spans="1:6">
      <c r="A1433" s="27" t="str">
        <f>Resultados!$K$3</f>
        <v/>
      </c>
      <c r="B1433" s="27" t="str">
        <f>Resultados!$K$4</f>
        <v/>
      </c>
      <c r="C1433" s="568" t="str">
        <f>'900000'!$B53</f>
        <v>09901033</v>
      </c>
      <c r="D1433" s="27" t="str">
        <f>'900000'!$AK$15</f>
        <v>C09903004</v>
      </c>
      <c r="E1433" s="27">
        <f>'900000'!$AK53</f>
        <v>0</v>
      </c>
      <c r="F1433" s="27" t="s">
        <v>19081</v>
      </c>
    </row>
    <row r="1434" spans="1:6">
      <c r="A1434" s="27" t="str">
        <f>Resultados!$K$3</f>
        <v/>
      </c>
      <c r="B1434" s="27" t="str">
        <f>Resultados!$K$4</f>
        <v/>
      </c>
      <c r="C1434" s="568" t="str">
        <f>'900000'!$B54</f>
        <v>09901034</v>
      </c>
      <c r="D1434" s="27" t="str">
        <f>'900000'!$AK$15</f>
        <v>C09903004</v>
      </c>
      <c r="E1434" s="27">
        <f>'900000'!$AK54</f>
        <v>0</v>
      </c>
      <c r="F1434" s="27" t="s">
        <v>19081</v>
      </c>
    </row>
    <row r="1435" spans="1:6">
      <c r="A1435" s="27" t="str">
        <f>Resultados!$K$3</f>
        <v/>
      </c>
      <c r="B1435" s="27" t="str">
        <f>Resultados!$K$4</f>
        <v/>
      </c>
      <c r="C1435" s="568" t="str">
        <f>'900000'!$B55</f>
        <v>09901035</v>
      </c>
      <c r="D1435" s="27" t="str">
        <f>'900000'!$AK$15</f>
        <v>C09903004</v>
      </c>
      <c r="E1435" s="27">
        <f>'900000'!$AK55</f>
        <v>0</v>
      </c>
      <c r="F1435" s="27" t="s">
        <v>19081</v>
      </c>
    </row>
    <row r="1436" spans="1:6">
      <c r="A1436" s="27" t="str">
        <f>Resultados!$K$3</f>
        <v/>
      </c>
      <c r="B1436" s="27" t="str">
        <f>Resultados!$K$4</f>
        <v/>
      </c>
      <c r="C1436" s="568" t="str">
        <f>'900000'!$B56</f>
        <v>09901036</v>
      </c>
      <c r="D1436" s="27" t="str">
        <f>'900000'!$AK$15</f>
        <v>C09903004</v>
      </c>
      <c r="E1436" s="27">
        <f>'900000'!$AK56</f>
        <v>0</v>
      </c>
      <c r="F1436" s="27" t="s">
        <v>19081</v>
      </c>
    </row>
    <row r="1437" spans="1:6">
      <c r="A1437" s="27" t="str">
        <f>Resultados!$K$3</f>
        <v/>
      </c>
      <c r="B1437" s="27" t="str">
        <f>Resultados!$K$4</f>
        <v/>
      </c>
      <c r="C1437" s="568" t="str">
        <f>'900000'!$B57</f>
        <v>09901037</v>
      </c>
      <c r="D1437" s="27" t="str">
        <f>'900000'!$AK$15</f>
        <v>C09903004</v>
      </c>
      <c r="E1437" s="27">
        <f>'900000'!$AK57</f>
        <v>0</v>
      </c>
      <c r="F1437" s="27" t="s">
        <v>19081</v>
      </c>
    </row>
    <row r="1438" spans="1:6">
      <c r="A1438" s="27" t="str">
        <f>Resultados!$K$3</f>
        <v/>
      </c>
      <c r="B1438" s="27" t="str">
        <f>Resultados!$K$4</f>
        <v/>
      </c>
      <c r="C1438" s="568" t="str">
        <f>'900000'!$B58</f>
        <v>09901038</v>
      </c>
      <c r="D1438" s="27" t="str">
        <f>'900000'!$AK$15</f>
        <v>C09903004</v>
      </c>
      <c r="E1438" s="27">
        <f>'900000'!$AK58</f>
        <v>0</v>
      </c>
      <c r="F1438" s="27" t="s">
        <v>19081</v>
      </c>
    </row>
    <row r="1439" spans="1:6">
      <c r="A1439" s="27" t="str">
        <f>Resultados!$K$3</f>
        <v/>
      </c>
      <c r="B1439" s="27" t="str">
        <f>Resultados!$K$4</f>
        <v/>
      </c>
      <c r="C1439" s="568" t="str">
        <f>'900000'!$B59</f>
        <v>09901039</v>
      </c>
      <c r="D1439" s="27" t="str">
        <f>'900000'!$AK$15</f>
        <v>C09903004</v>
      </c>
      <c r="E1439" s="27">
        <f>'900000'!$AK59</f>
        <v>0</v>
      </c>
      <c r="F1439" s="27" t="s">
        <v>19081</v>
      </c>
    </row>
    <row r="1440" spans="1:6">
      <c r="A1440" s="27" t="str">
        <f>Resultados!$K$3</f>
        <v/>
      </c>
      <c r="B1440" s="27" t="str">
        <f>Resultados!$K$4</f>
        <v/>
      </c>
      <c r="C1440" s="568" t="str">
        <f>'900000'!$B60</f>
        <v>09901040</v>
      </c>
      <c r="D1440" s="27" t="str">
        <f>'900000'!$AK$15</f>
        <v>C09903004</v>
      </c>
      <c r="E1440" s="27">
        <f>'900000'!$AK60</f>
        <v>0</v>
      </c>
      <c r="F1440" s="27" t="s">
        <v>19081</v>
      </c>
    </row>
    <row r="1441" spans="1:6">
      <c r="A1441" s="27" t="str">
        <f>Resultados!$K$3</f>
        <v/>
      </c>
      <c r="B1441" s="27" t="str">
        <f>Resultados!$K$4</f>
        <v/>
      </c>
      <c r="C1441" s="568" t="str">
        <f>'900000'!$B61</f>
        <v>09901041</v>
      </c>
      <c r="D1441" s="27" t="str">
        <f>'900000'!$AK$15</f>
        <v>C09903004</v>
      </c>
      <c r="E1441" s="27">
        <f>'900000'!$AK61</f>
        <v>0</v>
      </c>
      <c r="F1441" s="27" t="s">
        <v>19081</v>
      </c>
    </row>
    <row r="1442" spans="1:6">
      <c r="A1442" s="27" t="str">
        <f>Resultados!$K$3</f>
        <v/>
      </c>
      <c r="B1442" s="27" t="str">
        <f>Resultados!$K$4</f>
        <v/>
      </c>
      <c r="C1442" s="568" t="str">
        <f>'900000'!$B62</f>
        <v>09901042</v>
      </c>
      <c r="D1442" s="27" t="str">
        <f>'900000'!$AK$15</f>
        <v>C09903004</v>
      </c>
      <c r="E1442" s="27">
        <f>'900000'!$AK62</f>
        <v>0</v>
      </c>
      <c r="F1442" s="27" t="s">
        <v>19081</v>
      </c>
    </row>
    <row r="1443" spans="1:6">
      <c r="A1443" s="27" t="str">
        <f>Resultados!$K$3</f>
        <v/>
      </c>
      <c r="B1443" s="27" t="str">
        <f>Resultados!$K$4</f>
        <v/>
      </c>
      <c r="C1443" s="568" t="str">
        <f>'900000'!$B63</f>
        <v>09901043</v>
      </c>
      <c r="D1443" s="27" t="str">
        <f>'900000'!$AK$15</f>
        <v>C09903004</v>
      </c>
      <c r="E1443" s="27">
        <f>'900000'!$AK63</f>
        <v>0</v>
      </c>
      <c r="F1443" s="27" t="s">
        <v>19081</v>
      </c>
    </row>
    <row r="1444" spans="1:6">
      <c r="A1444" s="27" t="str">
        <f>Resultados!$K$3</f>
        <v/>
      </c>
      <c r="B1444" s="27" t="str">
        <f>Resultados!$K$4</f>
        <v/>
      </c>
      <c r="C1444" s="568" t="str">
        <f>'900000'!$B64</f>
        <v>09901044</v>
      </c>
      <c r="D1444" s="27" t="str">
        <f>'900000'!$AK$15</f>
        <v>C09903004</v>
      </c>
      <c r="E1444" s="27">
        <f>'900000'!$AK64</f>
        <v>0</v>
      </c>
      <c r="F1444" s="27" t="s">
        <v>19081</v>
      </c>
    </row>
    <row r="1445" spans="1:6">
      <c r="A1445" s="27" t="str">
        <f>Resultados!$K$3</f>
        <v/>
      </c>
      <c r="B1445" s="27" t="str">
        <f>Resultados!$K$4</f>
        <v/>
      </c>
      <c r="C1445" s="568" t="str">
        <f>'900000'!$B65</f>
        <v>09901045</v>
      </c>
      <c r="D1445" s="27" t="str">
        <f>'900000'!$AK$15</f>
        <v>C09903004</v>
      </c>
      <c r="E1445" s="27">
        <f>'900000'!$AK65</f>
        <v>0</v>
      </c>
      <c r="F1445" s="27" t="s">
        <v>19081</v>
      </c>
    </row>
    <row r="1446" spans="1:6">
      <c r="A1446" s="27" t="str">
        <f>Resultados!$K$3</f>
        <v/>
      </c>
      <c r="B1446" s="27" t="str">
        <f>Resultados!$K$4</f>
        <v/>
      </c>
      <c r="C1446" s="568" t="str">
        <f>'900000'!$B66</f>
        <v>09901046</v>
      </c>
      <c r="D1446" s="27" t="str">
        <f>'900000'!$AK$15</f>
        <v>C09903004</v>
      </c>
      <c r="E1446" s="27">
        <f>'900000'!$AK66</f>
        <v>0</v>
      </c>
      <c r="F1446" s="27" t="s">
        <v>19081</v>
      </c>
    </row>
    <row r="1447" spans="1:6">
      <c r="A1447" s="27" t="str">
        <f>Resultados!$K$3</f>
        <v/>
      </c>
      <c r="B1447" s="27" t="str">
        <f>Resultados!$K$4</f>
        <v/>
      </c>
      <c r="C1447" s="568" t="str">
        <f>'900000'!$B67</f>
        <v>09901047</v>
      </c>
      <c r="D1447" s="27" t="str">
        <f>'900000'!$AK$15</f>
        <v>C09903004</v>
      </c>
      <c r="E1447" s="27">
        <f>'900000'!$AK67</f>
        <v>0</v>
      </c>
      <c r="F1447" s="27" t="s">
        <v>19081</v>
      </c>
    </row>
    <row r="1448" spans="1:6">
      <c r="A1448" s="27" t="str">
        <f>Resultados!$K$3</f>
        <v/>
      </c>
      <c r="B1448" s="27" t="str">
        <f>Resultados!$K$4</f>
        <v/>
      </c>
      <c r="C1448" s="568" t="str">
        <f>'900000'!$B68</f>
        <v>09901048</v>
      </c>
      <c r="D1448" s="27" t="str">
        <f>'900000'!$AK$15</f>
        <v>C09903004</v>
      </c>
      <c r="E1448" s="27">
        <f>'900000'!$AK68</f>
        <v>0</v>
      </c>
      <c r="F1448" s="27" t="s">
        <v>19081</v>
      </c>
    </row>
    <row r="1449" spans="1:6">
      <c r="A1449" s="27" t="str">
        <f>Resultados!$K$3</f>
        <v/>
      </c>
      <c r="B1449" s="27" t="str">
        <f>Resultados!$K$4</f>
        <v/>
      </c>
      <c r="C1449" s="568" t="str">
        <f>'900000'!$B69</f>
        <v>09901049</v>
      </c>
      <c r="D1449" s="27" t="str">
        <f>'900000'!$AK$15</f>
        <v>C09903004</v>
      </c>
      <c r="E1449" s="27">
        <f>'900000'!$AK69</f>
        <v>0</v>
      </c>
      <c r="F1449" s="27" t="s">
        <v>19081</v>
      </c>
    </row>
    <row r="1450" spans="1:6">
      <c r="A1450" s="27" t="str">
        <f>Resultados!$K$3</f>
        <v/>
      </c>
      <c r="B1450" s="27" t="str">
        <f>Resultados!$K$4</f>
        <v/>
      </c>
      <c r="C1450" s="568" t="str">
        <f>'900000'!$B70</f>
        <v>09901050</v>
      </c>
      <c r="D1450" s="27" t="str">
        <f>'900000'!$AK$15</f>
        <v>C09903004</v>
      </c>
      <c r="E1450" s="27">
        <f>'900000'!$AK70</f>
        <v>0</v>
      </c>
      <c r="F1450" s="27" t="s">
        <v>19081</v>
      </c>
    </row>
    <row r="1451" spans="1:6">
      <c r="A1451" s="27" t="str">
        <f>Resultados!$K$3</f>
        <v/>
      </c>
      <c r="B1451" s="27" t="str">
        <f>Resultados!$K$4</f>
        <v/>
      </c>
      <c r="C1451" s="568" t="str">
        <f>'900000'!$B71</f>
        <v>09901051</v>
      </c>
      <c r="D1451" s="27" t="str">
        <f>'900000'!$AK$15</f>
        <v>C09903004</v>
      </c>
      <c r="E1451" s="27">
        <f>'900000'!$AK71</f>
        <v>0</v>
      </c>
      <c r="F1451" s="27" t="s">
        <v>19081</v>
      </c>
    </row>
    <row r="1452" spans="1:6">
      <c r="A1452" s="27" t="str">
        <f>Resultados!$K$3</f>
        <v/>
      </c>
      <c r="B1452" s="27" t="str">
        <f>Resultados!$K$4</f>
        <v/>
      </c>
      <c r="C1452" s="568" t="str">
        <f>'900000'!$B72</f>
        <v>09901052</v>
      </c>
      <c r="D1452" s="27" t="str">
        <f>'900000'!$AK$15</f>
        <v>C09903004</v>
      </c>
      <c r="E1452" s="27">
        <f>'900000'!$AK72</f>
        <v>0</v>
      </c>
      <c r="F1452" s="27" t="s">
        <v>19081</v>
      </c>
    </row>
    <row r="1453" spans="1:6">
      <c r="A1453" s="27" t="str">
        <f>Resultados!$K$3</f>
        <v/>
      </c>
      <c r="B1453" s="27" t="str">
        <f>Resultados!$K$4</f>
        <v/>
      </c>
      <c r="C1453" s="568" t="str">
        <f>'900000'!$B73</f>
        <v>09901053</v>
      </c>
      <c r="D1453" s="27" t="str">
        <f>'900000'!$AK$15</f>
        <v>C09903004</v>
      </c>
      <c r="E1453" s="27">
        <f>'900000'!$AK73</f>
        <v>0</v>
      </c>
      <c r="F1453" s="27" t="s">
        <v>19081</v>
      </c>
    </row>
    <row r="1454" spans="1:6">
      <c r="A1454" s="27" t="str">
        <f>Resultados!$K$3</f>
        <v/>
      </c>
      <c r="B1454" s="27" t="str">
        <f>Resultados!$K$4</f>
        <v/>
      </c>
      <c r="C1454" s="568" t="str">
        <f>'900000'!$B74</f>
        <v>09901054</v>
      </c>
      <c r="D1454" s="27" t="str">
        <f>'900000'!$AK$15</f>
        <v>C09903004</v>
      </c>
      <c r="E1454" s="27">
        <f>'900000'!$AK74</f>
        <v>0</v>
      </c>
      <c r="F1454" s="27" t="s">
        <v>19081</v>
      </c>
    </row>
    <row r="1455" spans="1:6">
      <c r="A1455" s="27" t="str">
        <f>Resultados!$K$3</f>
        <v/>
      </c>
      <c r="B1455" s="27" t="str">
        <f>Resultados!$K$4</f>
        <v/>
      </c>
      <c r="C1455" s="568" t="str">
        <f>'900000'!$B75</f>
        <v>09901055</v>
      </c>
      <c r="D1455" s="27" t="str">
        <f>'900000'!$AK$15</f>
        <v>C09903004</v>
      </c>
      <c r="E1455" s="27">
        <f>'900000'!$AK75</f>
        <v>0</v>
      </c>
      <c r="F1455" s="27" t="s">
        <v>19081</v>
      </c>
    </row>
    <row r="1456" spans="1:6">
      <c r="A1456" s="27" t="str">
        <f>Resultados!$K$3</f>
        <v/>
      </c>
      <c r="B1456" s="27" t="str">
        <f>Resultados!$K$4</f>
        <v/>
      </c>
      <c r="C1456" s="568" t="str">
        <f>'900000'!$B76</f>
        <v>09901056</v>
      </c>
      <c r="D1456" s="27" t="str">
        <f>'900000'!$AK$15</f>
        <v>C09903004</v>
      </c>
      <c r="E1456" s="27">
        <f>'900000'!$AK76</f>
        <v>0</v>
      </c>
      <c r="F1456" s="27" t="s">
        <v>19081</v>
      </c>
    </row>
    <row r="1457" spans="1:6">
      <c r="A1457" s="27" t="str">
        <f>Resultados!$K$3</f>
        <v/>
      </c>
      <c r="B1457" s="27" t="str">
        <f>Resultados!$K$4</f>
        <v/>
      </c>
      <c r="C1457" s="568" t="str">
        <f>'900000'!$B77</f>
        <v>09901057</v>
      </c>
      <c r="D1457" s="27" t="str">
        <f>'900000'!$AK$15</f>
        <v>C09903004</v>
      </c>
      <c r="E1457" s="27">
        <f>'900000'!$AK77</f>
        <v>0</v>
      </c>
      <c r="F1457" s="27" t="s">
        <v>19081</v>
      </c>
    </row>
    <row r="1458" spans="1:6">
      <c r="A1458" s="27" t="str">
        <f>Resultados!$K$3</f>
        <v/>
      </c>
      <c r="B1458" s="27" t="str">
        <f>Resultados!$K$4</f>
        <v/>
      </c>
      <c r="C1458" s="568" t="str">
        <f>'900000'!$B78</f>
        <v>09901058</v>
      </c>
      <c r="D1458" s="27" t="str">
        <f>'900000'!$AK$15</f>
        <v>C09903004</v>
      </c>
      <c r="E1458" s="27">
        <f>'900000'!$AK78</f>
        <v>0</v>
      </c>
      <c r="F1458" s="27" t="s">
        <v>19081</v>
      </c>
    </row>
    <row r="1459" spans="1:6">
      <c r="A1459" s="27" t="str">
        <f>Resultados!$K$3</f>
        <v/>
      </c>
      <c r="B1459" s="27" t="str">
        <f>Resultados!$K$4</f>
        <v/>
      </c>
      <c r="C1459" s="568" t="str">
        <f>'900000'!$B79</f>
        <v>09901059</v>
      </c>
      <c r="D1459" s="27" t="str">
        <f>'900000'!$AK$15</f>
        <v>C09903004</v>
      </c>
      <c r="E1459" s="27">
        <f>'900000'!$AK79</f>
        <v>0</v>
      </c>
      <c r="F1459" s="27" t="s">
        <v>19081</v>
      </c>
    </row>
    <row r="1460" spans="1:6">
      <c r="A1460" s="27" t="str">
        <f>Resultados!$K$3</f>
        <v/>
      </c>
      <c r="B1460" s="27" t="str">
        <f>Resultados!$K$4</f>
        <v/>
      </c>
      <c r="C1460" s="568" t="str">
        <f>'900000'!$B80</f>
        <v>09901060</v>
      </c>
      <c r="D1460" s="27" t="str">
        <f>'900000'!$AK$15</f>
        <v>C09903004</v>
      </c>
      <c r="E1460" s="27">
        <f>'900000'!$AK80</f>
        <v>0</v>
      </c>
      <c r="F1460" s="27" t="s">
        <v>19081</v>
      </c>
    </row>
    <row r="1461" spans="1:6">
      <c r="A1461" s="27" t="str">
        <f>Resultados!$K$3</f>
        <v/>
      </c>
      <c r="B1461" s="27" t="str">
        <f>Resultados!$K$4</f>
        <v/>
      </c>
      <c r="C1461" s="568" t="str">
        <f>'900000'!$B81</f>
        <v>09901061</v>
      </c>
      <c r="D1461" s="27" t="str">
        <f>'900000'!$AK$15</f>
        <v>C09903004</v>
      </c>
      <c r="E1461" s="27">
        <f>'900000'!$AK81</f>
        <v>0</v>
      </c>
      <c r="F1461" s="27" t="s">
        <v>19081</v>
      </c>
    </row>
    <row r="1462" spans="1:6">
      <c r="A1462" s="27" t="str">
        <f>Resultados!$K$3</f>
        <v/>
      </c>
      <c r="B1462" s="27" t="str">
        <f>Resultados!$K$4</f>
        <v/>
      </c>
      <c r="C1462" s="568" t="str">
        <f>'900000'!$B82</f>
        <v>09901062</v>
      </c>
      <c r="D1462" s="27" t="str">
        <f>'900000'!$AK$15</f>
        <v>C09903004</v>
      </c>
      <c r="E1462" s="27">
        <f>'900000'!$AK82</f>
        <v>0</v>
      </c>
      <c r="F1462" s="27" t="s">
        <v>19081</v>
      </c>
    </row>
    <row r="1463" spans="1:6">
      <c r="A1463" s="27" t="str">
        <f>Resultados!$K$3</f>
        <v/>
      </c>
      <c r="B1463" s="27" t="str">
        <f>Resultados!$K$4</f>
        <v/>
      </c>
      <c r="C1463" s="568" t="str">
        <f>'900000'!$B83</f>
        <v>09901063</v>
      </c>
      <c r="D1463" s="27" t="str">
        <f>'900000'!$AK$15</f>
        <v>C09903004</v>
      </c>
      <c r="E1463" s="27">
        <f>'900000'!$AK83</f>
        <v>0</v>
      </c>
      <c r="F1463" s="27" t="s">
        <v>19081</v>
      </c>
    </row>
    <row r="1464" spans="1:6">
      <c r="A1464" s="27" t="str">
        <f>Resultados!$K$3</f>
        <v/>
      </c>
      <c r="B1464" s="27" t="str">
        <f>Resultados!$K$4</f>
        <v/>
      </c>
      <c r="C1464" s="568" t="str">
        <f>'900000'!$B84</f>
        <v>09901064</v>
      </c>
      <c r="D1464" s="27" t="str">
        <f>'900000'!$AK$15</f>
        <v>C09903004</v>
      </c>
      <c r="E1464" s="27">
        <f>'900000'!$AK84</f>
        <v>0</v>
      </c>
      <c r="F1464" s="27" t="s">
        <v>19081</v>
      </c>
    </row>
    <row r="1465" spans="1:6">
      <c r="A1465" s="27" t="str">
        <f>Resultados!$K$3</f>
        <v/>
      </c>
      <c r="B1465" s="27" t="str">
        <f>Resultados!$K$4</f>
        <v/>
      </c>
      <c r="C1465" s="568" t="str">
        <f>'900000'!$B85</f>
        <v>09901065</v>
      </c>
      <c r="D1465" s="27" t="str">
        <f>'900000'!$AK$15</f>
        <v>C09903004</v>
      </c>
      <c r="E1465" s="27">
        <f>'900000'!$AK85</f>
        <v>0</v>
      </c>
      <c r="F1465" s="27" t="s">
        <v>19081</v>
      </c>
    </row>
    <row r="1466" spans="1:6">
      <c r="A1466" s="27" t="str">
        <f>Resultados!$K$3</f>
        <v/>
      </c>
      <c r="B1466" s="27" t="str">
        <f>Resultados!$K$4</f>
        <v/>
      </c>
      <c r="C1466" s="568" t="str">
        <f>'900000'!$B86</f>
        <v>09901066</v>
      </c>
      <c r="D1466" s="27" t="str">
        <f>'900000'!$AK$15</f>
        <v>C09903004</v>
      </c>
      <c r="E1466" s="27">
        <f>'900000'!$AK86</f>
        <v>0</v>
      </c>
      <c r="F1466" s="27" t="s">
        <v>19081</v>
      </c>
    </row>
    <row r="1467" spans="1:6">
      <c r="A1467" s="27" t="str">
        <f>Resultados!$K$3</f>
        <v/>
      </c>
      <c r="B1467" s="27" t="str">
        <f>Resultados!$K$4</f>
        <v/>
      </c>
      <c r="C1467" s="568" t="str">
        <f>'900000'!$B87</f>
        <v>09901067</v>
      </c>
      <c r="D1467" s="27" t="str">
        <f>'900000'!$AK$15</f>
        <v>C09903004</v>
      </c>
      <c r="E1467" s="27">
        <f>'900000'!$AK87</f>
        <v>0</v>
      </c>
      <c r="F1467" s="27" t="s">
        <v>19081</v>
      </c>
    </row>
    <row r="1468" spans="1:6">
      <c r="A1468" s="27" t="str">
        <f>Resultados!$K$3</f>
        <v/>
      </c>
      <c r="B1468" s="27" t="str">
        <f>Resultados!$K$4</f>
        <v/>
      </c>
      <c r="C1468" s="568" t="str">
        <f>'900000'!$B88</f>
        <v>09901068</v>
      </c>
      <c r="D1468" s="27" t="str">
        <f>'900000'!$AK$15</f>
        <v>C09903004</v>
      </c>
      <c r="E1468" s="27">
        <f>'900000'!$AK88</f>
        <v>0</v>
      </c>
      <c r="F1468" s="27" t="s">
        <v>19081</v>
      </c>
    </row>
    <row r="1469" spans="1:6">
      <c r="A1469" s="27" t="str">
        <f>Resultados!$K$3</f>
        <v/>
      </c>
      <c r="B1469" s="27" t="str">
        <f>Resultados!$K$4</f>
        <v/>
      </c>
      <c r="C1469" s="568" t="str">
        <f>'900000'!$B89</f>
        <v>09901069</v>
      </c>
      <c r="D1469" s="27" t="str">
        <f>'900000'!$AK$15</f>
        <v>C09903004</v>
      </c>
      <c r="E1469" s="27">
        <f>'900000'!$AK89</f>
        <v>0</v>
      </c>
      <c r="F1469" s="27" t="s">
        <v>19081</v>
      </c>
    </row>
    <row r="1470" spans="1:6">
      <c r="A1470" s="27" t="str">
        <f>Resultados!$K$3</f>
        <v/>
      </c>
      <c r="B1470" s="27" t="str">
        <f>Resultados!$K$4</f>
        <v/>
      </c>
      <c r="C1470" s="568" t="str">
        <f>'900000'!$B90</f>
        <v>09901070</v>
      </c>
      <c r="D1470" s="27" t="str">
        <f>'900000'!$AK$15</f>
        <v>C09903004</v>
      </c>
      <c r="E1470" s="27">
        <f>'900000'!$AK90</f>
        <v>0</v>
      </c>
      <c r="F1470" s="27" t="s">
        <v>19081</v>
      </c>
    </row>
    <row r="1471" spans="1:6">
      <c r="A1471" s="27" t="str">
        <f>Resultados!$K$3</f>
        <v/>
      </c>
      <c r="B1471" s="27" t="str">
        <f>Resultados!$K$4</f>
        <v/>
      </c>
      <c r="C1471" s="568" t="str">
        <f>'900000'!$B91</f>
        <v>09901071</v>
      </c>
      <c r="D1471" s="27" t="str">
        <f>'900000'!$AK$15</f>
        <v>C09903004</v>
      </c>
      <c r="E1471" s="27">
        <f>'900000'!$AK91</f>
        <v>0</v>
      </c>
      <c r="F1471" s="27" t="s">
        <v>19081</v>
      </c>
    </row>
    <row r="1472" spans="1:6">
      <c r="A1472" s="27" t="str">
        <f>Resultados!$K$3</f>
        <v/>
      </c>
      <c r="B1472" s="27" t="str">
        <f>Resultados!$K$4</f>
        <v/>
      </c>
      <c r="C1472" s="568" t="str">
        <f>'900000'!$B92</f>
        <v>09901072</v>
      </c>
      <c r="D1472" s="27" t="str">
        <f>'900000'!$AK$15</f>
        <v>C09903004</v>
      </c>
      <c r="E1472" s="27">
        <f>'900000'!$AK92</f>
        <v>0</v>
      </c>
      <c r="F1472" s="27" t="s">
        <v>19081</v>
      </c>
    </row>
    <row r="1473" spans="1:6">
      <c r="A1473" s="27" t="str">
        <f>Resultados!$K$3</f>
        <v/>
      </c>
      <c r="B1473" s="27" t="str">
        <f>Resultados!$K$4</f>
        <v/>
      </c>
      <c r="C1473" s="568" t="str">
        <f>'900000'!$B93</f>
        <v>09901073</v>
      </c>
      <c r="D1473" s="27" t="str">
        <f>'900000'!$AK$15</f>
        <v>C09903004</v>
      </c>
      <c r="E1473" s="27">
        <f>'900000'!$AK93</f>
        <v>0</v>
      </c>
      <c r="F1473" s="27" t="s">
        <v>19081</v>
      </c>
    </row>
    <row r="1474" spans="1:6">
      <c r="A1474" s="27" t="str">
        <f>Resultados!$K$3</f>
        <v/>
      </c>
      <c r="B1474" s="27" t="str">
        <f>Resultados!$K$4</f>
        <v/>
      </c>
      <c r="C1474" s="568" t="str">
        <f>'900000'!$B94</f>
        <v>09901074</v>
      </c>
      <c r="D1474" s="27" t="str">
        <f>'900000'!$AK$15</f>
        <v>C09903004</v>
      </c>
      <c r="E1474" s="27">
        <f>'900000'!$AK94</f>
        <v>0</v>
      </c>
      <c r="F1474" s="27" t="s">
        <v>19081</v>
      </c>
    </row>
    <row r="1475" spans="1:6">
      <c r="A1475" s="27" t="str">
        <f>Resultados!$K$3</f>
        <v/>
      </c>
      <c r="B1475" s="27" t="str">
        <f>Resultados!$K$4</f>
        <v/>
      </c>
      <c r="C1475" s="568" t="str">
        <f>'900000'!$B95</f>
        <v>09901075</v>
      </c>
      <c r="D1475" s="27" t="str">
        <f>'900000'!$AK$15</f>
        <v>C09903004</v>
      </c>
      <c r="E1475" s="27">
        <f>'900000'!$AK95</f>
        <v>0</v>
      </c>
      <c r="F1475" s="27" t="s">
        <v>19081</v>
      </c>
    </row>
    <row r="1476" spans="1:6">
      <c r="A1476" s="27" t="str">
        <f>Resultados!$K$3</f>
        <v/>
      </c>
      <c r="B1476" s="27" t="str">
        <f>Resultados!$K$4</f>
        <v/>
      </c>
      <c r="C1476" s="568" t="str">
        <f>'900000'!$B96</f>
        <v>09901076</v>
      </c>
      <c r="D1476" s="27" t="str">
        <f>'900000'!$AK$15</f>
        <v>C09903004</v>
      </c>
      <c r="E1476" s="27">
        <f>'900000'!$AK96</f>
        <v>0</v>
      </c>
      <c r="F1476" s="27" t="s">
        <v>19081</v>
      </c>
    </row>
    <row r="1477" spans="1:6">
      <c r="A1477" s="27" t="str">
        <f>Resultados!$K$3</f>
        <v/>
      </c>
      <c r="B1477" s="27" t="str">
        <f>Resultados!$K$4</f>
        <v/>
      </c>
      <c r="C1477" s="568" t="str">
        <f>'900000'!$B97</f>
        <v>09901077</v>
      </c>
      <c r="D1477" s="27" t="str">
        <f>'900000'!$AK$15</f>
        <v>C09903004</v>
      </c>
      <c r="E1477" s="27">
        <f>'900000'!$AK97</f>
        <v>0</v>
      </c>
      <c r="F1477" s="27" t="s">
        <v>19081</v>
      </c>
    </row>
    <row r="1478" spans="1:6">
      <c r="A1478" s="27" t="str">
        <f>Resultados!$K$3</f>
        <v/>
      </c>
      <c r="B1478" s="27" t="str">
        <f>Resultados!$K$4</f>
        <v/>
      </c>
      <c r="C1478" s="568" t="str">
        <f>'900000'!$B98</f>
        <v>09901078</v>
      </c>
      <c r="D1478" s="27" t="str">
        <f>'900000'!$AK$15</f>
        <v>C09903004</v>
      </c>
      <c r="E1478" s="27">
        <f>'900000'!$AK98</f>
        <v>0</v>
      </c>
      <c r="F1478" s="27" t="s">
        <v>19081</v>
      </c>
    </row>
    <row r="1479" spans="1:6">
      <c r="A1479" s="27" t="str">
        <f>Resultados!$K$3</f>
        <v/>
      </c>
      <c r="B1479" s="27" t="str">
        <f>Resultados!$K$4</f>
        <v/>
      </c>
      <c r="C1479" s="568" t="str">
        <f>'900000'!$B99</f>
        <v>09901079</v>
      </c>
      <c r="D1479" s="27" t="str">
        <f>'900000'!$AK$15</f>
        <v>C09903004</v>
      </c>
      <c r="E1479" s="27">
        <f>'900000'!$AK99</f>
        <v>0</v>
      </c>
      <c r="F1479" s="27" t="s">
        <v>19081</v>
      </c>
    </row>
    <row r="1480" spans="1:6">
      <c r="A1480" s="27" t="str">
        <f>Resultados!$K$3</f>
        <v/>
      </c>
      <c r="B1480" s="27" t="str">
        <f>Resultados!$K$4</f>
        <v/>
      </c>
      <c r="C1480" s="568" t="str">
        <f>'900000'!$B100</f>
        <v>09901080</v>
      </c>
      <c r="D1480" s="27" t="str">
        <f>'900000'!$AK$15</f>
        <v>C09903004</v>
      </c>
      <c r="E1480" s="27">
        <f>'900000'!$AK100</f>
        <v>0</v>
      </c>
      <c r="F1480" s="27" t="s">
        <v>19081</v>
      </c>
    </row>
    <row r="1481" spans="1:6">
      <c r="A1481" s="27" t="str">
        <f>Resultados!$K$3</f>
        <v/>
      </c>
      <c r="B1481" s="27" t="str">
        <f>Resultados!$K$4</f>
        <v/>
      </c>
      <c r="C1481" s="568" t="str">
        <f>'900000'!$B101</f>
        <v>09901081</v>
      </c>
      <c r="D1481" s="27" t="str">
        <f>'900000'!$AK$15</f>
        <v>C09903004</v>
      </c>
      <c r="E1481" s="27">
        <f>'900000'!$AK101</f>
        <v>0</v>
      </c>
      <c r="F1481" s="27" t="s">
        <v>19081</v>
      </c>
    </row>
    <row r="1482" spans="1:6">
      <c r="A1482" s="27" t="str">
        <f>Resultados!$K$3</f>
        <v/>
      </c>
      <c r="B1482" s="27" t="str">
        <f>Resultados!$K$4</f>
        <v/>
      </c>
      <c r="C1482" s="568" t="str">
        <f>'900000'!$B102</f>
        <v>09901082</v>
      </c>
      <c r="D1482" s="27" t="str">
        <f>'900000'!$AK$15</f>
        <v>C09903004</v>
      </c>
      <c r="E1482" s="27">
        <f>'900000'!$AK102</f>
        <v>0</v>
      </c>
      <c r="F1482" s="27" t="s">
        <v>19081</v>
      </c>
    </row>
    <row r="1483" spans="1:6">
      <c r="A1483" s="27" t="str">
        <f>Resultados!$K$3</f>
        <v/>
      </c>
      <c r="B1483" s="27" t="str">
        <f>Resultados!$K$4</f>
        <v/>
      </c>
      <c r="C1483" s="568" t="str">
        <f>'900000'!$B103</f>
        <v>09901083</v>
      </c>
      <c r="D1483" s="27" t="str">
        <f>'900000'!$AK$15</f>
        <v>C09903004</v>
      </c>
      <c r="E1483" s="27">
        <f>'900000'!$AK103</f>
        <v>0</v>
      </c>
      <c r="F1483" s="27" t="s">
        <v>19081</v>
      </c>
    </row>
    <row r="1484" spans="1:6">
      <c r="A1484" s="27" t="str">
        <f>Resultados!$K$3</f>
        <v/>
      </c>
      <c r="B1484" s="27" t="str">
        <f>Resultados!$K$4</f>
        <v/>
      </c>
      <c r="C1484" s="568" t="str">
        <f>'900000'!$B104</f>
        <v>09901084</v>
      </c>
      <c r="D1484" s="27" t="str">
        <f>'900000'!$AK$15</f>
        <v>C09903004</v>
      </c>
      <c r="E1484" s="27">
        <f>'900000'!$AK104</f>
        <v>0</v>
      </c>
      <c r="F1484" s="27" t="s">
        <v>19081</v>
      </c>
    </row>
    <row r="1485" spans="1:6">
      <c r="A1485" s="27" t="str">
        <f>Resultados!$K$3</f>
        <v/>
      </c>
      <c r="B1485" s="27" t="str">
        <f>Resultados!$K$4</f>
        <v/>
      </c>
      <c r="C1485" s="568" t="str">
        <f>'900000'!$B105</f>
        <v>09901085</v>
      </c>
      <c r="D1485" s="27" t="str">
        <f>'900000'!$AK$15</f>
        <v>C09903004</v>
      </c>
      <c r="E1485" s="27">
        <f>'900000'!$AK105</f>
        <v>0</v>
      </c>
      <c r="F1485" s="27" t="s">
        <v>19081</v>
      </c>
    </row>
    <row r="1486" spans="1:6">
      <c r="A1486" s="27" t="str">
        <f>Resultados!$K$3</f>
        <v/>
      </c>
      <c r="B1486" s="27" t="str">
        <f>Resultados!$K$4</f>
        <v/>
      </c>
      <c r="C1486" s="568" t="str">
        <f>'900000'!$B106</f>
        <v>09901086</v>
      </c>
      <c r="D1486" s="27" t="str">
        <f>'900000'!$AK$15</f>
        <v>C09903004</v>
      </c>
      <c r="E1486" s="27">
        <f>'900000'!$AK106</f>
        <v>0</v>
      </c>
      <c r="F1486" s="27" t="s">
        <v>19081</v>
      </c>
    </row>
    <row r="1487" spans="1:6">
      <c r="A1487" s="27" t="str">
        <f>Resultados!$K$3</f>
        <v/>
      </c>
      <c r="B1487" s="27" t="str">
        <f>Resultados!$K$4</f>
        <v/>
      </c>
      <c r="C1487" s="568" t="str">
        <f>'900000'!$B107</f>
        <v>09901087</v>
      </c>
      <c r="D1487" s="27" t="str">
        <f>'900000'!$AK$15</f>
        <v>C09903004</v>
      </c>
      <c r="E1487" s="27">
        <f>'900000'!$AK107</f>
        <v>0</v>
      </c>
      <c r="F1487" s="27" t="s">
        <v>19081</v>
      </c>
    </row>
    <row r="1488" spans="1:6">
      <c r="A1488" s="27" t="str">
        <f>Resultados!$K$3</f>
        <v/>
      </c>
      <c r="B1488" s="27" t="str">
        <f>Resultados!$K$4</f>
        <v/>
      </c>
      <c r="C1488" s="568" t="str">
        <f>'900000'!$B108</f>
        <v>09901088</v>
      </c>
      <c r="D1488" s="27" t="str">
        <f>'900000'!$AK$15</f>
        <v>C09903004</v>
      </c>
      <c r="E1488" s="27">
        <f>'900000'!$AK108</f>
        <v>0</v>
      </c>
      <c r="F1488" s="27" t="s">
        <v>19081</v>
      </c>
    </row>
    <row r="1489" spans="1:6">
      <c r="A1489" s="27" t="str">
        <f>Resultados!$K$3</f>
        <v/>
      </c>
      <c r="B1489" s="27" t="str">
        <f>Resultados!$K$4</f>
        <v/>
      </c>
      <c r="C1489" s="568" t="str">
        <f>'900000'!$B109</f>
        <v>09901089</v>
      </c>
      <c r="D1489" s="27" t="str">
        <f>'900000'!$AK$15</f>
        <v>C09903004</v>
      </c>
      <c r="E1489" s="27">
        <f>'900000'!$AK109</f>
        <v>0</v>
      </c>
      <c r="F1489" s="27" t="s">
        <v>19081</v>
      </c>
    </row>
    <row r="1490" spans="1:6">
      <c r="A1490" s="27" t="str">
        <f>Resultados!$K$3</f>
        <v/>
      </c>
      <c r="B1490" s="27" t="str">
        <f>Resultados!$K$4</f>
        <v/>
      </c>
      <c r="C1490" s="568" t="str">
        <f>'900000'!$B110</f>
        <v>09901090</v>
      </c>
      <c r="D1490" s="27" t="str">
        <f>'900000'!$AK$15</f>
        <v>C09903004</v>
      </c>
      <c r="E1490" s="27">
        <f>'900000'!$AK110</f>
        <v>0</v>
      </c>
      <c r="F1490" s="27" t="s">
        <v>19081</v>
      </c>
    </row>
    <row r="1491" spans="1:6">
      <c r="A1491" s="27" t="str">
        <f>Resultados!$K$3</f>
        <v/>
      </c>
      <c r="B1491" s="27" t="str">
        <f>Resultados!$K$4</f>
        <v/>
      </c>
      <c r="C1491" s="568" t="str">
        <f>'900000'!$B111</f>
        <v>09901091</v>
      </c>
      <c r="D1491" s="27" t="str">
        <f>'900000'!$AK$15</f>
        <v>C09903004</v>
      </c>
      <c r="E1491" s="27">
        <f>'900000'!$AK111</f>
        <v>0</v>
      </c>
      <c r="F1491" s="27" t="s">
        <v>19081</v>
      </c>
    </row>
    <row r="1492" spans="1:6">
      <c r="A1492" s="27" t="str">
        <f>Resultados!$K$3</f>
        <v/>
      </c>
      <c r="B1492" s="27" t="str">
        <f>Resultados!$K$4</f>
        <v/>
      </c>
      <c r="C1492" s="568" t="str">
        <f>'900000'!$B112</f>
        <v>09901092</v>
      </c>
      <c r="D1492" s="27" t="str">
        <f>'900000'!$AK$15</f>
        <v>C09903004</v>
      </c>
      <c r="E1492" s="27">
        <f>'900000'!$AK112</f>
        <v>0</v>
      </c>
      <c r="F1492" s="27" t="s">
        <v>19081</v>
      </c>
    </row>
    <row r="1493" spans="1:6">
      <c r="A1493" s="27" t="str">
        <f>Resultados!$K$3</f>
        <v/>
      </c>
      <c r="B1493" s="27" t="str">
        <f>Resultados!$K$4</f>
        <v/>
      </c>
      <c r="C1493" s="568" t="str">
        <f>'900000'!$B113</f>
        <v>09901093</v>
      </c>
      <c r="D1493" s="27" t="str">
        <f>'900000'!$AK$15</f>
        <v>C09903004</v>
      </c>
      <c r="E1493" s="27">
        <f>'900000'!$AK113</f>
        <v>0</v>
      </c>
      <c r="F1493" s="27" t="s">
        <v>19081</v>
      </c>
    </row>
    <row r="1494" spans="1:6">
      <c r="A1494" s="27" t="str">
        <f>Resultados!$K$3</f>
        <v/>
      </c>
      <c r="B1494" s="27" t="str">
        <f>Resultados!$K$4</f>
        <v/>
      </c>
      <c r="C1494" s="568" t="str">
        <f>'900000'!$B114</f>
        <v>09901094</v>
      </c>
      <c r="D1494" s="27" t="str">
        <f>'900000'!$AK$15</f>
        <v>C09903004</v>
      </c>
      <c r="E1494" s="27">
        <f>'900000'!$AK114</f>
        <v>0</v>
      </c>
      <c r="F1494" s="27" t="s">
        <v>19081</v>
      </c>
    </row>
    <row r="1495" spans="1:6">
      <c r="A1495" s="27" t="str">
        <f>Resultados!$K$3</f>
        <v/>
      </c>
      <c r="B1495" s="27" t="str">
        <f>Resultados!$K$4</f>
        <v/>
      </c>
      <c r="C1495" s="568" t="str">
        <f>'900000'!$B115</f>
        <v>09901095</v>
      </c>
      <c r="D1495" s="27" t="str">
        <f>'900000'!$AK$15</f>
        <v>C09903004</v>
      </c>
      <c r="E1495" s="27">
        <f>'900000'!$AK115</f>
        <v>0</v>
      </c>
      <c r="F1495" s="27" t="s">
        <v>19081</v>
      </c>
    </row>
    <row r="1496" spans="1:6">
      <c r="A1496" s="27" t="str">
        <f>Resultados!$K$3</f>
        <v/>
      </c>
      <c r="B1496" s="27" t="str">
        <f>Resultados!$K$4</f>
        <v/>
      </c>
      <c r="C1496" s="568" t="str">
        <f>'900000'!$B116</f>
        <v>09901096</v>
      </c>
      <c r="D1496" s="27" t="str">
        <f>'900000'!$AK$15</f>
        <v>C09903004</v>
      </c>
      <c r="E1496" s="27">
        <f>'900000'!$AK116</f>
        <v>0</v>
      </c>
      <c r="F1496" s="27" t="s">
        <v>19081</v>
      </c>
    </row>
    <row r="1497" spans="1:6">
      <c r="A1497" s="27" t="str">
        <f>Resultados!$K$3</f>
        <v/>
      </c>
      <c r="B1497" s="27" t="str">
        <f>Resultados!$K$4</f>
        <v/>
      </c>
      <c r="C1497" s="568" t="str">
        <f>'900000'!$B117</f>
        <v>09901097</v>
      </c>
      <c r="D1497" s="27" t="str">
        <f>'900000'!$AK$15</f>
        <v>C09903004</v>
      </c>
      <c r="E1497" s="27">
        <f>'900000'!$AK117</f>
        <v>0</v>
      </c>
      <c r="F1497" s="27" t="s">
        <v>19081</v>
      </c>
    </row>
    <row r="1498" spans="1:6">
      <c r="A1498" s="27" t="str">
        <f>Resultados!$K$3</f>
        <v/>
      </c>
      <c r="B1498" s="27" t="str">
        <f>Resultados!$K$4</f>
        <v/>
      </c>
      <c r="C1498" s="568" t="str">
        <f>'900000'!$B118</f>
        <v>09901098</v>
      </c>
      <c r="D1498" s="27" t="str">
        <f>'900000'!$AK$15</f>
        <v>C09903004</v>
      </c>
      <c r="E1498" s="27">
        <f>'900000'!$AK118</f>
        <v>0</v>
      </c>
      <c r="F1498" s="27" t="s">
        <v>19081</v>
      </c>
    </row>
    <row r="1499" spans="1:6">
      <c r="A1499" s="27" t="str">
        <f>Resultados!$K$3</f>
        <v/>
      </c>
      <c r="B1499" s="27" t="str">
        <f>Resultados!$K$4</f>
        <v/>
      </c>
      <c r="C1499" s="568" t="str">
        <f>'900000'!$B119</f>
        <v>09901099</v>
      </c>
      <c r="D1499" s="27" t="str">
        <f>'900000'!$AK$15</f>
        <v>C09903004</v>
      </c>
      <c r="E1499" s="27">
        <f>'900000'!$AK119</f>
        <v>0</v>
      </c>
      <c r="F1499" s="27" t="s">
        <v>19081</v>
      </c>
    </row>
    <row r="1500" spans="1:6">
      <c r="A1500" s="27" t="str">
        <f>Resultados!$K$3</f>
        <v/>
      </c>
      <c r="B1500" s="27" t="str">
        <f>Resultados!$K$4</f>
        <v/>
      </c>
      <c r="C1500" s="568" t="str">
        <f>'900000'!$B120</f>
        <v>09901100</v>
      </c>
      <c r="D1500" s="27" t="str">
        <f>'900000'!$AK$15</f>
        <v>C09903004</v>
      </c>
      <c r="E1500" s="27">
        <f>'900000'!$AK120</f>
        <v>0</v>
      </c>
      <c r="F1500" s="27" t="s">
        <v>19081</v>
      </c>
    </row>
    <row r="1501" spans="1:6">
      <c r="A1501" s="27" t="str">
        <f>Resultados!$K$3</f>
        <v/>
      </c>
      <c r="B1501" s="27" t="str">
        <f>Resultados!$K$4</f>
        <v/>
      </c>
      <c r="C1501" s="568" t="str">
        <f>'900000'!$B121</f>
        <v>09901101</v>
      </c>
      <c r="D1501" s="27" t="str">
        <f>'900000'!$AK$15</f>
        <v>C09903004</v>
      </c>
      <c r="E1501" s="27">
        <f>'900000'!$AK121</f>
        <v>0</v>
      </c>
      <c r="F1501" s="27" t="s">
        <v>19081</v>
      </c>
    </row>
    <row r="1502" spans="1:6">
      <c r="A1502" s="27" t="str">
        <f>Resultados!$K$3</f>
        <v/>
      </c>
      <c r="B1502" s="27" t="str">
        <f>Resultados!$K$4</f>
        <v/>
      </c>
      <c r="C1502">
        <f>'900001'!$B36</f>
        <v>11010001</v>
      </c>
      <c r="D1502" t="str">
        <f>'900001'!$C$32</f>
        <v>C11001001</v>
      </c>
      <c r="E1502">
        <f>'900001'!$C36</f>
        <v>0</v>
      </c>
      <c r="F1502" s="27" t="s">
        <v>19089</v>
      </c>
    </row>
    <row r="1503" spans="1:6">
      <c r="A1503" s="27" t="str">
        <f>Resultados!$K$3</f>
        <v/>
      </c>
      <c r="B1503" s="27" t="str">
        <f>Resultados!$K$4</f>
        <v/>
      </c>
      <c r="C1503" s="27" t="str">
        <f>'900001'!$B37</f>
        <v>11010002</v>
      </c>
      <c r="D1503" s="27" t="str">
        <f>'900001'!$C$32</f>
        <v>C11001001</v>
      </c>
      <c r="E1503" s="27">
        <f>'900001'!$C37</f>
        <v>0</v>
      </c>
      <c r="F1503" s="27" t="s">
        <v>19089</v>
      </c>
    </row>
    <row r="1504" spans="1:6">
      <c r="A1504" s="27" t="str">
        <f>Resultados!$K$3</f>
        <v/>
      </c>
      <c r="B1504" s="27" t="str">
        <f>Resultados!$K$4</f>
        <v/>
      </c>
      <c r="C1504" s="27" t="str">
        <f>'900001'!$B38</f>
        <v>11010003</v>
      </c>
      <c r="D1504" s="27" t="str">
        <f>'900001'!$C$32</f>
        <v>C11001001</v>
      </c>
      <c r="E1504" s="27">
        <f>'900001'!$C38</f>
        <v>0</v>
      </c>
      <c r="F1504" s="27" t="s">
        <v>19089</v>
      </c>
    </row>
    <row r="1505" spans="1:6">
      <c r="A1505" s="27" t="str">
        <f>Resultados!$K$3</f>
        <v/>
      </c>
      <c r="B1505" s="27" t="str">
        <f>Resultados!$K$4</f>
        <v/>
      </c>
      <c r="C1505" s="27" t="str">
        <f>'900001'!$B39</f>
        <v>11010004</v>
      </c>
      <c r="D1505" s="27" t="str">
        <f>'900001'!$C$32</f>
        <v>C11001001</v>
      </c>
      <c r="E1505" s="27">
        <f>'900001'!$C39</f>
        <v>0</v>
      </c>
      <c r="F1505" s="27" t="s">
        <v>19089</v>
      </c>
    </row>
    <row r="1506" spans="1:6">
      <c r="A1506" s="27" t="str">
        <f>Resultados!$K$3</f>
        <v/>
      </c>
      <c r="B1506" s="27" t="str">
        <f>Resultados!$K$4</f>
        <v/>
      </c>
      <c r="C1506" s="27" t="str">
        <f>'900001'!$B40</f>
        <v>11010005</v>
      </c>
      <c r="D1506" s="27" t="str">
        <f>'900001'!$C$32</f>
        <v>C11001001</v>
      </c>
      <c r="E1506" s="27">
        <f>'900001'!$C40</f>
        <v>0</v>
      </c>
      <c r="F1506" s="27" t="s">
        <v>19089</v>
      </c>
    </row>
    <row r="1507" spans="1:6">
      <c r="A1507" s="27" t="str">
        <f>Resultados!$K$3</f>
        <v/>
      </c>
      <c r="B1507" s="27" t="str">
        <f>Resultados!$K$4</f>
        <v/>
      </c>
      <c r="C1507" s="27" t="str">
        <f>'900001'!$B41</f>
        <v>11010006</v>
      </c>
      <c r="D1507" s="27" t="str">
        <f>'900001'!$C$32</f>
        <v>C11001001</v>
      </c>
      <c r="E1507" s="27">
        <f>'900001'!$C41</f>
        <v>0</v>
      </c>
      <c r="F1507" s="27" t="s">
        <v>19089</v>
      </c>
    </row>
    <row r="1508" spans="1:6">
      <c r="A1508" s="27" t="str">
        <f>Resultados!$K$3</f>
        <v/>
      </c>
      <c r="B1508" s="27" t="str">
        <f>Resultados!$K$4</f>
        <v/>
      </c>
      <c r="C1508" s="27" t="str">
        <f>'900001'!$B42</f>
        <v>11010007</v>
      </c>
      <c r="D1508" s="27" t="str">
        <f>'900001'!$C$32</f>
        <v>C11001001</v>
      </c>
      <c r="E1508" s="27">
        <f>'900001'!$C42</f>
        <v>0</v>
      </c>
      <c r="F1508" s="27" t="s">
        <v>19089</v>
      </c>
    </row>
    <row r="1509" spans="1:6">
      <c r="A1509" s="27" t="str">
        <f>Resultados!$K$3</f>
        <v/>
      </c>
      <c r="B1509" s="27" t="str">
        <f>Resultados!$K$4</f>
        <v/>
      </c>
      <c r="C1509" s="27" t="str">
        <f>'900001'!$B43</f>
        <v>11010008</v>
      </c>
      <c r="D1509" s="27" t="str">
        <f>'900001'!$C$32</f>
        <v>C11001001</v>
      </c>
      <c r="E1509" s="27">
        <f>'900001'!$C43</f>
        <v>0</v>
      </c>
      <c r="F1509" s="27" t="s">
        <v>19089</v>
      </c>
    </row>
    <row r="1510" spans="1:6">
      <c r="A1510" s="27" t="str">
        <f>Resultados!$K$3</f>
        <v/>
      </c>
      <c r="B1510" s="27" t="str">
        <f>Resultados!$K$4</f>
        <v/>
      </c>
      <c r="C1510" s="27" t="str">
        <f>'900001'!$B44</f>
        <v>11010009</v>
      </c>
      <c r="D1510" s="27" t="str">
        <f>'900001'!$C$32</f>
        <v>C11001001</v>
      </c>
      <c r="E1510" s="27">
        <f>'900001'!$C44</f>
        <v>0</v>
      </c>
      <c r="F1510" s="27" t="s">
        <v>19089</v>
      </c>
    </row>
    <row r="1511" spans="1:6">
      <c r="A1511" s="27" t="str">
        <f>Resultados!$K$3</f>
        <v/>
      </c>
      <c r="B1511" s="27" t="str">
        <f>Resultados!$K$4</f>
        <v/>
      </c>
      <c r="C1511" s="27" t="str">
        <f>'900001'!$B45</f>
        <v>11010010</v>
      </c>
      <c r="D1511" s="27" t="str">
        <f>'900001'!$C$32</f>
        <v>C11001001</v>
      </c>
      <c r="E1511" s="27">
        <f>'900001'!$C45</f>
        <v>0</v>
      </c>
      <c r="F1511" s="27" t="s">
        <v>19089</v>
      </c>
    </row>
    <row r="1512" spans="1:6">
      <c r="A1512" s="27" t="str">
        <f>Resultados!$K$3</f>
        <v/>
      </c>
      <c r="B1512" s="27" t="str">
        <f>Resultados!$K$4</f>
        <v/>
      </c>
      <c r="C1512" s="27" t="str">
        <f>'900001'!$B46</f>
        <v>11010011</v>
      </c>
      <c r="D1512" s="27" t="str">
        <f>'900001'!$C$32</f>
        <v>C11001001</v>
      </c>
      <c r="E1512" s="27">
        <f>'900001'!$C46</f>
        <v>0</v>
      </c>
      <c r="F1512" s="27" t="s">
        <v>19089</v>
      </c>
    </row>
    <row r="1513" spans="1:6">
      <c r="A1513" s="27" t="str">
        <f>Resultados!$K$3</f>
        <v/>
      </c>
      <c r="B1513" s="27" t="str">
        <f>Resultados!$K$4</f>
        <v/>
      </c>
      <c r="C1513" s="27" t="str">
        <f>'900001'!$B47</f>
        <v>11010012</v>
      </c>
      <c r="D1513" s="27" t="str">
        <f>'900001'!$C$32</f>
        <v>C11001001</v>
      </c>
      <c r="E1513" s="27">
        <f>'900001'!$C47</f>
        <v>0</v>
      </c>
      <c r="F1513" s="27" t="s">
        <v>19089</v>
      </c>
    </row>
    <row r="1514" spans="1:6">
      <c r="A1514" s="27" t="str">
        <f>Resultados!$K$3</f>
        <v/>
      </c>
      <c r="B1514" s="27" t="str">
        <f>Resultados!$K$4</f>
        <v/>
      </c>
      <c r="C1514" s="27" t="str">
        <f>'900001'!$B48</f>
        <v>11010013</v>
      </c>
      <c r="D1514" s="27" t="str">
        <f>'900001'!$C$32</f>
        <v>C11001001</v>
      </c>
      <c r="E1514" s="27">
        <f>'900001'!$C48</f>
        <v>0</v>
      </c>
      <c r="F1514" s="27" t="s">
        <v>19089</v>
      </c>
    </row>
    <row r="1515" spans="1:6">
      <c r="A1515" s="27" t="str">
        <f>Resultados!$K$3</f>
        <v/>
      </c>
      <c r="B1515" s="27" t="str">
        <f>Resultados!$K$4</f>
        <v/>
      </c>
      <c r="C1515" s="27" t="str">
        <f>'900001'!$B49</f>
        <v>11010014</v>
      </c>
      <c r="D1515" s="27" t="str">
        <f>'900001'!$C$32</f>
        <v>C11001001</v>
      </c>
      <c r="E1515" s="27">
        <f>'900001'!$C49</f>
        <v>0</v>
      </c>
      <c r="F1515" s="27" t="s">
        <v>19089</v>
      </c>
    </row>
    <row r="1516" spans="1:6">
      <c r="A1516" s="27" t="str">
        <f>Resultados!$K$3</f>
        <v/>
      </c>
      <c r="B1516" s="27" t="str">
        <f>Resultados!$K$4</f>
        <v/>
      </c>
      <c r="C1516" s="27" t="str">
        <f>'900001'!$B50</f>
        <v>11010015</v>
      </c>
      <c r="D1516" s="27" t="str">
        <f>'900001'!$C$32</f>
        <v>C11001001</v>
      </c>
      <c r="E1516" s="27">
        <f>'900001'!$C50</f>
        <v>0</v>
      </c>
      <c r="F1516" s="27" t="s">
        <v>19089</v>
      </c>
    </row>
    <row r="1517" spans="1:6">
      <c r="A1517" s="27" t="str">
        <f>Resultados!$K$3</f>
        <v/>
      </c>
      <c r="B1517" s="27" t="str">
        <f>Resultados!$K$4</f>
        <v/>
      </c>
      <c r="C1517" s="27" t="str">
        <f>'900001'!$B51</f>
        <v>11010016</v>
      </c>
      <c r="D1517" s="27" t="str">
        <f>'900001'!$C$32</f>
        <v>C11001001</v>
      </c>
      <c r="E1517" s="27">
        <f>'900001'!$C51</f>
        <v>0</v>
      </c>
      <c r="F1517" s="27" t="s">
        <v>19089</v>
      </c>
    </row>
    <row r="1518" spans="1:6">
      <c r="A1518" s="27" t="str">
        <f>Resultados!$K$3</f>
        <v/>
      </c>
      <c r="B1518" s="27" t="str">
        <f>Resultados!$K$4</f>
        <v/>
      </c>
      <c r="C1518" s="27" t="str">
        <f>'900001'!$B52</f>
        <v>11010017</v>
      </c>
      <c r="D1518" s="27" t="str">
        <f>'900001'!$C$32</f>
        <v>C11001001</v>
      </c>
      <c r="E1518" s="27">
        <f>'900001'!$C52</f>
        <v>0</v>
      </c>
      <c r="F1518" s="27" t="s">
        <v>19089</v>
      </c>
    </row>
    <row r="1519" spans="1:6">
      <c r="A1519" s="27" t="str">
        <f>Resultados!$K$3</f>
        <v/>
      </c>
      <c r="B1519" s="27" t="str">
        <f>Resultados!$K$4</f>
        <v/>
      </c>
      <c r="C1519" s="27" t="str">
        <f>'900001'!$B53</f>
        <v>11010018</v>
      </c>
      <c r="D1519" s="27" t="str">
        <f>'900001'!$C$32</f>
        <v>C11001001</v>
      </c>
      <c r="E1519" s="27">
        <f>'900001'!$C53</f>
        <v>0</v>
      </c>
      <c r="F1519" s="27" t="s">
        <v>19089</v>
      </c>
    </row>
    <row r="1520" spans="1:6">
      <c r="A1520" s="27" t="str">
        <f>Resultados!$K$3</f>
        <v/>
      </c>
      <c r="B1520" s="27" t="str">
        <f>Resultados!$K$4</f>
        <v/>
      </c>
      <c r="C1520" s="27" t="str">
        <f>'900001'!$B54</f>
        <v>11010019</v>
      </c>
      <c r="D1520" s="27" t="str">
        <f>'900001'!$C$32</f>
        <v>C11001001</v>
      </c>
      <c r="E1520" s="27">
        <f>'900001'!$C54</f>
        <v>0</v>
      </c>
      <c r="F1520" s="27" t="s">
        <v>19089</v>
      </c>
    </row>
    <row r="1521" spans="1:6">
      <c r="A1521" s="27" t="str">
        <f>Resultados!$K$3</f>
        <v/>
      </c>
      <c r="B1521" s="27" t="str">
        <f>Resultados!$K$4</f>
        <v/>
      </c>
      <c r="C1521" s="27">
        <f>'900001'!$B55</f>
        <v>11010020</v>
      </c>
      <c r="D1521" s="27" t="str">
        <f>'900001'!$C$32</f>
        <v>C11001001</v>
      </c>
      <c r="E1521" s="27">
        <f>'900001'!$C55</f>
        <v>0</v>
      </c>
      <c r="F1521" s="27" t="s">
        <v>19089</v>
      </c>
    </row>
    <row r="1522" spans="1:6">
      <c r="A1522" s="27" t="str">
        <f>Resultados!$K$3</f>
        <v/>
      </c>
      <c r="B1522" s="27" t="str">
        <f>Resultados!$K$4</f>
        <v/>
      </c>
      <c r="C1522">
        <f>'900001'!$B36</f>
        <v>11010001</v>
      </c>
      <c r="D1522" t="str">
        <f>'900001'!$D$32</f>
        <v>C11001002</v>
      </c>
      <c r="E1522">
        <f>'900001'!$D36</f>
        <v>0</v>
      </c>
      <c r="F1522" s="27" t="s">
        <v>19089</v>
      </c>
    </row>
    <row r="1523" spans="1:6">
      <c r="A1523" s="27" t="str">
        <f>Resultados!$K$3</f>
        <v/>
      </c>
      <c r="B1523" s="27" t="str">
        <f>Resultados!$K$4</f>
        <v/>
      </c>
      <c r="C1523" s="27" t="str">
        <f>'900001'!$B37</f>
        <v>11010002</v>
      </c>
      <c r="D1523" s="27" t="str">
        <f>'900001'!$D$32</f>
        <v>C11001002</v>
      </c>
      <c r="E1523" s="27">
        <f>'900001'!$D37</f>
        <v>0</v>
      </c>
      <c r="F1523" s="27" t="s">
        <v>19089</v>
      </c>
    </row>
    <row r="1524" spans="1:6">
      <c r="A1524" s="27" t="str">
        <f>Resultados!$K$3</f>
        <v/>
      </c>
      <c r="B1524" s="27" t="str">
        <f>Resultados!$K$4</f>
        <v/>
      </c>
      <c r="C1524" s="27" t="str">
        <f>'900001'!$B38</f>
        <v>11010003</v>
      </c>
      <c r="D1524" s="27" t="str">
        <f>'900001'!$D$32</f>
        <v>C11001002</v>
      </c>
      <c r="E1524" s="27">
        <f>'900001'!$D38</f>
        <v>0</v>
      </c>
      <c r="F1524" s="27" t="s">
        <v>19089</v>
      </c>
    </row>
    <row r="1525" spans="1:6">
      <c r="A1525" s="27" t="str">
        <f>Resultados!$K$3</f>
        <v/>
      </c>
      <c r="B1525" s="27" t="str">
        <f>Resultados!$K$4</f>
        <v/>
      </c>
      <c r="C1525" s="27" t="str">
        <f>'900001'!$B39</f>
        <v>11010004</v>
      </c>
      <c r="D1525" s="27" t="str">
        <f>'900001'!$D$32</f>
        <v>C11001002</v>
      </c>
      <c r="E1525" s="27">
        <f>'900001'!$D39</f>
        <v>0</v>
      </c>
      <c r="F1525" s="27" t="s">
        <v>19089</v>
      </c>
    </row>
    <row r="1526" spans="1:6">
      <c r="A1526" s="27" t="str">
        <f>Resultados!$K$3</f>
        <v/>
      </c>
      <c r="B1526" s="27" t="str">
        <f>Resultados!$K$4</f>
        <v/>
      </c>
      <c r="C1526" s="27" t="str">
        <f>'900001'!$B40</f>
        <v>11010005</v>
      </c>
      <c r="D1526" s="27" t="str">
        <f>'900001'!$D$32</f>
        <v>C11001002</v>
      </c>
      <c r="E1526" s="27">
        <f>'900001'!$D40</f>
        <v>0</v>
      </c>
      <c r="F1526" s="27" t="s">
        <v>19089</v>
      </c>
    </row>
    <row r="1527" spans="1:6">
      <c r="A1527" s="27" t="str">
        <f>Resultados!$K$3</f>
        <v/>
      </c>
      <c r="B1527" s="27" t="str">
        <f>Resultados!$K$4</f>
        <v/>
      </c>
      <c r="C1527" s="27" t="str">
        <f>'900001'!$B41</f>
        <v>11010006</v>
      </c>
      <c r="D1527" s="27" t="str">
        <f>'900001'!$D$32</f>
        <v>C11001002</v>
      </c>
      <c r="E1527" s="27">
        <f>'900001'!$D41</f>
        <v>0</v>
      </c>
      <c r="F1527" s="27" t="s">
        <v>19089</v>
      </c>
    </row>
    <row r="1528" spans="1:6">
      <c r="A1528" s="27" t="str">
        <f>Resultados!$K$3</f>
        <v/>
      </c>
      <c r="B1528" s="27" t="str">
        <f>Resultados!$K$4</f>
        <v/>
      </c>
      <c r="C1528" s="27" t="str">
        <f>'900001'!$B42</f>
        <v>11010007</v>
      </c>
      <c r="D1528" s="27" t="str">
        <f>'900001'!$D$32</f>
        <v>C11001002</v>
      </c>
      <c r="E1528" s="27">
        <f>'900001'!$D42</f>
        <v>0</v>
      </c>
      <c r="F1528" s="27" t="s">
        <v>19089</v>
      </c>
    </row>
    <row r="1529" spans="1:6">
      <c r="A1529" s="27" t="str">
        <f>Resultados!$K$3</f>
        <v/>
      </c>
      <c r="B1529" s="27" t="str">
        <f>Resultados!$K$4</f>
        <v/>
      </c>
      <c r="C1529" s="27" t="str">
        <f>'900001'!$B43</f>
        <v>11010008</v>
      </c>
      <c r="D1529" s="27" t="str">
        <f>'900001'!$D$32</f>
        <v>C11001002</v>
      </c>
      <c r="E1529" s="27">
        <f>'900001'!$D43</f>
        <v>0</v>
      </c>
      <c r="F1529" s="27" t="s">
        <v>19089</v>
      </c>
    </row>
    <row r="1530" spans="1:6">
      <c r="A1530" s="27" t="str">
        <f>Resultados!$K$3</f>
        <v/>
      </c>
      <c r="B1530" s="27" t="str">
        <f>Resultados!$K$4</f>
        <v/>
      </c>
      <c r="C1530" s="27" t="str">
        <f>'900001'!$B44</f>
        <v>11010009</v>
      </c>
      <c r="D1530" s="27" t="str">
        <f>'900001'!$D$32</f>
        <v>C11001002</v>
      </c>
      <c r="E1530" s="27">
        <f>'900001'!$D44</f>
        <v>0</v>
      </c>
      <c r="F1530" s="27" t="s">
        <v>19089</v>
      </c>
    </row>
    <row r="1531" spans="1:6">
      <c r="A1531" s="27" t="str">
        <f>Resultados!$K$3</f>
        <v/>
      </c>
      <c r="B1531" s="27" t="str">
        <f>Resultados!$K$4</f>
        <v/>
      </c>
      <c r="C1531" s="27" t="str">
        <f>'900001'!$B45</f>
        <v>11010010</v>
      </c>
      <c r="D1531" s="27" t="str">
        <f>'900001'!$D$32</f>
        <v>C11001002</v>
      </c>
      <c r="E1531" s="27">
        <f>'900001'!$D45</f>
        <v>0</v>
      </c>
      <c r="F1531" s="27" t="s">
        <v>19089</v>
      </c>
    </row>
    <row r="1532" spans="1:6">
      <c r="A1532" s="27" t="str">
        <f>Resultados!$K$3</f>
        <v/>
      </c>
      <c r="B1532" s="27" t="str">
        <f>Resultados!$K$4</f>
        <v/>
      </c>
      <c r="C1532" s="27" t="str">
        <f>'900001'!$B46</f>
        <v>11010011</v>
      </c>
      <c r="D1532" s="27" t="str">
        <f>'900001'!$D$32</f>
        <v>C11001002</v>
      </c>
      <c r="E1532" s="27">
        <f>'900001'!$D46</f>
        <v>0</v>
      </c>
      <c r="F1532" s="27" t="s">
        <v>19089</v>
      </c>
    </row>
    <row r="1533" spans="1:6">
      <c r="A1533" s="27" t="str">
        <f>Resultados!$K$3</f>
        <v/>
      </c>
      <c r="B1533" s="27" t="str">
        <f>Resultados!$K$4</f>
        <v/>
      </c>
      <c r="C1533" s="27" t="str">
        <f>'900001'!$B47</f>
        <v>11010012</v>
      </c>
      <c r="D1533" s="27" t="str">
        <f>'900001'!$D$32</f>
        <v>C11001002</v>
      </c>
      <c r="E1533" s="27">
        <f>'900001'!$D47</f>
        <v>0</v>
      </c>
      <c r="F1533" s="27" t="s">
        <v>19089</v>
      </c>
    </row>
    <row r="1534" spans="1:6">
      <c r="A1534" s="27" t="str">
        <f>Resultados!$K$3</f>
        <v/>
      </c>
      <c r="B1534" s="27" t="str">
        <f>Resultados!$K$4</f>
        <v/>
      </c>
      <c r="C1534" s="27" t="str">
        <f>'900001'!$B48</f>
        <v>11010013</v>
      </c>
      <c r="D1534" s="27" t="str">
        <f>'900001'!$D$32</f>
        <v>C11001002</v>
      </c>
      <c r="E1534" s="27">
        <f>'900001'!$D48</f>
        <v>0</v>
      </c>
      <c r="F1534" s="27" t="s">
        <v>19089</v>
      </c>
    </row>
    <row r="1535" spans="1:6">
      <c r="A1535" s="27" t="str">
        <f>Resultados!$K$3</f>
        <v/>
      </c>
      <c r="B1535" s="27" t="str">
        <f>Resultados!$K$4</f>
        <v/>
      </c>
      <c r="C1535" s="27" t="str">
        <f>'900001'!$B49</f>
        <v>11010014</v>
      </c>
      <c r="D1535" s="27" t="str">
        <f>'900001'!$D$32</f>
        <v>C11001002</v>
      </c>
      <c r="E1535" s="27">
        <f>'900001'!$D49</f>
        <v>0</v>
      </c>
      <c r="F1535" s="27" t="s">
        <v>19089</v>
      </c>
    </row>
    <row r="1536" spans="1:6">
      <c r="A1536" s="27" t="str">
        <f>Resultados!$K$3</f>
        <v/>
      </c>
      <c r="B1536" s="27" t="str">
        <f>Resultados!$K$4</f>
        <v/>
      </c>
      <c r="C1536" s="27" t="str">
        <f>'900001'!$B50</f>
        <v>11010015</v>
      </c>
      <c r="D1536" s="27" t="str">
        <f>'900001'!$D$32</f>
        <v>C11001002</v>
      </c>
      <c r="E1536" s="27">
        <f>'900001'!$D50</f>
        <v>0</v>
      </c>
      <c r="F1536" s="27" t="s">
        <v>19089</v>
      </c>
    </row>
    <row r="1537" spans="1:6">
      <c r="A1537" s="27" t="str">
        <f>Resultados!$K$3</f>
        <v/>
      </c>
      <c r="B1537" s="27" t="str">
        <f>Resultados!$K$4</f>
        <v/>
      </c>
      <c r="C1537" s="27" t="str">
        <f>'900001'!$B51</f>
        <v>11010016</v>
      </c>
      <c r="D1537" s="27" t="str">
        <f>'900001'!$D$32</f>
        <v>C11001002</v>
      </c>
      <c r="E1537" s="27">
        <f>'900001'!$D51</f>
        <v>0</v>
      </c>
      <c r="F1537" s="27" t="s">
        <v>19089</v>
      </c>
    </row>
    <row r="1538" spans="1:6">
      <c r="A1538" s="27" t="str">
        <f>Resultados!$K$3</f>
        <v/>
      </c>
      <c r="B1538" s="27" t="str">
        <f>Resultados!$K$4</f>
        <v/>
      </c>
      <c r="C1538" s="27" t="str">
        <f>'900001'!$B52</f>
        <v>11010017</v>
      </c>
      <c r="D1538" s="27" t="str">
        <f>'900001'!$D$32</f>
        <v>C11001002</v>
      </c>
      <c r="E1538" s="27">
        <f>'900001'!$D52</f>
        <v>0</v>
      </c>
      <c r="F1538" s="27" t="s">
        <v>19089</v>
      </c>
    </row>
    <row r="1539" spans="1:6">
      <c r="A1539" s="27" t="str">
        <f>Resultados!$K$3</f>
        <v/>
      </c>
      <c r="B1539" s="27" t="str">
        <f>Resultados!$K$4</f>
        <v/>
      </c>
      <c r="C1539" s="27" t="str">
        <f>'900001'!$B53</f>
        <v>11010018</v>
      </c>
      <c r="D1539" s="27" t="str">
        <f>'900001'!$D$32</f>
        <v>C11001002</v>
      </c>
      <c r="E1539" s="27">
        <f>'900001'!$D53</f>
        <v>0</v>
      </c>
      <c r="F1539" s="27" t="s">
        <v>19089</v>
      </c>
    </row>
    <row r="1540" spans="1:6">
      <c r="A1540" s="27" t="str">
        <f>Resultados!$K$3</f>
        <v/>
      </c>
      <c r="B1540" s="27" t="str">
        <f>Resultados!$K$4</f>
        <v/>
      </c>
      <c r="C1540" s="27" t="str">
        <f>'900001'!$B54</f>
        <v>11010019</v>
      </c>
      <c r="D1540" s="27" t="str">
        <f>'900001'!$D$32</f>
        <v>C11001002</v>
      </c>
      <c r="E1540" s="27">
        <f>'900001'!$D54</f>
        <v>0</v>
      </c>
      <c r="F1540" s="27" t="s">
        <v>19089</v>
      </c>
    </row>
    <row r="1541" spans="1:6">
      <c r="A1541" s="27" t="str">
        <f>Resultados!$K$3</f>
        <v/>
      </c>
      <c r="B1541" s="27" t="str">
        <f>Resultados!$K$4</f>
        <v/>
      </c>
      <c r="C1541" s="27">
        <f>'900001'!$B55</f>
        <v>11010020</v>
      </c>
      <c r="D1541" s="27" t="str">
        <f>'900001'!$D$32</f>
        <v>C11001002</v>
      </c>
      <c r="E1541" s="27">
        <f>'900001'!$D55</f>
        <v>0</v>
      </c>
      <c r="F1541" s="27" t="s">
        <v>19089</v>
      </c>
    </row>
    <row r="1542" spans="1:6">
      <c r="A1542" s="27" t="str">
        <f>Resultados!$K$3</f>
        <v/>
      </c>
      <c r="B1542" s="27" t="str">
        <f>Resultados!$K$4</f>
        <v/>
      </c>
      <c r="C1542">
        <f>'900001'!$B36</f>
        <v>11010001</v>
      </c>
      <c r="D1542" t="str">
        <f>'900001'!$E$32</f>
        <v>C11001003</v>
      </c>
      <c r="E1542">
        <f>'900001'!$E36</f>
        <v>0</v>
      </c>
      <c r="F1542" s="27" t="s">
        <v>19089</v>
      </c>
    </row>
    <row r="1543" spans="1:6">
      <c r="A1543" s="27" t="str">
        <f>Resultados!$K$3</f>
        <v/>
      </c>
      <c r="B1543" s="27" t="str">
        <f>Resultados!$K$4</f>
        <v/>
      </c>
      <c r="C1543" s="27" t="str">
        <f>'900001'!$B37</f>
        <v>11010002</v>
      </c>
      <c r="D1543" s="27" t="str">
        <f>'900001'!$E$32</f>
        <v>C11001003</v>
      </c>
      <c r="E1543" s="27">
        <f>'900001'!$E37</f>
        <v>0</v>
      </c>
      <c r="F1543" s="27" t="s">
        <v>19089</v>
      </c>
    </row>
    <row r="1544" spans="1:6">
      <c r="A1544" s="27" t="str">
        <f>Resultados!$K$3</f>
        <v/>
      </c>
      <c r="B1544" s="27" t="str">
        <f>Resultados!$K$4</f>
        <v/>
      </c>
      <c r="C1544" s="27" t="str">
        <f>'900001'!$B38</f>
        <v>11010003</v>
      </c>
      <c r="D1544" s="27" t="str">
        <f>'900001'!$E$32</f>
        <v>C11001003</v>
      </c>
      <c r="E1544" s="27">
        <f>'900001'!$E38</f>
        <v>0</v>
      </c>
      <c r="F1544" s="27" t="s">
        <v>19089</v>
      </c>
    </row>
    <row r="1545" spans="1:6">
      <c r="A1545" s="27" t="str">
        <f>Resultados!$K$3</f>
        <v/>
      </c>
      <c r="B1545" s="27" t="str">
        <f>Resultados!$K$4</f>
        <v/>
      </c>
      <c r="C1545" s="27" t="str">
        <f>'900001'!$B39</f>
        <v>11010004</v>
      </c>
      <c r="D1545" s="27" t="str">
        <f>'900001'!$E$32</f>
        <v>C11001003</v>
      </c>
      <c r="E1545" s="27">
        <f>'900001'!$E39</f>
        <v>0</v>
      </c>
      <c r="F1545" s="27" t="s">
        <v>19089</v>
      </c>
    </row>
    <row r="1546" spans="1:6">
      <c r="A1546" s="27" t="str">
        <f>Resultados!$K$3</f>
        <v/>
      </c>
      <c r="B1546" s="27" t="str">
        <f>Resultados!$K$4</f>
        <v/>
      </c>
      <c r="C1546" s="27" t="str">
        <f>'900001'!$B40</f>
        <v>11010005</v>
      </c>
      <c r="D1546" s="27" t="str">
        <f>'900001'!$E$32</f>
        <v>C11001003</v>
      </c>
      <c r="E1546" s="27">
        <f>'900001'!$E40</f>
        <v>0</v>
      </c>
      <c r="F1546" s="27" t="s">
        <v>19089</v>
      </c>
    </row>
    <row r="1547" spans="1:6">
      <c r="A1547" s="27" t="str">
        <f>Resultados!$K$3</f>
        <v/>
      </c>
      <c r="B1547" s="27" t="str">
        <f>Resultados!$K$4</f>
        <v/>
      </c>
      <c r="C1547" s="27" t="str">
        <f>'900001'!$B41</f>
        <v>11010006</v>
      </c>
      <c r="D1547" s="27" t="str">
        <f>'900001'!$E$32</f>
        <v>C11001003</v>
      </c>
      <c r="E1547" s="27">
        <f>'900001'!$E41</f>
        <v>0</v>
      </c>
      <c r="F1547" s="27" t="s">
        <v>19089</v>
      </c>
    </row>
    <row r="1548" spans="1:6">
      <c r="A1548" s="27" t="str">
        <f>Resultados!$K$3</f>
        <v/>
      </c>
      <c r="B1548" s="27" t="str">
        <f>Resultados!$K$4</f>
        <v/>
      </c>
      <c r="C1548" s="27" t="str">
        <f>'900001'!$B42</f>
        <v>11010007</v>
      </c>
      <c r="D1548" s="27" t="str">
        <f>'900001'!$E$32</f>
        <v>C11001003</v>
      </c>
      <c r="E1548" s="27">
        <f>'900001'!$E42</f>
        <v>0</v>
      </c>
      <c r="F1548" s="27" t="s">
        <v>19089</v>
      </c>
    </row>
    <row r="1549" spans="1:6">
      <c r="A1549" s="27" t="str">
        <f>Resultados!$K$3</f>
        <v/>
      </c>
      <c r="B1549" s="27" t="str">
        <f>Resultados!$K$4</f>
        <v/>
      </c>
      <c r="C1549" s="27" t="str">
        <f>'900001'!$B43</f>
        <v>11010008</v>
      </c>
      <c r="D1549" s="27" t="str">
        <f>'900001'!$E$32</f>
        <v>C11001003</v>
      </c>
      <c r="E1549" s="27">
        <f>'900001'!$E43</f>
        <v>0</v>
      </c>
      <c r="F1549" s="27" t="s">
        <v>19089</v>
      </c>
    </row>
    <row r="1550" spans="1:6">
      <c r="A1550" s="27" t="str">
        <f>Resultados!$K$3</f>
        <v/>
      </c>
      <c r="B1550" s="27" t="str">
        <f>Resultados!$K$4</f>
        <v/>
      </c>
      <c r="C1550" s="27" t="str">
        <f>'900001'!$B44</f>
        <v>11010009</v>
      </c>
      <c r="D1550" s="27" t="str">
        <f>'900001'!$E$32</f>
        <v>C11001003</v>
      </c>
      <c r="E1550" s="27">
        <f>'900001'!$E44</f>
        <v>0</v>
      </c>
      <c r="F1550" s="27" t="s">
        <v>19089</v>
      </c>
    </row>
    <row r="1551" spans="1:6">
      <c r="A1551" s="27" t="str">
        <f>Resultados!$K$3</f>
        <v/>
      </c>
      <c r="B1551" s="27" t="str">
        <f>Resultados!$K$4</f>
        <v/>
      </c>
      <c r="C1551" s="27" t="str">
        <f>'900001'!$B45</f>
        <v>11010010</v>
      </c>
      <c r="D1551" s="27" t="str">
        <f>'900001'!$E$32</f>
        <v>C11001003</v>
      </c>
      <c r="E1551" s="27">
        <f>'900001'!$E45</f>
        <v>0</v>
      </c>
      <c r="F1551" s="27" t="s">
        <v>19089</v>
      </c>
    </row>
    <row r="1552" spans="1:6">
      <c r="A1552" s="27" t="str">
        <f>Resultados!$K$3</f>
        <v/>
      </c>
      <c r="B1552" s="27" t="str">
        <f>Resultados!$K$4</f>
        <v/>
      </c>
      <c r="C1552" s="27" t="str">
        <f>'900001'!$B46</f>
        <v>11010011</v>
      </c>
      <c r="D1552" s="27" t="str">
        <f>'900001'!$E$32</f>
        <v>C11001003</v>
      </c>
      <c r="E1552" s="27">
        <f>'900001'!$E46</f>
        <v>0</v>
      </c>
      <c r="F1552" s="27" t="s">
        <v>19089</v>
      </c>
    </row>
    <row r="1553" spans="1:6">
      <c r="A1553" s="27" t="str">
        <f>Resultados!$K$3</f>
        <v/>
      </c>
      <c r="B1553" s="27" t="str">
        <f>Resultados!$K$4</f>
        <v/>
      </c>
      <c r="C1553" s="27" t="str">
        <f>'900001'!$B47</f>
        <v>11010012</v>
      </c>
      <c r="D1553" s="27" t="str">
        <f>'900001'!$E$32</f>
        <v>C11001003</v>
      </c>
      <c r="E1553" s="27">
        <f>'900001'!$E47</f>
        <v>0</v>
      </c>
      <c r="F1553" s="27" t="s">
        <v>19089</v>
      </c>
    </row>
    <row r="1554" spans="1:6">
      <c r="A1554" s="27" t="str">
        <f>Resultados!$K$3</f>
        <v/>
      </c>
      <c r="B1554" s="27" t="str">
        <f>Resultados!$K$4</f>
        <v/>
      </c>
      <c r="C1554" s="27" t="str">
        <f>'900001'!$B48</f>
        <v>11010013</v>
      </c>
      <c r="D1554" s="27" t="str">
        <f>'900001'!$E$32</f>
        <v>C11001003</v>
      </c>
      <c r="E1554" s="27">
        <f>'900001'!$E48</f>
        <v>0</v>
      </c>
      <c r="F1554" s="27" t="s">
        <v>19089</v>
      </c>
    </row>
    <row r="1555" spans="1:6">
      <c r="A1555" s="27" t="str">
        <f>Resultados!$K$3</f>
        <v/>
      </c>
      <c r="B1555" s="27" t="str">
        <f>Resultados!$K$4</f>
        <v/>
      </c>
      <c r="C1555" s="27" t="str">
        <f>'900001'!$B49</f>
        <v>11010014</v>
      </c>
      <c r="D1555" s="27" t="str">
        <f>'900001'!$E$32</f>
        <v>C11001003</v>
      </c>
      <c r="E1555" s="27">
        <f>'900001'!$E49</f>
        <v>0</v>
      </c>
      <c r="F1555" s="27" t="s">
        <v>19089</v>
      </c>
    </row>
    <row r="1556" spans="1:6">
      <c r="A1556" s="27" t="str">
        <f>Resultados!$K$3</f>
        <v/>
      </c>
      <c r="B1556" s="27" t="str">
        <f>Resultados!$K$4</f>
        <v/>
      </c>
      <c r="C1556" s="27" t="str">
        <f>'900001'!$B50</f>
        <v>11010015</v>
      </c>
      <c r="D1556" s="27" t="str">
        <f>'900001'!$E$32</f>
        <v>C11001003</v>
      </c>
      <c r="E1556" s="27">
        <f>'900001'!$E50</f>
        <v>0</v>
      </c>
      <c r="F1556" s="27" t="s">
        <v>19089</v>
      </c>
    </row>
    <row r="1557" spans="1:6">
      <c r="A1557" s="27" t="str">
        <f>Resultados!$K$3</f>
        <v/>
      </c>
      <c r="B1557" s="27" t="str">
        <f>Resultados!$K$4</f>
        <v/>
      </c>
      <c r="C1557" s="27" t="str">
        <f>'900001'!$B51</f>
        <v>11010016</v>
      </c>
      <c r="D1557" s="27" t="str">
        <f>'900001'!$E$32</f>
        <v>C11001003</v>
      </c>
      <c r="E1557" s="27">
        <f>'900001'!$E51</f>
        <v>0</v>
      </c>
      <c r="F1557" s="27" t="s">
        <v>19089</v>
      </c>
    </row>
    <row r="1558" spans="1:6">
      <c r="A1558" s="27" t="str">
        <f>Resultados!$K$3</f>
        <v/>
      </c>
      <c r="B1558" s="27" t="str">
        <f>Resultados!$K$4</f>
        <v/>
      </c>
      <c r="C1558" s="27" t="str">
        <f>'900001'!$B52</f>
        <v>11010017</v>
      </c>
      <c r="D1558" s="27" t="str">
        <f>'900001'!$E$32</f>
        <v>C11001003</v>
      </c>
      <c r="E1558" s="27">
        <f>'900001'!$E52</f>
        <v>0</v>
      </c>
      <c r="F1558" s="27" t="s">
        <v>19089</v>
      </c>
    </row>
    <row r="1559" spans="1:6">
      <c r="A1559" s="27" t="str">
        <f>Resultados!$K$3</f>
        <v/>
      </c>
      <c r="B1559" s="27" t="str">
        <f>Resultados!$K$4</f>
        <v/>
      </c>
      <c r="C1559" s="27" t="str">
        <f>'900001'!$B53</f>
        <v>11010018</v>
      </c>
      <c r="D1559" s="27" t="str">
        <f>'900001'!$E$32</f>
        <v>C11001003</v>
      </c>
      <c r="E1559" s="27">
        <f>'900001'!$E53</f>
        <v>0</v>
      </c>
      <c r="F1559" s="27" t="s">
        <v>19089</v>
      </c>
    </row>
    <row r="1560" spans="1:6">
      <c r="A1560" s="27" t="str">
        <f>Resultados!$K$3</f>
        <v/>
      </c>
      <c r="B1560" s="27" t="str">
        <f>Resultados!$K$4</f>
        <v/>
      </c>
      <c r="C1560" s="27" t="str">
        <f>'900001'!$B54</f>
        <v>11010019</v>
      </c>
      <c r="D1560" s="27" t="str">
        <f>'900001'!$E$32</f>
        <v>C11001003</v>
      </c>
      <c r="E1560" s="27">
        <f>'900001'!$E54</f>
        <v>0</v>
      </c>
      <c r="F1560" s="27" t="s">
        <v>19089</v>
      </c>
    </row>
    <row r="1561" spans="1:6">
      <c r="A1561" s="27" t="str">
        <f>Resultados!$K$3</f>
        <v/>
      </c>
      <c r="B1561" s="27" t="str">
        <f>Resultados!$K$4</f>
        <v/>
      </c>
      <c r="C1561" s="27">
        <f>'900001'!$B55</f>
        <v>11010020</v>
      </c>
      <c r="D1561" s="27" t="str">
        <f>'900001'!$E$32</f>
        <v>C11001003</v>
      </c>
      <c r="E1561" s="27">
        <f>'900001'!$E55</f>
        <v>0</v>
      </c>
      <c r="F1561" s="27" t="s">
        <v>19089</v>
      </c>
    </row>
    <row r="1562" spans="1:6">
      <c r="A1562" s="27" t="str">
        <f>Resultados!$K$3</f>
        <v/>
      </c>
      <c r="B1562" s="27" t="str">
        <f>Resultados!$K$4</f>
        <v/>
      </c>
      <c r="C1562" s="569" t="str">
        <f>'900003'!$B15</f>
        <v>11201002</v>
      </c>
      <c r="D1562" t="str">
        <f>'900003'!$D$14</f>
        <v>C11201002</v>
      </c>
      <c r="E1562">
        <f>'900003'!$D15</f>
        <v>0</v>
      </c>
      <c r="F1562" s="27" t="s">
        <v>19083</v>
      </c>
    </row>
    <row r="1563" spans="1:6">
      <c r="A1563" s="27" t="str">
        <f>Resultados!$K$3</f>
        <v/>
      </c>
      <c r="B1563" s="27" t="str">
        <f>Resultados!$K$4</f>
        <v/>
      </c>
      <c r="C1563" s="569" t="str">
        <f>'900003'!$B18</f>
        <v>11201004</v>
      </c>
      <c r="D1563" s="27" t="str">
        <f>'900003'!$D$14</f>
        <v>C11201002</v>
      </c>
      <c r="E1563">
        <f>'900003'!$D18</f>
        <v>0</v>
      </c>
      <c r="F1563" s="27" t="s">
        <v>19083</v>
      </c>
    </row>
    <row r="1564" spans="1:6">
      <c r="A1564" s="27" t="str">
        <f>Resultados!$K$3</f>
        <v/>
      </c>
      <c r="B1564" s="27" t="str">
        <f>Resultados!$K$4</f>
        <v/>
      </c>
      <c r="C1564" s="569" t="str">
        <f>'900003'!$B19</f>
        <v>11201005</v>
      </c>
      <c r="D1564" s="27" t="str">
        <f>'900003'!$D$14</f>
        <v>C11201002</v>
      </c>
      <c r="E1564" s="27">
        <f>'900003'!$D19</f>
        <v>0</v>
      </c>
      <c r="F1564" s="27" t="s">
        <v>19083</v>
      </c>
    </row>
    <row r="1565" spans="1:6">
      <c r="A1565" s="27" t="str">
        <f>Resultados!$K$3</f>
        <v/>
      </c>
      <c r="B1565" s="27" t="str">
        <f>Resultados!$K$4</f>
        <v/>
      </c>
      <c r="C1565" s="569" t="str">
        <f>'900003'!$B20</f>
        <v>11201006</v>
      </c>
      <c r="D1565" s="27" t="str">
        <f>'900003'!$D$14</f>
        <v>C11201002</v>
      </c>
      <c r="E1565" s="684">
        <f>'900003'!$D20</f>
        <v>0</v>
      </c>
      <c r="F1565" s="27" t="s">
        <v>19083</v>
      </c>
    </row>
    <row r="1566" spans="1:6">
      <c r="A1566" s="27" t="str">
        <f>Resultados!$K$3</f>
        <v/>
      </c>
      <c r="B1566" s="27" t="str">
        <f>Resultados!$K$4</f>
        <v/>
      </c>
      <c r="C1566" s="569" t="str">
        <f>'900003'!$B16</f>
        <v>11201003</v>
      </c>
      <c r="D1566" t="str">
        <f>'900003'!$E$14</f>
        <v>C11201003</v>
      </c>
      <c r="E1566">
        <f>'900003'!$F17</f>
        <v>0</v>
      </c>
      <c r="F1566" s="27" t="s">
        <v>19083</v>
      </c>
    </row>
    <row r="1567" spans="1:6">
      <c r="A1567" s="27" t="str">
        <f>Resultados!$K$3</f>
        <v/>
      </c>
      <c r="B1567" s="27" t="str">
        <f>Resultados!$K$4</f>
        <v/>
      </c>
      <c r="C1567" t="str">
        <f>'900004'!$B17</f>
        <v>11301003</v>
      </c>
      <c r="D1567" t="str">
        <f>'900004'!$G$13</f>
        <v>C11301001</v>
      </c>
      <c r="E1567">
        <f>'900004'!$G17</f>
        <v>0</v>
      </c>
      <c r="F1567" s="27" t="s">
        <v>19084</v>
      </c>
    </row>
    <row r="1568" spans="1:6">
      <c r="A1568" s="27" t="str">
        <f>Resultados!$K$3</f>
        <v/>
      </c>
      <c r="B1568" s="27" t="str">
        <f>Resultados!$K$4</f>
        <v/>
      </c>
      <c r="C1568" s="27">
        <f>'900004'!$B18</f>
        <v>11301004</v>
      </c>
      <c r="D1568" s="27" t="str">
        <f>'900004'!$G$13</f>
        <v>C11301001</v>
      </c>
      <c r="E1568" s="27">
        <f>'900004'!$G18</f>
        <v>0</v>
      </c>
      <c r="F1568" s="27" t="s">
        <v>19084</v>
      </c>
    </row>
    <row r="1569" spans="1:6">
      <c r="A1569" s="27" t="str">
        <f>Resultados!$K$3</f>
        <v/>
      </c>
      <c r="B1569" s="27" t="str">
        <f>Resultados!$K$4</f>
        <v/>
      </c>
      <c r="C1569" s="27" t="str">
        <f>'900004'!$B19</f>
        <v>11301005</v>
      </c>
      <c r="D1569" s="27" t="str">
        <f>'900004'!$G$13</f>
        <v>C11301001</v>
      </c>
      <c r="E1569" s="27">
        <f>'900004'!$G19</f>
        <v>0</v>
      </c>
      <c r="F1569" s="27" t="s">
        <v>19084</v>
      </c>
    </row>
    <row r="1570" spans="1:6">
      <c r="A1570" s="27" t="str">
        <f>Resultados!$K$3</f>
        <v/>
      </c>
      <c r="B1570" s="27" t="str">
        <f>Resultados!$K$4</f>
        <v/>
      </c>
      <c r="C1570">
        <f>'900004'!$B25</f>
        <v>11303009</v>
      </c>
      <c r="D1570" s="27" t="str">
        <f>'900004'!$G$13</f>
        <v>C11301001</v>
      </c>
      <c r="E1570">
        <f>'900004'!$C25</f>
        <v>0</v>
      </c>
      <c r="F1570" s="27" t="s">
        <v>19084</v>
      </c>
    </row>
    <row r="1571" spans="1:6">
      <c r="A1571" s="27" t="str">
        <f>Resultados!$K$3</f>
        <v/>
      </c>
      <c r="B1571" s="27" t="str">
        <f>Resultados!$K$4</f>
        <v/>
      </c>
      <c r="C1571" s="569" t="str">
        <f>'900005'!$B19</f>
        <v/>
      </c>
      <c r="D1571" t="str">
        <f>'900005'!$P$16</f>
        <v>C11601001</v>
      </c>
      <c r="E1571">
        <f>'900005'!$P19</f>
        <v>0</v>
      </c>
      <c r="F1571" s="27" t="s">
        <v>19085</v>
      </c>
    </row>
    <row r="1572" spans="1:6">
      <c r="A1572" s="27" t="str">
        <f>Resultados!$K$3</f>
        <v/>
      </c>
      <c r="B1572" s="27" t="str">
        <f>Resultados!$K$4</f>
        <v/>
      </c>
      <c r="C1572" s="569" t="str">
        <f>'900005'!$B20</f>
        <v/>
      </c>
      <c r="D1572" s="27" t="str">
        <f>'900005'!$P$16</f>
        <v>C11601001</v>
      </c>
      <c r="E1572" s="27">
        <f>'900005'!$P20</f>
        <v>0</v>
      </c>
      <c r="F1572" s="27" t="s">
        <v>19085</v>
      </c>
    </row>
    <row r="1573" spans="1:6">
      <c r="A1573" s="27" t="str">
        <f>Resultados!$K$3</f>
        <v/>
      </c>
      <c r="B1573" s="27" t="str">
        <f>Resultados!$K$4</f>
        <v/>
      </c>
      <c r="C1573" s="569" t="str">
        <f>'900005'!$B21</f>
        <v/>
      </c>
      <c r="D1573" s="27" t="str">
        <f>'900005'!$P$16</f>
        <v>C11601001</v>
      </c>
      <c r="E1573" s="27">
        <f>'900005'!$P21</f>
        <v>0</v>
      </c>
      <c r="F1573" s="27" t="s">
        <v>19085</v>
      </c>
    </row>
    <row r="1574" spans="1:6">
      <c r="A1574" s="27" t="str">
        <f>Resultados!$K$3</f>
        <v/>
      </c>
      <c r="B1574" s="27" t="str">
        <f>Resultados!$K$4</f>
        <v/>
      </c>
      <c r="C1574" s="569" t="str">
        <f>'900005'!$B22</f>
        <v/>
      </c>
      <c r="D1574" s="27" t="str">
        <f>'900005'!$P$16</f>
        <v>C11601001</v>
      </c>
      <c r="E1574" s="27">
        <f>'900005'!$P22</f>
        <v>0</v>
      </c>
      <c r="F1574" s="27" t="s">
        <v>19085</v>
      </c>
    </row>
    <row r="1575" spans="1:6">
      <c r="A1575" s="27" t="str">
        <f>Resultados!$K$3</f>
        <v/>
      </c>
      <c r="B1575" s="27" t="str">
        <f>Resultados!$K$4</f>
        <v/>
      </c>
      <c r="C1575" s="569" t="str">
        <f>'900005'!$B23</f>
        <v/>
      </c>
      <c r="D1575" s="27" t="str">
        <f>'900005'!$P$16</f>
        <v>C11601001</v>
      </c>
      <c r="E1575" s="27">
        <f>'900005'!$P23</f>
        <v>0</v>
      </c>
      <c r="F1575" s="27" t="s">
        <v>19085</v>
      </c>
    </row>
    <row r="1576" spans="1:6">
      <c r="A1576" s="27" t="str">
        <f>Resultados!$K$3</f>
        <v/>
      </c>
      <c r="B1576" s="27" t="str">
        <f>Resultados!$K$4</f>
        <v/>
      </c>
      <c r="C1576" s="569" t="str">
        <f>'900005'!$B24</f>
        <v/>
      </c>
      <c r="D1576" s="27" t="str">
        <f>'900005'!$P$16</f>
        <v>C11601001</v>
      </c>
      <c r="E1576" s="27">
        <f>'900005'!$P24</f>
        <v>0</v>
      </c>
      <c r="F1576" s="27" t="s">
        <v>19085</v>
      </c>
    </row>
    <row r="1577" spans="1:6">
      <c r="A1577" s="27" t="str">
        <f>Resultados!$K$3</f>
        <v/>
      </c>
      <c r="B1577" s="27" t="str">
        <f>Resultados!$K$4</f>
        <v/>
      </c>
      <c r="C1577" s="569" t="str">
        <f>'900005'!$B25</f>
        <v/>
      </c>
      <c r="D1577" s="27" t="str">
        <f>'900005'!$P$16</f>
        <v>C11601001</v>
      </c>
      <c r="E1577" s="27">
        <f>'900005'!$P25</f>
        <v>0</v>
      </c>
      <c r="F1577" s="27" t="s">
        <v>19085</v>
      </c>
    </row>
    <row r="1578" spans="1:6">
      <c r="A1578" s="27" t="str">
        <f>Resultados!$K$3</f>
        <v/>
      </c>
      <c r="B1578" s="27" t="str">
        <f>Resultados!$K$4</f>
        <v/>
      </c>
      <c r="C1578" s="569" t="str">
        <f>'900005'!$B26</f>
        <v/>
      </c>
      <c r="D1578" s="27" t="str">
        <f>'900005'!$P$16</f>
        <v>C11601001</v>
      </c>
      <c r="E1578" s="27">
        <f>'900005'!$P26</f>
        <v>0</v>
      </c>
      <c r="F1578" s="27" t="s">
        <v>19085</v>
      </c>
    </row>
    <row r="1579" spans="1:6">
      <c r="A1579" s="27" t="str">
        <f>Resultados!$K$3</f>
        <v/>
      </c>
      <c r="B1579" s="27" t="str">
        <f>Resultados!$K$4</f>
        <v/>
      </c>
      <c r="C1579" s="569" t="str">
        <f>'900005'!$B27</f>
        <v/>
      </c>
      <c r="D1579" s="27" t="str">
        <f>'900005'!$P$16</f>
        <v>C11601001</v>
      </c>
      <c r="E1579" s="27">
        <f>'900005'!$P27</f>
        <v>0</v>
      </c>
      <c r="F1579" s="27" t="s">
        <v>19085</v>
      </c>
    </row>
    <row r="1580" spans="1:6">
      <c r="A1580" s="27" t="str">
        <f>Resultados!$K$3</f>
        <v/>
      </c>
      <c r="B1580" s="27" t="str">
        <f>Resultados!$K$4</f>
        <v/>
      </c>
      <c r="C1580" s="569" t="str">
        <f>'900005'!$B28</f>
        <v/>
      </c>
      <c r="D1580" s="27" t="str">
        <f>'900005'!$P$16</f>
        <v>C11601001</v>
      </c>
      <c r="E1580" s="27">
        <f>'900005'!$P28</f>
        <v>0</v>
      </c>
      <c r="F1580" s="27" t="s">
        <v>19085</v>
      </c>
    </row>
    <row r="1581" spans="1:6">
      <c r="A1581" s="27" t="str">
        <f>Resultados!$K$3</f>
        <v/>
      </c>
      <c r="B1581" s="27" t="str">
        <f>Resultados!$K$4</f>
        <v/>
      </c>
      <c r="C1581" s="569" t="str">
        <f>'900005'!$B29</f>
        <v/>
      </c>
      <c r="D1581" s="27" t="str">
        <f>'900005'!$P$16</f>
        <v>C11601001</v>
      </c>
      <c r="E1581" s="27">
        <f>'900005'!$P29</f>
        <v>0</v>
      </c>
      <c r="F1581" s="27" t="s">
        <v>19085</v>
      </c>
    </row>
    <row r="1582" spans="1:6">
      <c r="A1582" s="27" t="str">
        <f>Resultados!$K$3</f>
        <v/>
      </c>
      <c r="B1582" s="27" t="str">
        <f>Resultados!$K$4</f>
        <v/>
      </c>
      <c r="C1582" s="569" t="str">
        <f>'900005'!$B30</f>
        <v/>
      </c>
      <c r="D1582" s="27" t="str">
        <f>'900005'!$P$16</f>
        <v>C11601001</v>
      </c>
      <c r="E1582" s="27">
        <f>'900005'!$P30</f>
        <v>0</v>
      </c>
      <c r="F1582" s="27" t="s">
        <v>19085</v>
      </c>
    </row>
    <row r="1583" spans="1:6">
      <c r="A1583" s="27" t="str">
        <f>Resultados!$K$3</f>
        <v/>
      </c>
      <c r="B1583" s="27" t="str">
        <f>Resultados!$K$4</f>
        <v/>
      </c>
      <c r="C1583" s="569" t="str">
        <f>'900005'!$B31</f>
        <v/>
      </c>
      <c r="D1583" s="27" t="str">
        <f>'900005'!$P$16</f>
        <v>C11601001</v>
      </c>
      <c r="E1583" s="27">
        <f>'900005'!$P31</f>
        <v>0</v>
      </c>
      <c r="F1583" s="27" t="s">
        <v>19085</v>
      </c>
    </row>
    <row r="1584" spans="1:6">
      <c r="A1584" s="27" t="str">
        <f>Resultados!$K$3</f>
        <v/>
      </c>
      <c r="B1584" s="27" t="str">
        <f>Resultados!$K$4</f>
        <v/>
      </c>
      <c r="C1584" s="569" t="str">
        <f>'900005'!$B32</f>
        <v/>
      </c>
      <c r="D1584" s="27" t="str">
        <f>'900005'!$P$16</f>
        <v>C11601001</v>
      </c>
      <c r="E1584" s="27">
        <f>'900005'!$P32</f>
        <v>0</v>
      </c>
      <c r="F1584" s="27" t="s">
        <v>19085</v>
      </c>
    </row>
    <row r="1585" spans="1:6">
      <c r="A1585" s="27" t="str">
        <f>Resultados!$K$3</f>
        <v/>
      </c>
      <c r="B1585" s="27" t="str">
        <f>Resultados!$K$4</f>
        <v/>
      </c>
      <c r="C1585" s="569" t="str">
        <f>'900005'!$B33</f>
        <v/>
      </c>
      <c r="D1585" s="27" t="str">
        <f>'900005'!$P$16</f>
        <v>C11601001</v>
      </c>
      <c r="E1585" s="27">
        <f>'900005'!$P33</f>
        <v>0</v>
      </c>
      <c r="F1585" s="27" t="s">
        <v>19085</v>
      </c>
    </row>
    <row r="1586" spans="1:6">
      <c r="A1586" s="27" t="str">
        <f>Resultados!$K$3</f>
        <v/>
      </c>
      <c r="B1586" s="27" t="str">
        <f>Resultados!$K$4</f>
        <v/>
      </c>
      <c r="C1586" s="569" t="str">
        <f>'900005'!$B34</f>
        <v/>
      </c>
      <c r="D1586" s="27" t="str">
        <f>'900005'!$P$16</f>
        <v>C11601001</v>
      </c>
      <c r="E1586" s="27">
        <f>'900005'!$P34</f>
        <v>0</v>
      </c>
      <c r="F1586" s="27" t="s">
        <v>19085</v>
      </c>
    </row>
    <row r="1587" spans="1:6">
      <c r="A1587" s="27" t="str">
        <f>Resultados!$K$3</f>
        <v/>
      </c>
      <c r="B1587" s="27" t="str">
        <f>Resultados!$K$4</f>
        <v/>
      </c>
      <c r="C1587" s="569" t="str">
        <f>'900005'!$B35</f>
        <v/>
      </c>
      <c r="D1587" s="27" t="str">
        <f>'900005'!$P$16</f>
        <v>C11601001</v>
      </c>
      <c r="E1587" s="27">
        <f>'900005'!$P35</f>
        <v>0</v>
      </c>
      <c r="F1587" s="27" t="s">
        <v>19085</v>
      </c>
    </row>
    <row r="1588" spans="1:6">
      <c r="A1588" s="27" t="str">
        <f>Resultados!$K$3</f>
        <v/>
      </c>
      <c r="B1588" s="27" t="str">
        <f>Resultados!$K$4</f>
        <v/>
      </c>
      <c r="C1588" s="569" t="str">
        <f>'900005'!$B36</f>
        <v/>
      </c>
      <c r="D1588" s="27" t="str">
        <f>'900005'!$P$16</f>
        <v>C11601001</v>
      </c>
      <c r="E1588" s="27">
        <f>'900005'!$P36</f>
        <v>0</v>
      </c>
      <c r="F1588" s="27" t="s">
        <v>19085</v>
      </c>
    </row>
    <row r="1589" spans="1:6">
      <c r="A1589" s="27" t="str">
        <f>Resultados!$K$3</f>
        <v/>
      </c>
      <c r="B1589" s="27" t="str">
        <f>Resultados!$K$4</f>
        <v/>
      </c>
      <c r="C1589" s="569" t="str">
        <f>'900005'!$B37</f>
        <v/>
      </c>
      <c r="D1589" s="27" t="str">
        <f>'900005'!$P$16</f>
        <v>C11601001</v>
      </c>
      <c r="E1589" s="27">
        <f>'900005'!$P37</f>
        <v>0</v>
      </c>
      <c r="F1589" s="27" t="s">
        <v>19085</v>
      </c>
    </row>
    <row r="1590" spans="1:6">
      <c r="A1590" s="27" t="str">
        <f>Resultados!$K$3</f>
        <v/>
      </c>
      <c r="B1590" s="27" t="str">
        <f>Resultados!$K$4</f>
        <v/>
      </c>
      <c r="C1590" s="569" t="str">
        <f>'900005'!$B38</f>
        <v/>
      </c>
      <c r="D1590" s="27" t="str">
        <f>'900005'!$P$16</f>
        <v>C11601001</v>
      </c>
      <c r="E1590" s="27">
        <f>'900005'!$P38</f>
        <v>0</v>
      </c>
      <c r="F1590" s="27" t="s">
        <v>19085</v>
      </c>
    </row>
    <row r="1591" spans="1:6">
      <c r="A1591" s="27" t="str">
        <f>Resultados!$K$3</f>
        <v/>
      </c>
      <c r="B1591" s="27" t="str">
        <f>Resultados!$K$4</f>
        <v/>
      </c>
      <c r="C1591" s="569" t="str">
        <f>'900005'!$B39</f>
        <v/>
      </c>
      <c r="D1591" s="27" t="str">
        <f>'900005'!$P$16</f>
        <v>C11601001</v>
      </c>
      <c r="E1591" s="27">
        <f>'900005'!$P39</f>
        <v>0</v>
      </c>
      <c r="F1591" s="27" t="s">
        <v>19085</v>
      </c>
    </row>
    <row r="1592" spans="1:6">
      <c r="A1592" s="27" t="str">
        <f>Resultados!$K$3</f>
        <v/>
      </c>
      <c r="B1592" s="27" t="str">
        <f>Resultados!$K$4</f>
        <v/>
      </c>
      <c r="C1592" s="569" t="str">
        <f>'900005'!$B40</f>
        <v/>
      </c>
      <c r="D1592" s="27" t="str">
        <f>'900005'!$P$16</f>
        <v>C11601001</v>
      </c>
      <c r="E1592" s="27">
        <f>'900005'!$P40</f>
        <v>0</v>
      </c>
      <c r="F1592" s="27" t="s">
        <v>19085</v>
      </c>
    </row>
    <row r="1593" spans="1:6">
      <c r="A1593" s="27" t="str">
        <f>Resultados!$K$3</f>
        <v/>
      </c>
      <c r="B1593" s="27" t="str">
        <f>Resultados!$K$4</f>
        <v/>
      </c>
      <c r="C1593" s="569" t="str">
        <f>'900005'!$B41</f>
        <v/>
      </c>
      <c r="D1593" s="27" t="str">
        <f>'900005'!$P$16</f>
        <v>C11601001</v>
      </c>
      <c r="E1593" s="27">
        <f>'900005'!$P41</f>
        <v>0</v>
      </c>
      <c r="F1593" s="27" t="s">
        <v>19085</v>
      </c>
    </row>
    <row r="1594" spans="1:6">
      <c r="A1594" s="27" t="str">
        <f>Resultados!$K$3</f>
        <v/>
      </c>
      <c r="B1594" s="27" t="str">
        <f>Resultados!$K$4</f>
        <v/>
      </c>
      <c r="C1594" s="569" t="str">
        <f>'900005'!$B42</f>
        <v/>
      </c>
      <c r="D1594" s="27" t="str">
        <f>'900005'!$P$16</f>
        <v>C11601001</v>
      </c>
      <c r="E1594" s="27">
        <f>'900005'!$P42</f>
        <v>0</v>
      </c>
      <c r="F1594" s="27" t="s">
        <v>19085</v>
      </c>
    </row>
    <row r="1595" spans="1:6">
      <c r="A1595" s="27" t="str">
        <f>Resultados!$K$3</f>
        <v/>
      </c>
      <c r="B1595" s="27" t="str">
        <f>Resultados!$K$4</f>
        <v/>
      </c>
      <c r="C1595" s="569" t="str">
        <f>'900005'!$B43</f>
        <v/>
      </c>
      <c r="D1595" s="27" t="str">
        <f>'900005'!$P$16</f>
        <v>C11601001</v>
      </c>
      <c r="E1595" s="27">
        <f>'900005'!$P43</f>
        <v>0</v>
      </c>
      <c r="F1595" s="27" t="s">
        <v>19085</v>
      </c>
    </row>
    <row r="1596" spans="1:6">
      <c r="A1596" s="27" t="str">
        <f>Resultados!$K$3</f>
        <v/>
      </c>
      <c r="B1596" s="27" t="str">
        <f>Resultados!$K$4</f>
        <v/>
      </c>
      <c r="C1596" s="569" t="str">
        <f>'900005'!$B44</f>
        <v/>
      </c>
      <c r="D1596" s="27" t="str">
        <f>'900005'!$P$16</f>
        <v>C11601001</v>
      </c>
      <c r="E1596" s="27">
        <f>'900005'!$P44</f>
        <v>0</v>
      </c>
      <c r="F1596" s="27" t="s">
        <v>19085</v>
      </c>
    </row>
    <row r="1597" spans="1:6">
      <c r="A1597" s="27" t="str">
        <f>Resultados!$K$3</f>
        <v/>
      </c>
      <c r="B1597" s="27" t="str">
        <f>Resultados!$K$4</f>
        <v/>
      </c>
      <c r="C1597" s="569" t="str">
        <f>'900005'!$B45</f>
        <v/>
      </c>
      <c r="D1597" s="27" t="str">
        <f>'900005'!$P$16</f>
        <v>C11601001</v>
      </c>
      <c r="E1597" s="27">
        <f>'900005'!$P45</f>
        <v>0</v>
      </c>
      <c r="F1597" s="27" t="s">
        <v>19085</v>
      </c>
    </row>
    <row r="1598" spans="1:6">
      <c r="A1598" s="27" t="str">
        <f>Resultados!$K$3</f>
        <v/>
      </c>
      <c r="B1598" s="27" t="str">
        <f>Resultados!$K$4</f>
        <v/>
      </c>
      <c r="C1598" s="569" t="str">
        <f>'900005'!$B46</f>
        <v/>
      </c>
      <c r="D1598" s="27" t="str">
        <f>'900005'!$P$16</f>
        <v>C11601001</v>
      </c>
      <c r="E1598" s="27">
        <f>'900005'!$P46</f>
        <v>0</v>
      </c>
      <c r="F1598" s="27" t="s">
        <v>19085</v>
      </c>
    </row>
    <row r="1599" spans="1:6">
      <c r="A1599" s="27" t="str">
        <f>Resultados!$K$3</f>
        <v/>
      </c>
      <c r="B1599" s="27" t="str">
        <f>Resultados!$K$4</f>
        <v/>
      </c>
      <c r="C1599" s="569" t="str">
        <f>'900005'!$B47</f>
        <v/>
      </c>
      <c r="D1599" s="27" t="str">
        <f>'900005'!$P$16</f>
        <v>C11601001</v>
      </c>
      <c r="E1599" s="27">
        <f>'900005'!$P47</f>
        <v>0</v>
      </c>
      <c r="F1599" s="27" t="s">
        <v>19085</v>
      </c>
    </row>
    <row r="1600" spans="1:6">
      <c r="A1600" s="27" t="str">
        <f>Resultados!$K$3</f>
        <v/>
      </c>
      <c r="B1600" s="27" t="str">
        <f>Resultados!$K$4</f>
        <v/>
      </c>
      <c r="C1600" s="569" t="str">
        <f>'900005'!$B48</f>
        <v/>
      </c>
      <c r="D1600" s="27" t="str">
        <f>'900005'!$P$16</f>
        <v>C11601001</v>
      </c>
      <c r="E1600" s="27">
        <f>'900005'!$P48</f>
        <v>0</v>
      </c>
      <c r="F1600" s="27" t="s">
        <v>19085</v>
      </c>
    </row>
    <row r="1601" spans="1:6">
      <c r="A1601" s="27" t="str">
        <f>Resultados!$K$3</f>
        <v/>
      </c>
      <c r="B1601" s="27" t="str">
        <f>Resultados!$K$4</f>
        <v/>
      </c>
      <c r="C1601" s="569" t="str">
        <f>'900005'!$B49</f>
        <v/>
      </c>
      <c r="D1601" s="27" t="str">
        <f>'900005'!$P$16</f>
        <v>C11601001</v>
      </c>
      <c r="E1601" s="27">
        <f>'900005'!$P49</f>
        <v>0</v>
      </c>
      <c r="F1601" s="27" t="s">
        <v>19085</v>
      </c>
    </row>
    <row r="1602" spans="1:6">
      <c r="A1602" s="27" t="str">
        <f>Resultados!$K$3</f>
        <v/>
      </c>
      <c r="B1602" s="27" t="str">
        <f>Resultados!$K$4</f>
        <v/>
      </c>
      <c r="C1602" s="569" t="str">
        <f>'900005'!$B50</f>
        <v/>
      </c>
      <c r="D1602" s="27" t="str">
        <f>'900005'!$P$16</f>
        <v>C11601001</v>
      </c>
      <c r="E1602" s="27">
        <f>'900005'!$P50</f>
        <v>0</v>
      </c>
      <c r="F1602" s="27" t="s">
        <v>19085</v>
      </c>
    </row>
    <row r="1603" spans="1:6">
      <c r="A1603" s="27" t="str">
        <f>Resultados!$K$3</f>
        <v/>
      </c>
      <c r="B1603" s="27" t="str">
        <f>Resultados!$K$4</f>
        <v/>
      </c>
      <c r="C1603" s="569" t="str">
        <f>'900005'!$B51</f>
        <v/>
      </c>
      <c r="D1603" s="27" t="str">
        <f>'900005'!$P$16</f>
        <v>C11601001</v>
      </c>
      <c r="E1603" s="27">
        <f>'900005'!$P51</f>
        <v>0</v>
      </c>
      <c r="F1603" s="27" t="s">
        <v>19085</v>
      </c>
    </row>
    <row r="1604" spans="1:6">
      <c r="A1604" s="27" t="str">
        <f>Resultados!$K$3</f>
        <v/>
      </c>
      <c r="B1604" s="27" t="str">
        <f>Resultados!$K$4</f>
        <v/>
      </c>
      <c r="C1604" s="569" t="str">
        <f>'900005'!$B52</f>
        <v/>
      </c>
      <c r="D1604" s="27" t="str">
        <f>'900005'!$P$16</f>
        <v>C11601001</v>
      </c>
      <c r="E1604" s="27">
        <f>'900005'!$P52</f>
        <v>0</v>
      </c>
      <c r="F1604" s="27" t="s">
        <v>19085</v>
      </c>
    </row>
    <row r="1605" spans="1:6">
      <c r="A1605" s="27" t="str">
        <f>Resultados!$K$3</f>
        <v/>
      </c>
      <c r="B1605" s="27" t="str">
        <f>Resultados!$K$4</f>
        <v/>
      </c>
      <c r="C1605" s="569" t="str">
        <f>'900005'!$B53</f>
        <v/>
      </c>
      <c r="D1605" s="27" t="str">
        <f>'900005'!$P$16</f>
        <v>C11601001</v>
      </c>
      <c r="E1605" s="27">
        <f>'900005'!$P53</f>
        <v>0</v>
      </c>
      <c r="F1605" s="27" t="s">
        <v>19085</v>
      </c>
    </row>
    <row r="1606" spans="1:6">
      <c r="A1606" s="27" t="str">
        <f>Resultados!$K$3</f>
        <v/>
      </c>
      <c r="B1606" s="27" t="str">
        <f>Resultados!$K$4</f>
        <v/>
      </c>
      <c r="C1606" s="569" t="str">
        <f>'900005'!$B54</f>
        <v/>
      </c>
      <c r="D1606" s="27" t="str">
        <f>'900005'!$P$16</f>
        <v>C11601001</v>
      </c>
      <c r="E1606" s="27">
        <f>'900005'!$P54</f>
        <v>0</v>
      </c>
      <c r="F1606" s="27" t="s">
        <v>19085</v>
      </c>
    </row>
    <row r="1607" spans="1:6">
      <c r="A1607" s="27" t="str">
        <f>Resultados!$K$3</f>
        <v/>
      </c>
      <c r="B1607" s="27" t="str">
        <f>Resultados!$K$4</f>
        <v/>
      </c>
      <c r="C1607" s="569" t="str">
        <f>'900005'!$B55</f>
        <v>11601037</v>
      </c>
      <c r="D1607" s="27" t="str">
        <f>'900005'!$P$16</f>
        <v>C11601001</v>
      </c>
      <c r="E1607" s="27">
        <f>'900005'!$P55</f>
        <v>0</v>
      </c>
      <c r="F1607" s="27" t="s">
        <v>19085</v>
      </c>
    </row>
    <row r="1608" spans="1:6">
      <c r="A1608" s="27" t="str">
        <f>Resultados!$K$3</f>
        <v/>
      </c>
      <c r="B1608" s="27" t="str">
        <f>Resultados!$K$4</f>
        <v/>
      </c>
      <c r="C1608" s="569" t="str">
        <f>'900005'!$B56</f>
        <v/>
      </c>
      <c r="D1608" s="27" t="str">
        <f>'900005'!$P$16</f>
        <v>C11601001</v>
      </c>
      <c r="E1608" s="27">
        <f>'900005'!$P56</f>
        <v>0</v>
      </c>
      <c r="F1608" s="27" t="s">
        <v>19085</v>
      </c>
    </row>
    <row r="1609" spans="1:6">
      <c r="A1609" s="27" t="str">
        <f>Resultados!$K$3</f>
        <v/>
      </c>
      <c r="B1609" s="27" t="str">
        <f>Resultados!$K$4</f>
        <v/>
      </c>
      <c r="C1609" s="569" t="str">
        <f>'900005'!$B57</f>
        <v/>
      </c>
      <c r="D1609" s="27" t="str">
        <f>'900005'!$P$16</f>
        <v>C11601001</v>
      </c>
      <c r="E1609" s="27">
        <f>'900005'!$P57</f>
        <v>0</v>
      </c>
      <c r="F1609" s="27" t="s">
        <v>19085</v>
      </c>
    </row>
    <row r="1610" spans="1:6">
      <c r="A1610" s="27" t="str">
        <f>Resultados!$K$3</f>
        <v/>
      </c>
      <c r="B1610" s="27" t="str">
        <f>Resultados!$K$4</f>
        <v/>
      </c>
      <c r="C1610" s="569" t="str">
        <f>'900005'!$B58</f>
        <v/>
      </c>
      <c r="D1610" s="27" t="str">
        <f>'900005'!$P$16</f>
        <v>C11601001</v>
      </c>
      <c r="E1610" s="27">
        <f>'900005'!$P58</f>
        <v>0</v>
      </c>
      <c r="F1610" s="27" t="s">
        <v>19085</v>
      </c>
    </row>
    <row r="1611" spans="1:6">
      <c r="A1611" s="27" t="str">
        <f>Resultados!$K$3</f>
        <v/>
      </c>
      <c r="B1611" s="27" t="str">
        <f>Resultados!$K$4</f>
        <v/>
      </c>
      <c r="C1611" s="569" t="str">
        <f>'900005'!$B59</f>
        <v/>
      </c>
      <c r="D1611" s="27" t="str">
        <f>'900005'!$P$16</f>
        <v>C11601001</v>
      </c>
      <c r="E1611" s="27">
        <f>'900005'!$P59</f>
        <v>0</v>
      </c>
      <c r="F1611" s="27" t="s">
        <v>19085</v>
      </c>
    </row>
    <row r="1612" spans="1:6">
      <c r="A1612" s="27" t="str">
        <f>Resultados!$K$3</f>
        <v/>
      </c>
      <c r="B1612" s="27" t="str">
        <f>Resultados!$K$4</f>
        <v/>
      </c>
      <c r="C1612" s="569" t="str">
        <f>'900005'!$B60</f>
        <v/>
      </c>
      <c r="D1612" s="27" t="str">
        <f>'900005'!$P$16</f>
        <v>C11601001</v>
      </c>
      <c r="E1612" s="27">
        <f>'900005'!$P60</f>
        <v>0</v>
      </c>
      <c r="F1612" s="27" t="s">
        <v>19085</v>
      </c>
    </row>
    <row r="1613" spans="1:6">
      <c r="A1613" s="27" t="str">
        <f>Resultados!$K$3</f>
        <v/>
      </c>
      <c r="B1613" s="27" t="str">
        <f>Resultados!$K$4</f>
        <v/>
      </c>
      <c r="C1613" s="569" t="str">
        <f>'900005'!$B61</f>
        <v/>
      </c>
      <c r="D1613" s="27" t="str">
        <f>'900005'!$P$16</f>
        <v>C11601001</v>
      </c>
      <c r="E1613" s="27">
        <f>'900005'!$P61</f>
        <v>0</v>
      </c>
      <c r="F1613" s="27" t="s">
        <v>19085</v>
      </c>
    </row>
    <row r="1614" spans="1:6">
      <c r="A1614" s="27" t="str">
        <f>Resultados!$K$3</f>
        <v/>
      </c>
      <c r="B1614" s="27" t="str">
        <f>Resultados!$K$4</f>
        <v/>
      </c>
      <c r="C1614" s="569" t="str">
        <f>'900005'!$B62</f>
        <v/>
      </c>
      <c r="D1614" s="27" t="str">
        <f>'900005'!$P$16</f>
        <v>C11601001</v>
      </c>
      <c r="E1614" s="27">
        <f>'900005'!$P62</f>
        <v>0</v>
      </c>
      <c r="F1614" s="27" t="s">
        <v>19085</v>
      </c>
    </row>
    <row r="1615" spans="1:6">
      <c r="A1615" s="27" t="str">
        <f>Resultados!$K$3</f>
        <v/>
      </c>
      <c r="B1615" s="27" t="str">
        <f>Resultados!$K$4</f>
        <v/>
      </c>
      <c r="C1615" s="569" t="str">
        <f>'900005'!$B63</f>
        <v/>
      </c>
      <c r="D1615" s="27" t="str">
        <f>'900005'!$P$16</f>
        <v>C11601001</v>
      </c>
      <c r="E1615" s="27">
        <f>'900005'!$P63</f>
        <v>0</v>
      </c>
      <c r="F1615" s="27" t="s">
        <v>19085</v>
      </c>
    </row>
    <row r="1616" spans="1:6">
      <c r="A1616" s="27" t="str">
        <f>Resultados!$K$3</f>
        <v/>
      </c>
      <c r="B1616" s="27" t="str">
        <f>Resultados!$K$4</f>
        <v/>
      </c>
      <c r="C1616" s="569" t="str">
        <f>'900005'!$B64</f>
        <v/>
      </c>
      <c r="D1616" s="27" t="str">
        <f>'900005'!$P$16</f>
        <v>C11601001</v>
      </c>
      <c r="E1616" s="27">
        <f>'900005'!$P64</f>
        <v>0</v>
      </c>
      <c r="F1616" s="27" t="s">
        <v>19085</v>
      </c>
    </row>
    <row r="1617" spans="1:6">
      <c r="A1617" s="27" t="str">
        <f>Resultados!$K$3</f>
        <v/>
      </c>
      <c r="B1617" s="27" t="str">
        <f>Resultados!$K$4</f>
        <v/>
      </c>
      <c r="C1617" s="569" t="str">
        <f>'900005'!$B65</f>
        <v/>
      </c>
      <c r="D1617" s="27" t="str">
        <f>'900005'!$P$16</f>
        <v>C11601001</v>
      </c>
      <c r="E1617" s="27">
        <f>'900005'!$P65</f>
        <v>0</v>
      </c>
      <c r="F1617" s="27" t="s">
        <v>19085</v>
      </c>
    </row>
    <row r="1618" spans="1:6">
      <c r="A1618" s="27" t="str">
        <f>Resultados!$K$3</f>
        <v/>
      </c>
      <c r="B1618" s="27" t="str">
        <f>Resultados!$K$4</f>
        <v/>
      </c>
      <c r="C1618" s="569" t="str">
        <f>'900005'!$B66</f>
        <v/>
      </c>
      <c r="D1618" s="27" t="str">
        <f>'900005'!$P$16</f>
        <v>C11601001</v>
      </c>
      <c r="E1618" s="27">
        <f>'900005'!$P66</f>
        <v>0</v>
      </c>
      <c r="F1618" s="27" t="s">
        <v>19085</v>
      </c>
    </row>
    <row r="1619" spans="1:6">
      <c r="A1619" s="27" t="str">
        <f>Resultados!$K$3</f>
        <v/>
      </c>
      <c r="B1619" s="27" t="str">
        <f>Resultados!$K$4</f>
        <v/>
      </c>
      <c r="C1619" s="569" t="str">
        <f>'900005'!$B67</f>
        <v>11601049</v>
      </c>
      <c r="D1619" s="27" t="str">
        <f>'900005'!$P$16</f>
        <v>C11601001</v>
      </c>
      <c r="E1619" s="27">
        <f>'900005'!$P67</f>
        <v>0</v>
      </c>
      <c r="F1619" s="27" t="s">
        <v>19085</v>
      </c>
    </row>
    <row r="1620" spans="1:6">
      <c r="A1620" s="27" t="str">
        <f>Resultados!$K$3</f>
        <v/>
      </c>
      <c r="B1620" s="27" t="str">
        <f>Resultados!$K$4</f>
        <v/>
      </c>
      <c r="C1620" s="569" t="str">
        <f>'900005'!$B68</f>
        <v/>
      </c>
      <c r="D1620" s="27" t="str">
        <f>'900005'!$P$16</f>
        <v>C11601001</v>
      </c>
      <c r="E1620" s="27">
        <f>'900005'!$P68</f>
        <v>0</v>
      </c>
      <c r="F1620" s="27" t="s">
        <v>19085</v>
      </c>
    </row>
    <row r="1621" spans="1:6">
      <c r="A1621" s="27" t="str">
        <f>Resultados!$K$3</f>
        <v/>
      </c>
      <c r="B1621" s="27" t="str">
        <f>Resultados!$K$4</f>
        <v/>
      </c>
      <c r="C1621" s="569" t="str">
        <f>'900005'!$B69</f>
        <v/>
      </c>
      <c r="D1621" s="27" t="str">
        <f>'900005'!$P$16</f>
        <v>C11601001</v>
      </c>
      <c r="E1621" s="27">
        <f>'900005'!$P69</f>
        <v>0</v>
      </c>
      <c r="F1621" s="27" t="s">
        <v>19085</v>
      </c>
    </row>
    <row r="1622" spans="1:6">
      <c r="A1622" s="27" t="str">
        <f>Resultados!$K$3</f>
        <v/>
      </c>
      <c r="B1622" s="27" t="str">
        <f>Resultados!$K$4</f>
        <v/>
      </c>
      <c r="C1622" s="569" t="str">
        <f>'900005'!$B70</f>
        <v/>
      </c>
      <c r="D1622" s="27" t="str">
        <f>'900005'!$P$16</f>
        <v>C11601001</v>
      </c>
      <c r="E1622" s="27">
        <f>'900005'!$P70</f>
        <v>0</v>
      </c>
      <c r="F1622" s="27" t="s">
        <v>19085</v>
      </c>
    </row>
    <row r="1623" spans="1:6">
      <c r="A1623" s="27" t="str">
        <f>Resultados!$K$3</f>
        <v/>
      </c>
      <c r="B1623" s="27" t="str">
        <f>Resultados!$K$4</f>
        <v/>
      </c>
      <c r="C1623" s="569" t="str">
        <f>'900005'!$B71</f>
        <v/>
      </c>
      <c r="D1623" s="27" t="str">
        <f>'900005'!$P$16</f>
        <v>C11601001</v>
      </c>
      <c r="E1623" s="27">
        <f>'900005'!$P71</f>
        <v>0</v>
      </c>
      <c r="F1623" s="27" t="s">
        <v>19085</v>
      </c>
    </row>
    <row r="1624" spans="1:6">
      <c r="A1624" s="27" t="str">
        <f>Resultados!$K$3</f>
        <v/>
      </c>
      <c r="B1624" s="27" t="str">
        <f>Resultados!$K$4</f>
        <v/>
      </c>
      <c r="C1624" s="569" t="str">
        <f>'900005'!$B72</f>
        <v/>
      </c>
      <c r="D1624" s="27" t="str">
        <f>'900005'!$P$16</f>
        <v>C11601001</v>
      </c>
      <c r="E1624" s="27">
        <f>'900005'!$P72</f>
        <v>0</v>
      </c>
      <c r="F1624" s="27" t="s">
        <v>19085</v>
      </c>
    </row>
    <row r="1625" spans="1:6">
      <c r="A1625" s="27" t="str">
        <f>Resultados!$K$3</f>
        <v/>
      </c>
      <c r="B1625" s="27" t="str">
        <f>Resultados!$K$4</f>
        <v/>
      </c>
      <c r="C1625" s="569" t="str">
        <f>'900005'!$B73</f>
        <v/>
      </c>
      <c r="D1625" s="27" t="str">
        <f>'900005'!$P$16</f>
        <v>C11601001</v>
      </c>
      <c r="E1625" s="27">
        <f>'900005'!$P73</f>
        <v>0</v>
      </c>
      <c r="F1625" s="27" t="s">
        <v>19085</v>
      </c>
    </row>
    <row r="1626" spans="1:6">
      <c r="A1626" s="27" t="str">
        <f>Resultados!$K$3</f>
        <v/>
      </c>
      <c r="B1626" s="27" t="str">
        <f>Resultados!$K$4</f>
        <v/>
      </c>
      <c r="C1626" s="569" t="str">
        <f>'900005'!$B74</f>
        <v/>
      </c>
      <c r="D1626" s="27" t="str">
        <f>'900005'!$P$16</f>
        <v>C11601001</v>
      </c>
      <c r="E1626" s="27">
        <f>'900005'!$P74</f>
        <v>0</v>
      </c>
      <c r="F1626" s="27" t="s">
        <v>19085</v>
      </c>
    </row>
    <row r="1627" spans="1:6">
      <c r="A1627" s="27" t="str">
        <f>Resultados!$K$3</f>
        <v/>
      </c>
      <c r="B1627" s="27" t="str">
        <f>Resultados!$K$4</f>
        <v/>
      </c>
      <c r="C1627" s="569" t="str">
        <f>'900005'!$B75</f>
        <v>11601057</v>
      </c>
      <c r="D1627" s="27" t="str">
        <f>'900005'!$P$16</f>
        <v>C11601001</v>
      </c>
      <c r="E1627" s="27">
        <f>'900005'!$P75</f>
        <v>0</v>
      </c>
      <c r="F1627" s="27" t="s">
        <v>19085</v>
      </c>
    </row>
    <row r="1628" spans="1:6">
      <c r="A1628" s="27" t="str">
        <f>Resultados!$K$3</f>
        <v/>
      </c>
      <c r="B1628" s="27" t="str">
        <f>Resultados!$K$4</f>
        <v/>
      </c>
      <c r="C1628" s="569" t="str">
        <f>'900005'!$B76</f>
        <v/>
      </c>
      <c r="D1628" s="27" t="str">
        <f>'900005'!$P$16</f>
        <v>C11601001</v>
      </c>
      <c r="E1628" s="27">
        <f>'900005'!$P76</f>
        <v>0</v>
      </c>
      <c r="F1628" s="27" t="s">
        <v>19085</v>
      </c>
    </row>
    <row r="1629" spans="1:6">
      <c r="A1629" s="27" t="str">
        <f>Resultados!$K$3</f>
        <v/>
      </c>
      <c r="B1629" s="27" t="str">
        <f>Resultados!$K$4</f>
        <v/>
      </c>
      <c r="C1629" s="569" t="str">
        <f>'900005'!$B77</f>
        <v/>
      </c>
      <c r="D1629" s="27" t="str">
        <f>'900005'!$P$16</f>
        <v>C11601001</v>
      </c>
      <c r="E1629" s="27">
        <f>'900005'!$P77</f>
        <v>0</v>
      </c>
      <c r="F1629" s="27" t="s">
        <v>19085</v>
      </c>
    </row>
    <row r="1630" spans="1:6">
      <c r="A1630" s="27" t="str">
        <f>Resultados!$K$3</f>
        <v/>
      </c>
      <c r="B1630" s="27" t="str">
        <f>Resultados!$K$4</f>
        <v/>
      </c>
      <c r="C1630" s="569" t="str">
        <f>'900005'!$B78</f>
        <v/>
      </c>
      <c r="D1630" s="27" t="str">
        <f>'900005'!$P$16</f>
        <v>C11601001</v>
      </c>
      <c r="E1630" s="27">
        <f>'900005'!$P78</f>
        <v>0</v>
      </c>
      <c r="F1630" s="27" t="s">
        <v>19085</v>
      </c>
    </row>
    <row r="1631" spans="1:6">
      <c r="A1631" s="27" t="str">
        <f>Resultados!$K$3</f>
        <v/>
      </c>
      <c r="B1631" s="27" t="str">
        <f>Resultados!$K$4</f>
        <v/>
      </c>
      <c r="C1631" s="569" t="str">
        <f>'900005'!$B79</f>
        <v/>
      </c>
      <c r="D1631" s="27" t="str">
        <f>'900005'!$P$16</f>
        <v>C11601001</v>
      </c>
      <c r="E1631" s="27">
        <f>'900005'!$P79</f>
        <v>0</v>
      </c>
      <c r="F1631" s="27" t="s">
        <v>19085</v>
      </c>
    </row>
    <row r="1632" spans="1:6">
      <c r="A1632" s="27" t="str">
        <f>Resultados!$K$3</f>
        <v/>
      </c>
      <c r="B1632" s="27" t="str">
        <f>Resultados!$K$4</f>
        <v/>
      </c>
      <c r="C1632" s="569" t="str">
        <f>'900005'!$B80</f>
        <v/>
      </c>
      <c r="D1632" s="27" t="str">
        <f>'900005'!$P$16</f>
        <v>C11601001</v>
      </c>
      <c r="E1632" s="27">
        <f>'900005'!$P80</f>
        <v>0</v>
      </c>
      <c r="F1632" s="27" t="s">
        <v>19085</v>
      </c>
    </row>
    <row r="1633" spans="1:6">
      <c r="A1633" s="27" t="str">
        <f>Resultados!$K$3</f>
        <v/>
      </c>
      <c r="B1633" s="27" t="str">
        <f>Resultados!$K$4</f>
        <v/>
      </c>
      <c r="C1633" s="569" t="str">
        <f>'900005'!$B81</f>
        <v/>
      </c>
      <c r="D1633" s="27" t="str">
        <f>'900005'!$P$16</f>
        <v>C11601001</v>
      </c>
      <c r="E1633" s="27">
        <f>'900005'!$P81</f>
        <v>0</v>
      </c>
      <c r="F1633" s="27" t="s">
        <v>19085</v>
      </c>
    </row>
    <row r="1634" spans="1:6">
      <c r="A1634" s="27" t="str">
        <f>Resultados!$K$3</f>
        <v/>
      </c>
      <c r="B1634" s="27" t="str">
        <f>Resultados!$K$4</f>
        <v/>
      </c>
      <c r="C1634" s="569" t="str">
        <f>'900005'!$B82</f>
        <v>11601064</v>
      </c>
      <c r="D1634" s="27" t="str">
        <f>'900005'!$P$16</f>
        <v>C11601001</v>
      </c>
      <c r="E1634" s="27">
        <f>'900005'!$P82</f>
        <v>0</v>
      </c>
      <c r="F1634" s="27" t="s">
        <v>19085</v>
      </c>
    </row>
    <row r="1635" spans="1:6">
      <c r="A1635" s="27" t="str">
        <f>Resultados!$K$3</f>
        <v/>
      </c>
      <c r="B1635" s="27" t="str">
        <f>Resultados!$K$4</f>
        <v/>
      </c>
      <c r="C1635" s="569" t="str">
        <f>'900005'!$B83</f>
        <v/>
      </c>
      <c r="D1635" s="27" t="str">
        <f>'900005'!$P$16</f>
        <v>C11601001</v>
      </c>
      <c r="E1635" s="27">
        <f>'900005'!$P83</f>
        <v>0</v>
      </c>
      <c r="F1635" s="27" t="s">
        <v>19085</v>
      </c>
    </row>
    <row r="1636" spans="1:6">
      <c r="A1636" s="27" t="str">
        <f>Resultados!$K$3</f>
        <v/>
      </c>
      <c r="B1636" s="27" t="str">
        <f>Resultados!$K$4</f>
        <v/>
      </c>
      <c r="C1636" s="569" t="str">
        <f>'900005'!$B86</f>
        <v>11601066</v>
      </c>
      <c r="D1636" s="27" t="str">
        <f>'900005'!$P$16</f>
        <v>C11601001</v>
      </c>
      <c r="E1636" s="27">
        <f>'900005'!$P86</f>
        <v>0</v>
      </c>
      <c r="F1636" s="27" t="s">
        <v>19085</v>
      </c>
    </row>
    <row r="1637" spans="1:6">
      <c r="A1637" s="27" t="str">
        <f>Resultados!$K$3</f>
        <v/>
      </c>
      <c r="B1637" s="27" t="str">
        <f>Resultados!$K$4</f>
        <v/>
      </c>
      <c r="C1637" s="569" t="str">
        <f>'900005'!$B87</f>
        <v/>
      </c>
      <c r="D1637" s="27" t="str">
        <f>'900005'!$P$16</f>
        <v>C11601001</v>
      </c>
      <c r="E1637" s="27">
        <f>'900005'!$P87</f>
        <v>0</v>
      </c>
      <c r="F1637" s="27" t="s">
        <v>19085</v>
      </c>
    </row>
    <row r="1638" spans="1:6">
      <c r="A1638" s="27" t="str">
        <f>Resultados!$K$3</f>
        <v/>
      </c>
      <c r="B1638" s="27" t="str">
        <f>Resultados!$K$4</f>
        <v/>
      </c>
      <c r="C1638" s="569" t="str">
        <f>'900005'!$B88</f>
        <v/>
      </c>
      <c r="D1638" s="27" t="str">
        <f>'900005'!$P$16</f>
        <v>C11601001</v>
      </c>
      <c r="E1638" s="27">
        <f>'900005'!$P88</f>
        <v>0</v>
      </c>
      <c r="F1638" s="27" t="s">
        <v>19085</v>
      </c>
    </row>
    <row r="1639" spans="1:6">
      <c r="A1639" s="27" t="str">
        <f>Resultados!$K$3</f>
        <v/>
      </c>
      <c r="B1639" s="27" t="str">
        <f>Resultados!$K$4</f>
        <v/>
      </c>
      <c r="C1639" s="569" t="str">
        <f>'900005'!$B90</f>
        <v>11601069</v>
      </c>
      <c r="D1639" s="27" t="str">
        <f>'900005'!$P$16</f>
        <v>C11601001</v>
      </c>
      <c r="E1639" s="27">
        <f>'900005'!$P90</f>
        <v>0</v>
      </c>
      <c r="F1639" s="27" t="s">
        <v>19085</v>
      </c>
    </row>
    <row r="1640" spans="1:6">
      <c r="A1640" s="27" t="str">
        <f>Resultados!$K$3</f>
        <v/>
      </c>
      <c r="B1640" s="27" t="str">
        <f>Resultados!$K$4</f>
        <v/>
      </c>
      <c r="C1640" s="569" t="str">
        <f>'900005'!$B91</f>
        <v/>
      </c>
      <c r="D1640" s="27" t="str">
        <f>'900005'!$P$16</f>
        <v>C11601001</v>
      </c>
      <c r="E1640" s="27">
        <f>'900005'!$P91</f>
        <v>0</v>
      </c>
      <c r="F1640" s="27" t="s">
        <v>19085</v>
      </c>
    </row>
    <row r="1641" spans="1:6">
      <c r="A1641" s="27" t="str">
        <f>Resultados!$K$3</f>
        <v/>
      </c>
      <c r="B1641" s="27" t="str">
        <f>Resultados!$K$4</f>
        <v/>
      </c>
      <c r="C1641" s="569" t="str">
        <f>'900005'!$B92</f>
        <v/>
      </c>
      <c r="D1641" s="27" t="str">
        <f>'900005'!$P$16</f>
        <v>C11601001</v>
      </c>
      <c r="E1641" s="27">
        <f>'900005'!$P92</f>
        <v>0</v>
      </c>
      <c r="F1641" s="27" t="s">
        <v>19085</v>
      </c>
    </row>
    <row r="1642" spans="1:6">
      <c r="A1642" s="27" t="str">
        <f>Resultados!$K$3</f>
        <v/>
      </c>
      <c r="B1642" s="27" t="str">
        <f>Resultados!$K$4</f>
        <v/>
      </c>
      <c r="C1642" s="569" t="str">
        <f>'900005'!$B93</f>
        <v/>
      </c>
      <c r="D1642" s="27" t="str">
        <f>'900005'!$P$16</f>
        <v>C11601001</v>
      </c>
      <c r="E1642" s="27">
        <f>'900005'!$P93</f>
        <v>0</v>
      </c>
      <c r="F1642" s="27" t="s">
        <v>19085</v>
      </c>
    </row>
    <row r="1643" spans="1:6">
      <c r="A1643" s="27" t="str">
        <f>Resultados!$K$3</f>
        <v/>
      </c>
      <c r="B1643" s="27" t="str">
        <f>Resultados!$K$4</f>
        <v/>
      </c>
      <c r="C1643" s="569" t="str">
        <f>'900005'!$B94</f>
        <v>11601073</v>
      </c>
      <c r="D1643" s="27" t="str">
        <f>'900005'!$P$16</f>
        <v>C11601001</v>
      </c>
      <c r="E1643" s="27">
        <f>'900005'!$P94</f>
        <v>0</v>
      </c>
      <c r="F1643" s="27" t="s">
        <v>19085</v>
      </c>
    </row>
    <row r="1644" spans="1:6">
      <c r="A1644" s="27" t="str">
        <f>Resultados!$K$3</f>
        <v/>
      </c>
      <c r="B1644" s="27" t="str">
        <f>Resultados!$K$4</f>
        <v/>
      </c>
      <c r="C1644" s="569" t="str">
        <f>'900005'!$B95</f>
        <v/>
      </c>
      <c r="D1644" s="27" t="str">
        <f>'900005'!$P$16</f>
        <v>C11601001</v>
      </c>
      <c r="E1644" s="27">
        <f>'900005'!$P95</f>
        <v>0</v>
      </c>
      <c r="F1644" s="27" t="s">
        <v>19085</v>
      </c>
    </row>
    <row r="1645" spans="1:6">
      <c r="A1645" s="27" t="str">
        <f>Resultados!$K$3</f>
        <v/>
      </c>
      <c r="B1645" s="27" t="str">
        <f>Resultados!$K$4</f>
        <v/>
      </c>
      <c r="C1645" s="569" t="str">
        <f>'900005'!$B96</f>
        <v/>
      </c>
      <c r="D1645" s="27" t="str">
        <f>'900005'!$P$16</f>
        <v>C11601001</v>
      </c>
      <c r="E1645" s="27">
        <f>'900005'!$P96</f>
        <v>0</v>
      </c>
      <c r="F1645" s="27" t="s">
        <v>19085</v>
      </c>
    </row>
    <row r="1646" spans="1:6">
      <c r="A1646" s="27" t="str">
        <f>Resultados!$K$3</f>
        <v/>
      </c>
      <c r="B1646" s="27" t="str">
        <f>Resultados!$K$4</f>
        <v/>
      </c>
      <c r="C1646" s="569" t="str">
        <f>'900005'!$B97</f>
        <v/>
      </c>
      <c r="D1646" s="27" t="str">
        <f>'900005'!$P$16</f>
        <v>C11601001</v>
      </c>
      <c r="E1646" s="27">
        <f>'900005'!$P97</f>
        <v>0</v>
      </c>
      <c r="F1646" s="27" t="s">
        <v>19085</v>
      </c>
    </row>
    <row r="1647" spans="1:6">
      <c r="A1647" s="27" t="str">
        <f>Resultados!$K$3</f>
        <v/>
      </c>
      <c r="B1647" s="27" t="str">
        <f>Resultados!$K$4</f>
        <v/>
      </c>
      <c r="C1647" s="569" t="str">
        <f>'900005'!$B98</f>
        <v/>
      </c>
      <c r="D1647" s="27" t="str">
        <f>'900005'!$P$16</f>
        <v>C11601001</v>
      </c>
      <c r="E1647" s="27">
        <f>'900005'!$P98</f>
        <v>0</v>
      </c>
      <c r="F1647" s="27" t="s">
        <v>19085</v>
      </c>
    </row>
    <row r="1648" spans="1:6">
      <c r="A1648" s="27" t="str">
        <f>Resultados!$K$3</f>
        <v/>
      </c>
      <c r="B1648" s="27" t="str">
        <f>Resultados!$K$4</f>
        <v/>
      </c>
      <c r="C1648" s="569" t="str">
        <f>'900005'!$B99</f>
        <v>11601078</v>
      </c>
      <c r="D1648" s="27" t="str">
        <f>'900005'!$P$16</f>
        <v>C11601001</v>
      </c>
      <c r="E1648" s="27">
        <f>'900005'!$P99</f>
        <v>0</v>
      </c>
      <c r="F1648" s="27" t="s">
        <v>19085</v>
      </c>
    </row>
    <row r="1649" spans="1:6">
      <c r="A1649" s="27" t="str">
        <f>Resultados!$K$3</f>
        <v/>
      </c>
      <c r="B1649" s="27" t="str">
        <f>Resultados!$K$4</f>
        <v/>
      </c>
      <c r="C1649" s="569" t="str">
        <f>'900005'!$B100</f>
        <v>11601001</v>
      </c>
      <c r="D1649" s="27" t="str">
        <f>'900005'!$P$16</f>
        <v>C11601001</v>
      </c>
      <c r="E1649" s="27">
        <f>'900005'!$P100</f>
        <v>0</v>
      </c>
      <c r="F1649" s="27" t="s">
        <v>19085</v>
      </c>
    </row>
    <row r="1650" spans="1:6">
      <c r="A1650" s="27" t="str">
        <f>Resultados!$K$3</f>
        <v/>
      </c>
      <c r="B1650" s="27" t="str">
        <f>Resultados!$K$4</f>
        <v/>
      </c>
      <c r="C1650" s="569" t="str">
        <f>'900005'!$B19</f>
        <v/>
      </c>
      <c r="D1650" t="str">
        <f>'900005'!$Q$16</f>
        <v>C11601002</v>
      </c>
      <c r="E1650">
        <f>'900005'!$Q19</f>
        <v>0</v>
      </c>
      <c r="F1650" s="27" t="s">
        <v>19085</v>
      </c>
    </row>
    <row r="1651" spans="1:6">
      <c r="A1651" s="27" t="str">
        <f>Resultados!$K$3</f>
        <v/>
      </c>
      <c r="B1651" s="27" t="str">
        <f>Resultados!$K$4</f>
        <v/>
      </c>
      <c r="C1651" s="569" t="str">
        <f>'900005'!$B20</f>
        <v/>
      </c>
      <c r="D1651" s="27" t="str">
        <f>'900005'!$Q$16</f>
        <v>C11601002</v>
      </c>
      <c r="E1651" s="27">
        <f>'900005'!$Q20</f>
        <v>0</v>
      </c>
      <c r="F1651" s="27" t="s">
        <v>19085</v>
      </c>
    </row>
    <row r="1652" spans="1:6">
      <c r="A1652" s="27" t="str">
        <f>Resultados!$K$3</f>
        <v/>
      </c>
      <c r="B1652" s="27" t="str">
        <f>Resultados!$K$4</f>
        <v/>
      </c>
      <c r="C1652" s="569" t="str">
        <f>'900005'!$B21</f>
        <v/>
      </c>
      <c r="D1652" s="27" t="str">
        <f>'900005'!$Q$16</f>
        <v>C11601002</v>
      </c>
      <c r="E1652" s="27">
        <f>'900005'!$Q21</f>
        <v>0</v>
      </c>
      <c r="F1652" s="27" t="s">
        <v>19085</v>
      </c>
    </row>
    <row r="1653" spans="1:6">
      <c r="A1653" s="27" t="str">
        <f>Resultados!$K$3</f>
        <v/>
      </c>
      <c r="B1653" s="27" t="str">
        <f>Resultados!$K$4</f>
        <v/>
      </c>
      <c r="C1653" s="569" t="str">
        <f>'900005'!$B22</f>
        <v/>
      </c>
      <c r="D1653" s="27" t="str">
        <f>'900005'!$Q$16</f>
        <v>C11601002</v>
      </c>
      <c r="E1653" s="27">
        <f>'900005'!$Q22</f>
        <v>0</v>
      </c>
      <c r="F1653" s="27" t="s">
        <v>19085</v>
      </c>
    </row>
    <row r="1654" spans="1:6">
      <c r="A1654" s="27" t="str">
        <f>Resultados!$K$3</f>
        <v/>
      </c>
      <c r="B1654" s="27" t="str">
        <f>Resultados!$K$4</f>
        <v/>
      </c>
      <c r="C1654" s="569" t="str">
        <f>'900005'!$B23</f>
        <v/>
      </c>
      <c r="D1654" s="27" t="str">
        <f>'900005'!$Q$16</f>
        <v>C11601002</v>
      </c>
      <c r="E1654" s="27">
        <f>'900005'!$Q23</f>
        <v>0</v>
      </c>
      <c r="F1654" s="27" t="s">
        <v>19085</v>
      </c>
    </row>
    <row r="1655" spans="1:6">
      <c r="A1655" s="27" t="str">
        <f>Resultados!$K$3</f>
        <v/>
      </c>
      <c r="B1655" s="27" t="str">
        <f>Resultados!$K$4</f>
        <v/>
      </c>
      <c r="C1655" s="569" t="str">
        <f>'900005'!$B24</f>
        <v/>
      </c>
      <c r="D1655" s="27" t="str">
        <f>'900005'!$Q$16</f>
        <v>C11601002</v>
      </c>
      <c r="E1655" s="27">
        <f>'900005'!$Q24</f>
        <v>0</v>
      </c>
      <c r="F1655" s="27" t="s">
        <v>19085</v>
      </c>
    </row>
    <row r="1656" spans="1:6">
      <c r="A1656" s="27" t="str">
        <f>Resultados!$K$3</f>
        <v/>
      </c>
      <c r="B1656" s="27" t="str">
        <f>Resultados!$K$4</f>
        <v/>
      </c>
      <c r="C1656" s="569" t="str">
        <f>'900005'!$B25</f>
        <v/>
      </c>
      <c r="D1656" s="27" t="str">
        <f>'900005'!$Q$16</f>
        <v>C11601002</v>
      </c>
      <c r="E1656" s="27">
        <f>'900005'!$Q25</f>
        <v>0</v>
      </c>
      <c r="F1656" s="27" t="s">
        <v>19085</v>
      </c>
    </row>
    <row r="1657" spans="1:6">
      <c r="A1657" s="27" t="str">
        <f>Resultados!$K$3</f>
        <v/>
      </c>
      <c r="B1657" s="27" t="str">
        <f>Resultados!$K$4</f>
        <v/>
      </c>
      <c r="C1657" s="569" t="str">
        <f>'900005'!$B26</f>
        <v/>
      </c>
      <c r="D1657" s="27" t="str">
        <f>'900005'!$Q$16</f>
        <v>C11601002</v>
      </c>
      <c r="E1657" s="27">
        <f>'900005'!$Q26</f>
        <v>0</v>
      </c>
      <c r="F1657" s="27" t="s">
        <v>19085</v>
      </c>
    </row>
    <row r="1658" spans="1:6">
      <c r="A1658" s="27" t="str">
        <f>Resultados!$K$3</f>
        <v/>
      </c>
      <c r="B1658" s="27" t="str">
        <f>Resultados!$K$4</f>
        <v/>
      </c>
      <c r="C1658" s="569" t="str">
        <f>'900005'!$B27</f>
        <v/>
      </c>
      <c r="D1658" s="27" t="str">
        <f>'900005'!$Q$16</f>
        <v>C11601002</v>
      </c>
      <c r="E1658" s="27">
        <f>'900005'!$Q27</f>
        <v>0</v>
      </c>
      <c r="F1658" s="27" t="s">
        <v>19085</v>
      </c>
    </row>
    <row r="1659" spans="1:6">
      <c r="A1659" s="27" t="str">
        <f>Resultados!$K$3</f>
        <v/>
      </c>
      <c r="B1659" s="27" t="str">
        <f>Resultados!$K$4</f>
        <v/>
      </c>
      <c r="C1659" s="569" t="str">
        <f>'900005'!$B28</f>
        <v/>
      </c>
      <c r="D1659" s="27" t="str">
        <f>'900005'!$Q$16</f>
        <v>C11601002</v>
      </c>
      <c r="E1659" s="27">
        <f>'900005'!$Q28</f>
        <v>0</v>
      </c>
      <c r="F1659" s="27" t="s">
        <v>19085</v>
      </c>
    </row>
    <row r="1660" spans="1:6">
      <c r="A1660" s="27" t="str">
        <f>Resultados!$K$3</f>
        <v/>
      </c>
      <c r="B1660" s="27" t="str">
        <f>Resultados!$K$4</f>
        <v/>
      </c>
      <c r="C1660" s="569" t="str">
        <f>'900005'!$B29</f>
        <v/>
      </c>
      <c r="D1660" s="27" t="str">
        <f>'900005'!$Q$16</f>
        <v>C11601002</v>
      </c>
      <c r="E1660" s="27">
        <f>'900005'!$Q29</f>
        <v>0</v>
      </c>
      <c r="F1660" s="27" t="s">
        <v>19085</v>
      </c>
    </row>
    <row r="1661" spans="1:6">
      <c r="A1661" s="27" t="str">
        <f>Resultados!$K$3</f>
        <v/>
      </c>
      <c r="B1661" s="27" t="str">
        <f>Resultados!$K$4</f>
        <v/>
      </c>
      <c r="C1661" s="569" t="str">
        <f>'900005'!$B30</f>
        <v/>
      </c>
      <c r="D1661" s="27" t="str">
        <f>'900005'!$Q$16</f>
        <v>C11601002</v>
      </c>
      <c r="E1661" s="27">
        <f>'900005'!$Q30</f>
        <v>0</v>
      </c>
      <c r="F1661" s="27" t="s">
        <v>19085</v>
      </c>
    </row>
    <row r="1662" spans="1:6">
      <c r="A1662" s="27" t="str">
        <f>Resultados!$K$3</f>
        <v/>
      </c>
      <c r="B1662" s="27" t="str">
        <f>Resultados!$K$4</f>
        <v/>
      </c>
      <c r="C1662" s="569" t="str">
        <f>'900005'!$B31</f>
        <v/>
      </c>
      <c r="D1662" s="27" t="str">
        <f>'900005'!$Q$16</f>
        <v>C11601002</v>
      </c>
      <c r="E1662" s="27">
        <f>'900005'!$Q31</f>
        <v>0</v>
      </c>
      <c r="F1662" s="27" t="s">
        <v>19085</v>
      </c>
    </row>
    <row r="1663" spans="1:6">
      <c r="A1663" s="27" t="str">
        <f>Resultados!$K$3</f>
        <v/>
      </c>
      <c r="B1663" s="27" t="str">
        <f>Resultados!$K$4</f>
        <v/>
      </c>
      <c r="C1663" s="569" t="str">
        <f>'900005'!$B32</f>
        <v/>
      </c>
      <c r="D1663" s="27" t="str">
        <f>'900005'!$Q$16</f>
        <v>C11601002</v>
      </c>
      <c r="E1663" s="27">
        <f>'900005'!$Q32</f>
        <v>0</v>
      </c>
      <c r="F1663" s="27" t="s">
        <v>19085</v>
      </c>
    </row>
    <row r="1664" spans="1:6">
      <c r="A1664" s="27" t="str">
        <f>Resultados!$K$3</f>
        <v/>
      </c>
      <c r="B1664" s="27" t="str">
        <f>Resultados!$K$4</f>
        <v/>
      </c>
      <c r="C1664" s="569" t="str">
        <f>'900005'!$B33</f>
        <v/>
      </c>
      <c r="D1664" s="27" t="str">
        <f>'900005'!$Q$16</f>
        <v>C11601002</v>
      </c>
      <c r="E1664" s="27">
        <f>'900005'!$Q33</f>
        <v>0</v>
      </c>
      <c r="F1664" s="27" t="s">
        <v>19085</v>
      </c>
    </row>
    <row r="1665" spans="1:6">
      <c r="A1665" s="27" t="str">
        <f>Resultados!$K$3</f>
        <v/>
      </c>
      <c r="B1665" s="27" t="str">
        <f>Resultados!$K$4</f>
        <v/>
      </c>
      <c r="C1665" s="569" t="str">
        <f>'900005'!$B34</f>
        <v/>
      </c>
      <c r="D1665" s="27" t="str">
        <f>'900005'!$Q$16</f>
        <v>C11601002</v>
      </c>
      <c r="E1665" s="27">
        <f>'900005'!$Q34</f>
        <v>0</v>
      </c>
      <c r="F1665" s="27" t="s">
        <v>19085</v>
      </c>
    </row>
    <row r="1666" spans="1:6">
      <c r="A1666" s="27" t="str">
        <f>Resultados!$K$3</f>
        <v/>
      </c>
      <c r="B1666" s="27" t="str">
        <f>Resultados!$K$4</f>
        <v/>
      </c>
      <c r="C1666" s="569" t="str">
        <f>'900005'!$B35</f>
        <v/>
      </c>
      <c r="D1666" s="27" t="str">
        <f>'900005'!$Q$16</f>
        <v>C11601002</v>
      </c>
      <c r="E1666" s="27">
        <f>'900005'!$Q35</f>
        <v>0</v>
      </c>
      <c r="F1666" s="27" t="s">
        <v>19085</v>
      </c>
    </row>
    <row r="1667" spans="1:6">
      <c r="A1667" s="27" t="str">
        <f>Resultados!$K$3</f>
        <v/>
      </c>
      <c r="B1667" s="27" t="str">
        <f>Resultados!$K$4</f>
        <v/>
      </c>
      <c r="C1667" s="569" t="str">
        <f>'900005'!$B36</f>
        <v/>
      </c>
      <c r="D1667" s="27" t="str">
        <f>'900005'!$Q$16</f>
        <v>C11601002</v>
      </c>
      <c r="E1667" s="27">
        <f>'900005'!$Q36</f>
        <v>0</v>
      </c>
      <c r="F1667" s="27" t="s">
        <v>19085</v>
      </c>
    </row>
    <row r="1668" spans="1:6">
      <c r="A1668" s="27" t="str">
        <f>Resultados!$K$3</f>
        <v/>
      </c>
      <c r="B1668" s="27" t="str">
        <f>Resultados!$K$4</f>
        <v/>
      </c>
      <c r="C1668" s="569" t="str">
        <f>'900005'!$B37</f>
        <v/>
      </c>
      <c r="D1668" s="27" t="str">
        <f>'900005'!$Q$16</f>
        <v>C11601002</v>
      </c>
      <c r="E1668" s="27">
        <f>'900005'!$Q37</f>
        <v>0</v>
      </c>
      <c r="F1668" s="27" t="s">
        <v>19085</v>
      </c>
    </row>
    <row r="1669" spans="1:6">
      <c r="A1669" s="27" t="str">
        <f>Resultados!$K$3</f>
        <v/>
      </c>
      <c r="B1669" s="27" t="str">
        <f>Resultados!$K$4</f>
        <v/>
      </c>
      <c r="C1669" s="569" t="str">
        <f>'900005'!$B38</f>
        <v/>
      </c>
      <c r="D1669" s="27" t="str">
        <f>'900005'!$Q$16</f>
        <v>C11601002</v>
      </c>
      <c r="E1669" s="27">
        <f>'900005'!$Q38</f>
        <v>0</v>
      </c>
      <c r="F1669" s="27" t="s">
        <v>19085</v>
      </c>
    </row>
    <row r="1670" spans="1:6">
      <c r="A1670" s="27" t="str">
        <f>Resultados!$K$3</f>
        <v/>
      </c>
      <c r="B1670" s="27" t="str">
        <f>Resultados!$K$4</f>
        <v/>
      </c>
      <c r="C1670" s="569" t="str">
        <f>'900005'!$B39</f>
        <v/>
      </c>
      <c r="D1670" s="27" t="str">
        <f>'900005'!$Q$16</f>
        <v>C11601002</v>
      </c>
      <c r="E1670" s="27">
        <f>'900005'!$Q39</f>
        <v>0</v>
      </c>
      <c r="F1670" s="27" t="s">
        <v>19085</v>
      </c>
    </row>
    <row r="1671" spans="1:6">
      <c r="A1671" s="27" t="str">
        <f>Resultados!$K$3</f>
        <v/>
      </c>
      <c r="B1671" s="27" t="str">
        <f>Resultados!$K$4</f>
        <v/>
      </c>
      <c r="C1671" s="569" t="str">
        <f>'900005'!$B40</f>
        <v/>
      </c>
      <c r="D1671" s="27" t="str">
        <f>'900005'!$Q$16</f>
        <v>C11601002</v>
      </c>
      <c r="E1671" s="27">
        <f>'900005'!$Q40</f>
        <v>0</v>
      </c>
      <c r="F1671" s="27" t="s">
        <v>19085</v>
      </c>
    </row>
    <row r="1672" spans="1:6">
      <c r="A1672" s="27" t="str">
        <f>Resultados!$K$3</f>
        <v/>
      </c>
      <c r="B1672" s="27" t="str">
        <f>Resultados!$K$4</f>
        <v/>
      </c>
      <c r="C1672" s="569" t="str">
        <f>'900005'!$B41</f>
        <v/>
      </c>
      <c r="D1672" s="27" t="str">
        <f>'900005'!$Q$16</f>
        <v>C11601002</v>
      </c>
      <c r="E1672" s="27">
        <f>'900005'!$Q41</f>
        <v>0</v>
      </c>
      <c r="F1672" s="27" t="s">
        <v>19085</v>
      </c>
    </row>
    <row r="1673" spans="1:6">
      <c r="A1673" s="27" t="str">
        <f>Resultados!$K$3</f>
        <v/>
      </c>
      <c r="B1673" s="27" t="str">
        <f>Resultados!$K$4</f>
        <v/>
      </c>
      <c r="C1673" s="569" t="str">
        <f>'900005'!$B42</f>
        <v/>
      </c>
      <c r="D1673" s="27" t="str">
        <f>'900005'!$Q$16</f>
        <v>C11601002</v>
      </c>
      <c r="E1673" s="27">
        <f>'900005'!$Q42</f>
        <v>0</v>
      </c>
      <c r="F1673" s="27" t="s">
        <v>19085</v>
      </c>
    </row>
    <row r="1674" spans="1:6">
      <c r="A1674" s="27" t="str">
        <f>Resultados!$K$3</f>
        <v/>
      </c>
      <c r="B1674" s="27" t="str">
        <f>Resultados!$K$4</f>
        <v/>
      </c>
      <c r="C1674" s="569" t="str">
        <f>'900005'!$B43</f>
        <v/>
      </c>
      <c r="D1674" s="27" t="str">
        <f>'900005'!$Q$16</f>
        <v>C11601002</v>
      </c>
      <c r="E1674" s="27">
        <f>'900005'!$Q43</f>
        <v>0</v>
      </c>
      <c r="F1674" s="27" t="s">
        <v>19085</v>
      </c>
    </row>
    <row r="1675" spans="1:6">
      <c r="A1675" s="27" t="str">
        <f>Resultados!$K$3</f>
        <v/>
      </c>
      <c r="B1675" s="27" t="str">
        <f>Resultados!$K$4</f>
        <v/>
      </c>
      <c r="C1675" s="569" t="str">
        <f>'900005'!$B44</f>
        <v/>
      </c>
      <c r="D1675" s="27" t="str">
        <f>'900005'!$Q$16</f>
        <v>C11601002</v>
      </c>
      <c r="E1675" s="27">
        <f>'900005'!$Q44</f>
        <v>0</v>
      </c>
      <c r="F1675" s="27" t="s">
        <v>19085</v>
      </c>
    </row>
    <row r="1676" spans="1:6">
      <c r="A1676" s="27" t="str">
        <f>Resultados!$K$3</f>
        <v/>
      </c>
      <c r="B1676" s="27" t="str">
        <f>Resultados!$K$4</f>
        <v/>
      </c>
      <c r="C1676" s="569" t="str">
        <f>'900005'!$B45</f>
        <v/>
      </c>
      <c r="D1676" s="27" t="str">
        <f>'900005'!$Q$16</f>
        <v>C11601002</v>
      </c>
      <c r="E1676" s="27">
        <f>'900005'!$Q45</f>
        <v>0</v>
      </c>
      <c r="F1676" s="27" t="s">
        <v>19085</v>
      </c>
    </row>
    <row r="1677" spans="1:6">
      <c r="A1677" s="27" t="str">
        <f>Resultados!$K$3</f>
        <v/>
      </c>
      <c r="B1677" s="27" t="str">
        <f>Resultados!$K$4</f>
        <v/>
      </c>
      <c r="C1677" s="569" t="str">
        <f>'900005'!$B46</f>
        <v/>
      </c>
      <c r="D1677" s="27" t="str">
        <f>'900005'!$Q$16</f>
        <v>C11601002</v>
      </c>
      <c r="E1677" s="27">
        <f>'900005'!$Q46</f>
        <v>0</v>
      </c>
      <c r="F1677" s="27" t="s">
        <v>19085</v>
      </c>
    </row>
    <row r="1678" spans="1:6">
      <c r="A1678" s="27" t="str">
        <f>Resultados!$K$3</f>
        <v/>
      </c>
      <c r="B1678" s="27" t="str">
        <f>Resultados!$K$4</f>
        <v/>
      </c>
      <c r="C1678" s="569" t="str">
        <f>'900005'!$B47</f>
        <v/>
      </c>
      <c r="D1678" s="27" t="str">
        <f>'900005'!$Q$16</f>
        <v>C11601002</v>
      </c>
      <c r="E1678" s="27">
        <f>'900005'!$Q47</f>
        <v>0</v>
      </c>
      <c r="F1678" s="27" t="s">
        <v>19085</v>
      </c>
    </row>
    <row r="1679" spans="1:6">
      <c r="A1679" s="27" t="str">
        <f>Resultados!$K$3</f>
        <v/>
      </c>
      <c r="B1679" s="27" t="str">
        <f>Resultados!$K$4</f>
        <v/>
      </c>
      <c r="C1679" s="569" t="str">
        <f>'900005'!$B48</f>
        <v/>
      </c>
      <c r="D1679" s="27" t="str">
        <f>'900005'!$Q$16</f>
        <v>C11601002</v>
      </c>
      <c r="E1679" s="27">
        <f>'900005'!$Q48</f>
        <v>0</v>
      </c>
      <c r="F1679" s="27" t="s">
        <v>19085</v>
      </c>
    </row>
    <row r="1680" spans="1:6">
      <c r="A1680" s="27" t="str">
        <f>Resultados!$K$3</f>
        <v/>
      </c>
      <c r="B1680" s="27" t="str">
        <f>Resultados!$K$4</f>
        <v/>
      </c>
      <c r="C1680" s="569" t="str">
        <f>'900005'!$B49</f>
        <v/>
      </c>
      <c r="D1680" s="27" t="str">
        <f>'900005'!$Q$16</f>
        <v>C11601002</v>
      </c>
      <c r="E1680" s="27">
        <f>'900005'!$Q49</f>
        <v>0</v>
      </c>
      <c r="F1680" s="27" t="s">
        <v>19085</v>
      </c>
    </row>
    <row r="1681" spans="1:6">
      <c r="A1681" s="27" t="str">
        <f>Resultados!$K$3</f>
        <v/>
      </c>
      <c r="B1681" s="27" t="str">
        <f>Resultados!$K$4</f>
        <v/>
      </c>
      <c r="C1681" s="569" t="str">
        <f>'900005'!$B50</f>
        <v/>
      </c>
      <c r="D1681" s="27" t="str">
        <f>'900005'!$Q$16</f>
        <v>C11601002</v>
      </c>
      <c r="E1681" s="27">
        <f>'900005'!$Q50</f>
        <v>0</v>
      </c>
      <c r="F1681" s="27" t="s">
        <v>19085</v>
      </c>
    </row>
    <row r="1682" spans="1:6">
      <c r="A1682" s="27" t="str">
        <f>Resultados!$K$3</f>
        <v/>
      </c>
      <c r="B1682" s="27" t="str">
        <f>Resultados!$K$4</f>
        <v/>
      </c>
      <c r="C1682" s="569" t="str">
        <f>'900005'!$B51</f>
        <v/>
      </c>
      <c r="D1682" s="27" t="str">
        <f>'900005'!$Q$16</f>
        <v>C11601002</v>
      </c>
      <c r="E1682" s="27">
        <f>'900005'!$Q51</f>
        <v>0</v>
      </c>
      <c r="F1682" s="27" t="s">
        <v>19085</v>
      </c>
    </row>
    <row r="1683" spans="1:6">
      <c r="A1683" s="27" t="str">
        <f>Resultados!$K$3</f>
        <v/>
      </c>
      <c r="B1683" s="27" t="str">
        <f>Resultados!$K$4</f>
        <v/>
      </c>
      <c r="C1683" s="569" t="str">
        <f>'900005'!$B52</f>
        <v/>
      </c>
      <c r="D1683" s="27" t="str">
        <f>'900005'!$Q$16</f>
        <v>C11601002</v>
      </c>
      <c r="E1683" s="27">
        <f>'900005'!$Q52</f>
        <v>0</v>
      </c>
      <c r="F1683" s="27" t="s">
        <v>19085</v>
      </c>
    </row>
    <row r="1684" spans="1:6">
      <c r="A1684" s="27" t="str">
        <f>Resultados!$K$3</f>
        <v/>
      </c>
      <c r="B1684" s="27" t="str">
        <f>Resultados!$K$4</f>
        <v/>
      </c>
      <c r="C1684" s="569" t="str">
        <f>'900005'!$B53</f>
        <v/>
      </c>
      <c r="D1684" s="27" t="str">
        <f>'900005'!$Q$16</f>
        <v>C11601002</v>
      </c>
      <c r="E1684" s="27">
        <f>'900005'!$Q53</f>
        <v>0</v>
      </c>
      <c r="F1684" s="27" t="s">
        <v>19085</v>
      </c>
    </row>
    <row r="1685" spans="1:6">
      <c r="A1685" s="27" t="str">
        <f>Resultados!$K$3</f>
        <v/>
      </c>
      <c r="B1685" s="27" t="str">
        <f>Resultados!$K$4</f>
        <v/>
      </c>
      <c r="C1685" s="569" t="str">
        <f>'900005'!$B54</f>
        <v/>
      </c>
      <c r="D1685" s="27" t="str">
        <f>'900005'!$Q$16</f>
        <v>C11601002</v>
      </c>
      <c r="E1685" s="27">
        <f>'900005'!$Q54</f>
        <v>0</v>
      </c>
      <c r="F1685" s="27" t="s">
        <v>19085</v>
      </c>
    </row>
    <row r="1686" spans="1:6">
      <c r="A1686" s="27" t="str">
        <f>Resultados!$K$3</f>
        <v/>
      </c>
      <c r="B1686" s="27" t="str">
        <f>Resultados!$K$4</f>
        <v/>
      </c>
      <c r="C1686" s="569" t="str">
        <f>'900005'!$B55</f>
        <v>11601037</v>
      </c>
      <c r="D1686" s="27" t="str">
        <f>'900005'!$Q$16</f>
        <v>C11601002</v>
      </c>
      <c r="E1686" s="27">
        <f>'900005'!$Q55</f>
        <v>0</v>
      </c>
      <c r="F1686" s="27" t="s">
        <v>19085</v>
      </c>
    </row>
    <row r="1687" spans="1:6">
      <c r="A1687" s="27" t="str">
        <f>Resultados!$K$3</f>
        <v/>
      </c>
      <c r="B1687" s="27" t="str">
        <f>Resultados!$K$4</f>
        <v/>
      </c>
      <c r="C1687" s="569" t="str">
        <f>'900005'!$B56</f>
        <v/>
      </c>
      <c r="D1687" s="27" t="str">
        <f>'900005'!$Q$16</f>
        <v>C11601002</v>
      </c>
      <c r="E1687" s="27">
        <f>'900005'!$Q56</f>
        <v>0</v>
      </c>
      <c r="F1687" s="27" t="s">
        <v>19085</v>
      </c>
    </row>
    <row r="1688" spans="1:6">
      <c r="A1688" s="27" t="str">
        <f>Resultados!$K$3</f>
        <v/>
      </c>
      <c r="B1688" s="27" t="str">
        <f>Resultados!$K$4</f>
        <v/>
      </c>
      <c r="C1688" s="569" t="str">
        <f>'900005'!$B57</f>
        <v/>
      </c>
      <c r="D1688" s="27" t="str">
        <f>'900005'!$Q$16</f>
        <v>C11601002</v>
      </c>
      <c r="E1688" s="27">
        <f>'900005'!$Q57</f>
        <v>0</v>
      </c>
      <c r="F1688" s="27" t="s">
        <v>19085</v>
      </c>
    </row>
    <row r="1689" spans="1:6">
      <c r="A1689" s="27" t="str">
        <f>Resultados!$K$3</f>
        <v/>
      </c>
      <c r="B1689" s="27" t="str">
        <f>Resultados!$K$4</f>
        <v/>
      </c>
      <c r="C1689" s="569" t="str">
        <f>'900005'!$B58</f>
        <v/>
      </c>
      <c r="D1689" s="27" t="str">
        <f>'900005'!$Q$16</f>
        <v>C11601002</v>
      </c>
      <c r="E1689" s="27">
        <f>'900005'!$Q58</f>
        <v>0</v>
      </c>
      <c r="F1689" s="27" t="s">
        <v>19085</v>
      </c>
    </row>
    <row r="1690" spans="1:6">
      <c r="A1690" s="27" t="str">
        <f>Resultados!$K$3</f>
        <v/>
      </c>
      <c r="B1690" s="27" t="str">
        <f>Resultados!$K$4</f>
        <v/>
      </c>
      <c r="C1690" s="569" t="str">
        <f>'900005'!$B59</f>
        <v/>
      </c>
      <c r="D1690" s="27" t="str">
        <f>'900005'!$Q$16</f>
        <v>C11601002</v>
      </c>
      <c r="E1690" s="27">
        <f>'900005'!$Q59</f>
        <v>0</v>
      </c>
      <c r="F1690" s="27" t="s">
        <v>19085</v>
      </c>
    </row>
    <row r="1691" spans="1:6">
      <c r="A1691" s="27" t="str">
        <f>Resultados!$K$3</f>
        <v/>
      </c>
      <c r="B1691" s="27" t="str">
        <f>Resultados!$K$4</f>
        <v/>
      </c>
      <c r="C1691" s="569" t="str">
        <f>'900005'!$B60</f>
        <v/>
      </c>
      <c r="D1691" s="27" t="str">
        <f>'900005'!$Q$16</f>
        <v>C11601002</v>
      </c>
      <c r="E1691" s="27">
        <f>'900005'!$Q60</f>
        <v>0</v>
      </c>
      <c r="F1691" s="27" t="s">
        <v>19085</v>
      </c>
    </row>
    <row r="1692" spans="1:6">
      <c r="A1692" s="27" t="str">
        <f>Resultados!$K$3</f>
        <v/>
      </c>
      <c r="B1692" s="27" t="str">
        <f>Resultados!$K$4</f>
        <v/>
      </c>
      <c r="C1692" s="569" t="str">
        <f>'900005'!$B61</f>
        <v/>
      </c>
      <c r="D1692" s="27" t="str">
        <f>'900005'!$Q$16</f>
        <v>C11601002</v>
      </c>
      <c r="E1692" s="27">
        <f>'900005'!$Q61</f>
        <v>0</v>
      </c>
      <c r="F1692" s="27" t="s">
        <v>19085</v>
      </c>
    </row>
    <row r="1693" spans="1:6">
      <c r="A1693" s="27" t="str">
        <f>Resultados!$K$3</f>
        <v/>
      </c>
      <c r="B1693" s="27" t="str">
        <f>Resultados!$K$4</f>
        <v/>
      </c>
      <c r="C1693" s="569" t="str">
        <f>'900005'!$B62</f>
        <v/>
      </c>
      <c r="D1693" s="27" t="str">
        <f>'900005'!$Q$16</f>
        <v>C11601002</v>
      </c>
      <c r="E1693" s="27">
        <f>'900005'!$Q62</f>
        <v>0</v>
      </c>
      <c r="F1693" s="27" t="s">
        <v>19085</v>
      </c>
    </row>
    <row r="1694" spans="1:6">
      <c r="A1694" s="27" t="str">
        <f>Resultados!$K$3</f>
        <v/>
      </c>
      <c r="B1694" s="27" t="str">
        <f>Resultados!$K$4</f>
        <v/>
      </c>
      <c r="C1694" s="569" t="str">
        <f>'900005'!$B63</f>
        <v/>
      </c>
      <c r="D1694" s="27" t="str">
        <f>'900005'!$Q$16</f>
        <v>C11601002</v>
      </c>
      <c r="E1694" s="27">
        <f>'900005'!$Q63</f>
        <v>0</v>
      </c>
      <c r="F1694" s="27" t="s">
        <v>19085</v>
      </c>
    </row>
    <row r="1695" spans="1:6">
      <c r="A1695" s="27" t="str">
        <f>Resultados!$K$3</f>
        <v/>
      </c>
      <c r="B1695" s="27" t="str">
        <f>Resultados!$K$4</f>
        <v/>
      </c>
      <c r="C1695" s="569" t="str">
        <f>'900005'!$B64</f>
        <v/>
      </c>
      <c r="D1695" s="27" t="str">
        <f>'900005'!$Q$16</f>
        <v>C11601002</v>
      </c>
      <c r="E1695" s="27">
        <f>'900005'!$Q64</f>
        <v>0</v>
      </c>
      <c r="F1695" s="27" t="s">
        <v>19085</v>
      </c>
    </row>
    <row r="1696" spans="1:6">
      <c r="A1696" s="27" t="str">
        <f>Resultados!$K$3</f>
        <v/>
      </c>
      <c r="B1696" s="27" t="str">
        <f>Resultados!$K$4</f>
        <v/>
      </c>
      <c r="C1696" s="569" t="str">
        <f>'900005'!$B65</f>
        <v/>
      </c>
      <c r="D1696" s="27" t="str">
        <f>'900005'!$Q$16</f>
        <v>C11601002</v>
      </c>
      <c r="E1696" s="27">
        <f>'900005'!$Q65</f>
        <v>0</v>
      </c>
      <c r="F1696" s="27" t="s">
        <v>19085</v>
      </c>
    </row>
    <row r="1697" spans="1:6">
      <c r="A1697" s="27" t="str">
        <f>Resultados!$K$3</f>
        <v/>
      </c>
      <c r="B1697" s="27" t="str">
        <f>Resultados!$K$4</f>
        <v/>
      </c>
      <c r="C1697" s="569" t="str">
        <f>'900005'!$B66</f>
        <v/>
      </c>
      <c r="D1697" s="27" t="str">
        <f>'900005'!$Q$16</f>
        <v>C11601002</v>
      </c>
      <c r="E1697" s="27">
        <f>'900005'!$Q66</f>
        <v>0</v>
      </c>
      <c r="F1697" s="27" t="s">
        <v>19085</v>
      </c>
    </row>
    <row r="1698" spans="1:6">
      <c r="A1698" s="27" t="str">
        <f>Resultados!$K$3</f>
        <v/>
      </c>
      <c r="B1698" s="27" t="str">
        <f>Resultados!$K$4</f>
        <v/>
      </c>
      <c r="C1698" s="569" t="str">
        <f>'900005'!$B67</f>
        <v>11601049</v>
      </c>
      <c r="D1698" s="27" t="str">
        <f>'900005'!$Q$16</f>
        <v>C11601002</v>
      </c>
      <c r="E1698" s="27">
        <f>'900005'!$Q67</f>
        <v>0</v>
      </c>
      <c r="F1698" s="27" t="s">
        <v>19085</v>
      </c>
    </row>
    <row r="1699" spans="1:6">
      <c r="A1699" s="27" t="str">
        <f>Resultados!$K$3</f>
        <v/>
      </c>
      <c r="B1699" s="27" t="str">
        <f>Resultados!$K$4</f>
        <v/>
      </c>
      <c r="C1699" s="569" t="str">
        <f>'900005'!$B68</f>
        <v/>
      </c>
      <c r="D1699" s="27" t="str">
        <f>'900005'!$Q$16</f>
        <v>C11601002</v>
      </c>
      <c r="E1699" s="27">
        <f>'900005'!$Q68</f>
        <v>0</v>
      </c>
      <c r="F1699" s="27" t="s">
        <v>19085</v>
      </c>
    </row>
    <row r="1700" spans="1:6">
      <c r="A1700" s="27" t="str">
        <f>Resultados!$K$3</f>
        <v/>
      </c>
      <c r="B1700" s="27" t="str">
        <f>Resultados!$K$4</f>
        <v/>
      </c>
      <c r="C1700" s="569" t="str">
        <f>'900005'!$B69</f>
        <v/>
      </c>
      <c r="D1700" s="27" t="str">
        <f>'900005'!$Q$16</f>
        <v>C11601002</v>
      </c>
      <c r="E1700" s="27">
        <f>'900005'!$Q69</f>
        <v>0</v>
      </c>
      <c r="F1700" s="27" t="s">
        <v>19085</v>
      </c>
    </row>
    <row r="1701" spans="1:6">
      <c r="A1701" s="27" t="str">
        <f>Resultados!$K$3</f>
        <v/>
      </c>
      <c r="B1701" s="27" t="str">
        <f>Resultados!$K$4</f>
        <v/>
      </c>
      <c r="C1701" s="569" t="str">
        <f>'900005'!$B70</f>
        <v/>
      </c>
      <c r="D1701" s="27" t="str">
        <f>'900005'!$Q$16</f>
        <v>C11601002</v>
      </c>
      <c r="E1701" s="27">
        <f>'900005'!$Q70</f>
        <v>0</v>
      </c>
      <c r="F1701" s="27" t="s">
        <v>19085</v>
      </c>
    </row>
    <row r="1702" spans="1:6">
      <c r="A1702" s="27" t="str">
        <f>Resultados!$K$3</f>
        <v/>
      </c>
      <c r="B1702" s="27" t="str">
        <f>Resultados!$K$4</f>
        <v/>
      </c>
      <c r="C1702" s="569" t="str">
        <f>'900005'!$B71</f>
        <v/>
      </c>
      <c r="D1702" s="27" t="str">
        <f>'900005'!$Q$16</f>
        <v>C11601002</v>
      </c>
      <c r="E1702" s="27">
        <f>'900005'!$Q71</f>
        <v>0</v>
      </c>
      <c r="F1702" s="27" t="s">
        <v>19085</v>
      </c>
    </row>
    <row r="1703" spans="1:6">
      <c r="A1703" s="27" t="str">
        <f>Resultados!$K$3</f>
        <v/>
      </c>
      <c r="B1703" s="27" t="str">
        <f>Resultados!$K$4</f>
        <v/>
      </c>
      <c r="C1703" s="569" t="str">
        <f>'900005'!$B72</f>
        <v/>
      </c>
      <c r="D1703" s="27" t="str">
        <f>'900005'!$Q$16</f>
        <v>C11601002</v>
      </c>
      <c r="E1703" s="27">
        <f>'900005'!$Q72</f>
        <v>0</v>
      </c>
      <c r="F1703" s="27" t="s">
        <v>19085</v>
      </c>
    </row>
    <row r="1704" spans="1:6">
      <c r="A1704" s="27" t="str">
        <f>Resultados!$K$3</f>
        <v/>
      </c>
      <c r="B1704" s="27" t="str">
        <f>Resultados!$K$4</f>
        <v/>
      </c>
      <c r="C1704" s="569" t="str">
        <f>'900005'!$B73</f>
        <v/>
      </c>
      <c r="D1704" s="27" t="str">
        <f>'900005'!$Q$16</f>
        <v>C11601002</v>
      </c>
      <c r="E1704" s="27">
        <f>'900005'!$Q73</f>
        <v>0</v>
      </c>
      <c r="F1704" s="27" t="s">
        <v>19085</v>
      </c>
    </row>
    <row r="1705" spans="1:6">
      <c r="A1705" s="27" t="str">
        <f>Resultados!$K$3</f>
        <v/>
      </c>
      <c r="B1705" s="27" t="str">
        <f>Resultados!$K$4</f>
        <v/>
      </c>
      <c r="C1705" s="569" t="str">
        <f>'900005'!$B74</f>
        <v/>
      </c>
      <c r="D1705" s="27" t="str">
        <f>'900005'!$Q$16</f>
        <v>C11601002</v>
      </c>
      <c r="E1705" s="27">
        <f>'900005'!$Q74</f>
        <v>0</v>
      </c>
      <c r="F1705" s="27" t="s">
        <v>19085</v>
      </c>
    </row>
    <row r="1706" spans="1:6">
      <c r="A1706" s="27" t="str">
        <f>Resultados!$K$3</f>
        <v/>
      </c>
      <c r="B1706" s="27" t="str">
        <f>Resultados!$K$4</f>
        <v/>
      </c>
      <c r="C1706" s="569" t="str">
        <f>'900005'!$B75</f>
        <v>11601057</v>
      </c>
      <c r="D1706" s="27" t="str">
        <f>'900005'!$Q$16</f>
        <v>C11601002</v>
      </c>
      <c r="E1706" s="27">
        <f>'900005'!$Q75</f>
        <v>0</v>
      </c>
      <c r="F1706" s="27" t="s">
        <v>19085</v>
      </c>
    </row>
    <row r="1707" spans="1:6">
      <c r="A1707" s="27" t="str">
        <f>Resultados!$K$3</f>
        <v/>
      </c>
      <c r="B1707" s="27" t="str">
        <f>Resultados!$K$4</f>
        <v/>
      </c>
      <c r="C1707" s="569" t="str">
        <f>'900005'!$B76</f>
        <v/>
      </c>
      <c r="D1707" s="27" t="str">
        <f>'900005'!$Q$16</f>
        <v>C11601002</v>
      </c>
      <c r="E1707" s="27">
        <f>'900005'!$Q76</f>
        <v>0</v>
      </c>
      <c r="F1707" s="27" t="s">
        <v>19085</v>
      </c>
    </row>
    <row r="1708" spans="1:6">
      <c r="A1708" s="27" t="str">
        <f>Resultados!$K$3</f>
        <v/>
      </c>
      <c r="B1708" s="27" t="str">
        <f>Resultados!$K$4</f>
        <v/>
      </c>
      <c r="C1708" s="569" t="str">
        <f>'900005'!$B77</f>
        <v/>
      </c>
      <c r="D1708" s="27" t="str">
        <f>'900005'!$Q$16</f>
        <v>C11601002</v>
      </c>
      <c r="E1708" s="27">
        <f>'900005'!$Q77</f>
        <v>0</v>
      </c>
      <c r="F1708" s="27" t="s">
        <v>19085</v>
      </c>
    </row>
    <row r="1709" spans="1:6">
      <c r="A1709" s="27" t="str">
        <f>Resultados!$K$3</f>
        <v/>
      </c>
      <c r="B1709" s="27" t="str">
        <f>Resultados!$K$4</f>
        <v/>
      </c>
      <c r="C1709" s="569" t="str">
        <f>'900005'!$B78</f>
        <v/>
      </c>
      <c r="D1709" s="27" t="str">
        <f>'900005'!$Q$16</f>
        <v>C11601002</v>
      </c>
      <c r="E1709" s="27">
        <f>'900005'!$Q78</f>
        <v>0</v>
      </c>
      <c r="F1709" s="27" t="s">
        <v>19085</v>
      </c>
    </row>
    <row r="1710" spans="1:6">
      <c r="A1710" s="27" t="str">
        <f>Resultados!$K$3</f>
        <v/>
      </c>
      <c r="B1710" s="27" t="str">
        <f>Resultados!$K$4</f>
        <v/>
      </c>
      <c r="C1710" s="569" t="str">
        <f>'900005'!$B79</f>
        <v/>
      </c>
      <c r="D1710" s="27" t="str">
        <f>'900005'!$Q$16</f>
        <v>C11601002</v>
      </c>
      <c r="E1710" s="27">
        <f>'900005'!$Q79</f>
        <v>0</v>
      </c>
      <c r="F1710" s="27" t="s">
        <v>19085</v>
      </c>
    </row>
    <row r="1711" spans="1:6">
      <c r="A1711" s="27" t="str">
        <f>Resultados!$K$3</f>
        <v/>
      </c>
      <c r="B1711" s="27" t="str">
        <f>Resultados!$K$4</f>
        <v/>
      </c>
      <c r="C1711" s="569" t="str">
        <f>'900005'!$B80</f>
        <v/>
      </c>
      <c r="D1711" s="27" t="str">
        <f>'900005'!$Q$16</f>
        <v>C11601002</v>
      </c>
      <c r="E1711" s="27">
        <f>'900005'!$Q80</f>
        <v>0</v>
      </c>
      <c r="F1711" s="27" t="s">
        <v>19085</v>
      </c>
    </row>
    <row r="1712" spans="1:6">
      <c r="A1712" s="27" t="str">
        <f>Resultados!$K$3</f>
        <v/>
      </c>
      <c r="B1712" s="27" t="str">
        <f>Resultados!$K$4</f>
        <v/>
      </c>
      <c r="C1712" s="569" t="str">
        <f>'900005'!$B81</f>
        <v/>
      </c>
      <c r="D1712" s="27" t="str">
        <f>'900005'!$Q$16</f>
        <v>C11601002</v>
      </c>
      <c r="E1712" s="27">
        <f>'900005'!$Q81</f>
        <v>0</v>
      </c>
      <c r="F1712" s="27" t="s">
        <v>19085</v>
      </c>
    </row>
    <row r="1713" spans="1:6">
      <c r="A1713" s="27" t="str">
        <f>Resultados!$K$3</f>
        <v/>
      </c>
      <c r="B1713" s="27" t="str">
        <f>Resultados!$K$4</f>
        <v/>
      </c>
      <c r="C1713" s="569" t="str">
        <f>'900005'!$B82</f>
        <v>11601064</v>
      </c>
      <c r="D1713" s="27" t="str">
        <f>'900005'!$Q$16</f>
        <v>C11601002</v>
      </c>
      <c r="E1713" s="27">
        <f>'900005'!$Q82</f>
        <v>0</v>
      </c>
      <c r="F1713" s="27" t="s">
        <v>19085</v>
      </c>
    </row>
    <row r="1714" spans="1:6">
      <c r="A1714" s="27" t="str">
        <f>Resultados!$K$3</f>
        <v/>
      </c>
      <c r="B1714" s="27" t="str">
        <f>Resultados!$K$4</f>
        <v/>
      </c>
      <c r="C1714" s="569" t="str">
        <f>'900005'!$B83</f>
        <v/>
      </c>
      <c r="D1714" s="27" t="str">
        <f>'900005'!$Q$16</f>
        <v>C11601002</v>
      </c>
      <c r="E1714" s="27">
        <f>'900005'!$Q83</f>
        <v>0</v>
      </c>
      <c r="F1714" s="27" t="s">
        <v>19085</v>
      </c>
    </row>
    <row r="1715" spans="1:6">
      <c r="A1715" s="27" t="str">
        <f>Resultados!$K$3</f>
        <v/>
      </c>
      <c r="B1715" s="27" t="str">
        <f>Resultados!$K$4</f>
        <v/>
      </c>
      <c r="C1715" s="569" t="str">
        <f>'900005'!$B86</f>
        <v>11601066</v>
      </c>
      <c r="D1715" s="27" t="str">
        <f>'900005'!$Q$16</f>
        <v>C11601002</v>
      </c>
      <c r="E1715" s="27">
        <f>'900005'!$Q86</f>
        <v>0</v>
      </c>
      <c r="F1715" s="27" t="s">
        <v>19085</v>
      </c>
    </row>
    <row r="1716" spans="1:6">
      <c r="A1716" s="27" t="str">
        <f>Resultados!$K$3</f>
        <v/>
      </c>
      <c r="B1716" s="27" t="str">
        <f>Resultados!$K$4</f>
        <v/>
      </c>
      <c r="C1716" s="569" t="str">
        <f>'900005'!$B87</f>
        <v/>
      </c>
      <c r="D1716" s="27" t="str">
        <f>'900005'!$Q$16</f>
        <v>C11601002</v>
      </c>
      <c r="E1716" s="27">
        <f>'900005'!$Q87</f>
        <v>0</v>
      </c>
      <c r="F1716" s="27" t="s">
        <v>19085</v>
      </c>
    </row>
    <row r="1717" spans="1:6">
      <c r="A1717" s="27" t="str">
        <f>Resultados!$K$3</f>
        <v/>
      </c>
      <c r="B1717" s="27" t="str">
        <f>Resultados!$K$4</f>
        <v/>
      </c>
      <c r="C1717" s="569" t="str">
        <f>'900005'!$B88</f>
        <v/>
      </c>
      <c r="D1717" s="27" t="str">
        <f>'900005'!$Q$16</f>
        <v>C11601002</v>
      </c>
      <c r="E1717" s="27">
        <f>'900005'!$Q88</f>
        <v>0</v>
      </c>
      <c r="F1717" s="27" t="s">
        <v>19085</v>
      </c>
    </row>
    <row r="1718" spans="1:6">
      <c r="A1718" s="27" t="str">
        <f>Resultados!$K$3</f>
        <v/>
      </c>
      <c r="B1718" s="27" t="str">
        <f>Resultados!$K$4</f>
        <v/>
      </c>
      <c r="C1718" s="569" t="str">
        <f>'900005'!$B90</f>
        <v>11601069</v>
      </c>
      <c r="D1718" s="27" t="str">
        <f>'900005'!$Q$16</f>
        <v>C11601002</v>
      </c>
      <c r="E1718" s="27">
        <f>'900005'!$Q90</f>
        <v>0</v>
      </c>
      <c r="F1718" s="27" t="s">
        <v>19085</v>
      </c>
    </row>
    <row r="1719" spans="1:6">
      <c r="A1719" s="27" t="str">
        <f>Resultados!$K$3</f>
        <v/>
      </c>
      <c r="B1719" s="27" t="str">
        <f>Resultados!$K$4</f>
        <v/>
      </c>
      <c r="C1719" s="569" t="str">
        <f>'900005'!$B91</f>
        <v/>
      </c>
      <c r="D1719" s="27" t="str">
        <f>'900005'!$Q$16</f>
        <v>C11601002</v>
      </c>
      <c r="E1719" s="27">
        <f>'900005'!$Q91</f>
        <v>0</v>
      </c>
      <c r="F1719" s="27" t="s">
        <v>19085</v>
      </c>
    </row>
    <row r="1720" spans="1:6">
      <c r="A1720" s="27" t="str">
        <f>Resultados!$K$3</f>
        <v/>
      </c>
      <c r="B1720" s="27" t="str">
        <f>Resultados!$K$4</f>
        <v/>
      </c>
      <c r="C1720" s="569" t="str">
        <f>'900005'!$B92</f>
        <v/>
      </c>
      <c r="D1720" s="27" t="str">
        <f>'900005'!$Q$16</f>
        <v>C11601002</v>
      </c>
      <c r="E1720" s="27">
        <f>'900005'!$Q92</f>
        <v>0</v>
      </c>
      <c r="F1720" s="27" t="s">
        <v>19085</v>
      </c>
    </row>
    <row r="1721" spans="1:6">
      <c r="A1721" s="27" t="str">
        <f>Resultados!$K$3</f>
        <v/>
      </c>
      <c r="B1721" s="27" t="str">
        <f>Resultados!$K$4</f>
        <v/>
      </c>
      <c r="C1721" s="569" t="str">
        <f>'900005'!$B93</f>
        <v/>
      </c>
      <c r="D1721" s="27" t="str">
        <f>'900005'!$Q$16</f>
        <v>C11601002</v>
      </c>
      <c r="E1721" s="27">
        <f>'900005'!$Q93</f>
        <v>0</v>
      </c>
      <c r="F1721" s="27" t="s">
        <v>19085</v>
      </c>
    </row>
    <row r="1722" spans="1:6">
      <c r="A1722" s="27" t="str">
        <f>Resultados!$K$3</f>
        <v/>
      </c>
      <c r="B1722" s="27" t="str">
        <f>Resultados!$K$4</f>
        <v/>
      </c>
      <c r="C1722" s="569" t="str">
        <f>'900005'!$B94</f>
        <v>11601073</v>
      </c>
      <c r="D1722" s="27" t="str">
        <f>'900005'!$Q$16</f>
        <v>C11601002</v>
      </c>
      <c r="E1722" s="27">
        <f>'900005'!$Q94</f>
        <v>0</v>
      </c>
      <c r="F1722" s="27" t="s">
        <v>19085</v>
      </c>
    </row>
    <row r="1723" spans="1:6">
      <c r="A1723" s="27" t="str">
        <f>Resultados!$K$3</f>
        <v/>
      </c>
      <c r="B1723" s="27" t="str">
        <f>Resultados!$K$4</f>
        <v/>
      </c>
      <c r="C1723" s="569" t="str">
        <f>'900005'!$B95</f>
        <v/>
      </c>
      <c r="D1723" s="27" t="str">
        <f>'900005'!$Q$16</f>
        <v>C11601002</v>
      </c>
      <c r="E1723" s="27">
        <f>'900005'!$Q95</f>
        <v>0</v>
      </c>
      <c r="F1723" s="27" t="s">
        <v>19085</v>
      </c>
    </row>
    <row r="1724" spans="1:6">
      <c r="A1724" s="27" t="str">
        <f>Resultados!$K$3</f>
        <v/>
      </c>
      <c r="B1724" s="27" t="str">
        <f>Resultados!$K$4</f>
        <v/>
      </c>
      <c r="C1724" s="569" t="str">
        <f>'900005'!$B96</f>
        <v/>
      </c>
      <c r="D1724" s="27" t="str">
        <f>'900005'!$Q$16</f>
        <v>C11601002</v>
      </c>
      <c r="E1724" s="27">
        <f>'900005'!$Q96</f>
        <v>0</v>
      </c>
      <c r="F1724" s="27" t="s">
        <v>19085</v>
      </c>
    </row>
    <row r="1725" spans="1:6">
      <c r="A1725" s="27" t="str">
        <f>Resultados!$K$3</f>
        <v/>
      </c>
      <c r="B1725" s="27" t="str">
        <f>Resultados!$K$4</f>
        <v/>
      </c>
      <c r="C1725" s="569" t="str">
        <f>'900005'!$B97</f>
        <v/>
      </c>
      <c r="D1725" s="27" t="str">
        <f>'900005'!$Q$16</f>
        <v>C11601002</v>
      </c>
      <c r="E1725" s="27">
        <f>'900005'!$Q97</f>
        <v>0</v>
      </c>
      <c r="F1725" s="27" t="s">
        <v>19085</v>
      </c>
    </row>
    <row r="1726" spans="1:6">
      <c r="A1726" s="27" t="str">
        <f>Resultados!$K$3</f>
        <v/>
      </c>
      <c r="B1726" s="27" t="str">
        <f>Resultados!$K$4</f>
        <v/>
      </c>
      <c r="C1726" s="569" t="str">
        <f>'900005'!$B98</f>
        <v/>
      </c>
      <c r="D1726" s="27" t="str">
        <f>'900005'!$Q$16</f>
        <v>C11601002</v>
      </c>
      <c r="E1726" s="27">
        <f>'900005'!$Q98</f>
        <v>0</v>
      </c>
      <c r="F1726" s="27" t="s">
        <v>19085</v>
      </c>
    </row>
    <row r="1727" spans="1:6">
      <c r="A1727" s="27" t="str">
        <f>Resultados!$K$3</f>
        <v/>
      </c>
      <c r="B1727" s="27" t="str">
        <f>Resultados!$K$4</f>
        <v/>
      </c>
      <c r="C1727" s="569" t="str">
        <f>'900005'!$B99</f>
        <v>11601078</v>
      </c>
      <c r="D1727" s="27" t="str">
        <f>'900005'!$Q$16</f>
        <v>C11601002</v>
      </c>
      <c r="E1727" s="27">
        <f>'900005'!$Q99</f>
        <v>0</v>
      </c>
      <c r="F1727" s="27" t="s">
        <v>19085</v>
      </c>
    </row>
    <row r="1728" spans="1:6">
      <c r="A1728" s="27" t="str">
        <f>Resultados!$K$3</f>
        <v/>
      </c>
      <c r="B1728" s="27" t="str">
        <f>Resultados!$K$4</f>
        <v/>
      </c>
      <c r="C1728" s="569" t="str">
        <f>'900005'!$B100</f>
        <v>11601001</v>
      </c>
      <c r="D1728" s="27" t="str">
        <f>'900005'!$Q$16</f>
        <v>C11601002</v>
      </c>
      <c r="E1728" s="27">
        <f>'900005'!$Q100</f>
        <v>0</v>
      </c>
      <c r="F1728" s="27" t="s">
        <v>19085</v>
      </c>
    </row>
    <row r="1729" spans="1:6">
      <c r="A1729" s="27" t="str">
        <f>Resultados!$K$3</f>
        <v/>
      </c>
      <c r="B1729" s="27" t="str">
        <f>Resultados!$K$4</f>
        <v/>
      </c>
      <c r="C1729" s="569" t="str">
        <f>'900005'!$B19</f>
        <v/>
      </c>
      <c r="D1729" t="str">
        <f>'900005'!$R$16</f>
        <v>C11601003</v>
      </c>
      <c r="E1729">
        <f>'900005'!$R19</f>
        <v>0</v>
      </c>
      <c r="F1729" s="27" t="s">
        <v>19085</v>
      </c>
    </row>
    <row r="1730" spans="1:6">
      <c r="A1730" s="27" t="str">
        <f>Resultados!$K$3</f>
        <v/>
      </c>
      <c r="B1730" s="27" t="str">
        <f>Resultados!$K$4</f>
        <v/>
      </c>
      <c r="C1730" s="569" t="str">
        <f>'900005'!$B20</f>
        <v/>
      </c>
      <c r="D1730" s="27" t="str">
        <f>'900005'!$R$16</f>
        <v>C11601003</v>
      </c>
      <c r="E1730" s="27">
        <f>'900005'!$R20</f>
        <v>0</v>
      </c>
      <c r="F1730" s="27" t="s">
        <v>19085</v>
      </c>
    </row>
    <row r="1731" spans="1:6">
      <c r="A1731" s="27" t="str">
        <f>Resultados!$K$3</f>
        <v/>
      </c>
      <c r="B1731" s="27" t="str">
        <f>Resultados!$K$4</f>
        <v/>
      </c>
      <c r="C1731" s="569" t="str">
        <f>'900005'!$B21</f>
        <v/>
      </c>
      <c r="D1731" s="27" t="str">
        <f>'900005'!$R$16</f>
        <v>C11601003</v>
      </c>
      <c r="E1731" s="27">
        <f>'900005'!$R21</f>
        <v>0</v>
      </c>
      <c r="F1731" s="27" t="s">
        <v>19085</v>
      </c>
    </row>
    <row r="1732" spans="1:6">
      <c r="A1732" s="27" t="str">
        <f>Resultados!$K$3</f>
        <v/>
      </c>
      <c r="B1732" s="27" t="str">
        <f>Resultados!$K$4</f>
        <v/>
      </c>
      <c r="C1732" s="569" t="str">
        <f>'900005'!$B22</f>
        <v/>
      </c>
      <c r="D1732" s="27" t="str">
        <f>'900005'!$R$16</f>
        <v>C11601003</v>
      </c>
      <c r="E1732" s="27">
        <f>'900005'!$R22</f>
        <v>0</v>
      </c>
      <c r="F1732" s="27" t="s">
        <v>19085</v>
      </c>
    </row>
    <row r="1733" spans="1:6">
      <c r="A1733" s="27" t="str">
        <f>Resultados!$K$3</f>
        <v/>
      </c>
      <c r="B1733" s="27" t="str">
        <f>Resultados!$K$4</f>
        <v/>
      </c>
      <c r="C1733" s="569" t="str">
        <f>'900005'!$B23</f>
        <v/>
      </c>
      <c r="D1733" s="27" t="str">
        <f>'900005'!$R$16</f>
        <v>C11601003</v>
      </c>
      <c r="E1733" s="27">
        <f>'900005'!$R23</f>
        <v>0</v>
      </c>
      <c r="F1733" s="27" t="s">
        <v>19085</v>
      </c>
    </row>
    <row r="1734" spans="1:6">
      <c r="A1734" s="27" t="str">
        <f>Resultados!$K$3</f>
        <v/>
      </c>
      <c r="B1734" s="27" t="str">
        <f>Resultados!$K$4</f>
        <v/>
      </c>
      <c r="C1734" s="569" t="str">
        <f>'900005'!$B24</f>
        <v/>
      </c>
      <c r="D1734" s="27" t="str">
        <f>'900005'!$R$16</f>
        <v>C11601003</v>
      </c>
      <c r="E1734" s="27">
        <f>'900005'!$R24</f>
        <v>0</v>
      </c>
      <c r="F1734" s="27" t="s">
        <v>19085</v>
      </c>
    </row>
    <row r="1735" spans="1:6">
      <c r="A1735" s="27" t="str">
        <f>Resultados!$K$3</f>
        <v/>
      </c>
      <c r="B1735" s="27" t="str">
        <f>Resultados!$K$4</f>
        <v/>
      </c>
      <c r="C1735" s="569" t="str">
        <f>'900005'!$B25</f>
        <v/>
      </c>
      <c r="D1735" s="27" t="str">
        <f>'900005'!$R$16</f>
        <v>C11601003</v>
      </c>
      <c r="E1735" s="27">
        <f>'900005'!$R25</f>
        <v>0</v>
      </c>
      <c r="F1735" s="27" t="s">
        <v>19085</v>
      </c>
    </row>
    <row r="1736" spans="1:6">
      <c r="A1736" s="27" t="str">
        <f>Resultados!$K$3</f>
        <v/>
      </c>
      <c r="B1736" s="27" t="str">
        <f>Resultados!$K$4</f>
        <v/>
      </c>
      <c r="C1736" s="569" t="str">
        <f>'900005'!$B26</f>
        <v/>
      </c>
      <c r="D1736" s="27" t="str">
        <f>'900005'!$R$16</f>
        <v>C11601003</v>
      </c>
      <c r="E1736" s="27">
        <f>'900005'!$R26</f>
        <v>0</v>
      </c>
      <c r="F1736" s="27" t="s">
        <v>19085</v>
      </c>
    </row>
    <row r="1737" spans="1:6">
      <c r="A1737" s="27" t="str">
        <f>Resultados!$K$3</f>
        <v/>
      </c>
      <c r="B1737" s="27" t="str">
        <f>Resultados!$K$4</f>
        <v/>
      </c>
      <c r="C1737" s="569" t="str">
        <f>'900005'!$B27</f>
        <v/>
      </c>
      <c r="D1737" s="27" t="str">
        <f>'900005'!$R$16</f>
        <v>C11601003</v>
      </c>
      <c r="E1737" s="27">
        <f>'900005'!$R27</f>
        <v>0</v>
      </c>
      <c r="F1737" s="27" t="s">
        <v>19085</v>
      </c>
    </row>
    <row r="1738" spans="1:6">
      <c r="A1738" s="27" t="str">
        <f>Resultados!$K$3</f>
        <v/>
      </c>
      <c r="B1738" s="27" t="str">
        <f>Resultados!$K$4</f>
        <v/>
      </c>
      <c r="C1738" s="569" t="str">
        <f>'900005'!$B28</f>
        <v/>
      </c>
      <c r="D1738" s="27" t="str">
        <f>'900005'!$R$16</f>
        <v>C11601003</v>
      </c>
      <c r="E1738" s="27">
        <f>'900005'!$R28</f>
        <v>0</v>
      </c>
      <c r="F1738" s="27" t="s">
        <v>19085</v>
      </c>
    </row>
    <row r="1739" spans="1:6">
      <c r="A1739" s="27" t="str">
        <f>Resultados!$K$3</f>
        <v/>
      </c>
      <c r="B1739" s="27" t="str">
        <f>Resultados!$K$4</f>
        <v/>
      </c>
      <c r="C1739" s="569" t="str">
        <f>'900005'!$B29</f>
        <v/>
      </c>
      <c r="D1739" s="27" t="str">
        <f>'900005'!$R$16</f>
        <v>C11601003</v>
      </c>
      <c r="E1739" s="27">
        <f>'900005'!$R29</f>
        <v>0</v>
      </c>
      <c r="F1739" s="27" t="s">
        <v>19085</v>
      </c>
    </row>
    <row r="1740" spans="1:6">
      <c r="A1740" s="27" t="str">
        <f>Resultados!$K$3</f>
        <v/>
      </c>
      <c r="B1740" s="27" t="str">
        <f>Resultados!$K$4</f>
        <v/>
      </c>
      <c r="C1740" s="569" t="str">
        <f>'900005'!$B30</f>
        <v/>
      </c>
      <c r="D1740" s="27" t="str">
        <f>'900005'!$R$16</f>
        <v>C11601003</v>
      </c>
      <c r="E1740" s="27">
        <f>'900005'!$R30</f>
        <v>0</v>
      </c>
      <c r="F1740" s="27" t="s">
        <v>19085</v>
      </c>
    </row>
    <row r="1741" spans="1:6">
      <c r="A1741" s="27" t="str">
        <f>Resultados!$K$3</f>
        <v/>
      </c>
      <c r="B1741" s="27" t="str">
        <f>Resultados!$K$4</f>
        <v/>
      </c>
      <c r="C1741" s="569" t="str">
        <f>'900005'!$B31</f>
        <v/>
      </c>
      <c r="D1741" s="27" t="str">
        <f>'900005'!$R$16</f>
        <v>C11601003</v>
      </c>
      <c r="E1741" s="27">
        <f>'900005'!$R31</f>
        <v>0</v>
      </c>
      <c r="F1741" s="27" t="s">
        <v>19085</v>
      </c>
    </row>
    <row r="1742" spans="1:6">
      <c r="A1742" s="27" t="str">
        <f>Resultados!$K$3</f>
        <v/>
      </c>
      <c r="B1742" s="27" t="str">
        <f>Resultados!$K$4</f>
        <v/>
      </c>
      <c r="C1742" s="569" t="str">
        <f>'900005'!$B32</f>
        <v/>
      </c>
      <c r="D1742" s="27" t="str">
        <f>'900005'!$R$16</f>
        <v>C11601003</v>
      </c>
      <c r="E1742" s="27">
        <f>'900005'!$R32</f>
        <v>0</v>
      </c>
      <c r="F1742" s="27" t="s">
        <v>19085</v>
      </c>
    </row>
    <row r="1743" spans="1:6">
      <c r="A1743" s="27" t="str">
        <f>Resultados!$K$3</f>
        <v/>
      </c>
      <c r="B1743" s="27" t="str">
        <f>Resultados!$K$4</f>
        <v/>
      </c>
      <c r="C1743" s="569" t="str">
        <f>'900005'!$B33</f>
        <v/>
      </c>
      <c r="D1743" s="27" t="str">
        <f>'900005'!$R$16</f>
        <v>C11601003</v>
      </c>
      <c r="E1743" s="27">
        <f>'900005'!$R33</f>
        <v>0</v>
      </c>
      <c r="F1743" s="27" t="s">
        <v>19085</v>
      </c>
    </row>
    <row r="1744" spans="1:6">
      <c r="A1744" s="27" t="str">
        <f>Resultados!$K$3</f>
        <v/>
      </c>
      <c r="B1744" s="27" t="str">
        <f>Resultados!$K$4</f>
        <v/>
      </c>
      <c r="C1744" s="569" t="str">
        <f>'900005'!$B34</f>
        <v/>
      </c>
      <c r="D1744" s="27" t="str">
        <f>'900005'!$R$16</f>
        <v>C11601003</v>
      </c>
      <c r="E1744" s="27">
        <f>'900005'!$R34</f>
        <v>0</v>
      </c>
      <c r="F1744" s="27" t="s">
        <v>19085</v>
      </c>
    </row>
    <row r="1745" spans="1:6">
      <c r="A1745" s="27" t="str">
        <f>Resultados!$K$3</f>
        <v/>
      </c>
      <c r="B1745" s="27" t="str">
        <f>Resultados!$K$4</f>
        <v/>
      </c>
      <c r="C1745" s="569" t="str">
        <f>'900005'!$B35</f>
        <v/>
      </c>
      <c r="D1745" s="27" t="str">
        <f>'900005'!$R$16</f>
        <v>C11601003</v>
      </c>
      <c r="E1745" s="27">
        <f>'900005'!$R35</f>
        <v>0</v>
      </c>
      <c r="F1745" s="27" t="s">
        <v>19085</v>
      </c>
    </row>
    <row r="1746" spans="1:6">
      <c r="A1746" s="27" t="str">
        <f>Resultados!$K$3</f>
        <v/>
      </c>
      <c r="B1746" s="27" t="str">
        <f>Resultados!$K$4</f>
        <v/>
      </c>
      <c r="C1746" s="569" t="str">
        <f>'900005'!$B36</f>
        <v/>
      </c>
      <c r="D1746" s="27" t="str">
        <f>'900005'!$R$16</f>
        <v>C11601003</v>
      </c>
      <c r="E1746" s="27">
        <f>'900005'!$R36</f>
        <v>0</v>
      </c>
      <c r="F1746" s="27" t="s">
        <v>19085</v>
      </c>
    </row>
    <row r="1747" spans="1:6">
      <c r="A1747" s="27" t="str">
        <f>Resultados!$K$3</f>
        <v/>
      </c>
      <c r="B1747" s="27" t="str">
        <f>Resultados!$K$4</f>
        <v/>
      </c>
      <c r="C1747" s="569" t="str">
        <f>'900005'!$B37</f>
        <v/>
      </c>
      <c r="D1747" s="27" t="str">
        <f>'900005'!$R$16</f>
        <v>C11601003</v>
      </c>
      <c r="E1747" s="27">
        <f>'900005'!$R37</f>
        <v>0</v>
      </c>
      <c r="F1747" s="27" t="s">
        <v>19085</v>
      </c>
    </row>
    <row r="1748" spans="1:6">
      <c r="A1748" s="27" t="str">
        <f>Resultados!$K$3</f>
        <v/>
      </c>
      <c r="B1748" s="27" t="str">
        <f>Resultados!$K$4</f>
        <v/>
      </c>
      <c r="C1748" s="569" t="str">
        <f>'900005'!$B38</f>
        <v/>
      </c>
      <c r="D1748" s="27" t="str">
        <f>'900005'!$R$16</f>
        <v>C11601003</v>
      </c>
      <c r="E1748" s="27">
        <f>'900005'!$R38</f>
        <v>0</v>
      </c>
      <c r="F1748" s="27" t="s">
        <v>19085</v>
      </c>
    </row>
    <row r="1749" spans="1:6">
      <c r="A1749" s="27" t="str">
        <f>Resultados!$K$3</f>
        <v/>
      </c>
      <c r="B1749" s="27" t="str">
        <f>Resultados!$K$4</f>
        <v/>
      </c>
      <c r="C1749" s="569" t="str">
        <f>'900005'!$B39</f>
        <v/>
      </c>
      <c r="D1749" s="27" t="str">
        <f>'900005'!$R$16</f>
        <v>C11601003</v>
      </c>
      <c r="E1749" s="27">
        <f>'900005'!$R39</f>
        <v>0</v>
      </c>
      <c r="F1749" s="27" t="s">
        <v>19085</v>
      </c>
    </row>
    <row r="1750" spans="1:6">
      <c r="A1750" s="27" t="str">
        <f>Resultados!$K$3</f>
        <v/>
      </c>
      <c r="B1750" s="27" t="str">
        <f>Resultados!$K$4</f>
        <v/>
      </c>
      <c r="C1750" s="569" t="str">
        <f>'900005'!$B40</f>
        <v/>
      </c>
      <c r="D1750" s="27" t="str">
        <f>'900005'!$R$16</f>
        <v>C11601003</v>
      </c>
      <c r="E1750" s="27">
        <f>'900005'!$R40</f>
        <v>0</v>
      </c>
      <c r="F1750" s="27" t="s">
        <v>19085</v>
      </c>
    </row>
    <row r="1751" spans="1:6">
      <c r="A1751" s="27" t="str">
        <f>Resultados!$K$3</f>
        <v/>
      </c>
      <c r="B1751" s="27" t="str">
        <f>Resultados!$K$4</f>
        <v/>
      </c>
      <c r="C1751" s="569" t="str">
        <f>'900005'!$B41</f>
        <v/>
      </c>
      <c r="D1751" s="27" t="str">
        <f>'900005'!$R$16</f>
        <v>C11601003</v>
      </c>
      <c r="E1751" s="27">
        <f>'900005'!$R41</f>
        <v>0</v>
      </c>
      <c r="F1751" s="27" t="s">
        <v>19085</v>
      </c>
    </row>
    <row r="1752" spans="1:6">
      <c r="A1752" s="27" t="str">
        <f>Resultados!$K$3</f>
        <v/>
      </c>
      <c r="B1752" s="27" t="str">
        <f>Resultados!$K$4</f>
        <v/>
      </c>
      <c r="C1752" s="569" t="str">
        <f>'900005'!$B42</f>
        <v/>
      </c>
      <c r="D1752" s="27" t="str">
        <f>'900005'!$R$16</f>
        <v>C11601003</v>
      </c>
      <c r="E1752" s="27">
        <f>'900005'!$R42</f>
        <v>0</v>
      </c>
      <c r="F1752" s="27" t="s">
        <v>19085</v>
      </c>
    </row>
    <row r="1753" spans="1:6">
      <c r="A1753" s="27" t="str">
        <f>Resultados!$K$3</f>
        <v/>
      </c>
      <c r="B1753" s="27" t="str">
        <f>Resultados!$K$4</f>
        <v/>
      </c>
      <c r="C1753" s="569" t="str">
        <f>'900005'!$B43</f>
        <v/>
      </c>
      <c r="D1753" s="27" t="str">
        <f>'900005'!$R$16</f>
        <v>C11601003</v>
      </c>
      <c r="E1753" s="27">
        <f>'900005'!$R43</f>
        <v>0</v>
      </c>
      <c r="F1753" s="27" t="s">
        <v>19085</v>
      </c>
    </row>
    <row r="1754" spans="1:6">
      <c r="A1754" s="27" t="str">
        <f>Resultados!$K$3</f>
        <v/>
      </c>
      <c r="B1754" s="27" t="str">
        <f>Resultados!$K$4</f>
        <v/>
      </c>
      <c r="C1754" s="569" t="str">
        <f>'900005'!$B44</f>
        <v/>
      </c>
      <c r="D1754" s="27" t="str">
        <f>'900005'!$R$16</f>
        <v>C11601003</v>
      </c>
      <c r="E1754" s="27">
        <f>'900005'!$R44</f>
        <v>0</v>
      </c>
      <c r="F1754" s="27" t="s">
        <v>19085</v>
      </c>
    </row>
    <row r="1755" spans="1:6">
      <c r="A1755" s="27" t="str">
        <f>Resultados!$K$3</f>
        <v/>
      </c>
      <c r="B1755" s="27" t="str">
        <f>Resultados!$K$4</f>
        <v/>
      </c>
      <c r="C1755" s="569" t="str">
        <f>'900005'!$B45</f>
        <v/>
      </c>
      <c r="D1755" s="27" t="str">
        <f>'900005'!$R$16</f>
        <v>C11601003</v>
      </c>
      <c r="E1755" s="27">
        <f>'900005'!$R45</f>
        <v>0</v>
      </c>
      <c r="F1755" s="27" t="s">
        <v>19085</v>
      </c>
    </row>
    <row r="1756" spans="1:6">
      <c r="A1756" s="27" t="str">
        <f>Resultados!$K$3</f>
        <v/>
      </c>
      <c r="B1756" s="27" t="str">
        <f>Resultados!$K$4</f>
        <v/>
      </c>
      <c r="C1756" s="569" t="str">
        <f>'900005'!$B46</f>
        <v/>
      </c>
      <c r="D1756" s="27" t="str">
        <f>'900005'!$R$16</f>
        <v>C11601003</v>
      </c>
      <c r="E1756" s="27">
        <f>'900005'!$R46</f>
        <v>0</v>
      </c>
      <c r="F1756" s="27" t="s">
        <v>19085</v>
      </c>
    </row>
    <row r="1757" spans="1:6">
      <c r="A1757" s="27" t="str">
        <f>Resultados!$K$3</f>
        <v/>
      </c>
      <c r="B1757" s="27" t="str">
        <f>Resultados!$K$4</f>
        <v/>
      </c>
      <c r="C1757" s="569" t="str">
        <f>'900005'!$B47</f>
        <v/>
      </c>
      <c r="D1757" s="27" t="str">
        <f>'900005'!$R$16</f>
        <v>C11601003</v>
      </c>
      <c r="E1757" s="27">
        <f>'900005'!$R47</f>
        <v>0</v>
      </c>
      <c r="F1757" s="27" t="s">
        <v>19085</v>
      </c>
    </row>
    <row r="1758" spans="1:6">
      <c r="A1758" s="27" t="str">
        <f>Resultados!$K$3</f>
        <v/>
      </c>
      <c r="B1758" s="27" t="str">
        <f>Resultados!$K$4</f>
        <v/>
      </c>
      <c r="C1758" s="569" t="str">
        <f>'900005'!$B48</f>
        <v/>
      </c>
      <c r="D1758" s="27" t="str">
        <f>'900005'!$R$16</f>
        <v>C11601003</v>
      </c>
      <c r="E1758" s="27">
        <f>'900005'!$R48</f>
        <v>0</v>
      </c>
      <c r="F1758" s="27" t="s">
        <v>19085</v>
      </c>
    </row>
    <row r="1759" spans="1:6">
      <c r="A1759" s="27" t="str">
        <f>Resultados!$K$3</f>
        <v/>
      </c>
      <c r="B1759" s="27" t="str">
        <f>Resultados!$K$4</f>
        <v/>
      </c>
      <c r="C1759" s="569" t="str">
        <f>'900005'!$B49</f>
        <v/>
      </c>
      <c r="D1759" s="27" t="str">
        <f>'900005'!$R$16</f>
        <v>C11601003</v>
      </c>
      <c r="E1759" s="27">
        <f>'900005'!$R49</f>
        <v>0</v>
      </c>
      <c r="F1759" s="27" t="s">
        <v>19085</v>
      </c>
    </row>
    <row r="1760" spans="1:6">
      <c r="A1760" s="27" t="str">
        <f>Resultados!$K$3</f>
        <v/>
      </c>
      <c r="B1760" s="27" t="str">
        <f>Resultados!$K$4</f>
        <v/>
      </c>
      <c r="C1760" s="569" t="str">
        <f>'900005'!$B50</f>
        <v/>
      </c>
      <c r="D1760" s="27" t="str">
        <f>'900005'!$R$16</f>
        <v>C11601003</v>
      </c>
      <c r="E1760" s="27">
        <f>'900005'!$R50</f>
        <v>0</v>
      </c>
      <c r="F1760" s="27" t="s">
        <v>19085</v>
      </c>
    </row>
    <row r="1761" spans="1:6">
      <c r="A1761" s="27" t="str">
        <f>Resultados!$K$3</f>
        <v/>
      </c>
      <c r="B1761" s="27" t="str">
        <f>Resultados!$K$4</f>
        <v/>
      </c>
      <c r="C1761" s="569" t="str">
        <f>'900005'!$B51</f>
        <v/>
      </c>
      <c r="D1761" s="27" t="str">
        <f>'900005'!$R$16</f>
        <v>C11601003</v>
      </c>
      <c r="E1761" s="27">
        <f>'900005'!$R51</f>
        <v>0</v>
      </c>
      <c r="F1761" s="27" t="s">
        <v>19085</v>
      </c>
    </row>
    <row r="1762" spans="1:6">
      <c r="A1762" s="27" t="str">
        <f>Resultados!$K$3</f>
        <v/>
      </c>
      <c r="B1762" s="27" t="str">
        <f>Resultados!$K$4</f>
        <v/>
      </c>
      <c r="C1762" s="569" t="str">
        <f>'900005'!$B52</f>
        <v/>
      </c>
      <c r="D1762" s="27" t="str">
        <f>'900005'!$R$16</f>
        <v>C11601003</v>
      </c>
      <c r="E1762" s="27">
        <f>'900005'!$R52</f>
        <v>0</v>
      </c>
      <c r="F1762" s="27" t="s">
        <v>19085</v>
      </c>
    </row>
    <row r="1763" spans="1:6">
      <c r="A1763" s="27" t="str">
        <f>Resultados!$K$3</f>
        <v/>
      </c>
      <c r="B1763" s="27" t="str">
        <f>Resultados!$K$4</f>
        <v/>
      </c>
      <c r="C1763" s="569" t="str">
        <f>'900005'!$B53</f>
        <v/>
      </c>
      <c r="D1763" s="27" t="str">
        <f>'900005'!$R$16</f>
        <v>C11601003</v>
      </c>
      <c r="E1763" s="27">
        <f>'900005'!$R53</f>
        <v>0</v>
      </c>
      <c r="F1763" s="27" t="s">
        <v>19085</v>
      </c>
    </row>
    <row r="1764" spans="1:6">
      <c r="A1764" s="27" t="str">
        <f>Resultados!$K$3</f>
        <v/>
      </c>
      <c r="B1764" s="27" t="str">
        <f>Resultados!$K$4</f>
        <v/>
      </c>
      <c r="C1764" s="569" t="str">
        <f>'900005'!$B54</f>
        <v/>
      </c>
      <c r="D1764" s="27" t="str">
        <f>'900005'!$R$16</f>
        <v>C11601003</v>
      </c>
      <c r="E1764" s="27">
        <f>'900005'!$R54</f>
        <v>0</v>
      </c>
      <c r="F1764" s="27" t="s">
        <v>19085</v>
      </c>
    </row>
    <row r="1765" spans="1:6">
      <c r="A1765" s="27" t="str">
        <f>Resultados!$K$3</f>
        <v/>
      </c>
      <c r="B1765" s="27" t="str">
        <f>Resultados!$K$4</f>
        <v/>
      </c>
      <c r="C1765" s="569" t="str">
        <f>'900005'!$B55</f>
        <v>11601037</v>
      </c>
      <c r="D1765" s="27" t="str">
        <f>'900005'!$R$16</f>
        <v>C11601003</v>
      </c>
      <c r="E1765" s="27">
        <f>'900005'!$R55</f>
        <v>0</v>
      </c>
      <c r="F1765" s="27" t="s">
        <v>19085</v>
      </c>
    </row>
    <row r="1766" spans="1:6">
      <c r="A1766" s="27" t="str">
        <f>Resultados!$K$3</f>
        <v/>
      </c>
      <c r="B1766" s="27" t="str">
        <f>Resultados!$K$4</f>
        <v/>
      </c>
      <c r="C1766" s="569" t="str">
        <f>'900005'!$B56</f>
        <v/>
      </c>
      <c r="D1766" s="27" t="str">
        <f>'900005'!$R$16</f>
        <v>C11601003</v>
      </c>
      <c r="E1766" s="27">
        <f>'900005'!$R56</f>
        <v>0</v>
      </c>
      <c r="F1766" s="27" t="s">
        <v>19085</v>
      </c>
    </row>
    <row r="1767" spans="1:6">
      <c r="A1767" s="27" t="str">
        <f>Resultados!$K$3</f>
        <v/>
      </c>
      <c r="B1767" s="27" t="str">
        <f>Resultados!$K$4</f>
        <v/>
      </c>
      <c r="C1767" s="569" t="str">
        <f>'900005'!$B57</f>
        <v/>
      </c>
      <c r="D1767" s="27" t="str">
        <f>'900005'!$R$16</f>
        <v>C11601003</v>
      </c>
      <c r="E1767" s="27">
        <f>'900005'!$R57</f>
        <v>0</v>
      </c>
      <c r="F1767" s="27" t="s">
        <v>19085</v>
      </c>
    </row>
    <row r="1768" spans="1:6">
      <c r="A1768" s="27" t="str">
        <f>Resultados!$K$3</f>
        <v/>
      </c>
      <c r="B1768" s="27" t="str">
        <f>Resultados!$K$4</f>
        <v/>
      </c>
      <c r="C1768" s="569" t="str">
        <f>'900005'!$B58</f>
        <v/>
      </c>
      <c r="D1768" s="27" t="str">
        <f>'900005'!$R$16</f>
        <v>C11601003</v>
      </c>
      <c r="E1768" s="27">
        <f>'900005'!$R58</f>
        <v>0</v>
      </c>
      <c r="F1768" s="27" t="s">
        <v>19085</v>
      </c>
    </row>
    <row r="1769" spans="1:6">
      <c r="A1769" s="27" t="str">
        <f>Resultados!$K$3</f>
        <v/>
      </c>
      <c r="B1769" s="27" t="str">
        <f>Resultados!$K$4</f>
        <v/>
      </c>
      <c r="C1769" s="569" t="str">
        <f>'900005'!$B59</f>
        <v/>
      </c>
      <c r="D1769" s="27" t="str">
        <f>'900005'!$R$16</f>
        <v>C11601003</v>
      </c>
      <c r="E1769" s="27">
        <f>'900005'!$R59</f>
        <v>0</v>
      </c>
      <c r="F1769" s="27" t="s">
        <v>19085</v>
      </c>
    </row>
    <row r="1770" spans="1:6">
      <c r="A1770" s="27" t="str">
        <f>Resultados!$K$3</f>
        <v/>
      </c>
      <c r="B1770" s="27" t="str">
        <f>Resultados!$K$4</f>
        <v/>
      </c>
      <c r="C1770" s="569" t="str">
        <f>'900005'!$B60</f>
        <v/>
      </c>
      <c r="D1770" s="27" t="str">
        <f>'900005'!$R$16</f>
        <v>C11601003</v>
      </c>
      <c r="E1770" s="27">
        <f>'900005'!$R60</f>
        <v>0</v>
      </c>
      <c r="F1770" s="27" t="s">
        <v>19085</v>
      </c>
    </row>
    <row r="1771" spans="1:6">
      <c r="A1771" s="27" t="str">
        <f>Resultados!$K$3</f>
        <v/>
      </c>
      <c r="B1771" s="27" t="str">
        <f>Resultados!$K$4</f>
        <v/>
      </c>
      <c r="C1771" s="569" t="str">
        <f>'900005'!$B61</f>
        <v/>
      </c>
      <c r="D1771" s="27" t="str">
        <f>'900005'!$R$16</f>
        <v>C11601003</v>
      </c>
      <c r="E1771" s="27">
        <f>'900005'!$R61</f>
        <v>0</v>
      </c>
      <c r="F1771" s="27" t="s">
        <v>19085</v>
      </c>
    </row>
    <row r="1772" spans="1:6">
      <c r="A1772" s="27" t="str">
        <f>Resultados!$K$3</f>
        <v/>
      </c>
      <c r="B1772" s="27" t="str">
        <f>Resultados!$K$4</f>
        <v/>
      </c>
      <c r="C1772" s="569" t="str">
        <f>'900005'!$B62</f>
        <v/>
      </c>
      <c r="D1772" s="27" t="str">
        <f>'900005'!$R$16</f>
        <v>C11601003</v>
      </c>
      <c r="E1772" s="27">
        <f>'900005'!$R62</f>
        <v>0</v>
      </c>
      <c r="F1772" s="27" t="s">
        <v>19085</v>
      </c>
    </row>
    <row r="1773" spans="1:6">
      <c r="A1773" s="27" t="str">
        <f>Resultados!$K$3</f>
        <v/>
      </c>
      <c r="B1773" s="27" t="str">
        <f>Resultados!$K$4</f>
        <v/>
      </c>
      <c r="C1773" s="569" t="str">
        <f>'900005'!$B63</f>
        <v/>
      </c>
      <c r="D1773" s="27" t="str">
        <f>'900005'!$R$16</f>
        <v>C11601003</v>
      </c>
      <c r="E1773" s="27">
        <f>'900005'!$R63</f>
        <v>0</v>
      </c>
      <c r="F1773" s="27" t="s">
        <v>19085</v>
      </c>
    </row>
    <row r="1774" spans="1:6">
      <c r="A1774" s="27" t="str">
        <f>Resultados!$K$3</f>
        <v/>
      </c>
      <c r="B1774" s="27" t="str">
        <f>Resultados!$K$4</f>
        <v/>
      </c>
      <c r="C1774" s="569" t="str">
        <f>'900005'!$B64</f>
        <v/>
      </c>
      <c r="D1774" s="27" t="str">
        <f>'900005'!$R$16</f>
        <v>C11601003</v>
      </c>
      <c r="E1774" s="27">
        <f>'900005'!$R64</f>
        <v>0</v>
      </c>
      <c r="F1774" s="27" t="s">
        <v>19085</v>
      </c>
    </row>
    <row r="1775" spans="1:6">
      <c r="A1775" s="27" t="str">
        <f>Resultados!$K$3</f>
        <v/>
      </c>
      <c r="B1775" s="27" t="str">
        <f>Resultados!$K$4</f>
        <v/>
      </c>
      <c r="C1775" s="569" t="str">
        <f>'900005'!$B65</f>
        <v/>
      </c>
      <c r="D1775" s="27" t="str">
        <f>'900005'!$R$16</f>
        <v>C11601003</v>
      </c>
      <c r="E1775" s="27">
        <f>'900005'!$R65</f>
        <v>0</v>
      </c>
      <c r="F1775" s="27" t="s">
        <v>19085</v>
      </c>
    </row>
    <row r="1776" spans="1:6">
      <c r="A1776" s="27" t="str">
        <f>Resultados!$K$3</f>
        <v/>
      </c>
      <c r="B1776" s="27" t="str">
        <f>Resultados!$K$4</f>
        <v/>
      </c>
      <c r="C1776" s="569" t="str">
        <f>'900005'!$B66</f>
        <v/>
      </c>
      <c r="D1776" s="27" t="str">
        <f>'900005'!$R$16</f>
        <v>C11601003</v>
      </c>
      <c r="E1776" s="27">
        <f>'900005'!$R66</f>
        <v>0</v>
      </c>
      <c r="F1776" s="27" t="s">
        <v>19085</v>
      </c>
    </row>
    <row r="1777" spans="1:6">
      <c r="A1777" s="27" t="str">
        <f>Resultados!$K$3</f>
        <v/>
      </c>
      <c r="B1777" s="27" t="str">
        <f>Resultados!$K$4</f>
        <v/>
      </c>
      <c r="C1777" s="569" t="str">
        <f>'900005'!$B67</f>
        <v>11601049</v>
      </c>
      <c r="D1777" s="27" t="str">
        <f>'900005'!$R$16</f>
        <v>C11601003</v>
      </c>
      <c r="E1777" s="27">
        <f>'900005'!$R67</f>
        <v>0</v>
      </c>
      <c r="F1777" s="27" t="s">
        <v>19085</v>
      </c>
    </row>
    <row r="1778" spans="1:6">
      <c r="A1778" s="27" t="str">
        <f>Resultados!$K$3</f>
        <v/>
      </c>
      <c r="B1778" s="27" t="str">
        <f>Resultados!$K$4</f>
        <v/>
      </c>
      <c r="C1778" s="569" t="str">
        <f>'900005'!$B68</f>
        <v/>
      </c>
      <c r="D1778" s="27" t="str">
        <f>'900005'!$R$16</f>
        <v>C11601003</v>
      </c>
      <c r="E1778" s="27">
        <f>'900005'!$R68</f>
        <v>0</v>
      </c>
      <c r="F1778" s="27" t="s">
        <v>19085</v>
      </c>
    </row>
    <row r="1779" spans="1:6">
      <c r="A1779" s="27" t="str">
        <f>Resultados!$K$3</f>
        <v/>
      </c>
      <c r="B1779" s="27" t="str">
        <f>Resultados!$K$4</f>
        <v/>
      </c>
      <c r="C1779" s="569" t="str">
        <f>'900005'!$B69</f>
        <v/>
      </c>
      <c r="D1779" s="27" t="str">
        <f>'900005'!$R$16</f>
        <v>C11601003</v>
      </c>
      <c r="E1779" s="27">
        <f>'900005'!$R69</f>
        <v>0</v>
      </c>
      <c r="F1779" s="27" t="s">
        <v>19085</v>
      </c>
    </row>
    <row r="1780" spans="1:6">
      <c r="A1780" s="27" t="str">
        <f>Resultados!$K$3</f>
        <v/>
      </c>
      <c r="B1780" s="27" t="str">
        <f>Resultados!$K$4</f>
        <v/>
      </c>
      <c r="C1780" s="569" t="str">
        <f>'900005'!$B70</f>
        <v/>
      </c>
      <c r="D1780" s="27" t="str">
        <f>'900005'!$R$16</f>
        <v>C11601003</v>
      </c>
      <c r="E1780" s="27">
        <f>'900005'!$R70</f>
        <v>0</v>
      </c>
      <c r="F1780" s="27" t="s">
        <v>19085</v>
      </c>
    </row>
    <row r="1781" spans="1:6">
      <c r="A1781" s="27" t="str">
        <f>Resultados!$K$3</f>
        <v/>
      </c>
      <c r="B1781" s="27" t="str">
        <f>Resultados!$K$4</f>
        <v/>
      </c>
      <c r="C1781" s="569" t="str">
        <f>'900005'!$B71</f>
        <v/>
      </c>
      <c r="D1781" s="27" t="str">
        <f>'900005'!$R$16</f>
        <v>C11601003</v>
      </c>
      <c r="E1781" s="27">
        <f>'900005'!$R71</f>
        <v>0</v>
      </c>
      <c r="F1781" s="27" t="s">
        <v>19085</v>
      </c>
    </row>
    <row r="1782" spans="1:6">
      <c r="A1782" s="27" t="str">
        <f>Resultados!$K$3</f>
        <v/>
      </c>
      <c r="B1782" s="27" t="str">
        <f>Resultados!$K$4</f>
        <v/>
      </c>
      <c r="C1782" s="569" t="str">
        <f>'900005'!$B72</f>
        <v/>
      </c>
      <c r="D1782" s="27" t="str">
        <f>'900005'!$R$16</f>
        <v>C11601003</v>
      </c>
      <c r="E1782" s="27">
        <f>'900005'!$R72</f>
        <v>0</v>
      </c>
      <c r="F1782" s="27" t="s">
        <v>19085</v>
      </c>
    </row>
    <row r="1783" spans="1:6">
      <c r="A1783" s="27" t="str">
        <f>Resultados!$K$3</f>
        <v/>
      </c>
      <c r="B1783" s="27" t="str">
        <f>Resultados!$K$4</f>
        <v/>
      </c>
      <c r="C1783" s="569" t="str">
        <f>'900005'!$B73</f>
        <v/>
      </c>
      <c r="D1783" s="27" t="str">
        <f>'900005'!$R$16</f>
        <v>C11601003</v>
      </c>
      <c r="E1783" s="27">
        <f>'900005'!$R73</f>
        <v>0</v>
      </c>
      <c r="F1783" s="27" t="s">
        <v>19085</v>
      </c>
    </row>
    <row r="1784" spans="1:6">
      <c r="A1784" s="27" t="str">
        <f>Resultados!$K$3</f>
        <v/>
      </c>
      <c r="B1784" s="27" t="str">
        <f>Resultados!$K$4</f>
        <v/>
      </c>
      <c r="C1784" s="569" t="str">
        <f>'900005'!$B74</f>
        <v/>
      </c>
      <c r="D1784" s="27" t="str">
        <f>'900005'!$R$16</f>
        <v>C11601003</v>
      </c>
      <c r="E1784" s="27">
        <f>'900005'!$R74</f>
        <v>0</v>
      </c>
      <c r="F1784" s="27" t="s">
        <v>19085</v>
      </c>
    </row>
    <row r="1785" spans="1:6">
      <c r="A1785" s="27" t="str">
        <f>Resultados!$K$3</f>
        <v/>
      </c>
      <c r="B1785" s="27" t="str">
        <f>Resultados!$K$4</f>
        <v/>
      </c>
      <c r="C1785" s="569" t="str">
        <f>'900005'!$B75</f>
        <v>11601057</v>
      </c>
      <c r="D1785" s="27" t="str">
        <f>'900005'!$R$16</f>
        <v>C11601003</v>
      </c>
      <c r="E1785" s="27">
        <f>'900005'!$R75</f>
        <v>0</v>
      </c>
      <c r="F1785" s="27" t="s">
        <v>19085</v>
      </c>
    </row>
    <row r="1786" spans="1:6">
      <c r="A1786" s="27" t="str">
        <f>Resultados!$K$3</f>
        <v/>
      </c>
      <c r="B1786" s="27" t="str">
        <f>Resultados!$K$4</f>
        <v/>
      </c>
      <c r="C1786" s="569" t="str">
        <f>'900005'!$B76</f>
        <v/>
      </c>
      <c r="D1786" s="27" t="str">
        <f>'900005'!$R$16</f>
        <v>C11601003</v>
      </c>
      <c r="E1786" s="27">
        <f>'900005'!$R76</f>
        <v>0</v>
      </c>
      <c r="F1786" s="27" t="s">
        <v>19085</v>
      </c>
    </row>
    <row r="1787" spans="1:6">
      <c r="A1787" s="27" t="str">
        <f>Resultados!$K$3</f>
        <v/>
      </c>
      <c r="B1787" s="27" t="str">
        <f>Resultados!$K$4</f>
        <v/>
      </c>
      <c r="C1787" s="569" t="str">
        <f>'900005'!$B77</f>
        <v/>
      </c>
      <c r="D1787" s="27" t="str">
        <f>'900005'!$R$16</f>
        <v>C11601003</v>
      </c>
      <c r="E1787" s="27">
        <f>'900005'!$R77</f>
        <v>0</v>
      </c>
      <c r="F1787" s="27" t="s">
        <v>19085</v>
      </c>
    </row>
    <row r="1788" spans="1:6">
      <c r="A1788" s="27" t="str">
        <f>Resultados!$K$3</f>
        <v/>
      </c>
      <c r="B1788" s="27" t="str">
        <f>Resultados!$K$4</f>
        <v/>
      </c>
      <c r="C1788" s="569" t="str">
        <f>'900005'!$B78</f>
        <v/>
      </c>
      <c r="D1788" s="27" t="str">
        <f>'900005'!$R$16</f>
        <v>C11601003</v>
      </c>
      <c r="E1788" s="27">
        <f>'900005'!$R78</f>
        <v>0</v>
      </c>
      <c r="F1788" s="27" t="s">
        <v>19085</v>
      </c>
    </row>
    <row r="1789" spans="1:6">
      <c r="A1789" s="27" t="str">
        <f>Resultados!$K$3</f>
        <v/>
      </c>
      <c r="B1789" s="27" t="str">
        <f>Resultados!$K$4</f>
        <v/>
      </c>
      <c r="C1789" s="569" t="str">
        <f>'900005'!$B79</f>
        <v/>
      </c>
      <c r="D1789" s="27" t="str">
        <f>'900005'!$R$16</f>
        <v>C11601003</v>
      </c>
      <c r="E1789" s="27">
        <f>'900005'!$R79</f>
        <v>0</v>
      </c>
      <c r="F1789" s="27" t="s">
        <v>19085</v>
      </c>
    </row>
    <row r="1790" spans="1:6">
      <c r="A1790" s="27" t="str">
        <f>Resultados!$K$3</f>
        <v/>
      </c>
      <c r="B1790" s="27" t="str">
        <f>Resultados!$K$4</f>
        <v/>
      </c>
      <c r="C1790" s="569" t="str">
        <f>'900005'!$B80</f>
        <v/>
      </c>
      <c r="D1790" s="27" t="str">
        <f>'900005'!$R$16</f>
        <v>C11601003</v>
      </c>
      <c r="E1790" s="27">
        <f>'900005'!$R80</f>
        <v>0</v>
      </c>
      <c r="F1790" s="27" t="s">
        <v>19085</v>
      </c>
    </row>
    <row r="1791" spans="1:6">
      <c r="A1791" s="27" t="str">
        <f>Resultados!$K$3</f>
        <v/>
      </c>
      <c r="B1791" s="27" t="str">
        <f>Resultados!$K$4</f>
        <v/>
      </c>
      <c r="C1791" s="569" t="str">
        <f>'900005'!$B81</f>
        <v/>
      </c>
      <c r="D1791" s="27" t="str">
        <f>'900005'!$R$16</f>
        <v>C11601003</v>
      </c>
      <c r="E1791" s="27">
        <f>'900005'!$R81</f>
        <v>0</v>
      </c>
      <c r="F1791" s="27" t="s">
        <v>19085</v>
      </c>
    </row>
    <row r="1792" spans="1:6">
      <c r="A1792" s="27" t="str">
        <f>Resultados!$K$3</f>
        <v/>
      </c>
      <c r="B1792" s="27" t="str">
        <f>Resultados!$K$4</f>
        <v/>
      </c>
      <c r="C1792" s="569" t="str">
        <f>'900005'!$B82</f>
        <v>11601064</v>
      </c>
      <c r="D1792" s="27" t="str">
        <f>'900005'!$R$16</f>
        <v>C11601003</v>
      </c>
      <c r="E1792" s="27">
        <f>'900005'!$R82</f>
        <v>0</v>
      </c>
      <c r="F1792" s="27" t="s">
        <v>19085</v>
      </c>
    </row>
    <row r="1793" spans="1:6">
      <c r="A1793" s="27" t="str">
        <f>Resultados!$K$3</f>
        <v/>
      </c>
      <c r="B1793" s="27" t="str">
        <f>Resultados!$K$4</f>
        <v/>
      </c>
      <c r="C1793" s="569" t="str">
        <f>'900005'!$B83</f>
        <v/>
      </c>
      <c r="D1793" s="27" t="str">
        <f>'900005'!$R$16</f>
        <v>C11601003</v>
      </c>
      <c r="E1793" s="27">
        <f>'900005'!$R83</f>
        <v>0</v>
      </c>
      <c r="F1793" s="27" t="s">
        <v>19085</v>
      </c>
    </row>
    <row r="1794" spans="1:6">
      <c r="A1794" s="27" t="str">
        <f>Resultados!$K$3</f>
        <v/>
      </c>
      <c r="B1794" s="27" t="str">
        <f>Resultados!$K$4</f>
        <v/>
      </c>
      <c r="C1794" s="569" t="str">
        <f>'900005'!$B86</f>
        <v>11601066</v>
      </c>
      <c r="D1794" s="27" t="str">
        <f>'900005'!$R$16</f>
        <v>C11601003</v>
      </c>
      <c r="E1794" s="27">
        <f>'900005'!$R86</f>
        <v>0</v>
      </c>
      <c r="F1794" s="27" t="s">
        <v>19085</v>
      </c>
    </row>
    <row r="1795" spans="1:6">
      <c r="A1795" s="27" t="str">
        <f>Resultados!$K$3</f>
        <v/>
      </c>
      <c r="B1795" s="27" t="str">
        <f>Resultados!$K$4</f>
        <v/>
      </c>
      <c r="C1795" s="569" t="str">
        <f>'900005'!$B87</f>
        <v/>
      </c>
      <c r="D1795" s="27" t="str">
        <f>'900005'!$R$16</f>
        <v>C11601003</v>
      </c>
      <c r="E1795" s="27">
        <f>'900005'!$R87</f>
        <v>0</v>
      </c>
      <c r="F1795" s="27" t="s">
        <v>19085</v>
      </c>
    </row>
    <row r="1796" spans="1:6">
      <c r="A1796" s="27" t="str">
        <f>Resultados!$K$3</f>
        <v/>
      </c>
      <c r="B1796" s="27" t="str">
        <f>Resultados!$K$4</f>
        <v/>
      </c>
      <c r="C1796" s="569" t="str">
        <f>'900005'!$B88</f>
        <v/>
      </c>
      <c r="D1796" s="27" t="str">
        <f>'900005'!$R$16</f>
        <v>C11601003</v>
      </c>
      <c r="E1796" s="27">
        <f>'900005'!$R88</f>
        <v>0</v>
      </c>
      <c r="F1796" s="27" t="s">
        <v>19085</v>
      </c>
    </row>
    <row r="1797" spans="1:6">
      <c r="A1797" s="27" t="str">
        <f>Resultados!$K$3</f>
        <v/>
      </c>
      <c r="B1797" s="27" t="str">
        <f>Resultados!$K$4</f>
        <v/>
      </c>
      <c r="C1797" s="569" t="str">
        <f>'900005'!$B90</f>
        <v>11601069</v>
      </c>
      <c r="D1797" s="27" t="str">
        <f>'900005'!$R$16</f>
        <v>C11601003</v>
      </c>
      <c r="E1797" s="27">
        <f>'900005'!$R90</f>
        <v>0</v>
      </c>
      <c r="F1797" s="27" t="s">
        <v>19085</v>
      </c>
    </row>
    <row r="1798" spans="1:6">
      <c r="A1798" s="27" t="str">
        <f>Resultados!$K$3</f>
        <v/>
      </c>
      <c r="B1798" s="27" t="str">
        <f>Resultados!$K$4</f>
        <v/>
      </c>
      <c r="C1798" s="569" t="str">
        <f>'900005'!$B91</f>
        <v/>
      </c>
      <c r="D1798" s="27" t="str">
        <f>'900005'!$R$16</f>
        <v>C11601003</v>
      </c>
      <c r="E1798" s="27">
        <f>'900005'!$R91</f>
        <v>0</v>
      </c>
      <c r="F1798" s="27" t="s">
        <v>19085</v>
      </c>
    </row>
    <row r="1799" spans="1:6">
      <c r="A1799" s="27" t="str">
        <f>Resultados!$K$3</f>
        <v/>
      </c>
      <c r="B1799" s="27" t="str">
        <f>Resultados!$K$4</f>
        <v/>
      </c>
      <c r="C1799" s="569" t="str">
        <f>'900005'!$B92</f>
        <v/>
      </c>
      <c r="D1799" s="27" t="str">
        <f>'900005'!$R$16</f>
        <v>C11601003</v>
      </c>
      <c r="E1799" s="27">
        <f>'900005'!$R92</f>
        <v>0</v>
      </c>
      <c r="F1799" s="27" t="s">
        <v>19085</v>
      </c>
    </row>
    <row r="1800" spans="1:6">
      <c r="A1800" s="27" t="str">
        <f>Resultados!$K$3</f>
        <v/>
      </c>
      <c r="B1800" s="27" t="str">
        <f>Resultados!$K$4</f>
        <v/>
      </c>
      <c r="C1800" s="569" t="str">
        <f>'900005'!$B93</f>
        <v/>
      </c>
      <c r="D1800" s="27" t="str">
        <f>'900005'!$R$16</f>
        <v>C11601003</v>
      </c>
      <c r="E1800" s="27">
        <f>'900005'!$R93</f>
        <v>0</v>
      </c>
      <c r="F1800" s="27" t="s">
        <v>19085</v>
      </c>
    </row>
    <row r="1801" spans="1:6">
      <c r="A1801" s="27" t="str">
        <f>Resultados!$K$3</f>
        <v/>
      </c>
      <c r="B1801" s="27" t="str">
        <f>Resultados!$K$4</f>
        <v/>
      </c>
      <c r="C1801" s="569" t="str">
        <f>'900005'!$B94</f>
        <v>11601073</v>
      </c>
      <c r="D1801" s="27" t="str">
        <f>'900005'!$R$16</f>
        <v>C11601003</v>
      </c>
      <c r="E1801" s="27">
        <f>'900005'!$R94</f>
        <v>0</v>
      </c>
      <c r="F1801" s="27" t="s">
        <v>19085</v>
      </c>
    </row>
    <row r="1802" spans="1:6">
      <c r="A1802" s="27" t="str">
        <f>Resultados!$K$3</f>
        <v/>
      </c>
      <c r="B1802" s="27" t="str">
        <f>Resultados!$K$4</f>
        <v/>
      </c>
      <c r="C1802" s="569" t="str">
        <f>'900005'!$B95</f>
        <v/>
      </c>
      <c r="D1802" s="27" t="str">
        <f>'900005'!$R$16</f>
        <v>C11601003</v>
      </c>
      <c r="E1802" s="27">
        <f>'900005'!$R95</f>
        <v>0</v>
      </c>
      <c r="F1802" s="27" t="s">
        <v>19085</v>
      </c>
    </row>
    <row r="1803" spans="1:6">
      <c r="A1803" s="27" t="str">
        <f>Resultados!$K$3</f>
        <v/>
      </c>
      <c r="B1803" s="27" t="str">
        <f>Resultados!$K$4</f>
        <v/>
      </c>
      <c r="C1803" s="569" t="str">
        <f>'900005'!$B96</f>
        <v/>
      </c>
      <c r="D1803" s="27" t="str">
        <f>'900005'!$R$16</f>
        <v>C11601003</v>
      </c>
      <c r="E1803" s="27">
        <f>'900005'!$R96</f>
        <v>0</v>
      </c>
      <c r="F1803" s="27" t="s">
        <v>19085</v>
      </c>
    </row>
    <row r="1804" spans="1:6">
      <c r="A1804" s="27" t="str">
        <f>Resultados!$K$3</f>
        <v/>
      </c>
      <c r="B1804" s="27" t="str">
        <f>Resultados!$K$4</f>
        <v/>
      </c>
      <c r="C1804" s="569" t="str">
        <f>'900005'!$B97</f>
        <v/>
      </c>
      <c r="D1804" s="27" t="str">
        <f>'900005'!$R$16</f>
        <v>C11601003</v>
      </c>
      <c r="E1804" s="27">
        <f>'900005'!$R97</f>
        <v>0</v>
      </c>
      <c r="F1804" s="27" t="s">
        <v>19085</v>
      </c>
    </row>
    <row r="1805" spans="1:6">
      <c r="A1805" s="27" t="str">
        <f>Resultados!$K$3</f>
        <v/>
      </c>
      <c r="B1805" s="27" t="str">
        <f>Resultados!$K$4</f>
        <v/>
      </c>
      <c r="C1805" s="569" t="str">
        <f>'900005'!$B98</f>
        <v/>
      </c>
      <c r="D1805" s="27" t="str">
        <f>'900005'!$R$16</f>
        <v>C11601003</v>
      </c>
      <c r="E1805" s="27">
        <f>'900005'!$R98</f>
        <v>0</v>
      </c>
      <c r="F1805" s="27" t="s">
        <v>19085</v>
      </c>
    </row>
    <row r="1806" spans="1:6">
      <c r="A1806" s="27" t="str">
        <f>Resultados!$K$3</f>
        <v/>
      </c>
      <c r="B1806" s="27" t="str">
        <f>Resultados!$K$4</f>
        <v/>
      </c>
      <c r="C1806" s="569" t="str">
        <f>'900005'!$B99</f>
        <v>11601078</v>
      </c>
      <c r="D1806" s="27" t="str">
        <f>'900005'!$R$16</f>
        <v>C11601003</v>
      </c>
      <c r="E1806" s="27">
        <f>'900005'!$R99</f>
        <v>0</v>
      </c>
      <c r="F1806" s="27" t="s">
        <v>19085</v>
      </c>
    </row>
    <row r="1807" spans="1:6">
      <c r="A1807" s="27" t="str">
        <f>Resultados!$K$3</f>
        <v/>
      </c>
      <c r="B1807" s="27" t="str">
        <f>Resultados!$K$4</f>
        <v/>
      </c>
      <c r="C1807" s="569" t="str">
        <f>'900005'!$B100</f>
        <v>11601001</v>
      </c>
      <c r="D1807" s="27" t="str">
        <f>'900005'!$R$16</f>
        <v>C11601003</v>
      </c>
      <c r="E1807" s="27">
        <f>'900005'!$R100</f>
        <v>0</v>
      </c>
      <c r="F1807" s="27" t="s">
        <v>19085</v>
      </c>
    </row>
    <row r="1808" spans="1:6">
      <c r="A1808" s="27" t="str">
        <f>Resultados!$K$3</f>
        <v/>
      </c>
      <c r="B1808" s="27" t="str">
        <f>Resultados!$K$4</f>
        <v/>
      </c>
      <c r="C1808" s="568" t="str">
        <f>'900006'!$B23</f>
        <v>11701002</v>
      </c>
      <c r="D1808" t="str">
        <f>'900006'!$D$21</f>
        <v>C11701002</v>
      </c>
      <c r="E1808">
        <f>'900006'!$C23</f>
        <v>0</v>
      </c>
      <c r="F1808" s="27" t="s">
        <v>19086</v>
      </c>
    </row>
    <row r="1809" spans="1:6">
      <c r="A1809" s="27" t="str">
        <f>Resultados!$K$3</f>
        <v/>
      </c>
      <c r="B1809" s="27" t="str">
        <f>Resultados!$K$4</f>
        <v/>
      </c>
      <c r="C1809" s="568" t="str">
        <f>'900006'!$B24</f>
        <v>11701004</v>
      </c>
      <c r="D1809" s="27" t="str">
        <f>'900006'!$D$21</f>
        <v>C11701002</v>
      </c>
      <c r="E1809" t="str">
        <f>'900006'!$E24</f>
        <v>Corresponde a todas las erogaciones por concepto de la remuneración del servicio actual, tales como, salarios, prestaciones sociales legales y extralegales, bonificaciones, aportes a la seguridad social, parafiscales, amortización de beneficios por préstamos a empleados, etc.</v>
      </c>
      <c r="F1809" s="27" t="s">
        <v>19086</v>
      </c>
    </row>
    <row r="1810" spans="1:6">
      <c r="A1810" s="27" t="str">
        <f>Resultados!$K$3</f>
        <v/>
      </c>
      <c r="B1810" s="27" t="str">
        <f>Resultados!$K$4</f>
        <v/>
      </c>
      <c r="C1810" s="568" t="str">
        <f>'900006'!$B25</f>
        <v>11701005</v>
      </c>
      <c r="D1810" s="27" t="str">
        <f>'900006'!$D$21</f>
        <v>C11701002</v>
      </c>
      <c r="E1810" s="27" t="str">
        <f>'900006'!$E25</f>
        <v>Se refiere a todas las erogaciones que tienen que ver con pensiones de jubilación</v>
      </c>
      <c r="F1810" s="27" t="s">
        <v>19086</v>
      </c>
    </row>
    <row r="1811" spans="1:6">
      <c r="A1811" s="27" t="str">
        <f>Resultados!$K$3</f>
        <v/>
      </c>
      <c r="B1811" s="27" t="str">
        <f>Resultados!$K$4</f>
        <v/>
      </c>
      <c r="C1811" s="568" t="str">
        <f>'900006'!$B26</f>
        <v>11701006</v>
      </c>
      <c r="D1811" s="27" t="str">
        <f>'900006'!$D$21</f>
        <v>C11701002</v>
      </c>
      <c r="E1811" s="27">
        <f>'900006'!$E26</f>
        <v>0</v>
      </c>
      <c r="F1811" s="27" t="s">
        <v>19086</v>
      </c>
    </row>
    <row r="1812" spans="1:6">
      <c r="A1812" s="27" t="str">
        <f>Resultados!$K$3</f>
        <v/>
      </c>
      <c r="B1812" s="27" t="str">
        <f>Resultados!$K$4</f>
        <v/>
      </c>
      <c r="C1812" s="568" t="str">
        <f>'900006'!$B27</f>
        <v>11701007</v>
      </c>
      <c r="D1812" s="27" t="str">
        <f>'900006'!$D$21</f>
        <v>C11701002</v>
      </c>
      <c r="E1812" s="27" t="str">
        <f>'900006'!$E27</f>
        <v>Se refiere a los pagos realizados por la terminación de la relación laboral, tales como indemnizaciones</v>
      </c>
      <c r="F1812" s="27" t="s">
        <v>19086</v>
      </c>
    </row>
    <row r="1813" spans="1:6">
      <c r="A1813" s="27" t="str">
        <f>Resultados!$K$3</f>
        <v/>
      </c>
      <c r="B1813" s="27" t="str">
        <f>Resultados!$K$4</f>
        <v/>
      </c>
      <c r="C1813" s="568" t="str">
        <f>'900006'!$B28</f>
        <v>11701003</v>
      </c>
      <c r="D1813" s="27" t="str">
        <f>'900006'!$D$21</f>
        <v>C11701002</v>
      </c>
      <c r="E1813" s="27" t="str">
        <f>'900006'!$E28</f>
        <v>Todas los erogaciones laborales, tales como salarios, bonificaciones, comisiones de exito, etc., que se deban pagar con acciones de la compañía o de otra entidad del grupo. Los valores relacionados en este punto, se deben excluir de los valores relacionados en los puntos anteriores</v>
      </c>
      <c r="F1813" s="27" t="s">
        <v>19086</v>
      </c>
    </row>
    <row r="1814" spans="1:6">
      <c r="A1814" s="27" t="str">
        <f>Resultados!$K$3</f>
        <v/>
      </c>
      <c r="B1814" s="27" t="str">
        <f>Resultados!$K$4</f>
        <v/>
      </c>
      <c r="C1814" s="569">
        <f>'900007'!$B19</f>
        <v>11802002</v>
      </c>
      <c r="D1814" t="str">
        <f>'900007'!$D$13</f>
        <v>C11801001</v>
      </c>
      <c r="E1814">
        <f>'900007'!$D19</f>
        <v>0</v>
      </c>
      <c r="F1814" s="27" t="s">
        <v>19087</v>
      </c>
    </row>
    <row r="1815" spans="1:6">
      <c r="A1815" s="27" t="str">
        <f>Resultados!$K$3</f>
        <v/>
      </c>
      <c r="B1815" s="27" t="str">
        <f>Resultados!$K$4</f>
        <v/>
      </c>
      <c r="C1815" s="569">
        <f>'900007'!$B20</f>
        <v>11802003</v>
      </c>
      <c r="D1815" s="27" t="str">
        <f>'900007'!$D$13</f>
        <v>C11801001</v>
      </c>
      <c r="E1815" s="27">
        <f>'900007'!$D20</f>
        <v>0</v>
      </c>
      <c r="F1815" s="27" t="s">
        <v>19087</v>
      </c>
    </row>
    <row r="1816" spans="1:6">
      <c r="A1816" s="27" t="str">
        <f>Resultados!$K$3</f>
        <v/>
      </c>
      <c r="B1816" s="27" t="str">
        <f>Resultados!$K$4</f>
        <v/>
      </c>
      <c r="C1816" s="569">
        <f>'900007'!$B21</f>
        <v>11802004</v>
      </c>
      <c r="D1816" s="27" t="str">
        <f>'900007'!$D$13</f>
        <v>C11801001</v>
      </c>
      <c r="E1816" s="27">
        <f>'900007'!$D21</f>
        <v>0</v>
      </c>
      <c r="F1816" s="27" t="s">
        <v>19087</v>
      </c>
    </row>
    <row r="1817" spans="1:6">
      <c r="A1817" s="27" t="str">
        <f>Resultados!$K$3</f>
        <v/>
      </c>
      <c r="B1817" s="27" t="str">
        <f>Resultados!$K$4</f>
        <v/>
      </c>
      <c r="C1817" s="569">
        <f>'900007'!$B22</f>
        <v>11802005</v>
      </c>
      <c r="D1817" s="27" t="str">
        <f>'900007'!$D$13</f>
        <v>C11801001</v>
      </c>
      <c r="E1817" s="27">
        <f>'900007'!$D22</f>
        <v>0</v>
      </c>
      <c r="F1817" s="27" t="s">
        <v>19087</v>
      </c>
    </row>
    <row r="1818" spans="1:6">
      <c r="A1818" s="27" t="str">
        <f>Resultados!$K$3</f>
        <v/>
      </c>
      <c r="B1818" s="27" t="str">
        <f>Resultados!$K$4</f>
        <v/>
      </c>
      <c r="C1818" s="569">
        <f>'900007'!$B23</f>
        <v>11802006</v>
      </c>
      <c r="D1818" s="27" t="str">
        <f>'900007'!$D$13</f>
        <v>C11801001</v>
      </c>
      <c r="E1818" s="27">
        <f>'900007'!$D23</f>
        <v>0</v>
      </c>
      <c r="F1818" s="27" t="s">
        <v>19087</v>
      </c>
    </row>
    <row r="1819" spans="1:6">
      <c r="A1819" s="27" t="str">
        <f>Resultados!$K$3</f>
        <v/>
      </c>
      <c r="B1819" s="27" t="str">
        <f>Resultados!$K$4</f>
        <v/>
      </c>
      <c r="C1819" s="569">
        <f>'900007'!$B24</f>
        <v>11802007</v>
      </c>
      <c r="D1819" s="27" t="str">
        <f>'900007'!$D$13</f>
        <v>C11801001</v>
      </c>
      <c r="E1819" s="27">
        <f>'900007'!$D24</f>
        <v>0</v>
      </c>
      <c r="F1819" s="27" t="s">
        <v>19087</v>
      </c>
    </row>
    <row r="1820" spans="1:6">
      <c r="A1820" s="27" t="str">
        <f>Resultados!$K$3</f>
        <v/>
      </c>
      <c r="B1820" s="27" t="str">
        <f>Resultados!$K$4</f>
        <v/>
      </c>
      <c r="C1820" s="569">
        <f>'900007'!$B25</f>
        <v>11802008</v>
      </c>
      <c r="D1820" s="27" t="str">
        <f>'900007'!$D$13</f>
        <v>C11801001</v>
      </c>
      <c r="E1820" s="27">
        <f>'900007'!$D25</f>
        <v>0</v>
      </c>
      <c r="F1820" s="27" t="s">
        <v>19087</v>
      </c>
    </row>
    <row r="1821" spans="1:6">
      <c r="A1821" s="27" t="str">
        <f>Resultados!$K$3</f>
        <v/>
      </c>
      <c r="B1821" s="27" t="str">
        <f>Resultados!$K$4</f>
        <v/>
      </c>
      <c r="C1821" s="569">
        <f>'900007'!$B26</f>
        <v>11802009</v>
      </c>
      <c r="D1821" s="27" t="str">
        <f>'900007'!$D$13</f>
        <v>C11801001</v>
      </c>
      <c r="E1821" s="27">
        <f>'900007'!$D26</f>
        <v>0</v>
      </c>
      <c r="F1821" s="27" t="s">
        <v>19087</v>
      </c>
    </row>
    <row r="1822" spans="1:6">
      <c r="A1822" s="27" t="str">
        <f>Resultados!$K$3</f>
        <v/>
      </c>
      <c r="B1822" s="27" t="str">
        <f>Resultados!$K$4</f>
        <v/>
      </c>
      <c r="C1822" s="569">
        <f>'900007'!$B27</f>
        <v>11802010</v>
      </c>
      <c r="D1822" s="27" t="str">
        <f>'900007'!$D$13</f>
        <v>C11801001</v>
      </c>
      <c r="E1822" s="27">
        <f>'900007'!$D27</f>
        <v>0</v>
      </c>
      <c r="F1822" s="27" t="s">
        <v>19087</v>
      </c>
    </row>
    <row r="1823" spans="1:6">
      <c r="A1823" s="27" t="str">
        <f>Resultados!$K$3</f>
        <v/>
      </c>
      <c r="B1823" s="27" t="str">
        <f>Resultados!$K$4</f>
        <v/>
      </c>
      <c r="C1823" s="569">
        <f>'900007'!$B29</f>
        <v>11803001</v>
      </c>
      <c r="D1823" s="27" t="str">
        <f>'900007'!$D$13</f>
        <v>C11801001</v>
      </c>
      <c r="E1823">
        <f>'900007'!$D29</f>
        <v>0</v>
      </c>
      <c r="F1823" s="27" t="s">
        <v>19087</v>
      </c>
    </row>
    <row r="1824" spans="1:6">
      <c r="A1824" s="27" t="str">
        <f>Resultados!$K$3</f>
        <v/>
      </c>
      <c r="B1824" s="27" t="str">
        <f>Resultados!$K$4</f>
        <v/>
      </c>
      <c r="C1824" s="569">
        <f>'900007'!$B30</f>
        <v>11803002</v>
      </c>
      <c r="D1824" s="27" t="str">
        <f>'900007'!$D$13</f>
        <v>C11801001</v>
      </c>
      <c r="E1824" s="27">
        <f>'900007'!$D30</f>
        <v>0</v>
      </c>
      <c r="F1824" s="27" t="s">
        <v>19087</v>
      </c>
    </row>
    <row r="1825" spans="1:6">
      <c r="A1825" s="27" t="str">
        <f>Resultados!$K$3</f>
        <v/>
      </c>
      <c r="B1825" s="27" t="str">
        <f>Resultados!$K$4</f>
        <v/>
      </c>
      <c r="C1825" s="569">
        <f>'900007'!$B31</f>
        <v>11803003</v>
      </c>
      <c r="D1825" s="27" t="str">
        <f>'900007'!$D$13</f>
        <v>C11801001</v>
      </c>
      <c r="E1825" s="27">
        <f>'900007'!$D31</f>
        <v>0</v>
      </c>
      <c r="F1825" s="27" t="s">
        <v>19087</v>
      </c>
    </row>
    <row r="1826" spans="1:6">
      <c r="A1826" s="27" t="str">
        <f>Resultados!$K$3</f>
        <v/>
      </c>
      <c r="B1826" s="27" t="str">
        <f>Resultados!$K$4</f>
        <v/>
      </c>
      <c r="C1826" s="569">
        <f>'900007'!$B32</f>
        <v>11803004</v>
      </c>
      <c r="D1826" s="27" t="str">
        <f>'900007'!$D$13</f>
        <v>C11801001</v>
      </c>
      <c r="E1826" s="27">
        <f>'900007'!$D32</f>
        <v>0</v>
      </c>
      <c r="F1826" s="27" t="s">
        <v>19087</v>
      </c>
    </row>
    <row r="1827" spans="1:6">
      <c r="A1827" s="27" t="str">
        <f>Resultados!$K$3</f>
        <v/>
      </c>
      <c r="B1827" s="27" t="str">
        <f>Resultados!$K$4</f>
        <v/>
      </c>
      <c r="C1827" s="569">
        <f>'900007'!$B33</f>
        <v>11803005</v>
      </c>
      <c r="D1827" s="27" t="str">
        <f>'900007'!$D$13</f>
        <v>C11801001</v>
      </c>
      <c r="E1827" s="27">
        <f>'900007'!$D33</f>
        <v>0</v>
      </c>
      <c r="F1827" s="27" t="s">
        <v>19087</v>
      </c>
    </row>
    <row r="1828" spans="1:6">
      <c r="A1828" s="27" t="str">
        <f>Resultados!$K$3</f>
        <v/>
      </c>
      <c r="B1828" s="27" t="str">
        <f>Resultados!$K$4</f>
        <v/>
      </c>
      <c r="C1828" s="569">
        <f>'900007'!$B34</f>
        <v>11803006</v>
      </c>
      <c r="D1828" s="27" t="str">
        <f>'900007'!$D$13</f>
        <v>C11801001</v>
      </c>
      <c r="E1828" s="27">
        <f>'900007'!$D34</f>
        <v>0</v>
      </c>
      <c r="F1828" s="27" t="s">
        <v>19087</v>
      </c>
    </row>
    <row r="1829" spans="1:6">
      <c r="A1829" s="27" t="str">
        <f>Resultados!$K$3</f>
        <v/>
      </c>
      <c r="B1829" s="27" t="str">
        <f>Resultados!$K$4</f>
        <v/>
      </c>
      <c r="C1829" s="569">
        <f>'900007'!$B35</f>
        <v>11803007</v>
      </c>
      <c r="D1829" s="27" t="str">
        <f>'900007'!$D$13</f>
        <v>C11801001</v>
      </c>
      <c r="E1829" s="27">
        <f>'900007'!$D35</f>
        <v>0</v>
      </c>
      <c r="F1829" s="27" t="s">
        <v>19087</v>
      </c>
    </row>
    <row r="1830" spans="1:6">
      <c r="A1830" s="27" t="str">
        <f>Resultados!$K$3</f>
        <v/>
      </c>
      <c r="B1830" s="27" t="str">
        <f>Resultados!$K$4</f>
        <v/>
      </c>
      <c r="C1830" s="569">
        <f>'900007'!$B36</f>
        <v>11803008</v>
      </c>
      <c r="D1830" s="27" t="str">
        <f>'900007'!$D$13</f>
        <v>C11801001</v>
      </c>
      <c r="E1830" s="27">
        <f>'900007'!$D36</f>
        <v>0</v>
      </c>
      <c r="F1830" s="27" t="s">
        <v>19087</v>
      </c>
    </row>
    <row r="1831" spans="1:6">
      <c r="A1831" s="27" t="str">
        <f>Resultados!$K$3</f>
        <v/>
      </c>
      <c r="B1831" s="27" t="str">
        <f>Resultados!$K$4</f>
        <v/>
      </c>
      <c r="C1831" s="569">
        <f>'900007'!$B37</f>
        <v>11803009</v>
      </c>
      <c r="D1831" s="27" t="str">
        <f>'900007'!$D$13</f>
        <v>C11801001</v>
      </c>
      <c r="E1831" s="27">
        <f>'900007'!$D37</f>
        <v>0</v>
      </c>
      <c r="F1831" s="27" t="s">
        <v>19087</v>
      </c>
    </row>
    <row r="1832" spans="1:6">
      <c r="A1832" s="27" t="str">
        <f>Resultados!$K$3</f>
        <v/>
      </c>
      <c r="B1832" s="27" t="str">
        <f>Resultados!$K$4</f>
        <v/>
      </c>
      <c r="C1832" s="569">
        <f>'900007'!$B38</f>
        <v>11804001</v>
      </c>
      <c r="D1832" s="27" t="str">
        <f>'900007'!$D$13</f>
        <v>C11801001</v>
      </c>
      <c r="E1832">
        <f>'900007'!$D38</f>
        <v>0</v>
      </c>
      <c r="F1832" s="27" t="s">
        <v>19087</v>
      </c>
    </row>
    <row r="1833" spans="1:6">
      <c r="A1833" s="27" t="str">
        <f>Resultados!$K$3</f>
        <v/>
      </c>
      <c r="B1833" s="27" t="str">
        <f>Resultados!$K$4</f>
        <v/>
      </c>
      <c r="C1833" s="569">
        <f>'900007'!$B40</f>
        <v>11805002</v>
      </c>
      <c r="D1833" s="27" t="str">
        <f>'900007'!$D$13</f>
        <v>C11801001</v>
      </c>
      <c r="E1833">
        <f>'900007'!$D40</f>
        <v>0</v>
      </c>
      <c r="F1833" s="27" t="s">
        <v>19087</v>
      </c>
    </row>
    <row r="1834" spans="1:6">
      <c r="A1834" s="27" t="str">
        <f>Resultados!$K$3</f>
        <v/>
      </c>
      <c r="B1834" s="27" t="str">
        <f>Resultados!$K$4</f>
        <v/>
      </c>
      <c r="C1834" s="569">
        <f>'900007'!$B41</f>
        <v>11805003</v>
      </c>
      <c r="D1834" s="27" t="str">
        <f>'900007'!$D$13</f>
        <v>C11801001</v>
      </c>
      <c r="E1834" s="27">
        <f>'900007'!$D41</f>
        <v>0</v>
      </c>
      <c r="F1834" s="27" t="s">
        <v>19087</v>
      </c>
    </row>
    <row r="1835" spans="1:6">
      <c r="A1835" s="27" t="str">
        <f>Resultados!$K$3</f>
        <v/>
      </c>
      <c r="B1835" s="27" t="str">
        <f>Resultados!$K$4</f>
        <v/>
      </c>
      <c r="C1835" s="569">
        <f>'900007'!$B42</f>
        <v>11805004</v>
      </c>
      <c r="D1835" s="27" t="str">
        <f>'900007'!$D$13</f>
        <v>C11801001</v>
      </c>
      <c r="E1835" s="27">
        <f>'900007'!$D42</f>
        <v>0</v>
      </c>
      <c r="F1835" s="27" t="s">
        <v>19087</v>
      </c>
    </row>
    <row r="1836" spans="1:6">
      <c r="A1836" s="27" t="str">
        <f>Resultados!$K$3</f>
        <v/>
      </c>
      <c r="B1836" s="27" t="str">
        <f>Resultados!$K$4</f>
        <v/>
      </c>
      <c r="C1836" s="569">
        <f>'900007'!$B43</f>
        <v>11805005</v>
      </c>
      <c r="D1836" s="27" t="str">
        <f>'900007'!$D$13</f>
        <v>C11801001</v>
      </c>
      <c r="E1836" s="27">
        <f>'900007'!$D43</f>
        <v>0</v>
      </c>
      <c r="F1836" s="27" t="s">
        <v>19087</v>
      </c>
    </row>
    <row r="1837" spans="1:6">
      <c r="A1837" s="27" t="str">
        <f>Resultados!$K$3</f>
        <v/>
      </c>
      <c r="B1837" s="27" t="str">
        <f>Resultados!$K$4</f>
        <v/>
      </c>
      <c r="C1837" s="569">
        <f>'900007'!$B44</f>
        <v>11805006</v>
      </c>
      <c r="D1837" s="27" t="str">
        <f>'900007'!$D$13</f>
        <v>C11801001</v>
      </c>
      <c r="E1837" s="27">
        <f>'900007'!$D44</f>
        <v>0</v>
      </c>
      <c r="F1837" s="27" t="s">
        <v>19087</v>
      </c>
    </row>
    <row r="1838" spans="1:6">
      <c r="A1838" s="27" t="str">
        <f>Resultados!$K$3</f>
        <v/>
      </c>
      <c r="B1838" s="27" t="str">
        <f>Resultados!$K$4</f>
        <v/>
      </c>
      <c r="C1838" s="569">
        <f>'900007'!$B45</f>
        <v>11805007</v>
      </c>
      <c r="D1838" s="27" t="str">
        <f>'900007'!$D$13</f>
        <v>C11801001</v>
      </c>
      <c r="E1838" s="27">
        <f>'900007'!$D45</f>
        <v>0</v>
      </c>
      <c r="F1838" s="27" t="s">
        <v>19087</v>
      </c>
    </row>
    <row r="1839" spans="1:6">
      <c r="A1839" s="27" t="str">
        <f>Resultados!$K$3</f>
        <v/>
      </c>
      <c r="B1839" s="27" t="str">
        <f>Resultados!$K$4</f>
        <v/>
      </c>
      <c r="C1839" s="569">
        <f>'900007'!$B46</f>
        <v>11805008</v>
      </c>
      <c r="D1839" s="27" t="str">
        <f>'900007'!$D$13</f>
        <v>C11801001</v>
      </c>
      <c r="E1839" s="27">
        <f>'900007'!$D46</f>
        <v>0</v>
      </c>
      <c r="F1839" s="27" t="s">
        <v>19087</v>
      </c>
    </row>
    <row r="1840" spans="1:6">
      <c r="A1840" s="27" t="str">
        <f>Resultados!$K$3</f>
        <v/>
      </c>
      <c r="B1840" s="27" t="str">
        <f>Resultados!$K$4</f>
        <v/>
      </c>
      <c r="C1840" s="569">
        <f>'900007'!$B47</f>
        <v>11805009</v>
      </c>
      <c r="D1840" s="27" t="str">
        <f>'900007'!$D$13</f>
        <v>C11801001</v>
      </c>
      <c r="E1840" s="27">
        <f>'900007'!$D47</f>
        <v>0</v>
      </c>
      <c r="F1840" s="27" t="s">
        <v>19087</v>
      </c>
    </row>
    <row r="1841" spans="1:6">
      <c r="A1841" s="27" t="str">
        <f>Resultados!$K$3</f>
        <v/>
      </c>
      <c r="B1841" s="27" t="str">
        <f>Resultados!$K$4</f>
        <v/>
      </c>
      <c r="C1841" s="569">
        <f>'900007'!$B48</f>
        <v>11805010</v>
      </c>
      <c r="D1841" s="27" t="str">
        <f>'900007'!$D$13</f>
        <v>C11801001</v>
      </c>
      <c r="E1841" s="27">
        <f>'900007'!$D48</f>
        <v>0</v>
      </c>
      <c r="F1841" s="27" t="s">
        <v>19087</v>
      </c>
    </row>
    <row r="1842" spans="1:6">
      <c r="A1842" s="27" t="str">
        <f>Resultados!$K$3</f>
        <v/>
      </c>
      <c r="B1842" s="27" t="str">
        <f>Resultados!$K$4</f>
        <v/>
      </c>
      <c r="C1842" s="569">
        <f>'900007'!$B49</f>
        <v>11805011</v>
      </c>
      <c r="D1842" s="27" t="str">
        <f>'900007'!$D$13</f>
        <v>C11801001</v>
      </c>
      <c r="E1842" s="27">
        <f>'900007'!$D49</f>
        <v>0</v>
      </c>
      <c r="F1842" s="27" t="s">
        <v>19087</v>
      </c>
    </row>
    <row r="1843" spans="1:6">
      <c r="A1843" s="27" t="str">
        <f>Resultados!$K$3</f>
        <v/>
      </c>
      <c r="B1843" s="27" t="str">
        <f>Resultados!$K$4</f>
        <v/>
      </c>
      <c r="C1843" s="569">
        <f>'900007'!$B50</f>
        <v>11805012</v>
      </c>
      <c r="D1843" s="27" t="str">
        <f>'900007'!$D$13</f>
        <v>C11801001</v>
      </c>
      <c r="E1843" s="27">
        <f>'900007'!$D50</f>
        <v>0</v>
      </c>
      <c r="F1843" s="27" t="s">
        <v>19087</v>
      </c>
    </row>
    <row r="1844" spans="1:6">
      <c r="A1844" s="27" t="str">
        <f>Resultados!$K$3</f>
        <v/>
      </c>
      <c r="B1844" s="27" t="str">
        <f>Resultados!$K$4</f>
        <v/>
      </c>
      <c r="C1844" s="569">
        <f>'900007'!$B51</f>
        <v>11805013</v>
      </c>
      <c r="D1844" s="27" t="str">
        <f>'900007'!$D$13</f>
        <v>C11801001</v>
      </c>
      <c r="E1844" s="27">
        <f>'900007'!$D51</f>
        <v>0</v>
      </c>
      <c r="F1844" s="27" t="s">
        <v>19087</v>
      </c>
    </row>
    <row r="1845" spans="1:6">
      <c r="A1845" s="27" t="str">
        <f>Resultados!$K$3</f>
        <v/>
      </c>
      <c r="B1845" s="27" t="str">
        <f>Resultados!$K$4</f>
        <v/>
      </c>
      <c r="C1845" s="569">
        <f>'900007'!$B52</f>
        <v>11805014</v>
      </c>
      <c r="D1845" s="27" t="str">
        <f>'900007'!$D$13</f>
        <v>C11801001</v>
      </c>
      <c r="E1845" s="27">
        <f>'900007'!$D52</f>
        <v>0</v>
      </c>
      <c r="F1845" s="27" t="s">
        <v>19087</v>
      </c>
    </row>
    <row r="1846" spans="1:6">
      <c r="A1846" s="27" t="str">
        <f>Resultados!$K$3</f>
        <v/>
      </c>
      <c r="B1846" s="27" t="str">
        <f>Resultados!$K$4</f>
        <v/>
      </c>
      <c r="C1846" s="569">
        <f>'900007'!$B53</f>
        <v>11805015</v>
      </c>
      <c r="D1846" s="27" t="str">
        <f>'900007'!$D$13</f>
        <v>C11801001</v>
      </c>
      <c r="E1846" s="27">
        <f>'900007'!$D53</f>
        <v>0</v>
      </c>
      <c r="F1846" s="27" t="s">
        <v>19087</v>
      </c>
    </row>
    <row r="1847" spans="1:6">
      <c r="A1847" s="27" t="str">
        <f>Resultados!$K$3</f>
        <v/>
      </c>
      <c r="B1847" s="27" t="str">
        <f>Resultados!$K$4</f>
        <v/>
      </c>
      <c r="C1847" s="568" t="str">
        <f>'900008'!$B19</f>
        <v>11901002</v>
      </c>
      <c r="D1847" t="str">
        <f>'900008'!$H$17</f>
        <v>C11901002</v>
      </c>
      <c r="E1847">
        <f>'900008'!$H19</f>
        <v>0</v>
      </c>
      <c r="F1847" s="27" t="s">
        <v>19088</v>
      </c>
    </row>
    <row r="1848" spans="1:6">
      <c r="A1848" s="27" t="str">
        <f>Resultados!$K$3</f>
        <v/>
      </c>
      <c r="B1848" s="27" t="str">
        <f>Resultados!$K$4</f>
        <v/>
      </c>
      <c r="C1848" s="568" t="str">
        <f>'900008'!$B20</f>
        <v>11901003</v>
      </c>
      <c r="D1848" s="27" t="str">
        <f>'900008'!$H$17</f>
        <v>C11901002</v>
      </c>
      <c r="E1848" s="27">
        <f>'900008'!$H20</f>
        <v>0</v>
      </c>
      <c r="F1848" s="27" t="s">
        <v>19088</v>
      </c>
    </row>
    <row r="1849" spans="1:6">
      <c r="A1849" s="27" t="str">
        <f>Resultados!$K$3</f>
        <v/>
      </c>
      <c r="B1849" s="27" t="str">
        <f>Resultados!$K$4</f>
        <v/>
      </c>
      <c r="C1849" s="568" t="str">
        <f>'900008'!$B21</f>
        <v>11901004</v>
      </c>
      <c r="D1849" s="27" t="str">
        <f>'900008'!$H$17</f>
        <v>C11901002</v>
      </c>
      <c r="E1849" s="27">
        <f>'900008'!$H21</f>
        <v>0</v>
      </c>
      <c r="F1849" s="27" t="s">
        <v>19088</v>
      </c>
    </row>
    <row r="1850" spans="1:6">
      <c r="A1850" s="27" t="str">
        <f>Resultados!$K$3</f>
        <v/>
      </c>
      <c r="B1850" s="27" t="str">
        <f>Resultados!$K$4</f>
        <v/>
      </c>
      <c r="C1850" s="568" t="str">
        <f>'900008'!$B22</f>
        <v>11901005</v>
      </c>
      <c r="D1850" s="27" t="str">
        <f>'900008'!$H$17</f>
        <v>C11901002</v>
      </c>
      <c r="E1850" s="27">
        <f>'900008'!$H22</f>
        <v>0</v>
      </c>
      <c r="F1850" s="27" t="s">
        <v>19088</v>
      </c>
    </row>
    <row r="1851" spans="1:6">
      <c r="A1851" s="27" t="str">
        <f>Resultados!$K$3</f>
        <v/>
      </c>
      <c r="B1851" s="27" t="str">
        <f>Resultados!$K$4</f>
        <v/>
      </c>
      <c r="C1851" s="568" t="str">
        <f>'900008'!$B23</f>
        <v>11901006</v>
      </c>
      <c r="D1851" s="27" t="str">
        <f>'900008'!$H$17</f>
        <v>C11901002</v>
      </c>
      <c r="E1851" s="27">
        <f>'900008'!$H23</f>
        <v>0</v>
      </c>
      <c r="F1851" s="27" t="s">
        <v>19088</v>
      </c>
    </row>
    <row r="1852" spans="1:6">
      <c r="A1852" s="27" t="str">
        <f>Resultados!$K$3</f>
        <v/>
      </c>
      <c r="B1852" s="27" t="str">
        <f>Resultados!$K$4</f>
        <v/>
      </c>
      <c r="C1852" s="568" t="str">
        <f>'900008'!$B24</f>
        <v>11901007</v>
      </c>
      <c r="D1852" s="27" t="str">
        <f>'900008'!$H$17</f>
        <v>C11901002</v>
      </c>
      <c r="E1852" s="27">
        <f>'900008'!$H24</f>
        <v>0</v>
      </c>
      <c r="F1852" s="27" t="s">
        <v>19088</v>
      </c>
    </row>
    <row r="1853" spans="1:6">
      <c r="A1853" s="27" t="str">
        <f>Resultados!$K$3</f>
        <v/>
      </c>
      <c r="B1853" s="27" t="str">
        <f>Resultados!$K$4</f>
        <v/>
      </c>
      <c r="C1853" s="568" t="str">
        <f>'900008'!$B25</f>
        <v>11901008</v>
      </c>
      <c r="D1853" s="27" t="str">
        <f>'900008'!$H$17</f>
        <v>C11901002</v>
      </c>
      <c r="E1853" s="27">
        <f>'900008'!$H25</f>
        <v>0</v>
      </c>
      <c r="F1853" s="27" t="s">
        <v>19088</v>
      </c>
    </row>
    <row r="1854" spans="1:6">
      <c r="A1854" s="27" t="str">
        <f>Resultados!$K$3</f>
        <v/>
      </c>
      <c r="B1854" s="27" t="str">
        <f>Resultados!$K$4</f>
        <v/>
      </c>
      <c r="C1854" s="568" t="str">
        <f>'900008'!$B26</f>
        <v>11901009</v>
      </c>
      <c r="D1854" s="27" t="str">
        <f>'900008'!$H$17</f>
        <v>C11901002</v>
      </c>
      <c r="E1854" s="27">
        <f>'900008'!$H26</f>
        <v>0</v>
      </c>
      <c r="F1854" s="27" t="s">
        <v>19088</v>
      </c>
    </row>
    <row r="1855" spans="1:6">
      <c r="A1855" s="27" t="str">
        <f>Resultados!$K$3</f>
        <v/>
      </c>
      <c r="B1855" s="27" t="str">
        <f>Resultados!$K$4</f>
        <v/>
      </c>
      <c r="C1855" s="568" t="str">
        <f>'900008'!$B27</f>
        <v>11901010</v>
      </c>
      <c r="D1855" s="27" t="str">
        <f>'900008'!$H$17</f>
        <v>C11901002</v>
      </c>
      <c r="E1855" s="27">
        <f>'900008'!$H27</f>
        <v>0</v>
      </c>
      <c r="F1855" s="27" t="s">
        <v>19088</v>
      </c>
    </row>
    <row r="1856" spans="1:6">
      <c r="A1856" s="27" t="str">
        <f>Resultados!$K$3</f>
        <v/>
      </c>
      <c r="B1856" s="27" t="str">
        <f>Resultados!$K$4</f>
        <v/>
      </c>
      <c r="C1856" s="568" t="str">
        <f>'900008'!$B28</f>
        <v>11901011</v>
      </c>
      <c r="D1856" s="27" t="str">
        <f>'900008'!$H$17</f>
        <v>C11901002</v>
      </c>
      <c r="E1856" s="27">
        <f>'900008'!$H28</f>
        <v>0</v>
      </c>
      <c r="F1856" s="27" t="s">
        <v>19088</v>
      </c>
    </row>
    <row r="1857" spans="1:6">
      <c r="A1857" s="27" t="str">
        <f>Resultados!$K$3</f>
        <v/>
      </c>
      <c r="B1857" s="27" t="str">
        <f>Resultados!$K$4</f>
        <v/>
      </c>
      <c r="C1857" s="568" t="str">
        <f>'900008'!$B29</f>
        <v>11901012</v>
      </c>
      <c r="D1857" s="27" t="str">
        <f>'900008'!$H$17</f>
        <v>C11901002</v>
      </c>
      <c r="E1857" s="27">
        <f>'900008'!$H29</f>
        <v>0</v>
      </c>
      <c r="F1857" s="27" t="s">
        <v>19088</v>
      </c>
    </row>
    <row r="1858" spans="1:6">
      <c r="A1858" s="27" t="str">
        <f>Resultados!$K$3</f>
        <v/>
      </c>
      <c r="B1858" s="27" t="str">
        <f>Resultados!$K$4</f>
        <v/>
      </c>
      <c r="C1858" s="568" t="str">
        <f>'900008'!$B30</f>
        <v>11901013</v>
      </c>
      <c r="D1858" s="27" t="str">
        <f>'900008'!$H$17</f>
        <v>C11901002</v>
      </c>
      <c r="E1858" s="27">
        <f>'900008'!$H30</f>
        <v>0</v>
      </c>
      <c r="F1858" s="27" t="s">
        <v>19088</v>
      </c>
    </row>
    <row r="1859" spans="1:6">
      <c r="A1859" s="27" t="str">
        <f>Resultados!$K$3</f>
        <v/>
      </c>
      <c r="B1859" s="27" t="str">
        <f>Resultados!$K$4</f>
        <v/>
      </c>
      <c r="C1859" s="568" t="str">
        <f>'900008'!$B31</f>
        <v>11901014</v>
      </c>
      <c r="D1859" s="27" t="str">
        <f>'900008'!$H$17</f>
        <v>C11901002</v>
      </c>
      <c r="E1859" s="27">
        <f>'900008'!$H31</f>
        <v>0</v>
      </c>
      <c r="F1859" s="27" t="s">
        <v>19088</v>
      </c>
    </row>
    <row r="1860" spans="1:6">
      <c r="A1860" s="27" t="str">
        <f>Resultados!$K$3</f>
        <v/>
      </c>
      <c r="B1860" s="27" t="str">
        <f>Resultados!$K$4</f>
        <v/>
      </c>
      <c r="C1860" s="568" t="str">
        <f>'900008'!$B32</f>
        <v>11901015</v>
      </c>
      <c r="D1860" s="27" t="str">
        <f>'900008'!$H$17</f>
        <v>C11901002</v>
      </c>
      <c r="E1860" s="27">
        <f>'900008'!$H32</f>
        <v>0</v>
      </c>
      <c r="F1860" s="27" t="s">
        <v>19088</v>
      </c>
    </row>
    <row r="1861" spans="1:6">
      <c r="A1861" s="27" t="str">
        <f>Resultados!$K$3</f>
        <v/>
      </c>
      <c r="B1861" s="27" t="str">
        <f>Resultados!$K$4</f>
        <v/>
      </c>
      <c r="C1861" s="568" t="str">
        <f>'900008'!$B33</f>
        <v>11901016</v>
      </c>
      <c r="D1861" s="27" t="str">
        <f>'900008'!$H$17</f>
        <v>C11901002</v>
      </c>
      <c r="E1861" s="27">
        <f>'900008'!$H33</f>
        <v>0</v>
      </c>
      <c r="F1861" s="27" t="s">
        <v>19088</v>
      </c>
    </row>
    <row r="1862" spans="1:6">
      <c r="A1862" s="27" t="str">
        <f>Resultados!$K$3</f>
        <v/>
      </c>
      <c r="B1862" s="27" t="str">
        <f>Resultados!$K$4</f>
        <v/>
      </c>
      <c r="C1862" s="568" t="str">
        <f>'900008'!$B42</f>
        <v>11902002</v>
      </c>
      <c r="D1862" t="str">
        <f>'900008'!$C$40</f>
        <v>C11902003</v>
      </c>
      <c r="E1862">
        <f>'900008'!$C42</f>
        <v>0</v>
      </c>
      <c r="F1862" s="27" t="s">
        <v>19088</v>
      </c>
    </row>
    <row r="1863" spans="1:6">
      <c r="A1863" s="27" t="str">
        <f>Resultados!$K$3</f>
        <v/>
      </c>
      <c r="B1863" s="27" t="str">
        <f>Resultados!$K$4</f>
        <v/>
      </c>
      <c r="C1863" s="568" t="str">
        <f>'900008'!$B43</f>
        <v>11902003</v>
      </c>
      <c r="D1863" s="27" t="str">
        <f>'900008'!$C$40</f>
        <v>C11902003</v>
      </c>
      <c r="E1863" s="27">
        <f>'900008'!$C43</f>
        <v>0</v>
      </c>
      <c r="F1863" s="27" t="s">
        <v>19088</v>
      </c>
    </row>
    <row r="1864" spans="1:6">
      <c r="A1864" s="27" t="str">
        <f>Resultados!$K$3</f>
        <v/>
      </c>
      <c r="B1864" s="27" t="str">
        <f>Resultados!$K$4</f>
        <v/>
      </c>
      <c r="C1864" s="568" t="str">
        <f>'900008'!$B44</f>
        <v>11902004</v>
      </c>
      <c r="D1864" s="27" t="str">
        <f>'900008'!$C$40</f>
        <v>C11902003</v>
      </c>
      <c r="E1864" s="27">
        <f>'900008'!$C44</f>
        <v>0</v>
      </c>
      <c r="F1864" s="27" t="s">
        <v>19088</v>
      </c>
    </row>
    <row r="1865" spans="1:6">
      <c r="A1865" s="27" t="str">
        <f>Resultados!$K$3</f>
        <v/>
      </c>
      <c r="B1865" s="27" t="str">
        <f>Resultados!$K$4</f>
        <v/>
      </c>
      <c r="C1865" s="568" t="str">
        <f>'900008'!$B45</f>
        <v>11902005</v>
      </c>
      <c r="D1865" s="27" t="str">
        <f>'900008'!$C$40</f>
        <v>C11902003</v>
      </c>
      <c r="E1865" s="27">
        <f>'900008'!$C45</f>
        <v>0</v>
      </c>
      <c r="F1865" s="27" t="s">
        <v>19088</v>
      </c>
    </row>
    <row r="1866" spans="1:6">
      <c r="A1866" s="27" t="str">
        <f>Resultados!$K$3</f>
        <v/>
      </c>
      <c r="B1866" s="27" t="str">
        <f>Resultados!$K$4</f>
        <v/>
      </c>
      <c r="C1866" s="568" t="str">
        <f>'900008'!$B46</f>
        <v>11902006</v>
      </c>
      <c r="D1866" s="27" t="str">
        <f>'900008'!$C$40</f>
        <v>C11902003</v>
      </c>
      <c r="E1866" s="27">
        <f>'900008'!$C46</f>
        <v>0</v>
      </c>
      <c r="F1866" s="27" t="s">
        <v>19088</v>
      </c>
    </row>
    <row r="1867" spans="1:6">
      <c r="A1867" s="27" t="str">
        <f>Resultados!$K$3</f>
        <v/>
      </c>
      <c r="B1867" s="27" t="str">
        <f>Resultados!$K$4</f>
        <v/>
      </c>
      <c r="C1867" s="568" t="str">
        <f>'900008'!$B47</f>
        <v>11902007</v>
      </c>
      <c r="D1867" s="27" t="str">
        <f>'900008'!$C$40</f>
        <v>C11902003</v>
      </c>
      <c r="E1867" s="27">
        <f>'900008'!$C47</f>
        <v>0</v>
      </c>
      <c r="F1867" s="27" t="s">
        <v>19088</v>
      </c>
    </row>
    <row r="1868" spans="1:6">
      <c r="A1868" s="27" t="str">
        <f>Resultados!$K$3</f>
        <v/>
      </c>
      <c r="B1868" s="27" t="str">
        <f>Resultados!$K$4</f>
        <v/>
      </c>
      <c r="C1868" s="568" t="str">
        <f>'900008'!$B48</f>
        <v>11902008</v>
      </c>
      <c r="D1868" s="27" t="str">
        <f>'900008'!$C$40</f>
        <v>C11902003</v>
      </c>
      <c r="E1868" s="27">
        <f>'900008'!$C48</f>
        <v>0</v>
      </c>
      <c r="F1868" s="27" t="s">
        <v>19088</v>
      </c>
    </row>
    <row r="1869" spans="1:6">
      <c r="A1869" s="27" t="str">
        <f>Resultados!$K$3</f>
        <v/>
      </c>
      <c r="B1869" s="27" t="str">
        <f>Resultados!$K$4</f>
        <v/>
      </c>
      <c r="C1869" s="568" t="str">
        <f>'900008'!$B49</f>
        <v>11902009</v>
      </c>
      <c r="D1869" s="27" t="str">
        <f>'900008'!$C$40</f>
        <v>C11902003</v>
      </c>
      <c r="E1869" s="27">
        <f>'900008'!$C49</f>
        <v>0</v>
      </c>
      <c r="F1869" s="27" t="s">
        <v>19088</v>
      </c>
    </row>
    <row r="1870" spans="1:6">
      <c r="A1870" s="27" t="str">
        <f>Resultados!$K$3</f>
        <v/>
      </c>
      <c r="B1870" s="27" t="str">
        <f>Resultados!$K$4</f>
        <v/>
      </c>
      <c r="C1870" s="568" t="str">
        <f>'900008'!$B50</f>
        <v>11902010</v>
      </c>
      <c r="D1870" s="27" t="str">
        <f>'900008'!$C$40</f>
        <v>C11902003</v>
      </c>
      <c r="E1870" s="27">
        <f>'900008'!$C50</f>
        <v>0</v>
      </c>
      <c r="F1870" s="27" t="s">
        <v>19088</v>
      </c>
    </row>
    <row r="1871" spans="1:6">
      <c r="A1871" s="27" t="str">
        <f>Resultados!$K$3</f>
        <v/>
      </c>
      <c r="B1871" s="27" t="str">
        <f>Resultados!$K$4</f>
        <v/>
      </c>
      <c r="C1871" s="568" t="str">
        <f>'900008'!$B51</f>
        <v>11902011</v>
      </c>
      <c r="D1871" s="27" t="str">
        <f>'900008'!$C$40</f>
        <v>C11902003</v>
      </c>
      <c r="E1871" s="27">
        <f>'900008'!$C51</f>
        <v>0</v>
      </c>
      <c r="F1871" s="27" t="s">
        <v>19088</v>
      </c>
    </row>
    <row r="1872" spans="1:6">
      <c r="A1872" s="27" t="str">
        <f>Resultados!$K$3</f>
        <v/>
      </c>
      <c r="B1872" s="27" t="str">
        <f>Resultados!$K$4</f>
        <v/>
      </c>
      <c r="C1872" s="568" t="str">
        <f>'900008'!$B52</f>
        <v>11902012</v>
      </c>
      <c r="D1872" s="27" t="str">
        <f>'900008'!$C$40</f>
        <v>C11902003</v>
      </c>
      <c r="E1872" s="27">
        <f>'900008'!$C52</f>
        <v>0</v>
      </c>
      <c r="F1872" s="27" t="s">
        <v>19088</v>
      </c>
    </row>
    <row r="1873" spans="1:6">
      <c r="A1873" s="27" t="str">
        <f>Resultados!$K$3</f>
        <v/>
      </c>
      <c r="B1873" s="27" t="str">
        <f>Resultados!$K$4</f>
        <v/>
      </c>
      <c r="C1873" s="568" t="str">
        <f>'900008'!$B53</f>
        <v>11902013</v>
      </c>
      <c r="D1873" s="27" t="str">
        <f>'900008'!$C$40</f>
        <v>C11902003</v>
      </c>
      <c r="E1873" s="27">
        <f>'900008'!$C53</f>
        <v>0</v>
      </c>
      <c r="F1873" s="27" t="s">
        <v>19088</v>
      </c>
    </row>
    <row r="1874" spans="1:6">
      <c r="A1874" s="27" t="str">
        <f>Resultados!$K$3</f>
        <v/>
      </c>
      <c r="B1874" s="27" t="str">
        <f>Resultados!$K$4</f>
        <v/>
      </c>
      <c r="C1874" s="568" t="str">
        <f>'900008'!$B54</f>
        <v>11902014</v>
      </c>
      <c r="D1874" s="27" t="str">
        <f>'900008'!$C$40</f>
        <v>C11902003</v>
      </c>
      <c r="E1874" s="27">
        <f>'900008'!$C54</f>
        <v>0</v>
      </c>
      <c r="F1874" s="27" t="s">
        <v>19088</v>
      </c>
    </row>
    <row r="1875" spans="1:6">
      <c r="A1875" s="27" t="str">
        <f>Resultados!$K$3</f>
        <v/>
      </c>
      <c r="B1875" s="27" t="str">
        <f>Resultados!$K$4</f>
        <v/>
      </c>
      <c r="C1875" s="568" t="str">
        <f>'900008'!$B55</f>
        <v>11902015</v>
      </c>
      <c r="D1875" s="27" t="str">
        <f>'900008'!$C$40</f>
        <v>C11902003</v>
      </c>
      <c r="E1875" s="27">
        <f>'900008'!$C55</f>
        <v>0</v>
      </c>
      <c r="F1875" s="27" t="s">
        <v>19088</v>
      </c>
    </row>
    <row r="1876" spans="1:6">
      <c r="A1876" s="27" t="str">
        <f>Resultados!$K$3</f>
        <v/>
      </c>
      <c r="B1876" s="27" t="str">
        <f>Resultados!$K$4</f>
        <v/>
      </c>
      <c r="C1876" s="568" t="str">
        <f>'900008'!$B56</f>
        <v>11902016</v>
      </c>
      <c r="D1876" s="27" t="str">
        <f>'900008'!$C$40</f>
        <v>C11902003</v>
      </c>
      <c r="E1876" s="27">
        <f>'900008'!$C56</f>
        <v>0</v>
      </c>
      <c r="F1876" s="27" t="s">
        <v>19088</v>
      </c>
    </row>
    <row r="1877" spans="1:6">
      <c r="A1877" s="27" t="str">
        <f>Resultados!$K$3</f>
        <v/>
      </c>
      <c r="B1877" s="27" t="str">
        <f>Resultados!$K$4</f>
        <v/>
      </c>
      <c r="C1877" s="568" t="str">
        <f>'900008'!$B42</f>
        <v>11902002</v>
      </c>
      <c r="D1877" t="str">
        <f>'900008'!$D$40</f>
        <v>C11902002</v>
      </c>
      <c r="E1877">
        <f>'900008'!$D42</f>
        <v>0</v>
      </c>
      <c r="F1877" s="27" t="s">
        <v>19088</v>
      </c>
    </row>
    <row r="1878" spans="1:6">
      <c r="A1878" s="27" t="str">
        <f>Resultados!$K$3</f>
        <v/>
      </c>
      <c r="B1878" s="27" t="str">
        <f>Resultados!$K$4</f>
        <v/>
      </c>
      <c r="C1878" s="568" t="str">
        <f>'900008'!$B43</f>
        <v>11902003</v>
      </c>
      <c r="D1878" s="27" t="str">
        <f>'900008'!$D$40</f>
        <v>C11902002</v>
      </c>
      <c r="E1878" s="27">
        <f>'900008'!$D43</f>
        <v>0</v>
      </c>
      <c r="F1878" s="27" t="s">
        <v>19088</v>
      </c>
    </row>
    <row r="1879" spans="1:6">
      <c r="A1879" s="27" t="str">
        <f>Resultados!$K$3</f>
        <v/>
      </c>
      <c r="B1879" s="27" t="str">
        <f>Resultados!$K$4</f>
        <v/>
      </c>
      <c r="C1879" s="568" t="str">
        <f>'900008'!$B44</f>
        <v>11902004</v>
      </c>
      <c r="D1879" s="27" t="str">
        <f>'900008'!$D$40</f>
        <v>C11902002</v>
      </c>
      <c r="E1879" s="27">
        <f>'900008'!$D44</f>
        <v>0</v>
      </c>
      <c r="F1879" s="27" t="s">
        <v>19088</v>
      </c>
    </row>
    <row r="1880" spans="1:6">
      <c r="A1880" s="27" t="str">
        <f>Resultados!$K$3</f>
        <v/>
      </c>
      <c r="B1880" s="27" t="str">
        <f>Resultados!$K$4</f>
        <v/>
      </c>
      <c r="C1880" s="568" t="str">
        <f>'900008'!$B45</f>
        <v>11902005</v>
      </c>
      <c r="D1880" s="27" t="str">
        <f>'900008'!$D$40</f>
        <v>C11902002</v>
      </c>
      <c r="E1880" s="27">
        <f>'900008'!$D45</f>
        <v>0</v>
      </c>
      <c r="F1880" s="27" t="s">
        <v>19088</v>
      </c>
    </row>
    <row r="1881" spans="1:6">
      <c r="A1881" s="27" t="str">
        <f>Resultados!$K$3</f>
        <v/>
      </c>
      <c r="B1881" s="27" t="str">
        <f>Resultados!$K$4</f>
        <v/>
      </c>
      <c r="C1881" s="568" t="str">
        <f>'900008'!$B46</f>
        <v>11902006</v>
      </c>
      <c r="D1881" s="27" t="str">
        <f>'900008'!$D$40</f>
        <v>C11902002</v>
      </c>
      <c r="E1881" s="27">
        <f>'900008'!$D46</f>
        <v>0</v>
      </c>
      <c r="F1881" s="27" t="s">
        <v>19088</v>
      </c>
    </row>
    <row r="1882" spans="1:6">
      <c r="A1882" s="27" t="str">
        <f>Resultados!$K$3</f>
        <v/>
      </c>
      <c r="B1882" s="27" t="str">
        <f>Resultados!$K$4</f>
        <v/>
      </c>
      <c r="C1882" s="568" t="str">
        <f>'900008'!$B47</f>
        <v>11902007</v>
      </c>
      <c r="D1882" s="27" t="str">
        <f>'900008'!$D$40</f>
        <v>C11902002</v>
      </c>
      <c r="E1882" s="27">
        <f>'900008'!$D47</f>
        <v>0</v>
      </c>
      <c r="F1882" s="27" t="s">
        <v>19088</v>
      </c>
    </row>
    <row r="1883" spans="1:6">
      <c r="A1883" s="27" t="str">
        <f>Resultados!$K$3</f>
        <v/>
      </c>
      <c r="B1883" s="27" t="str">
        <f>Resultados!$K$4</f>
        <v/>
      </c>
      <c r="C1883" s="568" t="str">
        <f>'900008'!$B48</f>
        <v>11902008</v>
      </c>
      <c r="D1883" s="27" t="str">
        <f>'900008'!$D$40</f>
        <v>C11902002</v>
      </c>
      <c r="E1883" s="27">
        <f>'900008'!$D48</f>
        <v>0</v>
      </c>
      <c r="F1883" s="27" t="s">
        <v>19088</v>
      </c>
    </row>
    <row r="1884" spans="1:6">
      <c r="A1884" s="27" t="str">
        <f>Resultados!$K$3</f>
        <v/>
      </c>
      <c r="B1884" s="27" t="str">
        <f>Resultados!$K$4</f>
        <v/>
      </c>
      <c r="C1884" s="568" t="str">
        <f>'900008'!$B49</f>
        <v>11902009</v>
      </c>
      <c r="D1884" s="27" t="str">
        <f>'900008'!$D$40</f>
        <v>C11902002</v>
      </c>
      <c r="E1884" s="27">
        <f>'900008'!$D49</f>
        <v>0</v>
      </c>
      <c r="F1884" s="27" t="s">
        <v>19088</v>
      </c>
    </row>
    <row r="1885" spans="1:6">
      <c r="A1885" s="27" t="str">
        <f>Resultados!$K$3</f>
        <v/>
      </c>
      <c r="B1885" s="27" t="str">
        <f>Resultados!$K$4</f>
        <v/>
      </c>
      <c r="C1885" s="568" t="str">
        <f>'900008'!$B50</f>
        <v>11902010</v>
      </c>
      <c r="D1885" s="27" t="str">
        <f>'900008'!$D$40</f>
        <v>C11902002</v>
      </c>
      <c r="E1885" s="27">
        <f>'900008'!$D50</f>
        <v>0</v>
      </c>
      <c r="F1885" s="27" t="s">
        <v>19088</v>
      </c>
    </row>
    <row r="1886" spans="1:6">
      <c r="A1886" s="27" t="str">
        <f>Resultados!$K$3</f>
        <v/>
      </c>
      <c r="B1886" s="27" t="str">
        <f>Resultados!$K$4</f>
        <v/>
      </c>
      <c r="C1886" s="568" t="str">
        <f>'900008'!$B51</f>
        <v>11902011</v>
      </c>
      <c r="D1886" s="27" t="str">
        <f>'900008'!$D$40</f>
        <v>C11902002</v>
      </c>
      <c r="E1886" s="27">
        <f>'900008'!$D51</f>
        <v>0</v>
      </c>
      <c r="F1886" s="27" t="s">
        <v>19088</v>
      </c>
    </row>
    <row r="1887" spans="1:6">
      <c r="A1887" s="27" t="str">
        <f>Resultados!$K$3</f>
        <v/>
      </c>
      <c r="B1887" s="27" t="str">
        <f>Resultados!$K$4</f>
        <v/>
      </c>
      <c r="C1887" s="568" t="str">
        <f>'900008'!$B52</f>
        <v>11902012</v>
      </c>
      <c r="D1887" s="27" t="str">
        <f>'900008'!$D$40</f>
        <v>C11902002</v>
      </c>
      <c r="E1887" s="27">
        <f>'900008'!$D52</f>
        <v>0</v>
      </c>
      <c r="F1887" s="27" t="s">
        <v>19088</v>
      </c>
    </row>
    <row r="1888" spans="1:6">
      <c r="A1888" s="27" t="str">
        <f>Resultados!$K$3</f>
        <v/>
      </c>
      <c r="B1888" s="27" t="str">
        <f>Resultados!$K$4</f>
        <v/>
      </c>
      <c r="C1888" s="568" t="str">
        <f>'900008'!$B53</f>
        <v>11902013</v>
      </c>
      <c r="D1888" s="27" t="str">
        <f>'900008'!$D$40</f>
        <v>C11902002</v>
      </c>
      <c r="E1888" s="27">
        <f>'900008'!$D53</f>
        <v>0</v>
      </c>
      <c r="F1888" s="27" t="s">
        <v>19088</v>
      </c>
    </row>
    <row r="1889" spans="1:6">
      <c r="A1889" s="27" t="str">
        <f>Resultados!$K$3</f>
        <v/>
      </c>
      <c r="B1889" s="27" t="str">
        <f>Resultados!$K$4</f>
        <v/>
      </c>
      <c r="C1889" s="568" t="str">
        <f>'900008'!$B54</f>
        <v>11902014</v>
      </c>
      <c r="D1889" s="27" t="str">
        <f>'900008'!$D$40</f>
        <v>C11902002</v>
      </c>
      <c r="E1889" s="27">
        <f>'900008'!$D54</f>
        <v>0</v>
      </c>
      <c r="F1889" s="27" t="s">
        <v>19088</v>
      </c>
    </row>
    <row r="1890" spans="1:6">
      <c r="A1890" s="27" t="str">
        <f>Resultados!$K$3</f>
        <v/>
      </c>
      <c r="B1890" s="27" t="str">
        <f>Resultados!$K$4</f>
        <v/>
      </c>
      <c r="C1890" s="568" t="str">
        <f>'900008'!$B55</f>
        <v>11902015</v>
      </c>
      <c r="D1890" s="27" t="str">
        <f>'900008'!$D$40</f>
        <v>C11902002</v>
      </c>
      <c r="E1890" s="27">
        <f>'900008'!$D55</f>
        <v>0</v>
      </c>
      <c r="F1890" s="27" t="s">
        <v>19088</v>
      </c>
    </row>
    <row r="1891" spans="1:6">
      <c r="A1891" s="27" t="str">
        <f>Resultados!$K$3</f>
        <v/>
      </c>
      <c r="B1891" s="27" t="str">
        <f>Resultados!$K$4</f>
        <v/>
      </c>
      <c r="C1891" s="568" t="str">
        <f>'900008'!$B56</f>
        <v>11902016</v>
      </c>
      <c r="D1891" s="27" t="str">
        <f>'900008'!$D$40</f>
        <v>C11902002</v>
      </c>
      <c r="E1891" s="27">
        <f>'900008'!$D56</f>
        <v>0</v>
      </c>
      <c r="F1891" s="27" t="s">
        <v>19088</v>
      </c>
    </row>
    <row r="1892" spans="1:6">
      <c r="A1892" s="27" t="str">
        <f>Resultados!$K$3</f>
        <v/>
      </c>
      <c r="B1892" s="27" t="str">
        <f>Resultados!$K$4</f>
        <v/>
      </c>
      <c r="C1892" s="568" t="str">
        <f>'900008'!$B42</f>
        <v>11902002</v>
      </c>
      <c r="D1892" t="str">
        <f>'900008'!$H$40</f>
        <v>C11902001</v>
      </c>
      <c r="E1892">
        <f>'900008'!$H42</f>
        <v>0</v>
      </c>
      <c r="F1892" s="27" t="s">
        <v>19088</v>
      </c>
    </row>
    <row r="1893" spans="1:6">
      <c r="A1893" s="27" t="str">
        <f>Resultados!$K$3</f>
        <v/>
      </c>
      <c r="B1893" s="27" t="str">
        <f>Resultados!$K$4</f>
        <v/>
      </c>
      <c r="C1893" s="568" t="str">
        <f>'900008'!$B43</f>
        <v>11902003</v>
      </c>
      <c r="D1893" s="27" t="str">
        <f>'900008'!$H$40</f>
        <v>C11902001</v>
      </c>
      <c r="E1893" s="27">
        <f>'900008'!$H43</f>
        <v>0</v>
      </c>
      <c r="F1893" s="27" t="s">
        <v>19088</v>
      </c>
    </row>
    <row r="1894" spans="1:6">
      <c r="A1894" s="27" t="str">
        <f>Resultados!$K$3</f>
        <v/>
      </c>
      <c r="B1894" s="27" t="str">
        <f>Resultados!$K$4</f>
        <v/>
      </c>
      <c r="C1894" s="568" t="str">
        <f>'900008'!$B44</f>
        <v>11902004</v>
      </c>
      <c r="D1894" s="27" t="str">
        <f>'900008'!$H$40</f>
        <v>C11902001</v>
      </c>
      <c r="E1894" s="27">
        <f>'900008'!$H44</f>
        <v>0</v>
      </c>
      <c r="F1894" s="27" t="s">
        <v>19088</v>
      </c>
    </row>
    <row r="1895" spans="1:6">
      <c r="A1895" s="27" t="str">
        <f>Resultados!$K$3</f>
        <v/>
      </c>
      <c r="B1895" s="27" t="str">
        <f>Resultados!$K$4</f>
        <v/>
      </c>
      <c r="C1895" s="568" t="str">
        <f>'900008'!$B45</f>
        <v>11902005</v>
      </c>
      <c r="D1895" s="27" t="str">
        <f>'900008'!$H$40</f>
        <v>C11902001</v>
      </c>
      <c r="E1895" s="27">
        <f>'900008'!$H45</f>
        <v>0</v>
      </c>
      <c r="F1895" s="27" t="s">
        <v>19088</v>
      </c>
    </row>
    <row r="1896" spans="1:6">
      <c r="A1896" s="27" t="str">
        <f>Resultados!$K$3</f>
        <v/>
      </c>
      <c r="B1896" s="27" t="str">
        <f>Resultados!$K$4</f>
        <v/>
      </c>
      <c r="C1896" s="568" t="str">
        <f>'900008'!$B46</f>
        <v>11902006</v>
      </c>
      <c r="D1896" s="27" t="str">
        <f>'900008'!$H$40</f>
        <v>C11902001</v>
      </c>
      <c r="E1896" s="27">
        <f>'900008'!$H46</f>
        <v>0</v>
      </c>
      <c r="F1896" s="27" t="s">
        <v>19088</v>
      </c>
    </row>
    <row r="1897" spans="1:6">
      <c r="A1897" s="27" t="str">
        <f>Resultados!$K$3</f>
        <v/>
      </c>
      <c r="B1897" s="27" t="str">
        <f>Resultados!$K$4</f>
        <v/>
      </c>
      <c r="C1897" s="568" t="str">
        <f>'900008'!$B47</f>
        <v>11902007</v>
      </c>
      <c r="D1897" s="27" t="str">
        <f>'900008'!$H$40</f>
        <v>C11902001</v>
      </c>
      <c r="E1897" s="27">
        <f>'900008'!$H47</f>
        <v>0</v>
      </c>
      <c r="F1897" s="27" t="s">
        <v>19088</v>
      </c>
    </row>
    <row r="1898" spans="1:6">
      <c r="A1898" s="27" t="str">
        <f>Resultados!$K$3</f>
        <v/>
      </c>
      <c r="B1898" s="27" t="str">
        <f>Resultados!$K$4</f>
        <v/>
      </c>
      <c r="C1898" s="568" t="str">
        <f>'900008'!$B48</f>
        <v>11902008</v>
      </c>
      <c r="D1898" s="27" t="str">
        <f>'900008'!$H$40</f>
        <v>C11902001</v>
      </c>
      <c r="E1898" s="27">
        <f>'900008'!$H48</f>
        <v>0</v>
      </c>
      <c r="F1898" s="27" t="s">
        <v>19088</v>
      </c>
    </row>
    <row r="1899" spans="1:6">
      <c r="A1899" s="27" t="str">
        <f>Resultados!$K$3</f>
        <v/>
      </c>
      <c r="B1899" s="27" t="str">
        <f>Resultados!$K$4</f>
        <v/>
      </c>
      <c r="C1899" s="568" t="str">
        <f>'900008'!$B49</f>
        <v>11902009</v>
      </c>
      <c r="D1899" s="27" t="str">
        <f>'900008'!$H$40</f>
        <v>C11902001</v>
      </c>
      <c r="E1899" s="27">
        <f>'900008'!$H49</f>
        <v>0</v>
      </c>
      <c r="F1899" s="27" t="s">
        <v>19088</v>
      </c>
    </row>
    <row r="1900" spans="1:6">
      <c r="A1900" s="27" t="str">
        <f>Resultados!$K$3</f>
        <v/>
      </c>
      <c r="B1900" s="27" t="str">
        <f>Resultados!$K$4</f>
        <v/>
      </c>
      <c r="C1900" s="568" t="str">
        <f>'900008'!$B50</f>
        <v>11902010</v>
      </c>
      <c r="D1900" s="27" t="str">
        <f>'900008'!$H$40</f>
        <v>C11902001</v>
      </c>
      <c r="E1900" s="27">
        <f>'900008'!$H50</f>
        <v>0</v>
      </c>
      <c r="F1900" s="27" t="s">
        <v>19088</v>
      </c>
    </row>
    <row r="1901" spans="1:6">
      <c r="A1901" s="27" t="str">
        <f>Resultados!$K$3</f>
        <v/>
      </c>
      <c r="B1901" s="27" t="str">
        <f>Resultados!$K$4</f>
        <v/>
      </c>
      <c r="C1901" s="568" t="str">
        <f>'900008'!$B51</f>
        <v>11902011</v>
      </c>
      <c r="D1901" s="27" t="str">
        <f>'900008'!$H$40</f>
        <v>C11902001</v>
      </c>
      <c r="E1901" s="27">
        <f>'900008'!$H51</f>
        <v>0</v>
      </c>
      <c r="F1901" s="27" t="s">
        <v>19088</v>
      </c>
    </row>
    <row r="1902" spans="1:6">
      <c r="A1902" s="27" t="str">
        <f>Resultados!$K$3</f>
        <v/>
      </c>
      <c r="B1902" s="27" t="str">
        <f>Resultados!$K$4</f>
        <v/>
      </c>
      <c r="C1902" s="568" t="str">
        <f>'900008'!$B52</f>
        <v>11902012</v>
      </c>
      <c r="D1902" s="27" t="str">
        <f>'900008'!$H$40</f>
        <v>C11902001</v>
      </c>
      <c r="E1902" s="27">
        <f>'900008'!$H52</f>
        <v>0</v>
      </c>
      <c r="F1902" s="27" t="s">
        <v>19088</v>
      </c>
    </row>
    <row r="1903" spans="1:6">
      <c r="A1903" s="27" t="str">
        <f>Resultados!$K$3</f>
        <v/>
      </c>
      <c r="B1903" s="27" t="str">
        <f>Resultados!$K$4</f>
        <v/>
      </c>
      <c r="C1903" s="568" t="str">
        <f>'900008'!$B53</f>
        <v>11902013</v>
      </c>
      <c r="D1903" s="27" t="str">
        <f>'900008'!$H$40</f>
        <v>C11902001</v>
      </c>
      <c r="E1903" s="27">
        <f>'900008'!$H53</f>
        <v>0</v>
      </c>
      <c r="F1903" s="27" t="s">
        <v>19088</v>
      </c>
    </row>
    <row r="1904" spans="1:6">
      <c r="A1904" s="27" t="str">
        <f>Resultados!$K$3</f>
        <v/>
      </c>
      <c r="B1904" s="27" t="str">
        <f>Resultados!$K$4</f>
        <v/>
      </c>
      <c r="C1904" s="568" t="str">
        <f>'900008'!$B54</f>
        <v>11902014</v>
      </c>
      <c r="D1904" s="27" t="str">
        <f>'900008'!$H$40</f>
        <v>C11902001</v>
      </c>
      <c r="E1904" s="27">
        <f>'900008'!$H54</f>
        <v>0</v>
      </c>
      <c r="F1904" s="27" t="s">
        <v>19088</v>
      </c>
    </row>
    <row r="1905" spans="1:6">
      <c r="A1905" s="27" t="str">
        <f>Resultados!$K$3</f>
        <v/>
      </c>
      <c r="B1905" s="27" t="str">
        <f>Resultados!$K$4</f>
        <v/>
      </c>
      <c r="C1905" s="568" t="str">
        <f>'900008'!$B55</f>
        <v>11902015</v>
      </c>
      <c r="D1905" s="27" t="str">
        <f>'900008'!$H$40</f>
        <v>C11902001</v>
      </c>
      <c r="E1905" s="27">
        <f>'900008'!$H55</f>
        <v>0</v>
      </c>
      <c r="F1905" s="27" t="s">
        <v>19088</v>
      </c>
    </row>
    <row r="1906" spans="1:6">
      <c r="A1906" s="27" t="str">
        <f>Resultados!$K$3</f>
        <v/>
      </c>
      <c r="B1906" s="27" t="str">
        <f>Resultados!$K$4</f>
        <v/>
      </c>
      <c r="C1906" s="568" t="str">
        <f>'900008'!$B56</f>
        <v>11902016</v>
      </c>
      <c r="D1906" s="27" t="str">
        <f>'900008'!$H$40</f>
        <v>C11902001</v>
      </c>
      <c r="E1906" s="27">
        <f>'900008'!$H56</f>
        <v>0</v>
      </c>
      <c r="F1906" s="27" t="s">
        <v>19088</v>
      </c>
    </row>
    <row r="1907" spans="1:6">
      <c r="A1907" s="27" t="str">
        <f>Resultados!$K$3</f>
        <v/>
      </c>
      <c r="B1907" s="27" t="str">
        <f>Resultados!$K$4</f>
        <v/>
      </c>
      <c r="C1907" s="569" t="str">
        <f>'900008'!$B71</f>
        <v>11904002</v>
      </c>
      <c r="D1907" t="str">
        <f>'900008'!$H$65</f>
        <v>C11904002</v>
      </c>
      <c r="E1907" s="684">
        <f>'900008'!$H71</f>
        <v>0</v>
      </c>
      <c r="F1907" s="27" t="s">
        <v>19088</v>
      </c>
    </row>
    <row r="1908" spans="1:6">
      <c r="A1908" s="27" t="str">
        <f>Resultados!$K$3</f>
        <v/>
      </c>
      <c r="B1908" s="27" t="str">
        <f>Resultados!$K$4</f>
        <v/>
      </c>
      <c r="C1908" s="569" t="str">
        <f>'900008'!$B72</f>
        <v>11904003</v>
      </c>
      <c r="D1908" s="27" t="str">
        <f>'900008'!$H$65</f>
        <v>C11904002</v>
      </c>
      <c r="E1908" s="684">
        <f>'900008'!$H72</f>
        <v>0</v>
      </c>
      <c r="F1908" s="27" t="s">
        <v>19088</v>
      </c>
    </row>
    <row r="1909" spans="1:6">
      <c r="A1909" s="27" t="str">
        <f>Resultados!$K$3</f>
        <v/>
      </c>
      <c r="B1909" s="27" t="str">
        <f>Resultados!$K$4</f>
        <v/>
      </c>
      <c r="C1909" s="569" t="str">
        <f>'900008'!$B73</f>
        <v>11904004</v>
      </c>
      <c r="D1909" s="27" t="str">
        <f>'900008'!$H$65</f>
        <v>C11904002</v>
      </c>
      <c r="E1909" s="684">
        <f>'900008'!$H73</f>
        <v>0</v>
      </c>
      <c r="F1909" s="27" t="s">
        <v>19088</v>
      </c>
    </row>
    <row r="1910" spans="1:6">
      <c r="A1910" s="27" t="str">
        <f>Resultados!$K$3</f>
        <v/>
      </c>
      <c r="B1910" s="27" t="str">
        <f>Resultados!$K$4</f>
        <v/>
      </c>
      <c r="C1910" s="569" t="str">
        <f>'900008'!$B74</f>
        <v>11904005</v>
      </c>
      <c r="D1910" s="27" t="str">
        <f>'900008'!$H$65</f>
        <v>C11904002</v>
      </c>
      <c r="E1910" s="684">
        <f>'900008'!$H74</f>
        <v>0</v>
      </c>
      <c r="F1910" s="27" t="s">
        <v>19088</v>
      </c>
    </row>
    <row r="1911" spans="1:6">
      <c r="A1911" s="27" t="str">
        <f>Resultados!$K$3</f>
        <v/>
      </c>
      <c r="B1911" s="27" t="str">
        <f>Resultados!$K$4</f>
        <v/>
      </c>
      <c r="C1911" s="569" t="str">
        <f>'900008'!$B75</f>
        <v>11904006</v>
      </c>
      <c r="D1911" s="27" t="str">
        <f>'900008'!$H$65</f>
        <v>C11904002</v>
      </c>
      <c r="E1911" s="684">
        <f>'900008'!$H75</f>
        <v>0</v>
      </c>
      <c r="F1911" s="27" t="s">
        <v>19088</v>
      </c>
    </row>
    <row r="1912" spans="1:6">
      <c r="A1912" s="27" t="str">
        <f>Resultados!$K$3</f>
        <v/>
      </c>
      <c r="B1912" s="27" t="str">
        <f>Resultados!$K$4</f>
        <v/>
      </c>
      <c r="C1912" s="569" t="str">
        <f>'900008'!$B76</f>
        <v>11904007</v>
      </c>
      <c r="D1912" s="27" t="str">
        <f>'900008'!$H$65</f>
        <v>C11904002</v>
      </c>
      <c r="E1912" s="684">
        <f>'900008'!$H76</f>
        <v>0</v>
      </c>
      <c r="F1912" s="27" t="s">
        <v>19088</v>
      </c>
    </row>
    <row r="1913" spans="1:6">
      <c r="A1913" s="27" t="str">
        <f>Resultados!$K$3</f>
        <v/>
      </c>
      <c r="B1913" s="27" t="str">
        <f>Resultados!$K$4</f>
        <v/>
      </c>
      <c r="C1913" s="569" t="str">
        <f>'900008'!$B77</f>
        <v>11904008</v>
      </c>
      <c r="D1913" s="27" t="str">
        <f>'900008'!$H$65</f>
        <v>C11904002</v>
      </c>
      <c r="E1913" s="684">
        <f>'900008'!$H77</f>
        <v>0</v>
      </c>
      <c r="F1913" s="27" t="s">
        <v>19088</v>
      </c>
    </row>
    <row r="1914" spans="1:6">
      <c r="A1914" s="27" t="str">
        <f>Resultados!$K$3</f>
        <v/>
      </c>
      <c r="B1914" s="27" t="str">
        <f>Resultados!$K$4</f>
        <v/>
      </c>
      <c r="C1914" s="569" t="str">
        <f>'900008'!$B78</f>
        <v>11904009</v>
      </c>
      <c r="D1914" s="27" t="str">
        <f>'900008'!$H$65</f>
        <v>C11904002</v>
      </c>
      <c r="E1914" s="684">
        <f>'900008'!$H78</f>
        <v>0</v>
      </c>
      <c r="F1914" s="27" t="s">
        <v>19088</v>
      </c>
    </row>
    <row r="1915" spans="1:6">
      <c r="A1915" s="27" t="str">
        <f>Resultados!$K$3</f>
        <v/>
      </c>
      <c r="B1915" s="27" t="str">
        <f>Resultados!$K$4</f>
        <v/>
      </c>
      <c r="C1915" s="569" t="str">
        <f>'900008'!$B79</f>
        <v>11904010</v>
      </c>
      <c r="D1915" s="27" t="str">
        <f>'900008'!$H$65</f>
        <v>C11904002</v>
      </c>
      <c r="E1915" s="684">
        <f>'900008'!$H79</f>
        <v>0</v>
      </c>
      <c r="F1915" s="27" t="s">
        <v>19088</v>
      </c>
    </row>
    <row r="1916" spans="1:6">
      <c r="A1916" s="27" t="str">
        <f>Resultados!$K$3</f>
        <v/>
      </c>
      <c r="B1916" s="27" t="str">
        <f>Resultados!$K$4</f>
        <v/>
      </c>
      <c r="C1916" s="569" t="str">
        <f>'900008'!$B80</f>
        <v>11904011</v>
      </c>
      <c r="D1916" s="27" t="str">
        <f>'900008'!$H$65</f>
        <v>C11904002</v>
      </c>
      <c r="E1916" s="684">
        <f>'900008'!$H80</f>
        <v>0</v>
      </c>
      <c r="F1916" s="27" t="s">
        <v>19088</v>
      </c>
    </row>
    <row r="1917" spans="1:6">
      <c r="A1917" s="27" t="str">
        <f>Resultados!$K$3</f>
        <v/>
      </c>
      <c r="B1917" s="27" t="str">
        <f>Resultados!$K$4</f>
        <v/>
      </c>
      <c r="C1917" s="569" t="str">
        <f>'900008'!$B81</f>
        <v>11904012</v>
      </c>
      <c r="D1917" s="27" t="str">
        <f>'900008'!$H$65</f>
        <v>C11904002</v>
      </c>
      <c r="E1917" s="684">
        <f>'900008'!$H81</f>
        <v>0</v>
      </c>
      <c r="F1917" s="27" t="s">
        <v>19088</v>
      </c>
    </row>
    <row r="1918" spans="1:6">
      <c r="A1918" s="27" t="str">
        <f>Resultados!$K$3</f>
        <v/>
      </c>
      <c r="B1918" s="27" t="str">
        <f>Resultados!$K$4</f>
        <v/>
      </c>
      <c r="C1918" s="569" t="str">
        <f>'900008'!$B82</f>
        <v>11904013</v>
      </c>
      <c r="D1918" s="27" t="str">
        <f>'900008'!$H$65</f>
        <v>C11904002</v>
      </c>
      <c r="E1918" s="684">
        <f>'900008'!$H82</f>
        <v>0</v>
      </c>
      <c r="F1918" s="27" t="s">
        <v>19088</v>
      </c>
    </row>
    <row r="1919" spans="1:6">
      <c r="A1919" s="27" t="str">
        <f>Resultados!$K$3</f>
        <v/>
      </c>
      <c r="B1919" s="27" t="str">
        <f>Resultados!$K$4</f>
        <v/>
      </c>
      <c r="C1919" s="569" t="str">
        <f>'900008'!$B83</f>
        <v>11904014</v>
      </c>
      <c r="D1919" s="27" t="str">
        <f>'900008'!$H$65</f>
        <v>C11904002</v>
      </c>
      <c r="E1919" s="684">
        <f>'900008'!$H83</f>
        <v>0</v>
      </c>
      <c r="F1919" s="27" t="s">
        <v>19088</v>
      </c>
    </row>
    <row r="1920" spans="1:6">
      <c r="A1920" s="27" t="str">
        <f>Resultados!$K$3</f>
        <v/>
      </c>
      <c r="B1920" s="27" t="str">
        <f>Resultados!$K$4</f>
        <v/>
      </c>
      <c r="C1920" s="569" t="str">
        <f>'900008'!$B84</f>
        <v>11904015</v>
      </c>
      <c r="D1920" s="27" t="str">
        <f>'900008'!$H$65</f>
        <v>C11904002</v>
      </c>
      <c r="E1920" s="684">
        <f>'900008'!$H84</f>
        <v>0</v>
      </c>
      <c r="F1920" s="27" t="s">
        <v>19088</v>
      </c>
    </row>
    <row r="1921" spans="1:6">
      <c r="A1921" s="27" t="str">
        <f>Resultados!$K$3</f>
        <v/>
      </c>
      <c r="B1921" s="27" t="str">
        <f>Resultados!$K$4</f>
        <v/>
      </c>
      <c r="C1921" s="569" t="str">
        <f>'900008'!$B85</f>
        <v>11904016</v>
      </c>
      <c r="D1921" s="27" t="str">
        <f>'900008'!$H$65</f>
        <v>C11904002</v>
      </c>
      <c r="E1921" s="684">
        <f>'900008'!$H85</f>
        <v>0</v>
      </c>
      <c r="F1921" s="27" t="s">
        <v>19088</v>
      </c>
    </row>
    <row r="1922" spans="1:6">
      <c r="A1922" s="27" t="str">
        <f>Resultados!$K$3</f>
        <v/>
      </c>
      <c r="B1922" s="27" t="str">
        <f>Resultados!$K$4</f>
        <v/>
      </c>
      <c r="C1922" s="569" t="str">
        <f>'900008'!$B71</f>
        <v>11904002</v>
      </c>
      <c r="D1922" t="str">
        <f>'900008'!$N$65</f>
        <v>C11904004</v>
      </c>
      <c r="E1922">
        <f>'900008'!$N71</f>
        <v>0</v>
      </c>
      <c r="F1922" s="27" t="s">
        <v>19088</v>
      </c>
    </row>
    <row r="1923" spans="1:6">
      <c r="A1923" s="27" t="str">
        <f>Resultados!$K$3</f>
        <v/>
      </c>
      <c r="B1923" s="27" t="str">
        <f>Resultados!$K$4</f>
        <v/>
      </c>
      <c r="C1923" s="569" t="str">
        <f>'900008'!$B72</f>
        <v>11904003</v>
      </c>
      <c r="D1923" s="27" t="str">
        <f>'900008'!$N$65</f>
        <v>C11904004</v>
      </c>
      <c r="E1923" s="27">
        <f>'900008'!$N72</f>
        <v>0</v>
      </c>
      <c r="F1923" s="27" t="s">
        <v>19088</v>
      </c>
    </row>
    <row r="1924" spans="1:6">
      <c r="A1924" s="27" t="str">
        <f>Resultados!$K$3</f>
        <v/>
      </c>
      <c r="B1924" s="27" t="str">
        <f>Resultados!$K$4</f>
        <v/>
      </c>
      <c r="C1924" s="569" t="str">
        <f>'900008'!$B73</f>
        <v>11904004</v>
      </c>
      <c r="D1924" s="27" t="str">
        <f>'900008'!$N$65</f>
        <v>C11904004</v>
      </c>
      <c r="E1924" s="27">
        <f>'900008'!$N73</f>
        <v>0</v>
      </c>
      <c r="F1924" s="27" t="s">
        <v>19088</v>
      </c>
    </row>
    <row r="1925" spans="1:6">
      <c r="A1925" s="27" t="str">
        <f>Resultados!$K$3</f>
        <v/>
      </c>
      <c r="B1925" s="27" t="str">
        <f>Resultados!$K$4</f>
        <v/>
      </c>
      <c r="C1925" s="569" t="str">
        <f>'900008'!$B74</f>
        <v>11904005</v>
      </c>
      <c r="D1925" s="27" t="str">
        <f>'900008'!$N$65</f>
        <v>C11904004</v>
      </c>
      <c r="E1925" s="27">
        <f>'900008'!$N74</f>
        <v>0</v>
      </c>
      <c r="F1925" s="27" t="s">
        <v>19088</v>
      </c>
    </row>
    <row r="1926" spans="1:6">
      <c r="A1926" s="27" t="str">
        <f>Resultados!$K$3</f>
        <v/>
      </c>
      <c r="B1926" s="27" t="str">
        <f>Resultados!$K$4</f>
        <v/>
      </c>
      <c r="C1926" s="569" t="str">
        <f>'900008'!$B75</f>
        <v>11904006</v>
      </c>
      <c r="D1926" s="27" t="str">
        <f>'900008'!$N$65</f>
        <v>C11904004</v>
      </c>
      <c r="E1926" s="27">
        <f>'900008'!$N75</f>
        <v>0</v>
      </c>
      <c r="F1926" s="27" t="s">
        <v>19088</v>
      </c>
    </row>
    <row r="1927" spans="1:6">
      <c r="A1927" s="27" t="str">
        <f>Resultados!$K$3</f>
        <v/>
      </c>
      <c r="B1927" s="27" t="str">
        <f>Resultados!$K$4</f>
        <v/>
      </c>
      <c r="C1927" s="569" t="str">
        <f>'900008'!$B76</f>
        <v>11904007</v>
      </c>
      <c r="D1927" s="27" t="str">
        <f>'900008'!$N$65</f>
        <v>C11904004</v>
      </c>
      <c r="E1927" s="27">
        <f>'900008'!$N76</f>
        <v>0</v>
      </c>
      <c r="F1927" s="27" t="s">
        <v>19088</v>
      </c>
    </row>
    <row r="1928" spans="1:6">
      <c r="A1928" s="27" t="str">
        <f>Resultados!$K$3</f>
        <v/>
      </c>
      <c r="B1928" s="27" t="str">
        <f>Resultados!$K$4</f>
        <v/>
      </c>
      <c r="C1928" s="569" t="str">
        <f>'900008'!$B77</f>
        <v>11904008</v>
      </c>
      <c r="D1928" s="27" t="str">
        <f>'900008'!$N$65</f>
        <v>C11904004</v>
      </c>
      <c r="E1928" s="27">
        <f>'900008'!$N77</f>
        <v>0</v>
      </c>
      <c r="F1928" s="27" t="s">
        <v>19088</v>
      </c>
    </row>
    <row r="1929" spans="1:6">
      <c r="A1929" s="27" t="str">
        <f>Resultados!$K$3</f>
        <v/>
      </c>
      <c r="B1929" s="27" t="str">
        <f>Resultados!$K$4</f>
        <v/>
      </c>
      <c r="C1929" s="569" t="str">
        <f>'900008'!$B78</f>
        <v>11904009</v>
      </c>
      <c r="D1929" s="27" t="str">
        <f>'900008'!$N$65</f>
        <v>C11904004</v>
      </c>
      <c r="E1929" s="27">
        <f>'900008'!$N78</f>
        <v>0</v>
      </c>
      <c r="F1929" s="27" t="s">
        <v>19088</v>
      </c>
    </row>
    <row r="1930" spans="1:6">
      <c r="A1930" s="27" t="str">
        <f>Resultados!$K$3</f>
        <v/>
      </c>
      <c r="B1930" s="27" t="str">
        <f>Resultados!$K$4</f>
        <v/>
      </c>
      <c r="C1930" s="569" t="str">
        <f>'900008'!$B79</f>
        <v>11904010</v>
      </c>
      <c r="D1930" s="27" t="str">
        <f>'900008'!$N$65</f>
        <v>C11904004</v>
      </c>
      <c r="E1930" s="27">
        <f>'900008'!$N79</f>
        <v>0</v>
      </c>
      <c r="F1930" s="27" t="s">
        <v>19088</v>
      </c>
    </row>
    <row r="1931" spans="1:6">
      <c r="A1931" s="27" t="str">
        <f>Resultados!$K$3</f>
        <v/>
      </c>
      <c r="B1931" s="27" t="str">
        <f>Resultados!$K$4</f>
        <v/>
      </c>
      <c r="C1931" s="569" t="str">
        <f>'900008'!$B80</f>
        <v>11904011</v>
      </c>
      <c r="D1931" s="27" t="str">
        <f>'900008'!$N$65</f>
        <v>C11904004</v>
      </c>
      <c r="E1931" s="27">
        <f>'900008'!$N80</f>
        <v>0</v>
      </c>
      <c r="F1931" s="27" t="s">
        <v>19088</v>
      </c>
    </row>
    <row r="1932" spans="1:6">
      <c r="A1932" s="27" t="str">
        <f>Resultados!$K$3</f>
        <v/>
      </c>
      <c r="B1932" s="27" t="str">
        <f>Resultados!$K$4</f>
        <v/>
      </c>
      <c r="C1932" s="569" t="str">
        <f>'900008'!$B81</f>
        <v>11904012</v>
      </c>
      <c r="D1932" s="27" t="str">
        <f>'900008'!$N$65</f>
        <v>C11904004</v>
      </c>
      <c r="E1932" s="27">
        <f>'900008'!$N81</f>
        <v>0</v>
      </c>
      <c r="F1932" s="27" t="s">
        <v>19088</v>
      </c>
    </row>
    <row r="1933" spans="1:6">
      <c r="A1933" s="27" t="str">
        <f>Resultados!$K$3</f>
        <v/>
      </c>
      <c r="B1933" s="27" t="str">
        <f>Resultados!$K$4</f>
        <v/>
      </c>
      <c r="C1933" s="569" t="str">
        <f>'900008'!$B82</f>
        <v>11904013</v>
      </c>
      <c r="D1933" s="27" t="str">
        <f>'900008'!$N$65</f>
        <v>C11904004</v>
      </c>
      <c r="E1933" s="27">
        <f>'900008'!$N82</f>
        <v>0</v>
      </c>
      <c r="F1933" s="27" t="s">
        <v>19088</v>
      </c>
    </row>
    <row r="1934" spans="1:6">
      <c r="A1934" s="27" t="str">
        <f>Resultados!$K$3</f>
        <v/>
      </c>
      <c r="B1934" s="27" t="str">
        <f>Resultados!$K$4</f>
        <v/>
      </c>
      <c r="C1934" s="569" t="str">
        <f>'900008'!$B83</f>
        <v>11904014</v>
      </c>
      <c r="D1934" s="27" t="str">
        <f>'900008'!$N$65</f>
        <v>C11904004</v>
      </c>
      <c r="E1934" s="27">
        <f>'900008'!$N83</f>
        <v>0</v>
      </c>
      <c r="F1934" s="27" t="s">
        <v>19088</v>
      </c>
    </row>
    <row r="1935" spans="1:6">
      <c r="A1935" s="27" t="str">
        <f>Resultados!$K$3</f>
        <v/>
      </c>
      <c r="B1935" s="27" t="str">
        <f>Resultados!$K$4</f>
        <v/>
      </c>
      <c r="C1935" s="569" t="str">
        <f>'900008'!$B84</f>
        <v>11904015</v>
      </c>
      <c r="D1935" s="27" t="str">
        <f>'900008'!$N$65</f>
        <v>C11904004</v>
      </c>
      <c r="E1935" s="27">
        <f>'900008'!$N84</f>
        <v>0</v>
      </c>
      <c r="F1935" s="27" t="s">
        <v>19088</v>
      </c>
    </row>
    <row r="1936" spans="1:6">
      <c r="A1936" s="27" t="str">
        <f>Resultados!$K$3</f>
        <v/>
      </c>
      <c r="B1936" s="27" t="str">
        <f>Resultados!$K$4</f>
        <v/>
      </c>
      <c r="C1936" s="569" t="str">
        <f>'900008'!$B85</f>
        <v>11904016</v>
      </c>
      <c r="D1936" s="27" t="str">
        <f>'900008'!$N$65</f>
        <v>C11904004</v>
      </c>
      <c r="E1936" s="27">
        <f>'900008'!$N85</f>
        <v>0</v>
      </c>
      <c r="F1936" s="27" t="s">
        <v>19088</v>
      </c>
    </row>
    <row r="1937" spans="1:6">
      <c r="A1937" s="27" t="str">
        <f>Resultados!$K$3</f>
        <v/>
      </c>
      <c r="B1937" s="27" t="str">
        <f>Resultados!$K$4</f>
        <v/>
      </c>
      <c r="C1937" s="569" t="str">
        <f>'900008'!$B94</f>
        <v>11905002</v>
      </c>
      <c r="D1937" t="str">
        <f>'900008'!$H$92</f>
        <v>C11904002</v>
      </c>
      <c r="E1937" s="684">
        <f>'900008'!$H94</f>
        <v>0</v>
      </c>
      <c r="F1937" s="27" t="s">
        <v>19088</v>
      </c>
    </row>
    <row r="1938" spans="1:6">
      <c r="A1938" s="27" t="str">
        <f>Resultados!$K$3</f>
        <v/>
      </c>
      <c r="B1938" s="27" t="str">
        <f>Resultados!$K$4</f>
        <v/>
      </c>
      <c r="C1938" s="569" t="str">
        <f>'900008'!$B95</f>
        <v>11905003</v>
      </c>
      <c r="D1938" s="27" t="str">
        <f>'900008'!$H$92</f>
        <v>C11904002</v>
      </c>
      <c r="E1938" s="684">
        <f>'900008'!$H95</f>
        <v>0</v>
      </c>
      <c r="F1938" s="27" t="s">
        <v>19088</v>
      </c>
    </row>
    <row r="1939" spans="1:6">
      <c r="A1939" s="27" t="str">
        <f>Resultados!$K$3</f>
        <v/>
      </c>
      <c r="B1939" s="27" t="str">
        <f>Resultados!$K$4</f>
        <v/>
      </c>
      <c r="C1939" s="569" t="str">
        <f>'900008'!$B94</f>
        <v>11905002</v>
      </c>
      <c r="D1939" t="str">
        <f>'900008'!$N$92</f>
        <v>C11904004</v>
      </c>
      <c r="E1939">
        <f>'900008'!$N94</f>
        <v>0</v>
      </c>
      <c r="F1939" s="27" t="s">
        <v>19088</v>
      </c>
    </row>
    <row r="1940" spans="1:6">
      <c r="A1940" s="27" t="str">
        <f>Resultados!$K$3</f>
        <v/>
      </c>
      <c r="B1940" s="27" t="str">
        <f>Resultados!$K$4</f>
        <v/>
      </c>
      <c r="C1940" s="569" t="str">
        <f>'900008'!$B95</f>
        <v>11905003</v>
      </c>
      <c r="D1940" s="27" t="str">
        <f>'900008'!$N$92</f>
        <v>C11904004</v>
      </c>
      <c r="E1940" s="27">
        <f>'900008'!$N95</f>
        <v>0</v>
      </c>
      <c r="F1940" s="27" t="s">
        <v>19088</v>
      </c>
    </row>
    <row r="1941" spans="1:6">
      <c r="A1941" s="27" t="str">
        <f>Resultados!$K$3</f>
        <v/>
      </c>
      <c r="B1941" s="27" t="str">
        <f>Resultados!$K$4</f>
        <v/>
      </c>
      <c r="C1941" s="569" t="str">
        <f>'900002'!$B21</f>
        <v>11101013</v>
      </c>
      <c r="D1941" t="str">
        <f>'900002'!$K$18</f>
        <v>C11101009</v>
      </c>
      <c r="E1941">
        <f>'900002'!$K21</f>
        <v>0</v>
      </c>
      <c r="F1941" s="27" t="s">
        <v>19082</v>
      </c>
    </row>
    <row r="1942" spans="1:6">
      <c r="A1942" s="27" t="str">
        <f>Resultados!$K$3</f>
        <v/>
      </c>
      <c r="B1942" s="27" t="str">
        <f>Resultados!$K$4</f>
        <v/>
      </c>
      <c r="C1942" s="569" t="str">
        <f>'900002'!$B22</f>
        <v>11101012</v>
      </c>
      <c r="D1942" s="27" t="str">
        <f>'900002'!$K$18</f>
        <v>C11101009</v>
      </c>
      <c r="E1942" s="27">
        <f>'900002'!$K22</f>
        <v>0</v>
      </c>
      <c r="F1942" s="27" t="s">
        <v>19082</v>
      </c>
    </row>
    <row r="1943" spans="1:6">
      <c r="A1943" s="27" t="str">
        <f>Resultados!$K$3</f>
        <v/>
      </c>
      <c r="B1943" s="27" t="str">
        <f>Resultados!$K$4</f>
        <v/>
      </c>
      <c r="C1943" s="569" t="str">
        <f>'900002'!$B23</f>
        <v>11101017</v>
      </c>
      <c r="D1943" s="27" t="str">
        <f>'900002'!$K$18</f>
        <v>C11101009</v>
      </c>
      <c r="E1943" s="27">
        <f>'900002'!$K23</f>
        <v>0</v>
      </c>
      <c r="F1943" s="27" t="s">
        <v>19082</v>
      </c>
    </row>
    <row r="1944" spans="1:6">
      <c r="A1944" s="27" t="str">
        <f>Resultados!$K$3</f>
        <v/>
      </c>
      <c r="B1944" s="27" t="str">
        <f>Resultados!$K$4</f>
        <v/>
      </c>
      <c r="C1944" s="569" t="str">
        <f>'900002'!$B24</f>
        <v>11101016</v>
      </c>
      <c r="D1944" s="27" t="str">
        <f>'900002'!$K$18</f>
        <v>C11101009</v>
      </c>
      <c r="E1944" s="27">
        <f>'900002'!$K24</f>
        <v>0</v>
      </c>
      <c r="F1944" s="27" t="s">
        <v>19082</v>
      </c>
    </row>
    <row r="1945" spans="1:6">
      <c r="A1945" s="27" t="str">
        <f>Resultados!$K$3</f>
        <v/>
      </c>
      <c r="B1945" s="27" t="str">
        <f>Resultados!$K$4</f>
        <v/>
      </c>
      <c r="C1945" s="569" t="str">
        <f>'900002'!$B26</f>
        <v>11101010</v>
      </c>
      <c r="D1945" s="27" t="str">
        <f>'900002'!$K$18</f>
        <v>C11101009</v>
      </c>
      <c r="E1945">
        <f>'900002'!$K26</f>
        <v>0</v>
      </c>
      <c r="F1945" s="27" t="s">
        <v>19082</v>
      </c>
    </row>
    <row r="1946" spans="1:6">
      <c r="A1946" s="27" t="str">
        <f>Resultados!$K$3</f>
        <v/>
      </c>
      <c r="B1946" s="27" t="str">
        <f>Resultados!$K$4</f>
        <v/>
      </c>
      <c r="C1946" s="569" t="str">
        <f>'900002'!$B27</f>
        <v>11101009</v>
      </c>
      <c r="D1946" s="27" t="str">
        <f>'900002'!$K$18</f>
        <v>C11101009</v>
      </c>
      <c r="E1946" s="27">
        <f>'900002'!$K27</f>
        <v>0</v>
      </c>
      <c r="F1946" s="27" t="s">
        <v>19082</v>
      </c>
    </row>
    <row r="1947" spans="1:6">
      <c r="A1947" s="27" t="str">
        <f>Resultados!$K$3</f>
        <v/>
      </c>
      <c r="B1947" s="27" t="str">
        <f>Resultados!$K$4</f>
        <v/>
      </c>
      <c r="C1947" s="569" t="str">
        <f>'900002'!$B28</f>
        <v>11101008</v>
      </c>
      <c r="D1947" s="27" t="str">
        <f>'900002'!$K$18</f>
        <v>C11101009</v>
      </c>
      <c r="E1947" s="27">
        <f>'900002'!$K28</f>
        <v>0</v>
      </c>
      <c r="F1947" s="27" t="s">
        <v>19082</v>
      </c>
    </row>
    <row r="1948" spans="1:6">
      <c r="A1948" s="27" t="str">
        <f>Resultados!$K$3</f>
        <v/>
      </c>
      <c r="B1948" s="27" t="str">
        <f>Resultados!$K$4</f>
        <v/>
      </c>
      <c r="C1948" s="569" t="str">
        <f>'900002'!$B29</f>
        <v>11101007</v>
      </c>
      <c r="D1948" s="27" t="str">
        <f>'900002'!$K$18</f>
        <v>C11101009</v>
      </c>
      <c r="E1948" s="27">
        <f>'900002'!$K29</f>
        <v>0</v>
      </c>
      <c r="F1948" s="27" t="s">
        <v>19082</v>
      </c>
    </row>
    <row r="1949" spans="1:6">
      <c r="A1949" s="27" t="str">
        <f>Resultados!$K$3</f>
        <v/>
      </c>
      <c r="B1949" s="27" t="str">
        <f>Resultados!$K$4</f>
        <v/>
      </c>
      <c r="C1949" s="569" t="str">
        <f>'900002'!$B30</f>
        <v>11101015</v>
      </c>
      <c r="D1949" s="27" t="str">
        <f>'900002'!$K$18</f>
        <v>C11101009</v>
      </c>
      <c r="E1949" s="27">
        <f>'900002'!$K30</f>
        <v>0</v>
      </c>
      <c r="F1949" s="27" t="s">
        <v>19082</v>
      </c>
    </row>
    <row r="1950" spans="1:6">
      <c r="A1950" s="27" t="str">
        <f>Resultados!$K$3</f>
        <v/>
      </c>
      <c r="B1950" s="27" t="str">
        <f>Resultados!$K$4</f>
        <v/>
      </c>
      <c r="C1950" s="569" t="str">
        <f>'900002'!$B31</f>
        <v>11101014</v>
      </c>
      <c r="D1950" s="27" t="str">
        <f>'900002'!$K$18</f>
        <v>C11101009</v>
      </c>
      <c r="E1950" s="27">
        <f>'900002'!$K31</f>
        <v>0</v>
      </c>
      <c r="F1950" s="27" t="s">
        <v>19082</v>
      </c>
    </row>
    <row r="1951" spans="1:6">
      <c r="A1951" s="27" t="str">
        <f>Resultados!$K$3</f>
        <v/>
      </c>
      <c r="B1951" s="27" t="str">
        <f>Resultados!$K$4</f>
        <v/>
      </c>
      <c r="C1951" s="569" t="str">
        <f>'900002'!$B33</f>
        <v>11101005</v>
      </c>
      <c r="D1951" s="27" t="str">
        <f>'900002'!$K$18</f>
        <v>C11101009</v>
      </c>
      <c r="E1951">
        <f>'900002'!$K33</f>
        <v>0</v>
      </c>
      <c r="F1951" s="27" t="s">
        <v>19082</v>
      </c>
    </row>
    <row r="1952" spans="1:6">
      <c r="A1952" s="27" t="str">
        <f>Resultados!$K$3</f>
        <v/>
      </c>
      <c r="B1952" s="27" t="str">
        <f>Resultados!$K$4</f>
        <v/>
      </c>
      <c r="C1952" s="569" t="str">
        <f>'900002'!$B34</f>
        <v>11101004</v>
      </c>
      <c r="D1952" s="27" t="str">
        <f>'900002'!$K$18</f>
        <v>C11101009</v>
      </c>
      <c r="E1952" s="27">
        <f>'900002'!$K34</f>
        <v>0</v>
      </c>
      <c r="F1952" s="27" t="s">
        <v>19082</v>
      </c>
    </row>
    <row r="1953" spans="1:6">
      <c r="A1953" s="27" t="str">
        <f>Resultados!$K$3</f>
        <v/>
      </c>
      <c r="B1953" s="27" t="str">
        <f>Resultados!$K$4</f>
        <v/>
      </c>
      <c r="C1953" s="569" t="str">
        <f>'900002'!$B35</f>
        <v>11101003</v>
      </c>
      <c r="D1953" s="27" t="str">
        <f>'900002'!$K$18</f>
        <v>C11101009</v>
      </c>
      <c r="E1953" s="27">
        <f>'900002'!$K35</f>
        <v>0</v>
      </c>
      <c r="F1953" s="27" t="s">
        <v>19082</v>
      </c>
    </row>
    <row r="1954" spans="1:6">
      <c r="A1954" s="27" t="str">
        <f>Resultados!$K$3</f>
        <v/>
      </c>
      <c r="B1954" s="27" t="str">
        <f>Resultados!$K$4</f>
        <v/>
      </c>
      <c r="C1954" s="569" t="str">
        <f>'900005'!$B$84</f>
        <v/>
      </c>
      <c r="D1954" t="str">
        <f>'900005'!$P$16</f>
        <v>C11601001</v>
      </c>
      <c r="E1954">
        <f>'900005'!$P$84</f>
        <v>0</v>
      </c>
      <c r="F1954" s="569" t="s">
        <v>19085</v>
      </c>
    </row>
    <row r="1955" spans="1:6">
      <c r="A1955" s="27" t="str">
        <f>Resultados!$K$3</f>
        <v/>
      </c>
      <c r="B1955" s="27" t="str">
        <f>Resultados!$K$4</f>
        <v/>
      </c>
      <c r="C1955" s="569" t="str">
        <f>'900005'!$B$85</f>
        <v/>
      </c>
      <c r="D1955" t="str">
        <f>'900005'!$P$16</f>
        <v>C11601001</v>
      </c>
      <c r="E1955">
        <f>'900005'!$P$85</f>
        <v>0</v>
      </c>
      <c r="F1955" s="569" t="s">
        <v>19085</v>
      </c>
    </row>
    <row r="1956" spans="1:6">
      <c r="A1956" s="27" t="str">
        <f>Resultados!$K$3</f>
        <v/>
      </c>
      <c r="B1956" s="27" t="str">
        <f>Resultados!$K$4</f>
        <v/>
      </c>
      <c r="C1956" s="569" t="str">
        <f>'900005'!$B$89</f>
        <v/>
      </c>
      <c r="D1956" t="str">
        <f>'900005'!$P$16</f>
        <v>C11601001</v>
      </c>
      <c r="E1956">
        <f>'900005'!$P$89</f>
        <v>0</v>
      </c>
      <c r="F1956" s="569" t="s">
        <v>19085</v>
      </c>
    </row>
    <row r="1957" spans="1:6">
      <c r="A1957" s="27" t="str">
        <f>Resultados!$K$3</f>
        <v/>
      </c>
      <c r="B1957" s="27" t="str">
        <f>Resultados!$K$4</f>
        <v/>
      </c>
      <c r="C1957" t="str">
        <f>'900005'!$B$84</f>
        <v/>
      </c>
      <c r="D1957" t="str">
        <f>'900005'!$Q$16</f>
        <v>C11601002</v>
      </c>
      <c r="E1957">
        <f>'900005'!$Q$84</f>
        <v>0</v>
      </c>
      <c r="F1957" s="569" t="s">
        <v>19085</v>
      </c>
    </row>
    <row r="1958" spans="1:6">
      <c r="A1958" s="27" t="str">
        <f>Resultados!$K$3</f>
        <v/>
      </c>
      <c r="B1958" s="27" t="str">
        <f>Resultados!$K$4</f>
        <v/>
      </c>
      <c r="C1958" t="str">
        <f>'900005'!$B$85</f>
        <v/>
      </c>
      <c r="D1958" t="str">
        <f>'900005'!$Q$16</f>
        <v>C11601002</v>
      </c>
      <c r="E1958">
        <f>'900005'!$Q$85</f>
        <v>0</v>
      </c>
      <c r="F1958" s="569" t="s">
        <v>19085</v>
      </c>
    </row>
    <row r="1959" spans="1:6">
      <c r="A1959" s="27" t="str">
        <f>Resultados!$K$3</f>
        <v/>
      </c>
      <c r="B1959" s="27" t="str">
        <f>Resultados!$K$4</f>
        <v/>
      </c>
      <c r="C1959" t="str">
        <f>'900005'!$B$89</f>
        <v/>
      </c>
      <c r="D1959" t="str">
        <f>'900005'!$Q$16</f>
        <v>C11601002</v>
      </c>
      <c r="E1959">
        <f>'900005'!$Q$89</f>
        <v>0</v>
      </c>
      <c r="F1959" s="569" t="s">
        <v>19085</v>
      </c>
    </row>
    <row r="1960" spans="1:6">
      <c r="A1960" s="27" t="str">
        <f>Resultados!$K$3</f>
        <v/>
      </c>
      <c r="B1960" s="27" t="str">
        <f>Resultados!$K$4</f>
        <v/>
      </c>
      <c r="C1960" t="str">
        <f>'900005'!$B$84</f>
        <v/>
      </c>
      <c r="D1960" t="str">
        <f>'900005'!$R$16</f>
        <v>C11601003</v>
      </c>
      <c r="E1960">
        <f>'900005'!$R$84</f>
        <v>0</v>
      </c>
      <c r="F1960" s="569" t="s">
        <v>19085</v>
      </c>
    </row>
    <row r="1961" spans="1:6">
      <c r="A1961" s="27" t="str">
        <f>Resultados!$K$3</f>
        <v/>
      </c>
      <c r="B1961" s="27" t="str">
        <f>Resultados!$K$4</f>
        <v/>
      </c>
      <c r="C1961" t="str">
        <f>'900005'!$B$85</f>
        <v/>
      </c>
      <c r="D1961" t="str">
        <f>'900005'!$R$16</f>
        <v>C11601003</v>
      </c>
      <c r="E1961">
        <f>'900005'!$R$85</f>
        <v>0</v>
      </c>
      <c r="F1961" s="569" t="s">
        <v>19085</v>
      </c>
    </row>
    <row r="1962" spans="1:6">
      <c r="A1962" s="27" t="str">
        <f>Resultados!$K$3</f>
        <v/>
      </c>
      <c r="B1962" s="27" t="str">
        <f>Resultados!$K$4</f>
        <v/>
      </c>
      <c r="C1962" t="str">
        <f>'900005'!$B$89</f>
        <v/>
      </c>
      <c r="D1962" t="str">
        <f>'900005'!$R$16</f>
        <v>C11601003</v>
      </c>
      <c r="E1962">
        <f>'900005'!$R$89</f>
        <v>0</v>
      </c>
      <c r="F1962" s="569" t="s">
        <v>19085</v>
      </c>
    </row>
    <row r="1963" spans="1:6">
      <c r="A1963" s="27" t="str">
        <f>Resultados!$K$3</f>
        <v/>
      </c>
      <c r="B1963" s="27" t="str">
        <f>Resultados!$K$4</f>
        <v/>
      </c>
      <c r="C1963">
        <f>'900005'!$W19</f>
        <v>11602001</v>
      </c>
      <c r="D1963" t="str">
        <f>'900005'!$C$16</f>
        <v>C11601005</v>
      </c>
      <c r="E1963">
        <f>'900005'!$C19</f>
        <v>0</v>
      </c>
      <c r="F1963" s="569" t="s">
        <v>19085</v>
      </c>
    </row>
    <row r="1964" spans="1:6">
      <c r="A1964" s="27" t="str">
        <f>Resultados!$K$3</f>
        <v/>
      </c>
      <c r="B1964" s="27" t="str">
        <f>Resultados!$K$4</f>
        <v/>
      </c>
      <c r="C1964" s="27">
        <f>'900005'!$W20</f>
        <v>11602002</v>
      </c>
      <c r="D1964" s="27" t="str">
        <f>'900005'!$C$16</f>
        <v>C11601005</v>
      </c>
      <c r="E1964" s="27">
        <f>'900005'!$C20</f>
        <v>0</v>
      </c>
      <c r="F1964" s="569" t="s">
        <v>19085</v>
      </c>
    </row>
    <row r="1965" spans="1:6">
      <c r="A1965" s="27" t="str">
        <f>Resultados!$K$3</f>
        <v/>
      </c>
      <c r="B1965" s="27" t="str">
        <f>Resultados!$K$4</f>
        <v/>
      </c>
      <c r="C1965" s="27">
        <f>'900005'!$W21</f>
        <v>11602003</v>
      </c>
      <c r="D1965" s="27" t="str">
        <f>'900005'!$C$16</f>
        <v>C11601005</v>
      </c>
      <c r="E1965" s="27">
        <f>'900005'!$C21</f>
        <v>0</v>
      </c>
      <c r="F1965" s="569" t="s">
        <v>19085</v>
      </c>
    </row>
    <row r="1966" spans="1:6">
      <c r="A1966" s="27" t="str">
        <f>Resultados!$K$3</f>
        <v/>
      </c>
      <c r="B1966" s="27" t="str">
        <f>Resultados!$K$4</f>
        <v/>
      </c>
      <c r="C1966" s="27">
        <f>'900005'!$W22</f>
        <v>11602004</v>
      </c>
      <c r="D1966" s="27" t="str">
        <f>'900005'!$C$16</f>
        <v>C11601005</v>
      </c>
      <c r="E1966" s="27">
        <f>'900005'!$C22</f>
        <v>0</v>
      </c>
      <c r="F1966" s="569" t="s">
        <v>19085</v>
      </c>
    </row>
    <row r="1967" spans="1:6">
      <c r="A1967" s="27" t="str">
        <f>Resultados!$K$3</f>
        <v/>
      </c>
      <c r="B1967" s="27" t="str">
        <f>Resultados!$K$4</f>
        <v/>
      </c>
      <c r="C1967" s="27">
        <f>'900005'!$W23</f>
        <v>11602005</v>
      </c>
      <c r="D1967" s="27" t="str">
        <f>'900005'!$C$16</f>
        <v>C11601005</v>
      </c>
      <c r="E1967" s="27">
        <f>'900005'!$C23</f>
        <v>0</v>
      </c>
      <c r="F1967" s="569" t="s">
        <v>19085</v>
      </c>
    </row>
    <row r="1968" spans="1:6">
      <c r="A1968" s="27" t="str">
        <f>Resultados!$K$3</f>
        <v/>
      </c>
      <c r="B1968" s="27" t="str">
        <f>Resultados!$K$4</f>
        <v/>
      </c>
      <c r="C1968" s="27">
        <f>'900005'!$W24</f>
        <v>11602006</v>
      </c>
      <c r="D1968" s="27" t="str">
        <f>'900005'!$C$16</f>
        <v>C11601005</v>
      </c>
      <c r="E1968" s="27">
        <f>'900005'!$C24</f>
        <v>0</v>
      </c>
      <c r="F1968" s="569" t="s">
        <v>19085</v>
      </c>
    </row>
    <row r="1969" spans="1:6">
      <c r="A1969" s="27" t="str">
        <f>Resultados!$K$3</f>
        <v/>
      </c>
      <c r="B1969" s="27" t="str">
        <f>Resultados!$K$4</f>
        <v/>
      </c>
      <c r="C1969" s="27">
        <f>'900005'!$W25</f>
        <v>11602007</v>
      </c>
      <c r="D1969" s="27" t="str">
        <f>'900005'!$C$16</f>
        <v>C11601005</v>
      </c>
      <c r="E1969" s="27">
        <f>'900005'!$C25</f>
        <v>0</v>
      </c>
      <c r="F1969" s="569" t="s">
        <v>19085</v>
      </c>
    </row>
    <row r="1970" spans="1:6">
      <c r="A1970" s="27" t="str">
        <f>Resultados!$K$3</f>
        <v/>
      </c>
      <c r="B1970" s="27" t="str">
        <f>Resultados!$K$4</f>
        <v/>
      </c>
      <c r="C1970" s="27">
        <f>'900005'!$W26</f>
        <v>11602008</v>
      </c>
      <c r="D1970" s="27" t="str">
        <f>'900005'!$C$16</f>
        <v>C11601005</v>
      </c>
      <c r="E1970" s="27">
        <f>'900005'!$C26</f>
        <v>0</v>
      </c>
      <c r="F1970" s="569" t="s">
        <v>19085</v>
      </c>
    </row>
    <row r="1971" spans="1:6">
      <c r="A1971" s="27" t="str">
        <f>Resultados!$K$3</f>
        <v/>
      </c>
      <c r="B1971" s="27" t="str">
        <f>Resultados!$K$4</f>
        <v/>
      </c>
      <c r="C1971" s="27">
        <f>'900005'!$W27</f>
        <v>11602009</v>
      </c>
      <c r="D1971" s="27" t="str">
        <f>'900005'!$C$16</f>
        <v>C11601005</v>
      </c>
      <c r="E1971" s="27">
        <f>'900005'!$C27</f>
        <v>0</v>
      </c>
      <c r="F1971" s="569" t="s">
        <v>19085</v>
      </c>
    </row>
    <row r="1972" spans="1:6">
      <c r="A1972" s="27" t="str">
        <f>Resultados!$K$3</f>
        <v/>
      </c>
      <c r="B1972" s="27" t="str">
        <f>Resultados!$K$4</f>
        <v/>
      </c>
      <c r="C1972" s="27">
        <f>'900005'!$W28</f>
        <v>11602010</v>
      </c>
      <c r="D1972" s="27" t="str">
        <f>'900005'!$C$16</f>
        <v>C11601005</v>
      </c>
      <c r="E1972" s="27">
        <f>'900005'!$C28</f>
        <v>0</v>
      </c>
      <c r="F1972" s="569" t="s">
        <v>19085</v>
      </c>
    </row>
    <row r="1973" spans="1:6">
      <c r="A1973" s="27" t="str">
        <f>Resultados!$K$3</f>
        <v/>
      </c>
      <c r="B1973" s="27" t="str">
        <f>Resultados!$K$4</f>
        <v/>
      </c>
      <c r="C1973" s="27">
        <f>'900005'!$W29</f>
        <v>11602011</v>
      </c>
      <c r="D1973" s="27" t="str">
        <f>'900005'!$C$16</f>
        <v>C11601005</v>
      </c>
      <c r="E1973" s="27">
        <f>'900005'!$C29</f>
        <v>0</v>
      </c>
      <c r="F1973" s="569" t="s">
        <v>19085</v>
      </c>
    </row>
    <row r="1974" spans="1:6">
      <c r="A1974" s="27" t="str">
        <f>Resultados!$K$3</f>
        <v/>
      </c>
      <c r="B1974" s="27" t="str">
        <f>Resultados!$K$4</f>
        <v/>
      </c>
      <c r="C1974" s="27">
        <f>'900005'!$W30</f>
        <v>11602012</v>
      </c>
      <c r="D1974" s="27" t="str">
        <f>'900005'!$C$16</f>
        <v>C11601005</v>
      </c>
      <c r="E1974" s="27">
        <f>'900005'!$C30</f>
        <v>0</v>
      </c>
      <c r="F1974" s="569" t="s">
        <v>19085</v>
      </c>
    </row>
    <row r="1975" spans="1:6">
      <c r="A1975" s="27" t="str">
        <f>Resultados!$K$3</f>
        <v/>
      </c>
      <c r="B1975" s="27" t="str">
        <f>Resultados!$K$4</f>
        <v/>
      </c>
      <c r="C1975" s="27">
        <f>'900005'!$W31</f>
        <v>11602013</v>
      </c>
      <c r="D1975" s="27" t="str">
        <f>'900005'!$C$16</f>
        <v>C11601005</v>
      </c>
      <c r="E1975" s="27">
        <f>'900005'!$C31</f>
        <v>0</v>
      </c>
      <c r="F1975" s="569" t="s">
        <v>19085</v>
      </c>
    </row>
    <row r="1976" spans="1:6">
      <c r="A1976" s="27" t="str">
        <f>Resultados!$K$3</f>
        <v/>
      </c>
      <c r="B1976" s="27" t="str">
        <f>Resultados!$K$4</f>
        <v/>
      </c>
      <c r="C1976" s="27">
        <f>'900005'!$W32</f>
        <v>11602014</v>
      </c>
      <c r="D1976" s="27" t="str">
        <f>'900005'!$C$16</f>
        <v>C11601005</v>
      </c>
      <c r="E1976" s="27">
        <f>'900005'!$C32</f>
        <v>0</v>
      </c>
      <c r="F1976" s="569" t="s">
        <v>19085</v>
      </c>
    </row>
    <row r="1977" spans="1:6">
      <c r="A1977" s="27" t="str">
        <f>Resultados!$K$3</f>
        <v/>
      </c>
      <c r="B1977" s="27" t="str">
        <f>Resultados!$K$4</f>
        <v/>
      </c>
      <c r="C1977" s="27">
        <f>'900005'!$W33</f>
        <v>11602015</v>
      </c>
      <c r="D1977" s="27" t="str">
        <f>'900005'!$C$16</f>
        <v>C11601005</v>
      </c>
      <c r="E1977" s="27">
        <f>'900005'!$C33</f>
        <v>0</v>
      </c>
      <c r="F1977" s="569" t="s">
        <v>19085</v>
      </c>
    </row>
    <row r="1978" spans="1:6">
      <c r="A1978" s="27" t="str">
        <f>Resultados!$K$3</f>
        <v/>
      </c>
      <c r="B1978" s="27" t="str">
        <f>Resultados!$K$4</f>
        <v/>
      </c>
      <c r="C1978" s="27">
        <f>'900005'!$W34</f>
        <v>11602016</v>
      </c>
      <c r="D1978" s="27" t="str">
        <f>'900005'!$C$16</f>
        <v>C11601005</v>
      </c>
      <c r="E1978" s="27">
        <f>'900005'!$C34</f>
        <v>0</v>
      </c>
      <c r="F1978" s="569" t="s">
        <v>19085</v>
      </c>
    </row>
    <row r="1979" spans="1:6">
      <c r="A1979" s="27" t="str">
        <f>Resultados!$K$3</f>
        <v/>
      </c>
      <c r="B1979" s="27" t="str">
        <f>Resultados!$K$4</f>
        <v/>
      </c>
      <c r="C1979" s="27">
        <f>'900005'!$W35</f>
        <v>11602017</v>
      </c>
      <c r="D1979" s="27" t="str">
        <f>'900005'!$C$16</f>
        <v>C11601005</v>
      </c>
      <c r="E1979" s="27">
        <f>'900005'!$C35</f>
        <v>0</v>
      </c>
      <c r="F1979" s="569" t="s">
        <v>19085</v>
      </c>
    </row>
    <row r="1980" spans="1:6">
      <c r="A1980" s="27" t="str">
        <f>Resultados!$K$3</f>
        <v/>
      </c>
      <c r="B1980" s="27" t="str">
        <f>Resultados!$K$4</f>
        <v/>
      </c>
      <c r="C1980" s="27">
        <f>'900005'!$W36</f>
        <v>11602018</v>
      </c>
      <c r="D1980" s="27" t="str">
        <f>'900005'!$C$16</f>
        <v>C11601005</v>
      </c>
      <c r="E1980" s="27">
        <f>'900005'!$C36</f>
        <v>0</v>
      </c>
      <c r="F1980" s="569" t="s">
        <v>19085</v>
      </c>
    </row>
    <row r="1981" spans="1:6">
      <c r="A1981" s="27" t="str">
        <f>Resultados!$K$3</f>
        <v/>
      </c>
      <c r="B1981" s="27" t="str">
        <f>Resultados!$K$4</f>
        <v/>
      </c>
      <c r="C1981" s="27">
        <f>'900005'!$W37</f>
        <v>11602019</v>
      </c>
      <c r="D1981" s="27" t="str">
        <f>'900005'!$C$16</f>
        <v>C11601005</v>
      </c>
      <c r="E1981" s="27">
        <f>'900005'!$C37</f>
        <v>0</v>
      </c>
      <c r="F1981" s="569" t="s">
        <v>19085</v>
      </c>
    </row>
    <row r="1982" spans="1:6">
      <c r="A1982" s="27" t="str">
        <f>Resultados!$K$3</f>
        <v/>
      </c>
      <c r="B1982" s="27" t="str">
        <f>Resultados!$K$4</f>
        <v/>
      </c>
      <c r="C1982" s="27">
        <f>'900005'!$W38</f>
        <v>11602020</v>
      </c>
      <c r="D1982" s="27" t="str">
        <f>'900005'!$C$16</f>
        <v>C11601005</v>
      </c>
      <c r="E1982" s="27">
        <f>'900005'!$C38</f>
        <v>0</v>
      </c>
      <c r="F1982" s="569" t="s">
        <v>19085</v>
      </c>
    </row>
    <row r="1983" spans="1:6">
      <c r="A1983" s="27" t="str">
        <f>Resultados!$K$3</f>
        <v/>
      </c>
      <c r="B1983" s="27" t="str">
        <f>Resultados!$K$4</f>
        <v/>
      </c>
      <c r="C1983" s="27">
        <f>'900005'!$W39</f>
        <v>11602021</v>
      </c>
      <c r="D1983" s="27" t="str">
        <f>'900005'!$C$16</f>
        <v>C11601005</v>
      </c>
      <c r="E1983" s="27">
        <f>'900005'!$C39</f>
        <v>0</v>
      </c>
      <c r="F1983" s="569" t="s">
        <v>19085</v>
      </c>
    </row>
    <row r="1984" spans="1:6">
      <c r="A1984" s="27" t="str">
        <f>Resultados!$K$3</f>
        <v/>
      </c>
      <c r="B1984" s="27" t="str">
        <f>Resultados!$K$4</f>
        <v/>
      </c>
      <c r="C1984" s="27">
        <f>'900005'!$W40</f>
        <v>11602022</v>
      </c>
      <c r="D1984" s="27" t="str">
        <f>'900005'!$C$16</f>
        <v>C11601005</v>
      </c>
      <c r="E1984" s="27">
        <f>'900005'!$C40</f>
        <v>0</v>
      </c>
      <c r="F1984" s="569" t="s">
        <v>19085</v>
      </c>
    </row>
    <row r="1985" spans="1:6">
      <c r="A1985" s="27" t="str">
        <f>Resultados!$K$3</f>
        <v/>
      </c>
      <c r="B1985" s="27" t="str">
        <f>Resultados!$K$4</f>
        <v/>
      </c>
      <c r="C1985" s="27">
        <f>'900005'!$W41</f>
        <v>11602023</v>
      </c>
      <c r="D1985" s="27" t="str">
        <f>'900005'!$C$16</f>
        <v>C11601005</v>
      </c>
      <c r="E1985" s="27">
        <f>'900005'!$C41</f>
        <v>0</v>
      </c>
      <c r="F1985" s="569" t="s">
        <v>19085</v>
      </c>
    </row>
    <row r="1986" spans="1:6">
      <c r="A1986" s="27" t="str">
        <f>Resultados!$K$3</f>
        <v/>
      </c>
      <c r="B1986" s="27" t="str">
        <f>Resultados!$K$4</f>
        <v/>
      </c>
      <c r="C1986" s="27">
        <f>'900005'!$W42</f>
        <v>11602024</v>
      </c>
      <c r="D1986" s="27" t="str">
        <f>'900005'!$C$16</f>
        <v>C11601005</v>
      </c>
      <c r="E1986" s="27">
        <f>'900005'!$C42</f>
        <v>0</v>
      </c>
      <c r="F1986" s="569" t="s">
        <v>19085</v>
      </c>
    </row>
    <row r="1987" spans="1:6">
      <c r="A1987" s="27" t="str">
        <f>Resultados!$K$3</f>
        <v/>
      </c>
      <c r="B1987" s="27" t="str">
        <f>Resultados!$K$4</f>
        <v/>
      </c>
      <c r="C1987" s="27">
        <f>'900005'!$W43</f>
        <v>11602025</v>
      </c>
      <c r="D1987" s="27" t="str">
        <f>'900005'!$C$16</f>
        <v>C11601005</v>
      </c>
      <c r="E1987" s="27">
        <f>'900005'!$C43</f>
        <v>0</v>
      </c>
      <c r="F1987" s="569" t="s">
        <v>19085</v>
      </c>
    </row>
    <row r="1988" spans="1:6">
      <c r="A1988" s="27" t="str">
        <f>Resultados!$K$3</f>
        <v/>
      </c>
      <c r="B1988" s="27" t="str">
        <f>Resultados!$K$4</f>
        <v/>
      </c>
      <c r="C1988" s="27">
        <f>'900005'!$W44</f>
        <v>11602026</v>
      </c>
      <c r="D1988" s="27" t="str">
        <f>'900005'!$C$16</f>
        <v>C11601005</v>
      </c>
      <c r="E1988" s="27">
        <f>'900005'!$C44</f>
        <v>0</v>
      </c>
      <c r="F1988" s="569" t="s">
        <v>19085</v>
      </c>
    </row>
    <row r="1989" spans="1:6">
      <c r="A1989" s="27" t="str">
        <f>Resultados!$K$3</f>
        <v/>
      </c>
      <c r="B1989" s="27" t="str">
        <f>Resultados!$K$4</f>
        <v/>
      </c>
      <c r="C1989" s="27">
        <f>'900005'!$W45</f>
        <v>11602027</v>
      </c>
      <c r="D1989" s="27" t="str">
        <f>'900005'!$C$16</f>
        <v>C11601005</v>
      </c>
      <c r="E1989" s="27">
        <f>'900005'!$C45</f>
        <v>0</v>
      </c>
      <c r="F1989" s="569" t="s">
        <v>19085</v>
      </c>
    </row>
    <row r="1990" spans="1:6">
      <c r="A1990" s="27" t="str">
        <f>Resultados!$K$3</f>
        <v/>
      </c>
      <c r="B1990" s="27" t="str">
        <f>Resultados!$K$4</f>
        <v/>
      </c>
      <c r="C1990" s="27">
        <f>'900005'!$W46</f>
        <v>11602028</v>
      </c>
      <c r="D1990" s="27" t="str">
        <f>'900005'!$C$16</f>
        <v>C11601005</v>
      </c>
      <c r="E1990" s="27">
        <f>'900005'!$C46</f>
        <v>0</v>
      </c>
      <c r="F1990" s="569" t="s">
        <v>19085</v>
      </c>
    </row>
    <row r="1991" spans="1:6">
      <c r="A1991" s="27" t="str">
        <f>Resultados!$K$3</f>
        <v/>
      </c>
      <c r="B1991" s="27" t="str">
        <f>Resultados!$K$4</f>
        <v/>
      </c>
      <c r="C1991" s="27">
        <f>'900005'!$W47</f>
        <v>11602029</v>
      </c>
      <c r="D1991" s="27" t="str">
        <f>'900005'!$C$16</f>
        <v>C11601005</v>
      </c>
      <c r="E1991" s="27">
        <f>'900005'!$C47</f>
        <v>0</v>
      </c>
      <c r="F1991" s="569" t="s">
        <v>19085</v>
      </c>
    </row>
    <row r="1992" spans="1:6">
      <c r="A1992" s="27" t="str">
        <f>Resultados!$K$3</f>
        <v/>
      </c>
      <c r="B1992" s="27" t="str">
        <f>Resultados!$K$4</f>
        <v/>
      </c>
      <c r="C1992" s="27">
        <f>'900005'!$W48</f>
        <v>11602030</v>
      </c>
      <c r="D1992" s="27" t="str">
        <f>'900005'!$C$16</f>
        <v>C11601005</v>
      </c>
      <c r="E1992" s="27">
        <f>'900005'!$C48</f>
        <v>0</v>
      </c>
      <c r="F1992" s="569" t="s">
        <v>19085</v>
      </c>
    </row>
    <row r="1993" spans="1:6">
      <c r="A1993" s="27" t="str">
        <f>Resultados!$K$3</f>
        <v/>
      </c>
      <c r="B1993" s="27" t="str">
        <f>Resultados!$K$4</f>
        <v/>
      </c>
      <c r="C1993" s="27">
        <f>'900005'!$W49</f>
        <v>11602031</v>
      </c>
      <c r="D1993" s="27" t="str">
        <f>'900005'!$C$16</f>
        <v>C11601005</v>
      </c>
      <c r="E1993" s="27">
        <f>'900005'!$C49</f>
        <v>0</v>
      </c>
      <c r="F1993" s="569" t="s">
        <v>19085</v>
      </c>
    </row>
    <row r="1994" spans="1:6">
      <c r="A1994" s="27" t="str">
        <f>Resultados!$K$3</f>
        <v/>
      </c>
      <c r="B1994" s="27" t="str">
        <f>Resultados!$K$4</f>
        <v/>
      </c>
      <c r="C1994" s="27">
        <f>'900005'!$W50</f>
        <v>11602032</v>
      </c>
      <c r="D1994" s="27" t="str">
        <f>'900005'!$C$16</f>
        <v>C11601005</v>
      </c>
      <c r="E1994" s="27">
        <f>'900005'!$C50</f>
        <v>0</v>
      </c>
      <c r="F1994" s="569" t="s">
        <v>19085</v>
      </c>
    </row>
    <row r="1995" spans="1:6">
      <c r="A1995" s="27" t="str">
        <f>Resultados!$K$3</f>
        <v/>
      </c>
      <c r="B1995" s="27" t="str">
        <f>Resultados!$K$4</f>
        <v/>
      </c>
      <c r="C1995" s="27">
        <f>'900005'!$W51</f>
        <v>11602033</v>
      </c>
      <c r="D1995" s="27" t="str">
        <f>'900005'!$C$16</f>
        <v>C11601005</v>
      </c>
      <c r="E1995" s="27">
        <f>'900005'!$C51</f>
        <v>0</v>
      </c>
      <c r="F1995" s="569" t="s">
        <v>19085</v>
      </c>
    </row>
    <row r="1996" spans="1:6">
      <c r="A1996" s="27" t="str">
        <f>Resultados!$K$3</f>
        <v/>
      </c>
      <c r="B1996" s="27" t="str">
        <f>Resultados!$K$4</f>
        <v/>
      </c>
      <c r="C1996" s="27">
        <f>'900005'!$W52</f>
        <v>11602034</v>
      </c>
      <c r="D1996" s="27" t="str">
        <f>'900005'!$C$16</f>
        <v>C11601005</v>
      </c>
      <c r="E1996" s="27">
        <f>'900005'!$C52</f>
        <v>0</v>
      </c>
      <c r="F1996" s="569" t="s">
        <v>19085</v>
      </c>
    </row>
    <row r="1997" spans="1:6">
      <c r="A1997" s="27" t="str">
        <f>Resultados!$K$3</f>
        <v/>
      </c>
      <c r="B1997" s="27" t="str">
        <f>Resultados!$K$4</f>
        <v/>
      </c>
      <c r="C1997" s="27">
        <f>'900005'!$W53</f>
        <v>11602035</v>
      </c>
      <c r="D1997" s="27" t="str">
        <f>'900005'!$C$16</f>
        <v>C11601005</v>
      </c>
      <c r="E1997" s="27">
        <f>'900005'!$C53</f>
        <v>0</v>
      </c>
      <c r="F1997" s="569" t="s">
        <v>19085</v>
      </c>
    </row>
    <row r="1998" spans="1:6">
      <c r="A1998" s="27" t="str">
        <f>Resultados!$K$3</f>
        <v/>
      </c>
      <c r="B1998" s="27" t="str">
        <f>Resultados!$K$4</f>
        <v/>
      </c>
      <c r="C1998" s="27">
        <f>'900005'!$W54</f>
        <v>11602036</v>
      </c>
      <c r="D1998" s="27" t="str">
        <f>'900005'!$C$16</f>
        <v>C11601005</v>
      </c>
      <c r="E1998" s="27">
        <f>'900005'!$C54</f>
        <v>0</v>
      </c>
      <c r="F1998" s="569" t="s">
        <v>19085</v>
      </c>
    </row>
    <row r="1999" spans="1:6">
      <c r="A1999" s="27" t="str">
        <f>Resultados!$K$3</f>
        <v/>
      </c>
      <c r="B1999" s="27" t="str">
        <f>Resultados!$K$4</f>
        <v/>
      </c>
      <c r="C1999" s="27">
        <f>'900005'!$W56</f>
        <v>11602038</v>
      </c>
      <c r="D1999" s="27" t="str">
        <f>'900005'!$C$16</f>
        <v>C11601005</v>
      </c>
      <c r="E1999" s="27">
        <f>'900005'!$C56</f>
        <v>0</v>
      </c>
      <c r="F1999" s="569" t="s">
        <v>19085</v>
      </c>
    </row>
    <row r="2000" spans="1:6">
      <c r="A2000" s="27" t="str">
        <f>Resultados!$K$3</f>
        <v/>
      </c>
      <c r="B2000" s="27" t="str">
        <f>Resultados!$K$4</f>
        <v/>
      </c>
      <c r="C2000" s="27">
        <f>'900005'!$W57</f>
        <v>11602039</v>
      </c>
      <c r="D2000" s="27" t="str">
        <f>'900005'!$C$16</f>
        <v>C11601005</v>
      </c>
      <c r="E2000">
        <f>'900005'!$C57</f>
        <v>0</v>
      </c>
      <c r="F2000" s="569" t="s">
        <v>19085</v>
      </c>
    </row>
    <row r="2001" spans="1:6">
      <c r="A2001" s="27" t="str">
        <f>Resultados!$K$3</f>
        <v/>
      </c>
      <c r="B2001" s="27" t="str">
        <f>Resultados!$K$4</f>
        <v/>
      </c>
      <c r="C2001" s="27">
        <f>'900005'!$W58</f>
        <v>11602040</v>
      </c>
      <c r="D2001" s="27" t="str">
        <f>'900005'!$C$16</f>
        <v>C11601005</v>
      </c>
      <c r="E2001">
        <f>'900005'!$C58</f>
        <v>0</v>
      </c>
      <c r="F2001" s="569" t="s">
        <v>19085</v>
      </c>
    </row>
    <row r="2002" spans="1:6">
      <c r="A2002" s="27" t="str">
        <f>Resultados!$K$3</f>
        <v/>
      </c>
      <c r="B2002" s="27" t="str">
        <f>Resultados!$K$4</f>
        <v/>
      </c>
      <c r="C2002" s="27">
        <f>'900005'!$W59</f>
        <v>11602041</v>
      </c>
      <c r="D2002" s="27" t="str">
        <f>'900005'!$C$16</f>
        <v>C11601005</v>
      </c>
      <c r="E2002">
        <f>'900005'!$C59</f>
        <v>0</v>
      </c>
      <c r="F2002" s="569" t="s">
        <v>19085</v>
      </c>
    </row>
    <row r="2003" spans="1:6">
      <c r="A2003" s="27" t="str">
        <f>Resultados!$K$3</f>
        <v/>
      </c>
      <c r="B2003" s="27" t="str">
        <f>Resultados!$K$4</f>
        <v/>
      </c>
      <c r="C2003" s="27">
        <f>'900005'!$W60</f>
        <v>11602042</v>
      </c>
      <c r="D2003" s="27" t="str">
        <f>'900005'!$C$16</f>
        <v>C11601005</v>
      </c>
      <c r="E2003">
        <f>'900005'!$C60</f>
        <v>0</v>
      </c>
      <c r="F2003" s="569" t="s">
        <v>19085</v>
      </c>
    </row>
    <row r="2004" spans="1:6">
      <c r="A2004" s="27" t="str">
        <f>Resultados!$K$3</f>
        <v/>
      </c>
      <c r="B2004" s="27" t="str">
        <f>Resultados!$K$4</f>
        <v/>
      </c>
      <c r="C2004" s="27">
        <f>'900005'!$W61</f>
        <v>11602043</v>
      </c>
      <c r="D2004" s="27" t="str">
        <f>'900005'!$C$16</f>
        <v>C11601005</v>
      </c>
      <c r="E2004">
        <f>'900005'!$C61</f>
        <v>0</v>
      </c>
      <c r="F2004" s="569" t="s">
        <v>19085</v>
      </c>
    </row>
    <row r="2005" spans="1:6">
      <c r="A2005" s="27" t="str">
        <f>Resultados!$K$3</f>
        <v/>
      </c>
      <c r="B2005" s="27" t="str">
        <f>Resultados!$K$4</f>
        <v/>
      </c>
      <c r="C2005" s="27">
        <f>'900005'!$W62</f>
        <v>11602044</v>
      </c>
      <c r="D2005" s="27" t="str">
        <f>'900005'!$C$16</f>
        <v>C11601005</v>
      </c>
      <c r="E2005">
        <f>'900005'!$C62</f>
        <v>0</v>
      </c>
      <c r="F2005" s="569" t="s">
        <v>19085</v>
      </c>
    </row>
    <row r="2006" spans="1:6">
      <c r="A2006" s="27" t="str">
        <f>Resultados!$K$3</f>
        <v/>
      </c>
      <c r="B2006" s="27" t="str">
        <f>Resultados!$K$4</f>
        <v/>
      </c>
      <c r="C2006" s="27">
        <f>'900005'!$W63</f>
        <v>11602045</v>
      </c>
      <c r="D2006" s="27" t="str">
        <f>'900005'!$C$16</f>
        <v>C11601005</v>
      </c>
      <c r="E2006">
        <f>'900005'!$C63</f>
        <v>0</v>
      </c>
      <c r="F2006" s="569" t="s">
        <v>19085</v>
      </c>
    </row>
    <row r="2007" spans="1:6">
      <c r="A2007" s="27" t="str">
        <f>Resultados!$K$3</f>
        <v/>
      </c>
      <c r="B2007" s="27" t="str">
        <f>Resultados!$K$4</f>
        <v/>
      </c>
      <c r="C2007" s="27">
        <f>'900005'!$W64</f>
        <v>11602046</v>
      </c>
      <c r="D2007" s="27" t="str">
        <f>'900005'!$C$16</f>
        <v>C11601005</v>
      </c>
      <c r="E2007">
        <f>'900005'!$C64</f>
        <v>0</v>
      </c>
      <c r="F2007" s="569" t="s">
        <v>19085</v>
      </c>
    </row>
    <row r="2008" spans="1:6">
      <c r="A2008" s="27" t="str">
        <f>Resultados!$K$3</f>
        <v/>
      </c>
      <c r="B2008" s="27" t="str">
        <f>Resultados!$K$4</f>
        <v/>
      </c>
      <c r="C2008" s="27">
        <f>'900005'!$W65</f>
        <v>11602047</v>
      </c>
      <c r="D2008" s="27" t="str">
        <f>'900005'!$C$16</f>
        <v>C11601005</v>
      </c>
      <c r="E2008">
        <f>'900005'!$C65</f>
        <v>0</v>
      </c>
      <c r="F2008" s="569" t="s">
        <v>19085</v>
      </c>
    </row>
    <row r="2009" spans="1:6">
      <c r="A2009" s="27" t="str">
        <f>Resultados!$K$3</f>
        <v/>
      </c>
      <c r="B2009" s="27" t="str">
        <f>Resultados!$K$4</f>
        <v/>
      </c>
      <c r="C2009" s="27">
        <f>'900005'!$W66</f>
        <v>11602048</v>
      </c>
      <c r="D2009" s="27" t="str">
        <f>'900005'!$C$16</f>
        <v>C11601005</v>
      </c>
      <c r="E2009">
        <f>'900005'!$C66</f>
        <v>0</v>
      </c>
      <c r="F2009" s="569" t="s">
        <v>19085</v>
      </c>
    </row>
    <row r="2010" spans="1:6">
      <c r="A2010" s="27" t="str">
        <f>Resultados!$K$3</f>
        <v/>
      </c>
      <c r="B2010" s="27" t="str">
        <f>Resultados!$K$4</f>
        <v/>
      </c>
      <c r="C2010" s="27">
        <f>'900005'!$W68</f>
        <v>11602050</v>
      </c>
      <c r="D2010" s="27" t="str">
        <f>'900005'!$C$16</f>
        <v>C11601005</v>
      </c>
      <c r="E2010">
        <f>'900005'!$C68</f>
        <v>0</v>
      </c>
      <c r="F2010" s="569" t="s">
        <v>19085</v>
      </c>
    </row>
    <row r="2011" spans="1:6">
      <c r="A2011" s="27" t="str">
        <f>Resultados!$K$3</f>
        <v/>
      </c>
      <c r="B2011" s="27" t="str">
        <f>Resultados!$K$4</f>
        <v/>
      </c>
      <c r="C2011" s="27">
        <f>'900005'!$W69</f>
        <v>11602051</v>
      </c>
      <c r="D2011" s="27" t="str">
        <f>'900005'!$C$16</f>
        <v>C11601005</v>
      </c>
      <c r="E2011">
        <f>'900005'!$C69</f>
        <v>0</v>
      </c>
      <c r="F2011" s="569" t="s">
        <v>19085</v>
      </c>
    </row>
    <row r="2012" spans="1:6">
      <c r="A2012" s="27" t="str">
        <f>Resultados!$K$3</f>
        <v/>
      </c>
      <c r="B2012" s="27" t="str">
        <f>Resultados!$K$4</f>
        <v/>
      </c>
      <c r="C2012" s="27">
        <f>'900005'!$W70</f>
        <v>11602052</v>
      </c>
      <c r="D2012" s="27" t="str">
        <f>'900005'!$C$16</f>
        <v>C11601005</v>
      </c>
      <c r="E2012">
        <f>'900005'!$C70</f>
        <v>0</v>
      </c>
      <c r="F2012" s="569" t="s">
        <v>19085</v>
      </c>
    </row>
    <row r="2013" spans="1:6">
      <c r="A2013" s="27" t="str">
        <f>Resultados!$K$3</f>
        <v/>
      </c>
      <c r="B2013" s="27" t="str">
        <f>Resultados!$K$4</f>
        <v/>
      </c>
      <c r="C2013" s="27">
        <f>'900005'!$W71</f>
        <v>11602053</v>
      </c>
      <c r="D2013" s="27" t="str">
        <f>'900005'!$C$16</f>
        <v>C11601005</v>
      </c>
      <c r="E2013">
        <f>'900005'!$C71</f>
        <v>0</v>
      </c>
      <c r="F2013" s="569" t="s">
        <v>19085</v>
      </c>
    </row>
    <row r="2014" spans="1:6">
      <c r="A2014" s="27" t="str">
        <f>Resultados!$K$3</f>
        <v/>
      </c>
      <c r="B2014" s="27" t="str">
        <f>Resultados!$K$4</f>
        <v/>
      </c>
      <c r="C2014" s="27">
        <f>'900005'!$W72</f>
        <v>11602054</v>
      </c>
      <c r="D2014" s="27" t="str">
        <f>'900005'!$C$16</f>
        <v>C11601005</v>
      </c>
      <c r="E2014">
        <f>'900005'!$C72</f>
        <v>0</v>
      </c>
      <c r="F2014" s="569" t="s">
        <v>19085</v>
      </c>
    </row>
    <row r="2015" spans="1:6">
      <c r="A2015" s="27" t="str">
        <f>Resultados!$K$3</f>
        <v/>
      </c>
      <c r="B2015" s="27" t="str">
        <f>Resultados!$K$4</f>
        <v/>
      </c>
      <c r="C2015" s="27">
        <f>'900005'!$W73</f>
        <v>11602055</v>
      </c>
      <c r="D2015" s="27" t="str">
        <f>'900005'!$C$16</f>
        <v>C11601005</v>
      </c>
      <c r="E2015">
        <f>'900005'!$C73</f>
        <v>0</v>
      </c>
      <c r="F2015" s="569" t="s">
        <v>19085</v>
      </c>
    </row>
    <row r="2016" spans="1:6">
      <c r="A2016" s="27" t="str">
        <f>Resultados!$K$3</f>
        <v/>
      </c>
      <c r="B2016" s="27" t="str">
        <f>Resultados!$K$4</f>
        <v/>
      </c>
      <c r="C2016" s="27">
        <f>'900005'!$W74</f>
        <v>11602056</v>
      </c>
      <c r="D2016" s="27" t="str">
        <f>'900005'!$C$16</f>
        <v>C11601005</v>
      </c>
      <c r="E2016">
        <f>'900005'!$C74</f>
        <v>0</v>
      </c>
      <c r="F2016" s="569" t="s">
        <v>19085</v>
      </c>
    </row>
    <row r="2017" spans="1:6">
      <c r="A2017" s="27" t="str">
        <f>Resultados!$K$3</f>
        <v/>
      </c>
      <c r="B2017" s="27" t="str">
        <f>Resultados!$K$4</f>
        <v/>
      </c>
      <c r="C2017" s="27">
        <f>'900005'!$W76</f>
        <v>11602058</v>
      </c>
      <c r="D2017" s="27" t="str">
        <f>'900005'!$C$16</f>
        <v>C11601005</v>
      </c>
      <c r="E2017">
        <f>'900005'!$C76</f>
        <v>0</v>
      </c>
      <c r="F2017" s="569" t="s">
        <v>19085</v>
      </c>
    </row>
    <row r="2018" spans="1:6">
      <c r="A2018" s="27" t="str">
        <f>Resultados!$K$3</f>
        <v/>
      </c>
      <c r="B2018" s="27" t="str">
        <f>Resultados!$K$4</f>
        <v/>
      </c>
      <c r="C2018" s="27">
        <f>'900005'!$W77</f>
        <v>11602059</v>
      </c>
      <c r="D2018" s="27" t="str">
        <f>'900005'!$C$16</f>
        <v>C11601005</v>
      </c>
      <c r="E2018">
        <f>'900005'!$C77</f>
        <v>0</v>
      </c>
      <c r="F2018" s="569" t="s">
        <v>19085</v>
      </c>
    </row>
    <row r="2019" spans="1:6">
      <c r="A2019" s="27" t="str">
        <f>Resultados!$K$3</f>
        <v/>
      </c>
      <c r="B2019" s="27" t="str">
        <f>Resultados!$K$4</f>
        <v/>
      </c>
      <c r="C2019" s="27">
        <f>'900005'!$W78</f>
        <v>11602060</v>
      </c>
      <c r="D2019" s="27" t="str">
        <f>'900005'!$C$16</f>
        <v>C11601005</v>
      </c>
      <c r="E2019">
        <f>'900005'!$C78</f>
        <v>0</v>
      </c>
      <c r="F2019" s="569" t="s">
        <v>19085</v>
      </c>
    </row>
    <row r="2020" spans="1:6">
      <c r="A2020" s="27" t="str">
        <f>Resultados!$K$3</f>
        <v/>
      </c>
      <c r="B2020" s="27" t="str">
        <f>Resultados!$K$4</f>
        <v/>
      </c>
      <c r="C2020" s="27">
        <f>'900005'!$W79</f>
        <v>11602061</v>
      </c>
      <c r="D2020" s="27" t="str">
        <f>'900005'!$C$16</f>
        <v>C11601005</v>
      </c>
      <c r="E2020">
        <f>'900005'!$C79</f>
        <v>0</v>
      </c>
      <c r="F2020" s="569" t="s">
        <v>19085</v>
      </c>
    </row>
    <row r="2021" spans="1:6">
      <c r="A2021" s="27" t="str">
        <f>Resultados!$K$3</f>
        <v/>
      </c>
      <c r="B2021" s="27" t="str">
        <f>Resultados!$K$4</f>
        <v/>
      </c>
      <c r="C2021" s="27">
        <f>'900005'!$W80</f>
        <v>11602062</v>
      </c>
      <c r="D2021" s="27" t="str">
        <f>'900005'!$C$16</f>
        <v>C11601005</v>
      </c>
      <c r="E2021">
        <f>'900005'!$C80</f>
        <v>0</v>
      </c>
      <c r="F2021" s="569" t="s">
        <v>19085</v>
      </c>
    </row>
    <row r="2022" spans="1:6">
      <c r="A2022" s="27" t="str">
        <f>Resultados!$K$3</f>
        <v/>
      </c>
      <c r="B2022" s="27" t="str">
        <f>Resultados!$K$4</f>
        <v/>
      </c>
      <c r="C2022" s="27">
        <f>'900005'!$W81</f>
        <v>11602063</v>
      </c>
      <c r="D2022" s="27" t="str">
        <f>'900005'!$C$16</f>
        <v>C11601005</v>
      </c>
      <c r="E2022">
        <f>'900005'!$C81</f>
        <v>0</v>
      </c>
      <c r="F2022" s="569" t="s">
        <v>19085</v>
      </c>
    </row>
    <row r="2023" spans="1:6">
      <c r="A2023" s="27" t="str">
        <f>Resultados!$K$3</f>
        <v/>
      </c>
      <c r="B2023" s="27" t="str">
        <f>Resultados!$K$4</f>
        <v/>
      </c>
      <c r="C2023" s="27">
        <f>'900005'!$W83</f>
        <v>11602065</v>
      </c>
      <c r="D2023" s="27" t="str">
        <f>'900005'!$C$16</f>
        <v>C11601005</v>
      </c>
      <c r="E2023">
        <f>'900005'!$C83</f>
        <v>0</v>
      </c>
      <c r="F2023" s="569" t="s">
        <v>19085</v>
      </c>
    </row>
    <row r="2024" spans="1:6">
      <c r="A2024" s="27" t="str">
        <f>Resultados!$K$3</f>
        <v/>
      </c>
      <c r="B2024" s="27" t="str">
        <f>Resultados!$K$4</f>
        <v/>
      </c>
      <c r="C2024" s="27">
        <f>'900005'!$W84</f>
        <v>11602066</v>
      </c>
      <c r="D2024" s="27" t="str">
        <f>'900005'!$C$16</f>
        <v>C11601005</v>
      </c>
      <c r="E2024">
        <f>'900005'!$C84</f>
        <v>0</v>
      </c>
      <c r="F2024" s="569" t="s">
        <v>19085</v>
      </c>
    </row>
    <row r="2025" spans="1:6">
      <c r="A2025" s="27" t="str">
        <f>Resultados!$K$3</f>
        <v/>
      </c>
      <c r="B2025" s="27" t="str">
        <f>Resultados!$K$4</f>
        <v/>
      </c>
      <c r="C2025" s="27">
        <f>'900005'!$W85</f>
        <v>11602067</v>
      </c>
      <c r="D2025" s="27" t="str">
        <f>'900005'!$C$16</f>
        <v>C11601005</v>
      </c>
      <c r="E2025">
        <f>'900005'!$C85</f>
        <v>0</v>
      </c>
      <c r="F2025" s="569" t="s">
        <v>19085</v>
      </c>
    </row>
    <row r="2026" spans="1:6">
      <c r="A2026" s="27" t="str">
        <f>Resultados!$K$3</f>
        <v/>
      </c>
      <c r="B2026" s="27" t="str">
        <f>Resultados!$K$4</f>
        <v/>
      </c>
      <c r="C2026" s="27">
        <f>'900005'!$W87</f>
        <v>11602069</v>
      </c>
      <c r="D2026" s="27" t="str">
        <f>'900005'!$C$16</f>
        <v>C11601005</v>
      </c>
      <c r="E2026">
        <f>'900005'!$C87</f>
        <v>0</v>
      </c>
      <c r="F2026" s="569" t="s">
        <v>19085</v>
      </c>
    </row>
    <row r="2027" spans="1:6">
      <c r="A2027" s="27" t="str">
        <f>Resultados!$K$3</f>
        <v/>
      </c>
      <c r="B2027" s="27" t="str">
        <f>Resultados!$K$4</f>
        <v/>
      </c>
      <c r="C2027" s="27">
        <f>'900005'!$W88</f>
        <v>11602070</v>
      </c>
      <c r="D2027" s="27" t="str">
        <f>'900005'!$C$16</f>
        <v>C11601005</v>
      </c>
      <c r="E2027">
        <f>'900005'!$C88</f>
        <v>0</v>
      </c>
      <c r="F2027" s="569" t="s">
        <v>19085</v>
      </c>
    </row>
    <row r="2028" spans="1:6">
      <c r="A2028" s="27" t="str">
        <f>Resultados!$K$3</f>
        <v/>
      </c>
      <c r="B2028" s="27" t="str">
        <f>Resultados!$K$4</f>
        <v/>
      </c>
      <c r="C2028" s="27">
        <f>'900005'!$W89</f>
        <v>11602071</v>
      </c>
      <c r="D2028" s="27" t="str">
        <f>'900005'!$C$16</f>
        <v>C11601005</v>
      </c>
      <c r="E2028">
        <f>'900005'!$C89</f>
        <v>0</v>
      </c>
      <c r="F2028" s="569" t="s">
        <v>19085</v>
      </c>
    </row>
    <row r="2029" spans="1:6">
      <c r="A2029" s="27" t="str">
        <f>Resultados!$K$3</f>
        <v/>
      </c>
      <c r="B2029" s="27" t="str">
        <f>Resultados!$K$4</f>
        <v/>
      </c>
      <c r="C2029" s="27">
        <f>'900005'!$W91</f>
        <v>11602073</v>
      </c>
      <c r="D2029" s="27" t="str">
        <f>'900005'!$C$16</f>
        <v>C11601005</v>
      </c>
      <c r="E2029">
        <f>'900005'!$C91</f>
        <v>0</v>
      </c>
      <c r="F2029" s="569" t="s">
        <v>19085</v>
      </c>
    </row>
    <row r="2030" spans="1:6">
      <c r="A2030" s="27" t="str">
        <f>Resultados!$K$3</f>
        <v/>
      </c>
      <c r="B2030" s="27" t="str">
        <f>Resultados!$K$4</f>
        <v/>
      </c>
      <c r="C2030" s="27">
        <f>'900005'!$W92</f>
        <v>11602074</v>
      </c>
      <c r="D2030" s="27" t="str">
        <f>'900005'!$C$16</f>
        <v>C11601005</v>
      </c>
      <c r="E2030">
        <f>'900005'!$C92</f>
        <v>0</v>
      </c>
      <c r="F2030" s="569" t="s">
        <v>19085</v>
      </c>
    </row>
    <row r="2031" spans="1:6">
      <c r="A2031" s="27" t="str">
        <f>Resultados!$K$3</f>
        <v/>
      </c>
      <c r="B2031" s="27" t="str">
        <f>Resultados!$K$4</f>
        <v/>
      </c>
      <c r="C2031" s="27">
        <f>'900005'!$W93</f>
        <v>11602075</v>
      </c>
      <c r="D2031" s="27" t="str">
        <f>'900005'!$C$16</f>
        <v>C11601005</v>
      </c>
      <c r="E2031">
        <f>'900005'!$C93</f>
        <v>0</v>
      </c>
      <c r="F2031" s="569" t="s">
        <v>19085</v>
      </c>
    </row>
    <row r="2032" spans="1:6">
      <c r="A2032" s="27" t="str">
        <f>Resultados!$K$3</f>
        <v/>
      </c>
      <c r="B2032" s="27" t="str">
        <f>Resultados!$K$4</f>
        <v/>
      </c>
      <c r="C2032" s="27">
        <f>'900005'!$W95</f>
        <v>11602077</v>
      </c>
      <c r="D2032" s="27" t="str">
        <f>'900005'!$C$16</f>
        <v>C11601005</v>
      </c>
      <c r="E2032">
        <f>'900005'!$C95</f>
        <v>0</v>
      </c>
      <c r="F2032" s="569" t="s">
        <v>19085</v>
      </c>
    </row>
    <row r="2033" spans="1:6">
      <c r="A2033" s="27" t="str">
        <f>Resultados!$K$3</f>
        <v/>
      </c>
      <c r="B2033" s="27" t="str">
        <f>Resultados!$K$4</f>
        <v/>
      </c>
      <c r="C2033" s="27">
        <f>'900005'!$W96</f>
        <v>11602078</v>
      </c>
      <c r="D2033" s="27" t="str">
        <f>'900005'!$C$16</f>
        <v>C11601005</v>
      </c>
      <c r="E2033">
        <f>'900005'!$C96</f>
        <v>0</v>
      </c>
      <c r="F2033" s="569" t="s">
        <v>19085</v>
      </c>
    </row>
    <row r="2034" spans="1:6">
      <c r="A2034" s="27" t="str">
        <f>Resultados!$K$3</f>
        <v/>
      </c>
      <c r="B2034" s="27" t="str">
        <f>Resultados!$K$4</f>
        <v/>
      </c>
      <c r="C2034" s="27">
        <f>'900005'!$W97</f>
        <v>11602079</v>
      </c>
      <c r="D2034" s="27" t="str">
        <f>'900005'!$C$16</f>
        <v>C11601005</v>
      </c>
      <c r="E2034">
        <f>'900005'!$C97</f>
        <v>0</v>
      </c>
      <c r="F2034" s="569" t="s">
        <v>19085</v>
      </c>
    </row>
    <row r="2035" spans="1:6">
      <c r="A2035" s="27" t="str">
        <f>Resultados!$K$3</f>
        <v/>
      </c>
      <c r="B2035" s="27" t="str">
        <f>Resultados!$K$4</f>
        <v/>
      </c>
      <c r="C2035" s="27">
        <f>'900005'!$W98</f>
        <v>11602080</v>
      </c>
      <c r="D2035" s="27" t="str">
        <f>'900005'!$C$16</f>
        <v>C11601005</v>
      </c>
      <c r="E2035">
        <f>'900005'!$C98</f>
        <v>0</v>
      </c>
      <c r="F2035" s="569" t="s">
        <v>19085</v>
      </c>
    </row>
    <row r="2036" spans="1:6">
      <c r="A2036"/>
      <c r="B2036"/>
    </row>
    <row r="2037" spans="1:6">
      <c r="A2037"/>
      <c r="B2037"/>
    </row>
    <row r="2038" spans="1:6">
      <c r="A2038"/>
      <c r="B2038"/>
    </row>
    <row r="2039" spans="1:6">
      <c r="A2039"/>
      <c r="B2039"/>
    </row>
    <row r="2040" spans="1:6">
      <c r="A2040"/>
      <c r="B2040"/>
    </row>
    <row r="2041" spans="1:6">
      <c r="A2041"/>
      <c r="B2041"/>
    </row>
    <row r="2042" spans="1:6">
      <c r="A2042"/>
      <c r="B2042"/>
    </row>
    <row r="2043" spans="1:6">
      <c r="A2043"/>
      <c r="B2043"/>
    </row>
    <row r="2044" spans="1:6">
      <c r="A2044"/>
      <c r="B2044"/>
    </row>
    <row r="2045" spans="1:6">
      <c r="A2045"/>
      <c r="B2045"/>
    </row>
    <row r="2046" spans="1:6">
      <c r="A2046"/>
      <c r="B2046"/>
    </row>
    <row r="2047" spans="1:6">
      <c r="A2047"/>
      <c r="B2047"/>
    </row>
    <row r="2048" spans="1:6">
      <c r="A2048"/>
      <c r="B2048"/>
    </row>
    <row r="2049" spans="1:2">
      <c r="A2049"/>
      <c r="B2049"/>
    </row>
    <row r="2050" spans="1:2">
      <c r="A2050"/>
      <c r="B2050"/>
    </row>
    <row r="2051" spans="1:2">
      <c r="A2051"/>
      <c r="B2051"/>
    </row>
    <row r="2052" spans="1:2">
      <c r="A2052"/>
      <c r="B2052"/>
    </row>
    <row r="2053" spans="1:2">
      <c r="A2053"/>
      <c r="B2053"/>
    </row>
    <row r="2054" spans="1:2">
      <c r="A2054"/>
      <c r="B2054"/>
    </row>
    <row r="2055" spans="1:2">
      <c r="A2055"/>
      <c r="B2055"/>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R1470"/>
  <sheetViews>
    <sheetView workbookViewId="0">
      <selection activeCell="D9" sqref="D9"/>
    </sheetView>
  </sheetViews>
  <sheetFormatPr baseColWidth="10" defaultRowHeight="15"/>
  <cols>
    <col min="1" max="1" width="17.42578125" style="27" customWidth="1"/>
    <col min="2" max="2" width="11.7109375" style="27" customWidth="1"/>
    <col min="3" max="3" width="12.42578125" style="27" customWidth="1"/>
    <col min="4" max="4" width="14" style="27" customWidth="1"/>
    <col min="5" max="6" width="9.85546875" style="27" bestFit="1" customWidth="1"/>
    <col min="7" max="7" width="9.85546875" bestFit="1" customWidth="1"/>
    <col min="8" max="8" width="9.85546875" style="27" bestFit="1" customWidth="1"/>
    <col min="9" max="9" width="14.5703125" bestFit="1" customWidth="1"/>
    <col min="10" max="10" width="13.140625" bestFit="1" customWidth="1"/>
    <col min="11" max="11" width="14.7109375" bestFit="1" customWidth="1"/>
    <col min="12" max="12" width="14.5703125" bestFit="1" customWidth="1"/>
    <col min="13" max="13" width="9.28515625" bestFit="1" customWidth="1"/>
  </cols>
  <sheetData>
    <row r="1" spans="1:18">
      <c r="A1" s="513" t="s">
        <v>1590</v>
      </c>
      <c r="B1" s="513" t="s">
        <v>701</v>
      </c>
      <c r="C1" s="513" t="s">
        <v>14867</v>
      </c>
      <c r="D1"/>
      <c r="E1"/>
      <c r="F1"/>
      <c r="H1"/>
    </row>
    <row r="2" spans="1:18">
      <c r="A2" s="513" t="s">
        <v>1619</v>
      </c>
      <c r="B2" s="513">
        <v>1204726286</v>
      </c>
      <c r="C2" s="513" t="s">
        <v>1619</v>
      </c>
      <c r="D2"/>
      <c r="E2"/>
      <c r="F2"/>
      <c r="G2" s="160"/>
      <c r="H2"/>
      <c r="M2" s="27"/>
      <c r="N2" s="27"/>
      <c r="R2" s="511"/>
    </row>
    <row r="3" spans="1:18">
      <c r="A3" s="513" t="s">
        <v>1618</v>
      </c>
      <c r="B3" s="513">
        <v>2470491627</v>
      </c>
      <c r="C3" s="513" t="s">
        <v>1618</v>
      </c>
      <c r="E3" s="505"/>
      <c r="F3"/>
      <c r="H3"/>
      <c r="K3" s="160"/>
      <c r="M3" s="27"/>
      <c r="N3" s="27"/>
      <c r="O3" s="27"/>
      <c r="P3" s="27"/>
      <c r="Q3" s="27"/>
      <c r="R3" s="511"/>
    </row>
    <row r="4" spans="1:18">
      <c r="A4" s="513" t="s">
        <v>693</v>
      </c>
      <c r="B4" s="513">
        <v>2937147</v>
      </c>
      <c r="C4" s="513" t="s">
        <v>693</v>
      </c>
      <c r="E4"/>
      <c r="F4"/>
      <c r="H4"/>
      <c r="J4" s="27"/>
      <c r="N4" s="27"/>
      <c r="O4" s="27"/>
      <c r="P4" s="27"/>
      <c r="Q4" s="27"/>
      <c r="R4" s="511"/>
    </row>
    <row r="5" spans="1:18">
      <c r="A5" s="513" t="s">
        <v>1620</v>
      </c>
      <c r="B5" s="513">
        <v>1204726286</v>
      </c>
      <c r="C5" s="513" t="s">
        <v>1620</v>
      </c>
      <c r="E5"/>
      <c r="F5"/>
      <c r="H5"/>
      <c r="J5" s="27"/>
      <c r="M5" s="27"/>
      <c r="N5" s="27"/>
      <c r="O5" s="27"/>
      <c r="P5" s="27"/>
      <c r="Q5" s="27"/>
      <c r="R5" s="511"/>
    </row>
    <row r="6" spans="1:18">
      <c r="A6" s="513" t="s">
        <v>1666</v>
      </c>
      <c r="B6" s="513">
        <v>2937147</v>
      </c>
      <c r="C6" s="513" t="s">
        <v>1666</v>
      </c>
      <c r="E6"/>
      <c r="F6"/>
      <c r="H6"/>
      <c r="J6" s="27"/>
      <c r="M6" s="27"/>
      <c r="N6" s="27"/>
      <c r="O6" s="27"/>
      <c r="P6" s="27"/>
      <c r="Q6" s="27"/>
      <c r="R6" s="511"/>
    </row>
    <row r="7" spans="1:18">
      <c r="A7" s="513" t="s">
        <v>15743</v>
      </c>
      <c r="B7" s="513">
        <v>2937147</v>
      </c>
      <c r="C7" s="513" t="s">
        <v>15743</v>
      </c>
      <c r="E7"/>
      <c r="F7"/>
      <c r="H7"/>
      <c r="J7" s="27"/>
      <c r="M7" s="27"/>
      <c r="N7" s="27"/>
      <c r="O7" s="27"/>
      <c r="P7" s="27"/>
      <c r="Q7" s="27"/>
      <c r="R7" s="511"/>
    </row>
    <row r="8" spans="1:18">
      <c r="A8" s="513" t="s">
        <v>43</v>
      </c>
      <c r="B8" s="513">
        <v>2937147</v>
      </c>
      <c r="C8" s="513" t="s">
        <v>43</v>
      </c>
      <c r="E8"/>
      <c r="F8"/>
      <c r="H8"/>
      <c r="J8" s="27"/>
      <c r="M8" s="27"/>
      <c r="N8" s="27"/>
      <c r="O8" s="27"/>
      <c r="P8" s="27"/>
      <c r="Q8" s="27"/>
      <c r="R8" s="511"/>
    </row>
    <row r="9" spans="1:18">
      <c r="A9" s="513" t="s">
        <v>1799</v>
      </c>
      <c r="B9" s="513">
        <v>309028490</v>
      </c>
      <c r="C9" s="513" t="s">
        <v>1799</v>
      </c>
      <c r="E9"/>
      <c r="F9"/>
      <c r="H9"/>
      <c r="J9" s="27"/>
      <c r="M9" s="27"/>
      <c r="N9" s="27"/>
      <c r="O9" s="27"/>
      <c r="P9" s="27"/>
      <c r="Q9" s="27"/>
      <c r="R9" s="511"/>
    </row>
    <row r="10" spans="1:18">
      <c r="A10" s="513" t="s">
        <v>1838</v>
      </c>
      <c r="B10" s="513">
        <v>10174703</v>
      </c>
      <c r="C10" s="513" t="s">
        <v>1838</v>
      </c>
      <c r="E10"/>
      <c r="F10"/>
      <c r="H10"/>
      <c r="J10" s="27"/>
      <c r="M10" s="27"/>
      <c r="N10" s="27"/>
      <c r="O10" s="27"/>
      <c r="P10" s="27"/>
      <c r="Q10" s="27"/>
      <c r="R10" s="511"/>
    </row>
    <row r="11" spans="1:18">
      <c r="A11" s="513" t="s">
        <v>16199</v>
      </c>
      <c r="B11" s="513">
        <v>10174703</v>
      </c>
      <c r="C11" s="513" t="s">
        <v>16199</v>
      </c>
      <c r="E11"/>
      <c r="F11"/>
      <c r="H11"/>
      <c r="J11" s="27"/>
      <c r="M11" s="27"/>
      <c r="N11" s="27"/>
      <c r="O11" s="27"/>
      <c r="P11" s="27"/>
      <c r="Q11" s="27"/>
      <c r="R11" s="511"/>
    </row>
    <row r="12" spans="1:18">
      <c r="A12" s="513" t="s">
        <v>1839</v>
      </c>
      <c r="B12" s="513">
        <v>10174703</v>
      </c>
      <c r="C12" s="513" t="s">
        <v>1839</v>
      </c>
      <c r="E12"/>
      <c r="F12"/>
      <c r="H12"/>
      <c r="J12" s="27"/>
      <c r="M12" s="27"/>
      <c r="N12" s="27"/>
      <c r="O12" s="27"/>
      <c r="P12" s="27"/>
      <c r="Q12" s="27"/>
      <c r="R12" s="511"/>
    </row>
    <row r="13" spans="1:18">
      <c r="A13" s="513" t="s">
        <v>1798</v>
      </c>
      <c r="B13" s="513">
        <v>309028490</v>
      </c>
      <c r="C13" s="513" t="s">
        <v>1798</v>
      </c>
      <c r="E13"/>
      <c r="F13"/>
      <c r="H13"/>
      <c r="J13" s="27"/>
      <c r="M13" s="27"/>
      <c r="N13" s="27"/>
      <c r="O13" s="27"/>
      <c r="P13" s="27"/>
      <c r="Q13" s="27"/>
      <c r="R13" s="511"/>
    </row>
    <row r="14" spans="1:18">
      <c r="A14" s="513" t="s">
        <v>1797</v>
      </c>
      <c r="B14" s="513">
        <v>561973195</v>
      </c>
      <c r="C14" s="513" t="s">
        <v>1797</v>
      </c>
      <c r="E14"/>
      <c r="F14"/>
      <c r="H14"/>
      <c r="J14" s="27"/>
      <c r="M14" s="27"/>
      <c r="N14" s="27"/>
      <c r="O14" s="27"/>
      <c r="P14" s="27"/>
      <c r="Q14" s="27"/>
      <c r="R14" s="511"/>
    </row>
    <row r="15" spans="1:18">
      <c r="A15" s="513" t="s">
        <v>634</v>
      </c>
      <c r="B15" s="513">
        <v>10174703</v>
      </c>
      <c r="C15" s="513" t="s">
        <v>634</v>
      </c>
      <c r="E15"/>
      <c r="F15"/>
      <c r="H15"/>
      <c r="J15" s="27"/>
      <c r="M15" s="27"/>
      <c r="N15" s="27"/>
      <c r="O15" s="27"/>
      <c r="P15" s="27"/>
      <c r="Q15" s="27"/>
      <c r="R15" s="511"/>
    </row>
    <row r="16" spans="1:18">
      <c r="A16" s="513" t="s">
        <v>1892</v>
      </c>
      <c r="B16" s="513">
        <v>128997000</v>
      </c>
      <c r="C16" s="513" t="s">
        <v>1892</v>
      </c>
      <c r="E16"/>
      <c r="F16"/>
      <c r="H16"/>
      <c r="J16" s="27"/>
      <c r="M16" s="27"/>
      <c r="N16" s="27"/>
      <c r="O16" s="27"/>
      <c r="P16" s="27"/>
      <c r="Q16" s="27"/>
      <c r="R16" s="511"/>
    </row>
    <row r="17" spans="1:18">
      <c r="A17" s="513" t="s">
        <v>16289</v>
      </c>
      <c r="B17" s="513">
        <v>128997000</v>
      </c>
      <c r="C17" s="513" t="s">
        <v>16289</v>
      </c>
      <c r="E17"/>
      <c r="F17"/>
      <c r="H17"/>
      <c r="J17" s="27"/>
      <c r="M17" s="27"/>
      <c r="N17" s="27"/>
      <c r="O17" s="27"/>
      <c r="P17" s="27"/>
      <c r="Q17" s="27"/>
      <c r="R17" s="511"/>
    </row>
    <row r="18" spans="1:18">
      <c r="A18" s="513" t="s">
        <v>1894</v>
      </c>
      <c r="B18" s="513">
        <v>128997000</v>
      </c>
      <c r="C18" s="513" t="s">
        <v>1894</v>
      </c>
      <c r="E18"/>
      <c r="F18"/>
      <c r="H18"/>
      <c r="J18" s="27"/>
      <c r="M18" s="27"/>
      <c r="N18" s="27"/>
      <c r="O18" s="27"/>
      <c r="P18" s="27"/>
      <c r="Q18" s="27"/>
      <c r="R18" s="511"/>
    </row>
    <row r="19" spans="1:18">
      <c r="A19" s="513" t="s">
        <v>1893</v>
      </c>
      <c r="B19" s="513">
        <v>128997000</v>
      </c>
      <c r="C19" s="513" t="s">
        <v>1893</v>
      </c>
      <c r="E19"/>
      <c r="F19"/>
      <c r="H19"/>
      <c r="J19" s="27"/>
      <c r="M19" s="27"/>
      <c r="N19" s="27"/>
      <c r="O19" s="27"/>
      <c r="P19" s="27"/>
      <c r="Q19" s="27"/>
      <c r="R19" s="511"/>
    </row>
    <row r="20" spans="1:18">
      <c r="A20" s="513" t="s">
        <v>2032</v>
      </c>
      <c r="B20" s="513">
        <v>0</v>
      </c>
      <c r="C20" s="513" t="s">
        <v>2032</v>
      </c>
      <c r="E20"/>
      <c r="F20"/>
      <c r="H20"/>
      <c r="J20" s="27"/>
      <c r="M20" s="27"/>
      <c r="N20" s="27"/>
      <c r="O20" s="27"/>
      <c r="P20" s="27"/>
      <c r="Q20" s="27"/>
      <c r="R20" s="511"/>
    </row>
    <row r="21" spans="1:18">
      <c r="A21" s="513" t="s">
        <v>1677</v>
      </c>
      <c r="B21" s="513">
        <v>500039572</v>
      </c>
      <c r="C21" s="513" t="s">
        <v>1677</v>
      </c>
      <c r="E21"/>
      <c r="F21"/>
      <c r="H21"/>
      <c r="J21" s="27"/>
      <c r="M21" s="27"/>
      <c r="N21" s="27"/>
      <c r="O21" s="27"/>
      <c r="P21" s="27"/>
      <c r="Q21" s="27"/>
      <c r="R21" s="511"/>
    </row>
    <row r="22" spans="1:18">
      <c r="A22" s="513" t="s">
        <v>1676</v>
      </c>
      <c r="B22" s="513">
        <v>500039572</v>
      </c>
      <c r="C22" s="513" t="s">
        <v>1676</v>
      </c>
      <c r="E22"/>
      <c r="F22"/>
      <c r="H22"/>
      <c r="J22" s="27"/>
      <c r="M22" s="27"/>
      <c r="N22" s="27"/>
      <c r="O22" s="27"/>
      <c r="P22" s="27"/>
      <c r="Q22" s="27"/>
      <c r="R22" s="511"/>
    </row>
    <row r="23" spans="1:18">
      <c r="A23" s="513" t="s">
        <v>1680</v>
      </c>
      <c r="B23" s="513">
        <v>0</v>
      </c>
      <c r="C23" s="513" t="s">
        <v>1680</v>
      </c>
      <c r="E23"/>
      <c r="F23"/>
      <c r="H23"/>
      <c r="J23" s="27"/>
      <c r="M23" s="27"/>
      <c r="N23" s="27"/>
      <c r="O23" s="27"/>
      <c r="P23" s="27"/>
      <c r="Q23" s="27"/>
      <c r="R23" s="511"/>
    </row>
    <row r="24" spans="1:18">
      <c r="A24" s="513" t="s">
        <v>15840</v>
      </c>
      <c r="B24" s="513">
        <v>0</v>
      </c>
      <c r="C24" s="513" t="s">
        <v>15840</v>
      </c>
      <c r="E24"/>
      <c r="F24"/>
      <c r="H24"/>
      <c r="J24" s="27"/>
      <c r="M24" s="27"/>
      <c r="N24" s="27"/>
      <c r="O24" s="27"/>
      <c r="P24" s="27"/>
      <c r="Q24" s="27"/>
      <c r="R24" s="511"/>
    </row>
    <row r="25" spans="1:18">
      <c r="A25" s="513" t="s">
        <v>1930</v>
      </c>
      <c r="B25" s="513">
        <v>1908518432</v>
      </c>
      <c r="C25" s="513" t="s">
        <v>1930</v>
      </c>
      <c r="E25"/>
      <c r="F25"/>
      <c r="H25"/>
      <c r="J25" s="27"/>
      <c r="M25" s="27"/>
      <c r="N25" s="27"/>
      <c r="O25" s="27"/>
      <c r="P25" s="27"/>
      <c r="Q25" s="27"/>
      <c r="R25" s="511"/>
    </row>
    <row r="26" spans="1:18">
      <c r="A26" s="513" t="s">
        <v>1973</v>
      </c>
      <c r="B26" s="513">
        <v>200999977</v>
      </c>
      <c r="C26" s="513" t="s">
        <v>1973</v>
      </c>
      <c r="E26"/>
      <c r="F26"/>
      <c r="H26"/>
      <c r="J26" s="27"/>
      <c r="M26" s="27"/>
      <c r="N26" s="27"/>
      <c r="O26" s="27"/>
      <c r="P26" s="27"/>
      <c r="Q26" s="27"/>
      <c r="R26" s="511"/>
    </row>
    <row r="27" spans="1:18">
      <c r="A27" s="513" t="s">
        <v>1974</v>
      </c>
      <c r="B27" s="513">
        <v>200999977</v>
      </c>
      <c r="C27" s="513" t="s">
        <v>1974</v>
      </c>
      <c r="E27"/>
      <c r="F27"/>
      <c r="H27"/>
      <c r="J27" s="27"/>
      <c r="M27" s="27"/>
      <c r="N27" s="27"/>
      <c r="O27" s="27"/>
      <c r="P27" s="27"/>
      <c r="Q27" s="27"/>
      <c r="R27" s="511"/>
    </row>
    <row r="28" spans="1:18">
      <c r="A28" s="513" t="s">
        <v>1922</v>
      </c>
      <c r="B28" s="513">
        <v>1908518432</v>
      </c>
      <c r="C28" s="513" t="s">
        <v>1922</v>
      </c>
      <c r="E28"/>
      <c r="F28"/>
      <c r="H28"/>
      <c r="J28" s="27"/>
      <c r="M28" s="27"/>
      <c r="N28" s="27"/>
      <c r="O28" s="27"/>
      <c r="P28" s="27"/>
      <c r="Q28" s="27"/>
      <c r="R28" s="511"/>
    </row>
    <row r="29" spans="1:18">
      <c r="A29" s="513" t="s">
        <v>1972</v>
      </c>
      <c r="B29" s="513">
        <v>200999977</v>
      </c>
      <c r="C29" s="513" t="s">
        <v>1972</v>
      </c>
      <c r="E29"/>
      <c r="F29"/>
      <c r="H29"/>
      <c r="J29" s="27"/>
      <c r="M29" s="27"/>
      <c r="N29" s="27"/>
      <c r="O29" s="27"/>
      <c r="P29" s="27"/>
      <c r="Q29" s="27"/>
      <c r="R29" s="511"/>
    </row>
    <row r="30" spans="1:18">
      <c r="A30" s="513" t="s">
        <v>1975</v>
      </c>
      <c r="B30" s="513">
        <v>200999977</v>
      </c>
      <c r="C30" s="513" t="s">
        <v>1975</v>
      </c>
      <c r="E30"/>
      <c r="F30"/>
      <c r="H30"/>
      <c r="J30" s="27"/>
      <c r="M30" s="27"/>
      <c r="N30" s="27"/>
      <c r="O30" s="27"/>
      <c r="P30" s="27"/>
      <c r="Q30" s="27"/>
      <c r="R30" s="511"/>
    </row>
    <row r="31" spans="1:18">
      <c r="A31" s="513" t="s">
        <v>16292</v>
      </c>
      <c r="B31" s="513">
        <v>0</v>
      </c>
      <c r="C31" s="513" t="s">
        <v>16292</v>
      </c>
      <c r="E31"/>
      <c r="F31"/>
      <c r="H31"/>
      <c r="J31" s="27"/>
      <c r="M31" s="27"/>
      <c r="N31" s="27"/>
      <c r="O31" s="27"/>
      <c r="P31" s="27"/>
      <c r="Q31" s="27"/>
      <c r="R31" s="511"/>
    </row>
    <row r="32" spans="1:18">
      <c r="A32" s="513" t="s">
        <v>1895</v>
      </c>
      <c r="B32" s="513">
        <v>0</v>
      </c>
      <c r="C32" s="513" t="s">
        <v>1895</v>
      </c>
      <c r="E32"/>
      <c r="F32"/>
      <c r="H32"/>
      <c r="J32" s="27"/>
      <c r="M32" s="27"/>
      <c r="N32" s="27"/>
      <c r="O32" s="27"/>
      <c r="P32" s="27"/>
      <c r="Q32" s="27"/>
      <c r="R32" s="511"/>
    </row>
    <row r="33" spans="1:18">
      <c r="A33" s="513" t="s">
        <v>1896</v>
      </c>
      <c r="B33" s="513">
        <v>0</v>
      </c>
      <c r="C33" s="513" t="s">
        <v>1896</v>
      </c>
      <c r="E33"/>
      <c r="F33"/>
      <c r="H33"/>
      <c r="J33" s="27"/>
      <c r="M33" s="27"/>
      <c r="N33" s="27"/>
      <c r="O33" s="27"/>
      <c r="P33" s="27"/>
      <c r="Q33" s="27"/>
      <c r="R33" s="511"/>
    </row>
    <row r="34" spans="1:18">
      <c r="A34" s="513" t="s">
        <v>1864</v>
      </c>
      <c r="B34" s="513">
        <v>4417000</v>
      </c>
      <c r="C34" s="513" t="s">
        <v>1864</v>
      </c>
      <c r="E34"/>
      <c r="F34"/>
      <c r="H34"/>
      <c r="J34" s="27"/>
      <c r="M34" s="27"/>
      <c r="N34" s="27"/>
      <c r="O34" s="27"/>
      <c r="P34" s="27"/>
      <c r="Q34" s="27"/>
      <c r="R34" s="511"/>
    </row>
    <row r="35" spans="1:18">
      <c r="A35" s="513" t="s">
        <v>1875</v>
      </c>
      <c r="B35" s="513">
        <v>0</v>
      </c>
      <c r="C35" s="513" t="s">
        <v>1875</v>
      </c>
      <c r="E35"/>
      <c r="F35"/>
      <c r="H35"/>
      <c r="J35" s="27"/>
      <c r="M35" s="27"/>
      <c r="N35" s="27"/>
      <c r="O35" s="27"/>
      <c r="P35" s="27"/>
      <c r="Q35" s="27"/>
      <c r="R35" s="511"/>
    </row>
    <row r="36" spans="1:18">
      <c r="A36" s="513" t="s">
        <v>16710</v>
      </c>
      <c r="B36" s="513">
        <v>0</v>
      </c>
      <c r="C36" s="513" t="s">
        <v>16710</v>
      </c>
      <c r="E36"/>
      <c r="F36"/>
      <c r="H36"/>
      <c r="J36" s="27"/>
      <c r="M36" s="27"/>
      <c r="N36" s="27"/>
      <c r="O36" s="27"/>
      <c r="P36" s="27"/>
      <c r="Q36" s="27"/>
      <c r="R36" s="511"/>
    </row>
    <row r="37" spans="1:18">
      <c r="A37" s="513" t="s">
        <v>1835</v>
      </c>
      <c r="B37" s="513">
        <v>47054061</v>
      </c>
      <c r="C37" s="513" t="s">
        <v>1835</v>
      </c>
      <c r="E37"/>
      <c r="F37"/>
      <c r="H37"/>
      <c r="J37" s="27"/>
      <c r="M37" s="27"/>
      <c r="N37" s="27"/>
      <c r="O37" s="27"/>
      <c r="P37" s="27"/>
      <c r="Q37" s="27"/>
      <c r="R37" s="511"/>
    </row>
    <row r="38" spans="1:18">
      <c r="A38" s="513" t="s">
        <v>1874</v>
      </c>
      <c r="B38" s="513">
        <v>0</v>
      </c>
      <c r="C38" s="513" t="s">
        <v>1874</v>
      </c>
      <c r="E38"/>
      <c r="F38"/>
      <c r="H38"/>
      <c r="J38" s="27"/>
      <c r="M38" s="27"/>
      <c r="N38" s="27"/>
      <c r="O38" s="27"/>
      <c r="P38" s="27"/>
      <c r="Q38" s="27"/>
      <c r="R38" s="511"/>
    </row>
    <row r="39" spans="1:18">
      <c r="A39" s="513" t="s">
        <v>16708</v>
      </c>
      <c r="B39" s="513">
        <v>0</v>
      </c>
      <c r="C39" s="513" t="s">
        <v>16708</v>
      </c>
      <c r="E39"/>
      <c r="F39"/>
      <c r="H39"/>
      <c r="J39" s="27"/>
      <c r="M39" s="27"/>
      <c r="N39" s="27"/>
      <c r="O39" s="27"/>
      <c r="P39" s="27"/>
      <c r="Q39" s="27"/>
      <c r="R39" s="511"/>
    </row>
    <row r="40" spans="1:18">
      <c r="A40" s="513" t="s">
        <v>1627</v>
      </c>
      <c r="B40" s="513">
        <v>145905582</v>
      </c>
      <c r="C40" s="513" t="s">
        <v>1627</v>
      </c>
      <c r="E40"/>
      <c r="F40"/>
      <c r="H40"/>
      <c r="J40" s="27"/>
      <c r="M40" s="27"/>
      <c r="N40" s="27"/>
      <c r="O40" s="27"/>
      <c r="P40" s="27"/>
      <c r="Q40" s="27"/>
      <c r="R40" s="511"/>
    </row>
    <row r="41" spans="1:18">
      <c r="A41" s="513" t="s">
        <v>1626</v>
      </c>
      <c r="B41" s="513">
        <v>145905582</v>
      </c>
      <c r="C41" s="513" t="s">
        <v>1626</v>
      </c>
      <c r="E41"/>
      <c r="F41"/>
      <c r="H41"/>
      <c r="J41" s="27"/>
      <c r="M41" s="27"/>
      <c r="N41" s="27"/>
      <c r="O41" s="27"/>
      <c r="P41" s="27"/>
      <c r="Q41" s="27"/>
      <c r="R41" s="511"/>
    </row>
    <row r="42" spans="1:18">
      <c r="A42" s="513" t="s">
        <v>15382</v>
      </c>
      <c r="B42" s="513">
        <v>145905582</v>
      </c>
      <c r="C42" s="513" t="s">
        <v>15382</v>
      </c>
      <c r="E42"/>
      <c r="F42"/>
      <c r="H42"/>
      <c r="J42" s="27"/>
      <c r="M42" s="27"/>
      <c r="N42" s="27"/>
      <c r="O42" s="27"/>
      <c r="P42" s="27"/>
      <c r="Q42" s="27"/>
      <c r="R42" s="511"/>
    </row>
    <row r="43" spans="1:18">
      <c r="A43" s="513" t="s">
        <v>1621</v>
      </c>
      <c r="B43" s="513">
        <v>152917024</v>
      </c>
      <c r="C43" s="513" t="s">
        <v>1621</v>
      </c>
      <c r="E43"/>
      <c r="F43"/>
      <c r="H43"/>
      <c r="J43" s="27"/>
      <c r="M43" s="27"/>
      <c r="N43" s="27"/>
      <c r="O43" s="27"/>
      <c r="P43" s="27"/>
      <c r="Q43" s="27"/>
      <c r="R43" s="511"/>
    </row>
    <row r="44" spans="1:18">
      <c r="A44" s="513" t="s">
        <v>15558</v>
      </c>
      <c r="B44" s="513">
        <v>0</v>
      </c>
      <c r="C44" s="513" t="s">
        <v>15558</v>
      </c>
      <c r="E44"/>
      <c r="F44"/>
      <c r="H44"/>
      <c r="J44" s="27"/>
      <c r="M44" s="27"/>
      <c r="N44" s="27"/>
      <c r="O44" s="27"/>
      <c r="P44" s="27"/>
      <c r="Q44" s="27"/>
      <c r="R44" s="511"/>
    </row>
    <row r="45" spans="1:18">
      <c r="A45" s="513" t="s">
        <v>15091</v>
      </c>
      <c r="B45" s="513">
        <v>0</v>
      </c>
      <c r="C45" s="513" t="s">
        <v>15091</v>
      </c>
      <c r="E45"/>
      <c r="F45"/>
      <c r="H45"/>
      <c r="J45" s="27"/>
      <c r="M45" s="27"/>
      <c r="N45" s="27"/>
      <c r="O45" s="27"/>
      <c r="P45" s="27"/>
      <c r="Q45" s="27"/>
      <c r="R45" s="511"/>
    </row>
    <row r="46" spans="1:18">
      <c r="A46" s="513" t="s">
        <v>16277</v>
      </c>
      <c r="B46" s="513">
        <v>0</v>
      </c>
      <c r="C46" s="513" t="s">
        <v>16277</v>
      </c>
      <c r="E46"/>
      <c r="F46"/>
      <c r="H46"/>
      <c r="J46" s="27"/>
      <c r="M46" s="27"/>
      <c r="N46" s="27"/>
      <c r="O46" s="27"/>
      <c r="P46" s="27"/>
      <c r="Q46" s="27"/>
      <c r="R46" s="511"/>
    </row>
    <row r="47" spans="1:18">
      <c r="A47" s="513" t="s">
        <v>1880</v>
      </c>
      <c r="B47" s="513">
        <v>880000</v>
      </c>
      <c r="C47" s="513" t="s">
        <v>1880</v>
      </c>
      <c r="E47"/>
      <c r="F47"/>
      <c r="H47"/>
      <c r="J47" s="27"/>
      <c r="M47" s="27"/>
      <c r="N47" s="27"/>
      <c r="O47" s="27"/>
      <c r="P47" s="27"/>
      <c r="Q47" s="27"/>
      <c r="R47" s="511"/>
    </row>
    <row r="48" spans="1:18">
      <c r="A48" s="513" t="s">
        <v>1881</v>
      </c>
      <c r="B48" s="513">
        <v>0</v>
      </c>
      <c r="C48" s="513" t="s">
        <v>1881</v>
      </c>
      <c r="E48"/>
      <c r="F48"/>
      <c r="H48"/>
      <c r="J48" s="27"/>
      <c r="M48" s="27"/>
      <c r="N48" s="27"/>
      <c r="O48" s="27"/>
      <c r="P48" s="27"/>
      <c r="Q48" s="27"/>
      <c r="R48" s="511"/>
    </row>
    <row r="49" spans="1:18">
      <c r="A49" s="513" t="s">
        <v>1933</v>
      </c>
      <c r="B49" s="513">
        <v>1000000000</v>
      </c>
      <c r="C49" s="513" t="s">
        <v>1933</v>
      </c>
      <c r="E49"/>
      <c r="F49"/>
      <c r="H49"/>
      <c r="J49" s="27"/>
      <c r="M49" s="27"/>
      <c r="N49" s="27"/>
      <c r="O49" s="27"/>
      <c r="P49" s="27"/>
      <c r="Q49" s="27"/>
      <c r="R49" s="511"/>
    </row>
    <row r="50" spans="1:18">
      <c r="A50" s="513" t="s">
        <v>1932</v>
      </c>
      <c r="B50" s="513">
        <v>1000000000</v>
      </c>
      <c r="C50" s="513" t="s">
        <v>1932</v>
      </c>
      <c r="E50"/>
      <c r="F50"/>
      <c r="H50"/>
      <c r="J50" s="27"/>
      <c r="M50" s="27"/>
      <c r="N50" s="27"/>
      <c r="O50" s="27"/>
      <c r="P50" s="27"/>
      <c r="Q50" s="27"/>
      <c r="R50" s="511"/>
    </row>
    <row r="51" spans="1:18">
      <c r="A51" s="513" t="s">
        <v>1931</v>
      </c>
      <c r="B51" s="513">
        <v>30884314</v>
      </c>
      <c r="C51" s="513" t="s">
        <v>1931</v>
      </c>
      <c r="E51"/>
      <c r="F51"/>
      <c r="H51"/>
      <c r="J51" s="27"/>
      <c r="M51" s="27"/>
      <c r="N51" s="27"/>
      <c r="O51" s="27"/>
      <c r="P51" s="27"/>
      <c r="Q51" s="27"/>
      <c r="R51" s="511"/>
    </row>
    <row r="52" spans="1:18">
      <c r="A52" s="513" t="s">
        <v>1995</v>
      </c>
      <c r="B52" s="513">
        <v>-4333576378</v>
      </c>
      <c r="C52" s="513" t="s">
        <v>1995</v>
      </c>
      <c r="E52"/>
      <c r="F52"/>
      <c r="H52"/>
      <c r="J52" s="27"/>
      <c r="M52" s="27"/>
      <c r="N52" s="27"/>
      <c r="O52" s="27"/>
      <c r="P52" s="27"/>
      <c r="Q52" s="27"/>
      <c r="R52" s="511"/>
    </row>
    <row r="53" spans="1:18">
      <c r="A53" s="513" t="s">
        <v>1977</v>
      </c>
      <c r="B53" s="513">
        <v>-4521005573</v>
      </c>
      <c r="C53" s="513" t="s">
        <v>1977</v>
      </c>
      <c r="E53"/>
      <c r="F53"/>
      <c r="H53"/>
      <c r="J53" s="27"/>
      <c r="M53" s="27"/>
      <c r="N53" s="27"/>
      <c r="O53" s="27"/>
      <c r="P53" s="27"/>
      <c r="Q53" s="27"/>
      <c r="R53" s="511"/>
    </row>
    <row r="54" spans="1:18">
      <c r="A54" s="513" t="s">
        <v>1994</v>
      </c>
      <c r="B54" s="513">
        <v>-4333576378</v>
      </c>
      <c r="C54" s="513" t="s">
        <v>1994</v>
      </c>
      <c r="E54"/>
      <c r="F54"/>
      <c r="H54"/>
      <c r="J54" s="27"/>
      <c r="M54" s="27"/>
      <c r="N54" s="27"/>
      <c r="O54" s="27"/>
      <c r="P54" s="27"/>
      <c r="Q54" s="27"/>
      <c r="R54" s="511"/>
    </row>
    <row r="55" spans="1:18">
      <c r="A55" s="513" t="s">
        <v>1941</v>
      </c>
      <c r="B55" s="513">
        <v>5594300000</v>
      </c>
      <c r="C55" s="513" t="s">
        <v>1941</v>
      </c>
      <c r="E55"/>
      <c r="F55"/>
      <c r="H55"/>
      <c r="J55" s="27"/>
      <c r="M55" s="27"/>
      <c r="N55" s="27"/>
      <c r="O55" s="27"/>
      <c r="P55" s="27"/>
      <c r="Q55" s="27"/>
      <c r="R55" s="511"/>
    </row>
    <row r="56" spans="1:18">
      <c r="A56" s="513" t="s">
        <v>1939</v>
      </c>
      <c r="B56" s="513">
        <v>5594300000</v>
      </c>
      <c r="C56" s="513" t="s">
        <v>1939</v>
      </c>
      <c r="E56"/>
      <c r="F56"/>
      <c r="H56"/>
      <c r="J56" s="27"/>
      <c r="M56" s="27"/>
      <c r="N56" s="27"/>
      <c r="O56" s="27"/>
      <c r="P56" s="27"/>
      <c r="Q56" s="27"/>
      <c r="R56" s="511"/>
    </row>
    <row r="57" spans="1:18">
      <c r="A57" s="513" t="s">
        <v>1940</v>
      </c>
      <c r="B57" s="513">
        <v>5594300000</v>
      </c>
      <c r="C57" s="513" t="s">
        <v>1940</v>
      </c>
      <c r="E57"/>
      <c r="F57"/>
      <c r="H57"/>
      <c r="J57" s="27"/>
      <c r="M57" s="27"/>
      <c r="N57" s="27"/>
      <c r="O57" s="27"/>
      <c r="P57" s="27"/>
      <c r="Q57" s="27"/>
      <c r="R57" s="511"/>
    </row>
    <row r="58" spans="1:18">
      <c r="A58" s="513" t="s">
        <v>1934</v>
      </c>
      <c r="B58" s="513">
        <v>-969115686</v>
      </c>
      <c r="C58" s="513" t="s">
        <v>1934</v>
      </c>
      <c r="E58"/>
      <c r="F58"/>
      <c r="H58"/>
      <c r="J58" s="27"/>
      <c r="M58" s="27"/>
      <c r="N58" s="27"/>
      <c r="O58" s="27"/>
      <c r="P58" s="27"/>
      <c r="Q58" s="27"/>
      <c r="R58" s="511"/>
    </row>
    <row r="59" spans="1:18">
      <c r="A59" s="513" t="s">
        <v>1935</v>
      </c>
      <c r="B59" s="513">
        <v>-969115686</v>
      </c>
      <c r="C59" s="513" t="s">
        <v>1935</v>
      </c>
      <c r="E59"/>
      <c r="F59"/>
      <c r="H59"/>
      <c r="J59" s="27"/>
      <c r="M59" s="27"/>
      <c r="N59" s="27"/>
      <c r="O59" s="27"/>
      <c r="P59" s="27"/>
      <c r="Q59" s="27"/>
      <c r="R59" s="511"/>
    </row>
    <row r="60" spans="1:18">
      <c r="A60" s="513" t="s">
        <v>1865</v>
      </c>
      <c r="B60" s="513">
        <v>0</v>
      </c>
      <c r="C60" s="513" t="s">
        <v>1865</v>
      </c>
      <c r="E60"/>
      <c r="F60"/>
      <c r="H60"/>
      <c r="J60" s="27"/>
      <c r="M60" s="27"/>
      <c r="N60" s="27"/>
      <c r="O60" s="27"/>
      <c r="P60" s="27"/>
      <c r="Q60" s="27"/>
      <c r="R60" s="511"/>
    </row>
    <row r="61" spans="1:18">
      <c r="A61" s="513" t="s">
        <v>16265</v>
      </c>
      <c r="B61" s="513">
        <v>0</v>
      </c>
      <c r="C61" s="513" t="s">
        <v>16265</v>
      </c>
      <c r="E61"/>
      <c r="F61"/>
      <c r="H61"/>
      <c r="J61" s="27"/>
      <c r="M61" s="27"/>
      <c r="N61" s="27"/>
      <c r="O61" s="27"/>
      <c r="P61" s="27"/>
      <c r="Q61" s="27"/>
      <c r="R61" s="511"/>
    </row>
    <row r="62" spans="1:18">
      <c r="A62" s="513" t="s">
        <v>1876</v>
      </c>
      <c r="B62" s="513">
        <v>4417000</v>
      </c>
      <c r="C62" s="513" t="s">
        <v>1876</v>
      </c>
      <c r="E62"/>
      <c r="F62"/>
      <c r="H62"/>
      <c r="J62" s="27"/>
      <c r="M62" s="27"/>
      <c r="N62" s="27"/>
      <c r="O62" s="27"/>
      <c r="P62" s="27"/>
      <c r="Q62" s="27"/>
      <c r="R62" s="511"/>
    </row>
    <row r="63" spans="1:18">
      <c r="A63" s="513" t="s">
        <v>16712</v>
      </c>
      <c r="B63" s="513">
        <v>4417000</v>
      </c>
      <c r="C63" s="513" t="s">
        <v>16712</v>
      </c>
      <c r="E63"/>
      <c r="F63"/>
      <c r="H63"/>
      <c r="J63" s="27"/>
      <c r="M63" s="27"/>
      <c r="N63" s="27"/>
      <c r="O63" s="27"/>
      <c r="P63" s="27"/>
      <c r="Q63" s="27"/>
      <c r="R63" s="511"/>
    </row>
    <row r="64" spans="1:18">
      <c r="A64" s="513" t="s">
        <v>16698</v>
      </c>
      <c r="B64" s="513">
        <v>0</v>
      </c>
      <c r="C64" s="513" t="s">
        <v>16698</v>
      </c>
      <c r="E64"/>
      <c r="F64"/>
      <c r="H64"/>
      <c r="J64" s="27"/>
      <c r="M64" s="27"/>
      <c r="N64" s="27"/>
      <c r="O64" s="27"/>
      <c r="P64" s="27"/>
      <c r="Q64" s="27"/>
      <c r="R64" s="511"/>
    </row>
    <row r="65" spans="1:18">
      <c r="A65" s="513" t="s">
        <v>1873</v>
      </c>
      <c r="B65" s="513">
        <v>0</v>
      </c>
      <c r="C65" s="513" t="s">
        <v>1873</v>
      </c>
      <c r="E65"/>
      <c r="F65"/>
      <c r="H65"/>
      <c r="J65" s="27"/>
      <c r="M65" s="27"/>
      <c r="N65" s="27"/>
      <c r="O65" s="27"/>
      <c r="P65" s="27"/>
      <c r="Q65" s="27"/>
      <c r="R65" s="511"/>
    </row>
    <row r="66" spans="1:18">
      <c r="A66" s="513" t="s">
        <v>1857</v>
      </c>
      <c r="B66" s="513">
        <v>7934612</v>
      </c>
      <c r="C66" s="513" t="s">
        <v>1857</v>
      </c>
      <c r="E66"/>
      <c r="F66"/>
      <c r="H66"/>
      <c r="J66" s="27"/>
      <c r="M66" s="27"/>
      <c r="N66" s="27"/>
      <c r="O66" s="27"/>
      <c r="P66" s="27"/>
      <c r="Q66" s="27"/>
      <c r="R66" s="511"/>
    </row>
    <row r="67" spans="1:18">
      <c r="A67" s="513" t="s">
        <v>16252</v>
      </c>
      <c r="B67" s="513">
        <v>7934612</v>
      </c>
      <c r="C67" s="513" t="s">
        <v>16252</v>
      </c>
      <c r="E67"/>
      <c r="F67"/>
      <c r="H67"/>
      <c r="J67" s="27"/>
      <c r="M67" s="27"/>
      <c r="N67" s="27"/>
      <c r="O67" s="27"/>
      <c r="P67" s="27"/>
      <c r="Q67" s="27"/>
      <c r="R67" s="511"/>
    </row>
    <row r="68" spans="1:18">
      <c r="A68" s="513" t="s">
        <v>1843</v>
      </c>
      <c r="B68" s="513">
        <v>36353576</v>
      </c>
      <c r="C68" s="513" t="s">
        <v>1843</v>
      </c>
      <c r="E68"/>
      <c r="F68"/>
      <c r="H68"/>
      <c r="J68" s="27"/>
      <c r="M68" s="27"/>
      <c r="N68" s="27"/>
      <c r="O68" s="27"/>
      <c r="P68" s="27"/>
      <c r="Q68" s="27"/>
      <c r="R68" s="511"/>
    </row>
    <row r="69" spans="1:18">
      <c r="A69" s="513" t="s">
        <v>1953</v>
      </c>
      <c r="B69" s="513">
        <v>5741954</v>
      </c>
      <c r="C69" s="513" t="s">
        <v>1953</v>
      </c>
      <c r="E69"/>
      <c r="F69"/>
      <c r="H69"/>
      <c r="J69" s="27"/>
      <c r="M69" s="27"/>
      <c r="N69" s="27"/>
      <c r="O69" s="27"/>
      <c r="P69" s="27"/>
      <c r="Q69" s="27"/>
      <c r="R69" s="511"/>
    </row>
    <row r="70" spans="1:18">
      <c r="A70" s="513" t="s">
        <v>1950</v>
      </c>
      <c r="B70" s="513">
        <v>5741954</v>
      </c>
      <c r="C70" s="513" t="s">
        <v>1950</v>
      </c>
      <c r="E70"/>
      <c r="F70"/>
      <c r="H70"/>
      <c r="J70" s="27"/>
      <c r="M70" s="27"/>
      <c r="N70" s="27"/>
      <c r="O70" s="27"/>
      <c r="P70" s="27"/>
      <c r="Q70" s="27"/>
      <c r="R70" s="511"/>
    </row>
    <row r="71" spans="1:18">
      <c r="A71" s="513" t="s">
        <v>1951</v>
      </c>
      <c r="B71" s="513">
        <v>5741954</v>
      </c>
      <c r="C71" s="513" t="s">
        <v>1951</v>
      </c>
      <c r="E71"/>
      <c r="F71"/>
      <c r="H71"/>
      <c r="J71" s="27"/>
      <c r="M71" s="27"/>
      <c r="N71" s="27"/>
      <c r="O71" s="27"/>
      <c r="P71" s="27"/>
      <c r="Q71" s="27"/>
      <c r="R71" s="511"/>
    </row>
    <row r="72" spans="1:18">
      <c r="A72" s="513" t="s">
        <v>1952</v>
      </c>
      <c r="B72" s="513">
        <v>5741954</v>
      </c>
      <c r="C72" s="513" t="s">
        <v>1952</v>
      </c>
      <c r="E72"/>
      <c r="F72"/>
      <c r="H72"/>
      <c r="J72" s="27"/>
      <c r="M72" s="27"/>
      <c r="N72" s="27"/>
      <c r="O72" s="27"/>
      <c r="P72" s="27"/>
      <c r="Q72" s="27"/>
      <c r="R72" s="511"/>
    </row>
    <row r="73" spans="1:18">
      <c r="A73" s="513" t="s">
        <v>1624</v>
      </c>
      <c r="B73" s="513">
        <v>700000</v>
      </c>
      <c r="C73" s="513" t="s">
        <v>1624</v>
      </c>
      <c r="E73"/>
      <c r="F73"/>
      <c r="H73"/>
      <c r="J73" s="27"/>
      <c r="M73" s="27"/>
      <c r="N73" s="27"/>
      <c r="O73" s="27"/>
      <c r="P73" s="27"/>
      <c r="Q73" s="27"/>
      <c r="R73" s="511"/>
    </row>
    <row r="74" spans="1:18">
      <c r="A74" s="513" t="s">
        <v>1622</v>
      </c>
      <c r="B74" s="513">
        <v>700000</v>
      </c>
      <c r="C74" s="513" t="s">
        <v>1622</v>
      </c>
      <c r="E74"/>
      <c r="F74"/>
      <c r="H74"/>
      <c r="J74" s="27"/>
      <c r="M74" s="27"/>
      <c r="N74" s="27"/>
      <c r="O74" s="27"/>
      <c r="P74" s="27"/>
      <c r="Q74" s="27"/>
      <c r="R74" s="511"/>
    </row>
    <row r="75" spans="1:18">
      <c r="A75" s="513" t="s">
        <v>15717</v>
      </c>
      <c r="B75" s="513">
        <v>700000</v>
      </c>
      <c r="C75" s="513" t="s">
        <v>15717</v>
      </c>
      <c r="E75"/>
      <c r="F75"/>
      <c r="H75"/>
      <c r="J75" s="27"/>
      <c r="M75" s="27"/>
      <c r="N75" s="27"/>
      <c r="O75" s="27"/>
      <c r="P75" s="27"/>
      <c r="Q75" s="27"/>
      <c r="R75" s="511"/>
    </row>
    <row r="76" spans="1:18">
      <c r="A76" s="513" t="s">
        <v>15554</v>
      </c>
      <c r="B76" s="513">
        <v>0</v>
      </c>
      <c r="C76" s="513" t="s">
        <v>15554</v>
      </c>
      <c r="E76"/>
      <c r="F76"/>
      <c r="H76"/>
      <c r="J76" s="27"/>
      <c r="M76" s="27"/>
      <c r="N76" s="27"/>
      <c r="O76" s="27"/>
      <c r="P76" s="27"/>
      <c r="Q76" s="27"/>
      <c r="R76" s="511"/>
    </row>
    <row r="77" spans="1:18">
      <c r="A77" s="513" t="s">
        <v>15090</v>
      </c>
      <c r="B77" s="513">
        <v>0</v>
      </c>
      <c r="C77" s="513" t="s">
        <v>15090</v>
      </c>
      <c r="E77"/>
      <c r="F77"/>
      <c r="H77"/>
      <c r="J77" s="27"/>
      <c r="M77" s="27"/>
      <c r="N77" s="27"/>
      <c r="O77" s="27"/>
      <c r="P77" s="27"/>
      <c r="Q77" s="27"/>
      <c r="R77" s="511"/>
    </row>
    <row r="78" spans="1:18">
      <c r="A78" s="513" t="s">
        <v>1901</v>
      </c>
      <c r="B78" s="513">
        <v>21575064</v>
      </c>
      <c r="C78" s="513" t="s">
        <v>1901</v>
      </c>
      <c r="E78"/>
      <c r="F78"/>
      <c r="H78"/>
      <c r="J78" s="27"/>
      <c r="M78" s="27"/>
      <c r="N78" s="27"/>
      <c r="O78" s="27"/>
      <c r="P78" s="27"/>
      <c r="Q78" s="27"/>
      <c r="R78" s="511"/>
    </row>
    <row r="79" spans="1:18">
      <c r="A79" s="513" t="s">
        <v>1883</v>
      </c>
      <c r="B79" s="513">
        <v>69136085</v>
      </c>
      <c r="C79" s="513" t="s">
        <v>1883</v>
      </c>
      <c r="E79"/>
      <c r="F79"/>
      <c r="H79"/>
      <c r="J79" s="27"/>
      <c r="M79" s="27"/>
      <c r="N79" s="27"/>
      <c r="O79" s="27"/>
      <c r="P79" s="27"/>
      <c r="Q79" s="27"/>
      <c r="R79" s="511"/>
    </row>
    <row r="80" spans="1:18">
      <c r="A80" s="513" t="s">
        <v>16531</v>
      </c>
      <c r="B80" s="513">
        <v>21575064</v>
      </c>
      <c r="C80" s="513" t="s">
        <v>16531</v>
      </c>
      <c r="E80"/>
      <c r="F80"/>
      <c r="H80"/>
      <c r="J80" s="27"/>
      <c r="M80" s="27"/>
      <c r="N80" s="27"/>
      <c r="O80" s="27"/>
      <c r="P80" s="27"/>
      <c r="Q80" s="27"/>
      <c r="R80" s="511"/>
    </row>
    <row r="81" spans="1:18">
      <c r="A81" s="513" t="s">
        <v>1884</v>
      </c>
      <c r="B81" s="513">
        <v>69136085</v>
      </c>
      <c r="C81" s="513" t="s">
        <v>1884</v>
      </c>
      <c r="E81"/>
      <c r="F81"/>
      <c r="H81"/>
      <c r="J81" s="27"/>
      <c r="M81" s="27"/>
      <c r="N81" s="27"/>
      <c r="O81" s="27"/>
      <c r="P81" s="27"/>
      <c r="Q81" s="27"/>
      <c r="R81" s="511"/>
    </row>
    <row r="82" spans="1:18">
      <c r="A82" s="513" t="s">
        <v>16333</v>
      </c>
      <c r="B82" s="513">
        <v>21575064</v>
      </c>
      <c r="C82" s="513" t="s">
        <v>16333</v>
      </c>
      <c r="E82"/>
      <c r="F82"/>
      <c r="H82"/>
      <c r="J82" s="27"/>
      <c r="M82" s="27"/>
      <c r="N82" s="27"/>
      <c r="O82" s="27"/>
      <c r="P82" s="27"/>
      <c r="Q82" s="27"/>
      <c r="R82" s="511"/>
    </row>
    <row r="83" spans="1:18">
      <c r="A83" s="513" t="s">
        <v>1673</v>
      </c>
      <c r="B83" s="513">
        <v>1600363488</v>
      </c>
      <c r="C83" s="513" t="s">
        <v>1673</v>
      </c>
      <c r="E83"/>
      <c r="F83"/>
      <c r="H83"/>
      <c r="J83" s="27"/>
      <c r="M83" s="27"/>
      <c r="N83" s="27"/>
      <c r="O83" s="27"/>
      <c r="P83" s="27"/>
      <c r="Q83" s="27"/>
      <c r="R83" s="511"/>
    </row>
    <row r="84" spans="1:18">
      <c r="A84" s="513" t="s">
        <v>14947</v>
      </c>
      <c r="B84" s="513">
        <v>145406833</v>
      </c>
      <c r="C84" s="513" t="s">
        <v>14947</v>
      </c>
      <c r="E84"/>
      <c r="F84"/>
      <c r="H84"/>
      <c r="J84" s="27"/>
      <c r="M84" s="27"/>
      <c r="N84" s="27"/>
      <c r="O84" s="27"/>
      <c r="P84" s="27"/>
      <c r="Q84" s="27"/>
      <c r="R84" s="511"/>
    </row>
    <row r="85" spans="1:18">
      <c r="A85" s="513" t="s">
        <v>1672</v>
      </c>
      <c r="B85" s="513">
        <v>647860666</v>
      </c>
      <c r="C85" s="513" t="s">
        <v>1672</v>
      </c>
      <c r="E85"/>
      <c r="F85"/>
      <c r="H85"/>
      <c r="J85" s="27"/>
      <c r="M85" s="27"/>
      <c r="N85" s="27"/>
      <c r="O85" s="27"/>
      <c r="P85" s="27"/>
      <c r="Q85" s="27"/>
      <c r="R85" s="511"/>
    </row>
    <row r="86" spans="1:18">
      <c r="A86" s="513" t="s">
        <v>1738</v>
      </c>
      <c r="B86" s="513">
        <v>145406833</v>
      </c>
      <c r="C86" s="513" t="s">
        <v>1738</v>
      </c>
      <c r="E86"/>
      <c r="F86"/>
      <c r="H86"/>
      <c r="J86" s="27"/>
      <c r="M86" s="27"/>
      <c r="N86" s="27"/>
      <c r="O86" s="27"/>
      <c r="P86" s="27"/>
      <c r="Q86" s="27"/>
      <c r="R86" s="511"/>
    </row>
    <row r="87" spans="1:18">
      <c r="A87" s="513" t="s">
        <v>1638</v>
      </c>
      <c r="B87" s="513">
        <v>1265765341</v>
      </c>
      <c r="C87" s="513" t="s">
        <v>1638</v>
      </c>
      <c r="E87"/>
      <c r="F87"/>
      <c r="H87"/>
      <c r="J87" s="27"/>
      <c r="M87" s="27"/>
      <c r="N87" s="27"/>
      <c r="O87" s="27"/>
      <c r="P87" s="27"/>
      <c r="Q87" s="27"/>
      <c r="R87" s="511"/>
    </row>
    <row r="88" spans="1:18">
      <c r="A88" s="513" t="s">
        <v>1737</v>
      </c>
      <c r="B88" s="513">
        <v>1289602404</v>
      </c>
      <c r="C88" s="513" t="s">
        <v>1737</v>
      </c>
      <c r="E88"/>
      <c r="F88"/>
      <c r="H88"/>
      <c r="J88" s="27"/>
      <c r="M88" s="27"/>
      <c r="N88" s="27"/>
      <c r="O88" s="27"/>
      <c r="P88" s="27"/>
      <c r="Q88" s="27"/>
      <c r="R88" s="511"/>
    </row>
    <row r="89" spans="1:18">
      <c r="A89" s="513" t="s">
        <v>14948</v>
      </c>
      <c r="B89" s="513">
        <v>5687107</v>
      </c>
      <c r="C89" s="513" t="s">
        <v>14948</v>
      </c>
      <c r="E89"/>
      <c r="F89"/>
      <c r="H89"/>
      <c r="J89" s="27"/>
      <c r="M89" s="27"/>
      <c r="N89" s="27"/>
      <c r="O89" s="27"/>
      <c r="P89" s="27"/>
      <c r="Q89" s="27"/>
      <c r="R89" s="511"/>
    </row>
    <row r="90" spans="1:18">
      <c r="A90" s="513" t="s">
        <v>1733</v>
      </c>
      <c r="B90" s="513">
        <v>5687107</v>
      </c>
      <c r="C90" s="513" t="s">
        <v>1733</v>
      </c>
      <c r="E90"/>
      <c r="F90"/>
      <c r="H90"/>
      <c r="J90" s="27"/>
      <c r="M90" s="27"/>
      <c r="N90" s="27"/>
      <c r="O90" s="27"/>
      <c r="P90" s="27"/>
      <c r="Q90" s="27"/>
      <c r="R90" s="511"/>
    </row>
    <row r="91" spans="1:18">
      <c r="A91" s="513" t="s">
        <v>1732</v>
      </c>
      <c r="B91" s="513">
        <v>19260019</v>
      </c>
      <c r="C91" s="513" t="s">
        <v>1732</v>
      </c>
      <c r="E91"/>
      <c r="F91"/>
      <c r="H91"/>
      <c r="J91" s="27"/>
      <c r="M91" s="27"/>
      <c r="N91" s="27"/>
      <c r="O91" s="27"/>
      <c r="P91" s="27"/>
      <c r="Q91" s="27"/>
      <c r="R91" s="511"/>
    </row>
    <row r="92" spans="1:18">
      <c r="A92" s="513" t="s">
        <v>1882</v>
      </c>
      <c r="B92" s="513">
        <v>880000</v>
      </c>
      <c r="C92" s="513" t="s">
        <v>1882</v>
      </c>
      <c r="E92"/>
      <c r="F92"/>
      <c r="H92"/>
      <c r="J92" s="27"/>
      <c r="M92" s="27"/>
      <c r="N92" s="27"/>
      <c r="O92" s="27"/>
      <c r="P92" s="27"/>
      <c r="Q92" s="27"/>
      <c r="R92" s="511"/>
    </row>
    <row r="93" spans="1:18">
      <c r="A93" s="513" t="s">
        <v>16716</v>
      </c>
      <c r="B93" s="513">
        <v>880000</v>
      </c>
      <c r="C93" s="513" t="s">
        <v>16716</v>
      </c>
      <c r="E93"/>
      <c r="F93"/>
      <c r="H93"/>
      <c r="J93" s="27"/>
      <c r="M93" s="27"/>
      <c r="N93" s="27"/>
      <c r="O93" s="27"/>
      <c r="P93" s="27"/>
      <c r="Q93" s="27"/>
      <c r="R93" s="511"/>
    </row>
    <row r="94" spans="1:18">
      <c r="A94" s="513" t="s">
        <v>15990</v>
      </c>
      <c r="B94" s="513">
        <v>126121162</v>
      </c>
      <c r="C94" s="513" t="s">
        <v>15990</v>
      </c>
      <c r="E94"/>
      <c r="F94"/>
      <c r="H94"/>
      <c r="J94" s="27"/>
      <c r="M94" s="27"/>
      <c r="N94" s="27"/>
      <c r="O94" s="27"/>
      <c r="P94" s="27"/>
      <c r="Q94" s="27"/>
      <c r="R94" s="511"/>
    </row>
    <row r="95" spans="1:18">
      <c r="A95" s="513" t="s">
        <v>15095</v>
      </c>
      <c r="B95" s="513">
        <v>126121162</v>
      </c>
      <c r="C95" s="513" t="s">
        <v>15095</v>
      </c>
      <c r="E95"/>
      <c r="F95"/>
      <c r="H95"/>
      <c r="J95" s="27"/>
      <c r="M95" s="27"/>
      <c r="N95" s="27"/>
      <c r="O95" s="27"/>
      <c r="P95" s="27"/>
      <c r="Q95" s="27"/>
      <c r="R95" s="511"/>
    </row>
    <row r="96" spans="1:18">
      <c r="A96" s="513" t="s">
        <v>15000</v>
      </c>
      <c r="B96" s="513">
        <v>126121162</v>
      </c>
      <c r="C96" s="513" t="s">
        <v>15000</v>
      </c>
      <c r="E96"/>
      <c r="F96"/>
      <c r="H96"/>
      <c r="J96" s="27"/>
      <c r="M96" s="27"/>
      <c r="N96" s="27"/>
      <c r="O96" s="27"/>
      <c r="P96" s="27"/>
      <c r="Q96" s="27"/>
      <c r="R96" s="511"/>
    </row>
    <row r="97" spans="1:18">
      <c r="A97" s="513" t="s">
        <v>1764</v>
      </c>
      <c r="B97" s="513">
        <v>-837534737</v>
      </c>
      <c r="C97" s="513" t="s">
        <v>1764</v>
      </c>
      <c r="E97"/>
      <c r="F97"/>
      <c r="H97"/>
      <c r="J97" s="27"/>
      <c r="M97" s="27"/>
      <c r="N97" s="27"/>
      <c r="O97" s="27"/>
      <c r="P97" s="27"/>
      <c r="Q97" s="27"/>
      <c r="R97" s="511"/>
    </row>
    <row r="98" spans="1:18">
      <c r="A98" s="513" t="s">
        <v>1751</v>
      </c>
      <c r="B98" s="513">
        <v>-952502822</v>
      </c>
      <c r="C98" s="513" t="s">
        <v>1751</v>
      </c>
      <c r="E98"/>
      <c r="F98"/>
      <c r="H98"/>
      <c r="J98" s="27"/>
      <c r="M98" s="27"/>
      <c r="N98" s="27"/>
      <c r="O98" s="27"/>
      <c r="P98" s="27"/>
      <c r="Q98" s="27"/>
      <c r="R98" s="511"/>
    </row>
    <row r="99" spans="1:18">
      <c r="A99" s="513" t="s">
        <v>1765</v>
      </c>
      <c r="B99" s="513">
        <v>-837534737</v>
      </c>
      <c r="C99" s="513" t="s">
        <v>1765</v>
      </c>
      <c r="E99"/>
      <c r="F99"/>
      <c r="H99"/>
      <c r="J99" s="27"/>
      <c r="M99" s="27"/>
      <c r="N99" s="27"/>
      <c r="O99" s="27"/>
      <c r="P99" s="27"/>
      <c r="Q99" s="27"/>
      <c r="R99" s="511"/>
    </row>
    <row r="100" spans="1:18">
      <c r="A100" s="513" t="s">
        <v>1763</v>
      </c>
      <c r="B100" s="513">
        <v>-17715686</v>
      </c>
      <c r="C100" s="513" t="s">
        <v>1763</v>
      </c>
      <c r="E100"/>
      <c r="F100"/>
      <c r="H100"/>
      <c r="J100" s="27"/>
      <c r="M100" s="27"/>
      <c r="N100" s="27"/>
      <c r="O100" s="27"/>
      <c r="P100" s="27"/>
      <c r="Q100" s="27"/>
      <c r="R100" s="511"/>
    </row>
    <row r="101" spans="1:18">
      <c r="A101" s="513" t="s">
        <v>1762</v>
      </c>
      <c r="B101" s="513">
        <v>-17715686</v>
      </c>
      <c r="C101" s="513" t="s">
        <v>1762</v>
      </c>
      <c r="E101"/>
      <c r="F101"/>
      <c r="H101"/>
      <c r="J101" s="27"/>
      <c r="M101" s="27"/>
      <c r="N101" s="27"/>
      <c r="O101" s="27"/>
      <c r="P101" s="27"/>
      <c r="Q101" s="27"/>
      <c r="R101" s="511"/>
    </row>
    <row r="102" spans="1:18">
      <c r="A102" s="513" t="s">
        <v>15405</v>
      </c>
      <c r="B102" s="513">
        <v>281628094</v>
      </c>
      <c r="C102" s="513" t="s">
        <v>15405</v>
      </c>
      <c r="E102"/>
      <c r="F102"/>
      <c r="H102"/>
      <c r="J102" s="27"/>
      <c r="M102" s="27"/>
      <c r="N102" s="27"/>
      <c r="O102" s="27"/>
      <c r="P102" s="27"/>
      <c r="Q102" s="27"/>
      <c r="R102" s="511"/>
    </row>
    <row r="103" spans="1:18">
      <c r="A103" s="513" t="s">
        <v>15073</v>
      </c>
      <c r="B103" s="513">
        <v>281628094</v>
      </c>
      <c r="C103" s="513" t="s">
        <v>15073</v>
      </c>
      <c r="E103"/>
      <c r="F103"/>
      <c r="H103"/>
      <c r="J103" s="27"/>
      <c r="M103" s="27"/>
      <c r="N103" s="27"/>
      <c r="O103" s="27"/>
      <c r="P103" s="27"/>
      <c r="Q103" s="27"/>
      <c r="R103" s="511"/>
    </row>
    <row r="104" spans="1:18">
      <c r="A104" s="513" t="s">
        <v>41</v>
      </c>
      <c r="B104" s="513">
        <v>461293532</v>
      </c>
      <c r="C104" s="513" t="s">
        <v>41</v>
      </c>
      <c r="E104"/>
      <c r="F104"/>
      <c r="H104"/>
      <c r="J104" s="27"/>
      <c r="M104" s="27"/>
      <c r="N104" s="27"/>
      <c r="O104" s="27"/>
      <c r="P104" s="27"/>
      <c r="Q104" s="27"/>
      <c r="R104" s="511"/>
    </row>
    <row r="105" spans="1:18">
      <c r="A105" s="513" t="s">
        <v>15072</v>
      </c>
      <c r="B105" s="513">
        <v>283383002</v>
      </c>
      <c r="C105" s="513" t="s">
        <v>15072</v>
      </c>
      <c r="E105"/>
      <c r="F105"/>
      <c r="H105"/>
      <c r="J105" s="27"/>
      <c r="M105" s="27"/>
      <c r="N105" s="27"/>
      <c r="O105" s="27"/>
      <c r="P105" s="27"/>
      <c r="Q105" s="27"/>
      <c r="R105" s="511"/>
    </row>
    <row r="106" spans="1:18">
      <c r="A106" s="513" t="s">
        <v>16529</v>
      </c>
      <c r="B106" s="513">
        <v>4969007</v>
      </c>
      <c r="C106" s="513" t="s">
        <v>16529</v>
      </c>
      <c r="E106"/>
      <c r="F106"/>
      <c r="H106"/>
      <c r="J106" s="27"/>
      <c r="M106" s="27"/>
      <c r="N106" s="27"/>
      <c r="O106" s="27"/>
      <c r="P106" s="27"/>
      <c r="Q106" s="27"/>
      <c r="R106" s="511"/>
    </row>
    <row r="107" spans="1:18">
      <c r="A107" s="513" t="s">
        <v>1899</v>
      </c>
      <c r="B107" s="513">
        <v>4969007</v>
      </c>
      <c r="C107" s="513" t="s">
        <v>1899</v>
      </c>
      <c r="E107"/>
      <c r="F107"/>
      <c r="H107"/>
      <c r="J107" s="27"/>
      <c r="M107" s="27"/>
      <c r="N107" s="27"/>
      <c r="O107" s="27"/>
      <c r="P107" s="27"/>
      <c r="Q107" s="27"/>
      <c r="R107" s="511"/>
    </row>
    <row r="108" spans="1:18">
      <c r="A108" s="513" t="s">
        <v>16329</v>
      </c>
      <c r="B108" s="513">
        <v>4969007</v>
      </c>
      <c r="C108" s="513" t="s">
        <v>16329</v>
      </c>
      <c r="E108"/>
      <c r="F108"/>
      <c r="H108"/>
      <c r="J108" s="27"/>
      <c r="M108" s="27"/>
      <c r="N108" s="27"/>
      <c r="O108" s="27"/>
      <c r="P108" s="27"/>
      <c r="Q108" s="27"/>
      <c r="R108" s="511"/>
    </row>
    <row r="109" spans="1:18">
      <c r="A109" s="513" t="s">
        <v>1898</v>
      </c>
      <c r="B109" s="513">
        <v>42024908</v>
      </c>
      <c r="C109" s="513" t="s">
        <v>1898</v>
      </c>
      <c r="E109"/>
      <c r="F109"/>
      <c r="H109"/>
      <c r="J109" s="27"/>
      <c r="M109" s="27"/>
      <c r="N109" s="27"/>
      <c r="O109" s="27"/>
      <c r="P109" s="27"/>
      <c r="Q109" s="27"/>
      <c r="R109" s="511"/>
    </row>
    <row r="110" spans="1:18">
      <c r="A110" s="513" t="s">
        <v>16744</v>
      </c>
      <c r="B110" s="513">
        <v>42024908</v>
      </c>
      <c r="C110" s="513" t="s">
        <v>16744</v>
      </c>
      <c r="E110"/>
      <c r="F110"/>
      <c r="H110"/>
      <c r="J110" s="27"/>
      <c r="M110" s="27"/>
      <c r="N110" s="27"/>
      <c r="O110" s="27"/>
      <c r="P110" s="27"/>
      <c r="Q110" s="27"/>
      <c r="R110" s="511"/>
    </row>
    <row r="111" spans="1:18">
      <c r="A111" s="513" t="s">
        <v>17929</v>
      </c>
      <c r="B111" s="513">
        <v>42024908</v>
      </c>
      <c r="C111" s="513" t="s">
        <v>17929</v>
      </c>
      <c r="E111"/>
      <c r="F111"/>
      <c r="H111"/>
      <c r="J111" s="27"/>
      <c r="M111" s="27"/>
      <c r="N111" s="27"/>
      <c r="O111" s="27"/>
      <c r="P111" s="27"/>
      <c r="Q111" s="27"/>
      <c r="R111" s="511"/>
    </row>
    <row r="112" spans="1:18">
      <c r="A112" s="513" t="s">
        <v>16215</v>
      </c>
      <c r="B112" s="513">
        <v>22616085</v>
      </c>
      <c r="C112" s="513" t="s">
        <v>16215</v>
      </c>
      <c r="E112"/>
      <c r="F112"/>
      <c r="H112"/>
      <c r="J112" s="27"/>
      <c r="M112" s="27"/>
      <c r="N112" s="27"/>
      <c r="O112" s="27"/>
      <c r="P112" s="27"/>
      <c r="Q112" s="27"/>
      <c r="R112" s="511"/>
    </row>
    <row r="113" spans="1:18">
      <c r="A113" s="513" t="s">
        <v>1849</v>
      </c>
      <c r="B113" s="513">
        <v>22616085</v>
      </c>
      <c r="C113" s="513" t="s">
        <v>1849</v>
      </c>
      <c r="E113"/>
      <c r="F113"/>
      <c r="H113"/>
      <c r="J113" s="27"/>
      <c r="M113" s="27"/>
      <c r="N113" s="27"/>
      <c r="O113" s="27"/>
      <c r="P113" s="27"/>
      <c r="Q113" s="27"/>
      <c r="R113" s="511"/>
    </row>
    <row r="114" spans="1:18">
      <c r="A114" s="513" t="s">
        <v>15128</v>
      </c>
      <c r="B114" s="513">
        <v>405108</v>
      </c>
      <c r="C114" s="513" t="s">
        <v>15128</v>
      </c>
      <c r="E114"/>
      <c r="F114"/>
      <c r="H114"/>
      <c r="J114" s="27"/>
      <c r="M114" s="27"/>
      <c r="N114" s="27"/>
      <c r="O114" s="27"/>
      <c r="P114" s="27"/>
      <c r="Q114" s="27"/>
      <c r="R114" s="511"/>
    </row>
    <row r="115" spans="1:18">
      <c r="A115" s="513" t="s">
        <v>16195</v>
      </c>
      <c r="B115" s="513">
        <v>405108</v>
      </c>
      <c r="C115" s="513" t="s">
        <v>16195</v>
      </c>
      <c r="E115"/>
      <c r="F115"/>
      <c r="H115"/>
      <c r="J115" s="27"/>
      <c r="M115" s="27"/>
      <c r="N115" s="27"/>
      <c r="O115" s="27"/>
      <c r="P115" s="27"/>
      <c r="Q115" s="27"/>
      <c r="R115" s="511"/>
    </row>
    <row r="116" spans="1:18">
      <c r="A116" s="513" t="s">
        <v>15129</v>
      </c>
      <c r="B116" s="513">
        <v>405108</v>
      </c>
      <c r="C116" s="513" t="s">
        <v>15129</v>
      </c>
      <c r="E116"/>
      <c r="F116"/>
      <c r="H116"/>
      <c r="J116" s="27"/>
      <c r="M116" s="27"/>
      <c r="N116" s="27"/>
      <c r="O116" s="27"/>
      <c r="P116" s="27"/>
      <c r="Q116" s="27"/>
      <c r="R116" s="511"/>
    </row>
    <row r="117" spans="1:18">
      <c r="A117" s="513" t="s">
        <v>15626</v>
      </c>
      <c r="B117" s="513">
        <v>761314</v>
      </c>
      <c r="C117" s="513" t="s">
        <v>15626</v>
      </c>
      <c r="E117"/>
      <c r="F117"/>
      <c r="H117"/>
      <c r="J117" s="27"/>
      <c r="M117" s="27"/>
      <c r="N117" s="27"/>
      <c r="O117" s="27"/>
      <c r="P117" s="27"/>
      <c r="Q117" s="27"/>
      <c r="R117" s="511"/>
    </row>
    <row r="118" spans="1:18">
      <c r="A118" s="513" t="s">
        <v>1777</v>
      </c>
      <c r="B118" s="513">
        <v>87539011</v>
      </c>
      <c r="C118" s="513" t="s">
        <v>1777</v>
      </c>
      <c r="E118"/>
      <c r="F118"/>
      <c r="H118"/>
      <c r="J118" s="27"/>
      <c r="M118" s="27"/>
      <c r="N118" s="27"/>
      <c r="O118" s="27"/>
      <c r="P118" s="27"/>
      <c r="Q118" s="27"/>
      <c r="R118" s="511"/>
    </row>
    <row r="119" spans="1:18">
      <c r="A119" s="513" t="s">
        <v>1776</v>
      </c>
      <c r="B119" s="513">
        <v>87539011</v>
      </c>
      <c r="C119" s="513" t="s">
        <v>1776</v>
      </c>
      <c r="E119"/>
      <c r="F119"/>
      <c r="H119"/>
      <c r="J119" s="27"/>
      <c r="M119" s="27"/>
      <c r="N119" s="27"/>
      <c r="O119" s="27"/>
      <c r="P119" s="27"/>
      <c r="Q119" s="27"/>
      <c r="R119" s="511"/>
    </row>
    <row r="120" spans="1:18">
      <c r="A120" s="513" t="s">
        <v>1778</v>
      </c>
      <c r="B120" s="513">
        <v>761314</v>
      </c>
      <c r="C120" s="513" t="s">
        <v>1778</v>
      </c>
      <c r="E120"/>
      <c r="F120"/>
      <c r="H120"/>
      <c r="J120" s="27"/>
      <c r="M120" s="27"/>
      <c r="N120" s="27"/>
      <c r="O120" s="27"/>
      <c r="P120" s="27"/>
      <c r="Q120" s="27"/>
      <c r="R120" s="511"/>
    </row>
    <row r="121" spans="1:18">
      <c r="A121" s="513" t="s">
        <v>16268</v>
      </c>
      <c r="B121" s="513">
        <v>0</v>
      </c>
      <c r="C121" s="513" t="s">
        <v>16268</v>
      </c>
      <c r="E121"/>
      <c r="F121"/>
      <c r="H121"/>
      <c r="J121" s="27"/>
      <c r="M121" s="27"/>
      <c r="N121" s="27"/>
      <c r="O121" s="27"/>
      <c r="P121" s="27"/>
      <c r="Q121" s="27"/>
      <c r="R121" s="511"/>
    </row>
    <row r="122" spans="1:18">
      <c r="A122" s="513" t="s">
        <v>1868</v>
      </c>
      <c r="B122" s="513">
        <v>0</v>
      </c>
      <c r="C122" s="513" t="s">
        <v>1868</v>
      </c>
      <c r="E122"/>
      <c r="F122"/>
      <c r="H122"/>
      <c r="J122" s="27"/>
      <c r="M122" s="27"/>
      <c r="N122" s="27"/>
      <c r="O122" s="27"/>
      <c r="P122" s="27"/>
      <c r="Q122" s="27"/>
      <c r="R122" s="511"/>
    </row>
    <row r="123" spans="1:18">
      <c r="A123" s="513" t="s">
        <v>15100</v>
      </c>
      <c r="B123" s="513">
        <v>-78992698</v>
      </c>
      <c r="C123" s="513" t="s">
        <v>15100</v>
      </c>
      <c r="E123"/>
      <c r="F123"/>
      <c r="H123"/>
      <c r="J123" s="27"/>
      <c r="M123" s="27"/>
      <c r="N123" s="27"/>
      <c r="O123" s="27"/>
      <c r="P123" s="27"/>
      <c r="Q123" s="27"/>
      <c r="R123" s="511"/>
    </row>
    <row r="124" spans="1:18">
      <c r="A124" s="513" t="s">
        <v>14987</v>
      </c>
      <c r="B124" s="513">
        <v>-78992698</v>
      </c>
      <c r="C124" s="513" t="s">
        <v>14987</v>
      </c>
      <c r="E124"/>
      <c r="F124"/>
      <c r="H124"/>
      <c r="J124" s="27"/>
      <c r="M124" s="27"/>
      <c r="N124" s="27"/>
      <c r="O124" s="27"/>
      <c r="P124" s="27"/>
      <c r="Q124" s="27"/>
      <c r="R124" s="511"/>
    </row>
    <row r="125" spans="1:18">
      <c r="A125" s="513" t="s">
        <v>1681</v>
      </c>
      <c r="B125" s="513">
        <v>499687000</v>
      </c>
      <c r="C125" s="513" t="s">
        <v>1681</v>
      </c>
      <c r="E125"/>
      <c r="F125"/>
      <c r="H125"/>
      <c r="J125" s="27"/>
      <c r="M125" s="27"/>
      <c r="N125" s="27"/>
      <c r="O125" s="27"/>
      <c r="P125" s="27"/>
      <c r="Q125" s="27"/>
      <c r="R125" s="511"/>
    </row>
    <row r="126" spans="1:18">
      <c r="A126" s="513" t="s">
        <v>15559</v>
      </c>
      <c r="B126" s="513">
        <v>499687000</v>
      </c>
      <c r="C126" s="513" t="s">
        <v>15559</v>
      </c>
      <c r="E126"/>
      <c r="F126"/>
      <c r="H126"/>
      <c r="J126" s="27"/>
      <c r="M126" s="27"/>
      <c r="N126" s="27"/>
      <c r="O126" s="27"/>
      <c r="P126" s="27"/>
      <c r="Q126" s="27"/>
      <c r="R126" s="511"/>
    </row>
    <row r="127" spans="1:18">
      <c r="A127" s="513" t="s">
        <v>1887</v>
      </c>
      <c r="B127" s="513">
        <v>2554679</v>
      </c>
      <c r="C127" s="513" t="s">
        <v>1887</v>
      </c>
      <c r="E127"/>
      <c r="F127"/>
      <c r="H127"/>
      <c r="J127" s="27"/>
      <c r="M127" s="27"/>
      <c r="N127" s="27"/>
      <c r="O127" s="27"/>
      <c r="P127" s="27"/>
      <c r="Q127" s="27"/>
      <c r="R127" s="511"/>
    </row>
    <row r="128" spans="1:18">
      <c r="A128" s="513" t="s">
        <v>16283</v>
      </c>
      <c r="B128" s="513">
        <v>2554679</v>
      </c>
      <c r="C128" s="513" t="s">
        <v>16283</v>
      </c>
      <c r="E128"/>
      <c r="F128"/>
      <c r="H128"/>
      <c r="J128" s="27"/>
      <c r="M128" s="27"/>
      <c r="N128" s="27"/>
      <c r="O128" s="27"/>
      <c r="P128" s="27"/>
      <c r="Q128" s="27"/>
      <c r="R128" s="511"/>
    </row>
    <row r="129" spans="1:18">
      <c r="A129" s="513" t="s">
        <v>1886</v>
      </c>
      <c r="B129" s="513">
        <v>2554679</v>
      </c>
      <c r="C129" s="513" t="s">
        <v>1886</v>
      </c>
      <c r="E129"/>
      <c r="F129"/>
      <c r="H129"/>
      <c r="J129" s="27"/>
      <c r="M129" s="27"/>
      <c r="N129" s="27"/>
      <c r="O129" s="27"/>
      <c r="P129" s="27"/>
      <c r="Q129" s="27"/>
      <c r="R129" s="511"/>
    </row>
    <row r="130" spans="1:18">
      <c r="A130" s="513" t="s">
        <v>15143</v>
      </c>
      <c r="B130" s="513">
        <v>-187429195</v>
      </c>
      <c r="C130" s="513" t="s">
        <v>15143</v>
      </c>
      <c r="E130"/>
      <c r="F130"/>
      <c r="H130"/>
      <c r="J130" s="27"/>
      <c r="M130" s="27"/>
      <c r="N130" s="27"/>
      <c r="O130" s="27"/>
      <c r="P130" s="27"/>
      <c r="Q130" s="27"/>
      <c r="R130" s="511"/>
    </row>
    <row r="131" spans="1:18">
      <c r="A131" s="513" t="s">
        <v>1998</v>
      </c>
      <c r="B131" s="513">
        <v>-187429195</v>
      </c>
      <c r="C131" s="513" t="s">
        <v>1998</v>
      </c>
      <c r="E131"/>
      <c r="F131"/>
      <c r="H131"/>
      <c r="J131" s="27"/>
      <c r="M131" s="27"/>
      <c r="N131" s="27"/>
      <c r="O131" s="27"/>
      <c r="P131" s="27"/>
      <c r="Q131" s="27"/>
      <c r="R131" s="511"/>
    </row>
    <row r="132" spans="1:18">
      <c r="A132" s="513" t="s">
        <v>1885</v>
      </c>
      <c r="B132" s="513">
        <v>567106</v>
      </c>
      <c r="C132" s="513" t="s">
        <v>1885</v>
      </c>
      <c r="E132"/>
      <c r="F132"/>
      <c r="H132"/>
      <c r="J132" s="27"/>
      <c r="M132" s="27"/>
      <c r="N132" s="27"/>
      <c r="O132" s="27"/>
      <c r="P132" s="27"/>
      <c r="Q132" s="27"/>
      <c r="R132" s="511"/>
    </row>
    <row r="133" spans="1:18">
      <c r="A133" s="513" t="s">
        <v>16764</v>
      </c>
      <c r="B133" s="513">
        <v>283553</v>
      </c>
      <c r="C133" s="513" t="s">
        <v>16764</v>
      </c>
      <c r="E133"/>
      <c r="F133"/>
      <c r="H133"/>
      <c r="J133" s="27"/>
      <c r="M133" s="27"/>
      <c r="N133" s="27"/>
      <c r="O133" s="27"/>
      <c r="P133" s="27"/>
      <c r="Q133" s="27"/>
      <c r="R133" s="511"/>
    </row>
    <row r="134" spans="1:18">
      <c r="A134" s="513" t="s">
        <v>16718</v>
      </c>
      <c r="B134" s="513">
        <v>283553</v>
      </c>
      <c r="C134" s="513" t="s">
        <v>16718</v>
      </c>
      <c r="E134"/>
      <c r="F134"/>
      <c r="H134"/>
      <c r="J134" s="27"/>
      <c r="M134" s="27"/>
      <c r="N134" s="27"/>
      <c r="O134" s="27"/>
      <c r="P134" s="27"/>
      <c r="Q134" s="27"/>
      <c r="R134" s="511"/>
    </row>
    <row r="135" spans="1:18">
      <c r="A135" s="513" t="s">
        <v>16788</v>
      </c>
      <c r="B135" s="513">
        <v>283553</v>
      </c>
      <c r="C135" s="513" t="s">
        <v>16788</v>
      </c>
      <c r="E135"/>
      <c r="F135"/>
      <c r="H135"/>
      <c r="J135" s="27"/>
      <c r="M135" s="27"/>
      <c r="N135" s="27"/>
      <c r="O135" s="27"/>
      <c r="P135" s="27"/>
      <c r="Q135" s="27"/>
      <c r="R135" s="511"/>
    </row>
    <row r="136" spans="1:18">
      <c r="A136" s="513" t="s">
        <v>16730</v>
      </c>
      <c r="B136" s="513">
        <v>283553</v>
      </c>
      <c r="C136" s="513" t="s">
        <v>16730</v>
      </c>
      <c r="E136"/>
      <c r="F136"/>
      <c r="H136"/>
      <c r="J136" s="27"/>
      <c r="M136" s="27"/>
      <c r="N136" s="27"/>
      <c r="O136" s="27"/>
      <c r="P136" s="27"/>
      <c r="Q136" s="27"/>
      <c r="R136" s="511"/>
    </row>
    <row r="137" spans="1:18">
      <c r="A137" s="513" t="s">
        <v>15199</v>
      </c>
      <c r="B137" s="513">
        <v>1143049571</v>
      </c>
      <c r="C137" s="513" t="s">
        <v>15199</v>
      </c>
      <c r="E137"/>
      <c r="F137"/>
      <c r="H137"/>
      <c r="J137" s="27"/>
      <c r="M137" s="27"/>
      <c r="N137" s="27"/>
      <c r="O137" s="27"/>
      <c r="P137" s="27"/>
      <c r="Q137" s="27"/>
      <c r="R137" s="511"/>
    </row>
    <row r="138" spans="1:18">
      <c r="A138" s="513" t="s">
        <v>16001</v>
      </c>
      <c r="B138" s="513">
        <v>1174815851</v>
      </c>
      <c r="C138" s="513" t="s">
        <v>16001</v>
      </c>
      <c r="E138"/>
      <c r="F138"/>
      <c r="H138"/>
      <c r="J138" s="27"/>
      <c r="M138" s="27"/>
      <c r="N138" s="27"/>
      <c r="O138" s="27"/>
      <c r="P138" s="27"/>
      <c r="Q138" s="27"/>
      <c r="R138" s="511"/>
    </row>
    <row r="139" spans="1:18">
      <c r="A139" s="513" t="s">
        <v>15998</v>
      </c>
      <c r="B139" s="513">
        <v>13572912</v>
      </c>
      <c r="C139" s="513" t="s">
        <v>15998</v>
      </c>
      <c r="E139"/>
      <c r="F139"/>
      <c r="H139"/>
      <c r="J139" s="27"/>
      <c r="M139" s="27"/>
      <c r="N139" s="27"/>
      <c r="O139" s="27"/>
      <c r="P139" s="27"/>
      <c r="Q139" s="27"/>
      <c r="R139" s="511"/>
    </row>
    <row r="140" spans="1:18">
      <c r="A140" s="513" t="s">
        <v>1734</v>
      </c>
      <c r="B140" s="513">
        <v>13572912</v>
      </c>
      <c r="C140" s="513" t="s">
        <v>1734</v>
      </c>
      <c r="E140"/>
      <c r="F140"/>
      <c r="H140"/>
      <c r="J140" s="27"/>
      <c r="M140" s="27"/>
      <c r="N140" s="27"/>
      <c r="O140" s="27"/>
      <c r="P140" s="27"/>
      <c r="Q140" s="27"/>
      <c r="R140" s="511"/>
    </row>
    <row r="141" spans="1:18">
      <c r="A141" s="513" t="s">
        <v>15121</v>
      </c>
      <c r="B141" s="513">
        <v>0</v>
      </c>
      <c r="C141" s="513" t="s">
        <v>15121</v>
      </c>
      <c r="E141"/>
      <c r="F141"/>
      <c r="H141"/>
      <c r="J141" s="27"/>
      <c r="M141" s="27"/>
      <c r="N141" s="27"/>
      <c r="O141" s="27"/>
      <c r="P141" s="27"/>
      <c r="Q141" s="27"/>
      <c r="R141" s="511"/>
    </row>
    <row r="142" spans="1:18">
      <c r="A142" s="513" t="s">
        <v>16527</v>
      </c>
      <c r="B142" s="513">
        <v>0</v>
      </c>
      <c r="C142" s="513" t="s">
        <v>16527</v>
      </c>
      <c r="E142"/>
      <c r="F142"/>
      <c r="H142"/>
      <c r="J142" s="27"/>
      <c r="M142" s="27"/>
      <c r="N142" s="27"/>
      <c r="O142" s="27"/>
      <c r="P142" s="27"/>
      <c r="Q142" s="27"/>
      <c r="R142" s="511"/>
    </row>
    <row r="143" spans="1:18">
      <c r="A143" s="513" t="s">
        <v>16325</v>
      </c>
      <c r="B143" s="513">
        <v>0</v>
      </c>
      <c r="C143" s="513" t="s">
        <v>16325</v>
      </c>
      <c r="E143"/>
      <c r="F143"/>
      <c r="H143"/>
      <c r="J143" s="27"/>
      <c r="M143" s="27"/>
      <c r="N143" s="27"/>
      <c r="O143" s="27"/>
      <c r="P143" s="27"/>
      <c r="Q143" s="27"/>
      <c r="R143" s="511"/>
    </row>
    <row r="144" spans="1:18">
      <c r="A144" s="513" t="s">
        <v>1767</v>
      </c>
      <c r="B144" s="513">
        <v>-18259701</v>
      </c>
      <c r="C144" s="513" t="s">
        <v>1767</v>
      </c>
      <c r="E144"/>
      <c r="F144"/>
      <c r="H144"/>
      <c r="J144" s="27"/>
      <c r="M144" s="27"/>
      <c r="N144" s="27"/>
      <c r="O144" s="27"/>
      <c r="P144" s="27"/>
      <c r="Q144" s="27"/>
      <c r="R144" s="511"/>
    </row>
    <row r="145" spans="1:18">
      <c r="A145" s="513" t="s">
        <v>1766</v>
      </c>
      <c r="B145" s="513">
        <v>-18259701</v>
      </c>
      <c r="C145" s="513" t="s">
        <v>1766</v>
      </c>
      <c r="E145"/>
      <c r="F145"/>
      <c r="H145"/>
      <c r="J145" s="27"/>
      <c r="M145" s="27"/>
      <c r="N145" s="27"/>
      <c r="O145" s="27"/>
      <c r="P145" s="27"/>
      <c r="Q145" s="27"/>
      <c r="R145" s="511"/>
    </row>
    <row r="146" spans="1:18">
      <c r="A146" s="513" t="s">
        <v>16227</v>
      </c>
      <c r="B146" s="513">
        <v>5797279</v>
      </c>
      <c r="C146" s="513" t="s">
        <v>16227</v>
      </c>
      <c r="E146"/>
      <c r="F146"/>
      <c r="H146"/>
      <c r="J146" s="27"/>
      <c r="M146" s="27"/>
      <c r="N146" s="27"/>
      <c r="O146" s="27"/>
      <c r="P146" s="27"/>
      <c r="Q146" s="27"/>
      <c r="R146" s="511"/>
    </row>
    <row r="147" spans="1:18">
      <c r="A147" s="513" t="s">
        <v>15133</v>
      </c>
      <c r="B147" s="513">
        <v>5797279</v>
      </c>
      <c r="C147" s="513" t="s">
        <v>15133</v>
      </c>
      <c r="E147"/>
      <c r="F147"/>
      <c r="H147"/>
      <c r="J147" s="27"/>
      <c r="M147" s="27"/>
      <c r="N147" s="27"/>
      <c r="O147" s="27"/>
      <c r="P147" s="27"/>
      <c r="Q147" s="27"/>
      <c r="R147" s="511"/>
    </row>
    <row r="148" spans="1:18">
      <c r="A148" s="513" t="s">
        <v>1693</v>
      </c>
      <c r="B148" s="513">
        <v>585000</v>
      </c>
      <c r="C148" s="513" t="s">
        <v>1693</v>
      </c>
      <c r="E148"/>
      <c r="F148"/>
      <c r="H148"/>
      <c r="J148" s="27"/>
      <c r="M148" s="27"/>
      <c r="N148" s="27"/>
      <c r="O148" s="27"/>
      <c r="P148" s="27"/>
      <c r="Q148" s="27"/>
      <c r="R148" s="511"/>
    </row>
    <row r="149" spans="1:18">
      <c r="A149" s="513" t="s">
        <v>1685</v>
      </c>
      <c r="B149" s="513">
        <v>585000</v>
      </c>
      <c r="C149" s="513" t="s">
        <v>1685</v>
      </c>
      <c r="E149"/>
      <c r="F149"/>
      <c r="H149"/>
      <c r="J149" s="27"/>
      <c r="M149" s="27"/>
      <c r="N149" s="27"/>
      <c r="O149" s="27"/>
      <c r="P149" s="27"/>
      <c r="Q149" s="27"/>
      <c r="R149" s="511"/>
    </row>
    <row r="150" spans="1:18">
      <c r="A150" s="513" t="s">
        <v>15571</v>
      </c>
      <c r="B150" s="513">
        <v>585000</v>
      </c>
      <c r="C150" s="513" t="s">
        <v>15571</v>
      </c>
      <c r="E150"/>
      <c r="F150"/>
      <c r="H150"/>
      <c r="J150" s="27"/>
      <c r="M150" s="27"/>
      <c r="N150" s="27"/>
      <c r="O150" s="27"/>
      <c r="P150" s="27"/>
      <c r="Q150" s="27"/>
      <c r="R150" s="511"/>
    </row>
    <row r="151" spans="1:18">
      <c r="A151" s="513" t="s">
        <v>1947</v>
      </c>
      <c r="B151" s="513">
        <v>597597760</v>
      </c>
      <c r="C151" s="513" t="s">
        <v>1947</v>
      </c>
      <c r="E151"/>
      <c r="F151"/>
      <c r="H151"/>
      <c r="J151" s="27"/>
      <c r="M151" s="27"/>
      <c r="N151" s="27"/>
      <c r="O151" s="27"/>
      <c r="P151" s="27"/>
      <c r="Q151" s="27"/>
      <c r="R151" s="511"/>
    </row>
    <row r="152" spans="1:18">
      <c r="A152" s="513" t="s">
        <v>1944</v>
      </c>
      <c r="B152" s="513">
        <v>597597760</v>
      </c>
      <c r="C152" s="513" t="s">
        <v>1944</v>
      </c>
      <c r="E152"/>
      <c r="F152"/>
      <c r="H152"/>
      <c r="J152" s="27"/>
      <c r="M152" s="27"/>
      <c r="N152" s="27"/>
      <c r="O152" s="27"/>
      <c r="P152" s="27"/>
      <c r="Q152" s="27"/>
      <c r="R152" s="511"/>
    </row>
    <row r="153" spans="1:18">
      <c r="A153" s="513" t="s">
        <v>1946</v>
      </c>
      <c r="B153" s="513">
        <v>597597760</v>
      </c>
      <c r="C153" s="513" t="s">
        <v>1946</v>
      </c>
      <c r="E153"/>
      <c r="F153"/>
      <c r="H153"/>
      <c r="J153" s="27"/>
      <c r="M153" s="27"/>
      <c r="N153" s="27"/>
      <c r="O153" s="27"/>
      <c r="P153" s="27"/>
      <c r="Q153" s="27"/>
      <c r="R153" s="511"/>
    </row>
    <row r="154" spans="1:18">
      <c r="A154" s="513" t="s">
        <v>15934</v>
      </c>
      <c r="B154" s="513">
        <v>723520</v>
      </c>
      <c r="C154" s="513" t="s">
        <v>15934</v>
      </c>
      <c r="E154"/>
      <c r="F154"/>
      <c r="H154"/>
      <c r="J154" s="27"/>
      <c r="M154" s="27"/>
      <c r="N154" s="27"/>
      <c r="O154" s="27"/>
      <c r="P154" s="27"/>
      <c r="Q154" s="27"/>
      <c r="R154" s="511"/>
    </row>
    <row r="155" spans="1:18">
      <c r="A155" s="513" t="s">
        <v>15001</v>
      </c>
      <c r="B155" s="513">
        <v>61038753</v>
      </c>
      <c r="C155" s="513" t="s">
        <v>15001</v>
      </c>
      <c r="E155"/>
      <c r="F155"/>
      <c r="H155"/>
      <c r="J155" s="27"/>
      <c r="M155" s="27"/>
      <c r="N155" s="27"/>
      <c r="O155" s="27"/>
      <c r="P155" s="27"/>
      <c r="Q155" s="27"/>
      <c r="R155" s="511"/>
    </row>
    <row r="156" spans="1:18">
      <c r="A156" s="513" t="s">
        <v>15191</v>
      </c>
      <c r="B156" s="513">
        <v>723520</v>
      </c>
      <c r="C156" s="513" t="s">
        <v>15191</v>
      </c>
      <c r="E156"/>
      <c r="F156"/>
      <c r="H156"/>
      <c r="J156" s="27"/>
      <c r="M156" s="27"/>
      <c r="N156" s="27"/>
      <c r="O156" s="27"/>
      <c r="P156" s="27"/>
      <c r="Q156" s="27"/>
      <c r="R156" s="511"/>
    </row>
    <row r="157" spans="1:18">
      <c r="A157" s="513" t="s">
        <v>16221</v>
      </c>
      <c r="B157" s="513">
        <v>5600</v>
      </c>
      <c r="C157" s="513" t="s">
        <v>16221</v>
      </c>
      <c r="E157"/>
      <c r="F157"/>
      <c r="H157"/>
      <c r="J157" s="27"/>
      <c r="M157" s="27"/>
      <c r="N157" s="27"/>
      <c r="O157" s="27"/>
      <c r="P157" s="27"/>
      <c r="Q157" s="27"/>
      <c r="R157" s="511"/>
    </row>
    <row r="158" spans="1:18">
      <c r="A158" s="513" t="s">
        <v>15132</v>
      </c>
      <c r="B158" s="513">
        <v>5600</v>
      </c>
      <c r="C158" s="513" t="s">
        <v>15132</v>
      </c>
      <c r="E158"/>
      <c r="F158"/>
      <c r="H158"/>
      <c r="J158" s="27"/>
      <c r="M158" s="27"/>
      <c r="N158" s="27"/>
      <c r="O158" s="27"/>
      <c r="P158" s="27"/>
      <c r="Q158" s="27"/>
      <c r="R158" s="511"/>
    </row>
    <row r="159" spans="1:18">
      <c r="A159" s="513" t="s">
        <v>15131</v>
      </c>
      <c r="B159" s="513">
        <v>2443698</v>
      </c>
      <c r="C159" s="513" t="s">
        <v>15131</v>
      </c>
      <c r="E159"/>
      <c r="F159"/>
      <c r="H159"/>
      <c r="J159" s="27"/>
      <c r="M159" s="27"/>
      <c r="N159" s="27"/>
      <c r="O159" s="27"/>
      <c r="P159" s="27"/>
      <c r="Q159" s="27"/>
      <c r="R159" s="511"/>
    </row>
    <row r="160" spans="1:18">
      <c r="A160" s="513" t="s">
        <v>16197</v>
      </c>
      <c r="B160" s="513">
        <v>2443698</v>
      </c>
      <c r="C160" s="513" t="s">
        <v>16197</v>
      </c>
      <c r="E160"/>
      <c r="F160"/>
      <c r="H160"/>
      <c r="J160" s="27"/>
      <c r="M160" s="27"/>
      <c r="N160" s="27"/>
      <c r="O160" s="27"/>
      <c r="P160" s="27"/>
      <c r="Q160" s="27"/>
      <c r="R160" s="511"/>
    </row>
    <row r="161" spans="1:18">
      <c r="A161" s="513" t="s">
        <v>15130</v>
      </c>
      <c r="B161" s="513">
        <v>2443698</v>
      </c>
      <c r="C161" s="513" t="s">
        <v>15130</v>
      </c>
      <c r="E161"/>
      <c r="F161"/>
      <c r="H161"/>
      <c r="J161" s="27"/>
      <c r="M161" s="27"/>
      <c r="N161" s="27"/>
      <c r="O161" s="27"/>
      <c r="P161" s="27"/>
      <c r="Q161" s="27"/>
      <c r="R161" s="511"/>
    </row>
    <row r="162" spans="1:18">
      <c r="A162" s="513" t="s">
        <v>1869</v>
      </c>
      <c r="B162" s="513">
        <v>0</v>
      </c>
      <c r="C162" s="513" t="s">
        <v>1869</v>
      </c>
      <c r="E162"/>
      <c r="F162"/>
      <c r="H162"/>
      <c r="J162" s="27"/>
      <c r="M162" s="27"/>
      <c r="N162" s="27"/>
      <c r="O162" s="27"/>
      <c r="P162" s="27"/>
      <c r="Q162" s="27"/>
      <c r="R162" s="511"/>
    </row>
    <row r="163" spans="1:18">
      <c r="A163" s="513" t="s">
        <v>16691</v>
      </c>
      <c r="B163" s="513">
        <v>0</v>
      </c>
      <c r="C163" s="513" t="s">
        <v>16691</v>
      </c>
      <c r="E163"/>
      <c r="F163"/>
      <c r="H163"/>
      <c r="J163" s="27"/>
      <c r="M163" s="27"/>
      <c r="N163" s="27"/>
      <c r="O163" s="27"/>
      <c r="P163" s="27"/>
      <c r="Q163" s="27"/>
      <c r="R163" s="511"/>
    </row>
    <row r="164" spans="1:18">
      <c r="A164" s="513" t="s">
        <v>1741</v>
      </c>
      <c r="B164" s="513">
        <v>104341150</v>
      </c>
      <c r="C164" s="513" t="s">
        <v>1741</v>
      </c>
      <c r="E164"/>
      <c r="F164"/>
      <c r="H164"/>
      <c r="J164" s="27"/>
      <c r="M164" s="27"/>
      <c r="N164" s="27"/>
      <c r="O164" s="27"/>
      <c r="P164" s="27"/>
      <c r="Q164" s="27"/>
      <c r="R164" s="511"/>
    </row>
    <row r="165" spans="1:18">
      <c r="A165" s="513" t="s">
        <v>1742</v>
      </c>
      <c r="B165" s="513">
        <v>104341150</v>
      </c>
      <c r="C165" s="513" t="s">
        <v>1742</v>
      </c>
      <c r="E165"/>
      <c r="F165"/>
      <c r="H165"/>
      <c r="J165" s="27"/>
      <c r="M165" s="27"/>
      <c r="N165" s="27"/>
      <c r="O165" s="27"/>
      <c r="P165" s="27"/>
      <c r="Q165" s="27"/>
      <c r="R165" s="511"/>
    </row>
    <row r="166" spans="1:18">
      <c r="A166" s="513" t="s">
        <v>16009</v>
      </c>
      <c r="B166" s="513">
        <v>104341150</v>
      </c>
      <c r="C166" s="513" t="s">
        <v>16009</v>
      </c>
      <c r="E166"/>
      <c r="F166"/>
      <c r="H166"/>
      <c r="J166" s="27"/>
      <c r="M166" s="27"/>
      <c r="N166" s="27"/>
      <c r="O166" s="27"/>
      <c r="P166" s="27"/>
      <c r="Q166" s="27"/>
      <c r="R166" s="511"/>
    </row>
    <row r="167" spans="1:18">
      <c r="A167" s="513" t="s">
        <v>1717</v>
      </c>
      <c r="B167" s="513">
        <v>360476600</v>
      </c>
      <c r="C167" s="513" t="s">
        <v>1717</v>
      </c>
      <c r="E167"/>
      <c r="F167"/>
      <c r="H167"/>
      <c r="J167" s="27"/>
      <c r="M167" s="27"/>
      <c r="N167" s="27"/>
      <c r="O167" s="27"/>
      <c r="P167" s="27"/>
      <c r="Q167" s="27"/>
      <c r="R167" s="511"/>
    </row>
    <row r="168" spans="1:18">
      <c r="A168" s="513" t="s">
        <v>1716</v>
      </c>
      <c r="B168" s="513">
        <v>285657175</v>
      </c>
      <c r="C168" s="513" t="s">
        <v>1716</v>
      </c>
      <c r="E168"/>
      <c r="F168"/>
      <c r="H168"/>
      <c r="J168" s="27"/>
      <c r="M168" s="27"/>
      <c r="N168" s="27"/>
      <c r="O168" s="27"/>
      <c r="P168" s="27"/>
      <c r="Q168" s="27"/>
      <c r="R168" s="511"/>
    </row>
    <row r="169" spans="1:18">
      <c r="A169" s="513" t="s">
        <v>1719</v>
      </c>
      <c r="B169" s="513">
        <v>360476600</v>
      </c>
      <c r="C169" s="513" t="s">
        <v>1719</v>
      </c>
      <c r="E169"/>
      <c r="F169"/>
      <c r="H169"/>
      <c r="J169" s="27"/>
      <c r="M169" s="27"/>
      <c r="N169" s="27"/>
      <c r="O169" s="27"/>
      <c r="P169" s="27"/>
      <c r="Q169" s="27"/>
      <c r="R169" s="511"/>
    </row>
    <row r="170" spans="1:18">
      <c r="A170" s="513" t="s">
        <v>1720</v>
      </c>
      <c r="B170" s="513">
        <v>360476600</v>
      </c>
      <c r="C170" s="513" t="s">
        <v>1720</v>
      </c>
      <c r="E170"/>
      <c r="F170"/>
      <c r="H170"/>
      <c r="J170" s="27"/>
      <c r="M170" s="27"/>
      <c r="N170" s="27"/>
      <c r="O170" s="27"/>
      <c r="P170" s="27"/>
      <c r="Q170" s="27"/>
      <c r="R170" s="511"/>
    </row>
    <row r="171" spans="1:18">
      <c r="A171" s="513" t="s">
        <v>1802</v>
      </c>
      <c r="B171" s="513">
        <v>252944705</v>
      </c>
      <c r="C171" s="513" t="s">
        <v>1802</v>
      </c>
      <c r="E171"/>
      <c r="F171"/>
      <c r="H171"/>
      <c r="J171" s="27"/>
      <c r="M171" s="27"/>
      <c r="N171" s="27"/>
      <c r="O171" s="27"/>
      <c r="P171" s="27"/>
      <c r="Q171" s="27"/>
      <c r="R171" s="511"/>
    </row>
    <row r="172" spans="1:18">
      <c r="A172" s="513" t="s">
        <v>1820</v>
      </c>
      <c r="B172" s="513">
        <v>252944705</v>
      </c>
      <c r="C172" s="513" t="s">
        <v>1820</v>
      </c>
      <c r="E172"/>
      <c r="F172"/>
      <c r="H172"/>
      <c r="J172" s="27"/>
      <c r="M172" s="27"/>
      <c r="N172" s="27"/>
      <c r="O172" s="27"/>
      <c r="P172" s="27"/>
      <c r="Q172" s="27"/>
      <c r="R172" s="511"/>
    </row>
    <row r="173" spans="1:18">
      <c r="A173" s="513" t="s">
        <v>1817</v>
      </c>
      <c r="B173" s="513">
        <v>252944705</v>
      </c>
      <c r="C173" s="513" t="s">
        <v>1817</v>
      </c>
      <c r="E173"/>
      <c r="F173"/>
      <c r="H173"/>
      <c r="J173" s="27"/>
      <c r="M173" s="27"/>
      <c r="N173" s="27"/>
      <c r="O173" s="27"/>
      <c r="P173" s="27"/>
      <c r="Q173" s="27"/>
      <c r="R173" s="511"/>
    </row>
    <row r="174" spans="1:18">
      <c r="A174" s="513" t="s">
        <v>1819</v>
      </c>
      <c r="B174" s="513">
        <v>252944705</v>
      </c>
      <c r="C174" s="513" t="s">
        <v>1819</v>
      </c>
      <c r="E174"/>
      <c r="F174"/>
      <c r="H174"/>
      <c r="J174" s="27"/>
      <c r="M174" s="27"/>
      <c r="N174" s="27"/>
      <c r="O174" s="27"/>
      <c r="P174" s="27"/>
      <c r="Q174" s="27"/>
      <c r="R174" s="511"/>
    </row>
    <row r="175" spans="1:18">
      <c r="A175" s="513" t="s">
        <v>15721</v>
      </c>
      <c r="B175" s="513">
        <v>6311442</v>
      </c>
      <c r="C175" s="513" t="s">
        <v>15721</v>
      </c>
      <c r="E175"/>
      <c r="F175"/>
      <c r="H175"/>
      <c r="J175" s="27"/>
      <c r="M175" s="27"/>
      <c r="N175" s="27"/>
      <c r="O175" s="27"/>
      <c r="P175" s="27"/>
      <c r="Q175" s="27"/>
      <c r="R175" s="511"/>
    </row>
    <row r="176" spans="1:18">
      <c r="A176" s="513" t="s">
        <v>1632</v>
      </c>
      <c r="B176" s="513">
        <v>6311442</v>
      </c>
      <c r="C176" s="513" t="s">
        <v>1632</v>
      </c>
      <c r="E176"/>
      <c r="F176"/>
      <c r="H176"/>
      <c r="J176" s="27"/>
      <c r="M176" s="27"/>
      <c r="N176" s="27"/>
      <c r="O176" s="27"/>
      <c r="P176" s="27"/>
      <c r="Q176" s="27"/>
      <c r="R176" s="511"/>
    </row>
    <row r="177" spans="1:18">
      <c r="A177" s="513" t="s">
        <v>1631</v>
      </c>
      <c r="B177" s="513">
        <v>6311442</v>
      </c>
      <c r="C177" s="513" t="s">
        <v>1631</v>
      </c>
      <c r="E177"/>
      <c r="F177"/>
      <c r="H177"/>
      <c r="J177" s="27"/>
      <c r="M177" s="27"/>
      <c r="N177" s="27"/>
      <c r="O177" s="27"/>
      <c r="P177" s="27"/>
      <c r="Q177" s="27"/>
      <c r="R177" s="511"/>
    </row>
    <row r="178" spans="1:18">
      <c r="A178" s="513" t="s">
        <v>1810</v>
      </c>
      <c r="B178" s="513">
        <v>53666641</v>
      </c>
      <c r="C178" s="513" t="s">
        <v>1810</v>
      </c>
      <c r="E178"/>
      <c r="F178"/>
      <c r="H178"/>
      <c r="J178" s="27"/>
      <c r="M178" s="27"/>
      <c r="N178" s="27"/>
      <c r="O178" s="27"/>
      <c r="P178" s="27"/>
      <c r="Q178" s="27"/>
      <c r="R178" s="511"/>
    </row>
    <row r="179" spans="1:18">
      <c r="A179" s="513" t="s">
        <v>1809</v>
      </c>
      <c r="B179" s="513">
        <v>53666641</v>
      </c>
      <c r="C179" s="513" t="s">
        <v>1809</v>
      </c>
      <c r="E179"/>
      <c r="F179"/>
      <c r="H179"/>
      <c r="J179" s="27"/>
      <c r="M179" s="27"/>
      <c r="N179" s="27"/>
      <c r="O179" s="27"/>
      <c r="P179" s="27"/>
      <c r="Q179" s="27"/>
      <c r="R179" s="511"/>
    </row>
    <row r="180" spans="1:18">
      <c r="A180" s="513" t="s">
        <v>1807</v>
      </c>
      <c r="B180" s="513">
        <v>53666641</v>
      </c>
      <c r="C180" s="513" t="s">
        <v>1807</v>
      </c>
      <c r="E180"/>
      <c r="F180"/>
      <c r="H180"/>
      <c r="J180" s="27"/>
      <c r="M180" s="27"/>
      <c r="N180" s="27"/>
      <c r="O180" s="27"/>
      <c r="P180" s="27"/>
      <c r="Q180" s="27"/>
      <c r="R180" s="511"/>
    </row>
    <row r="181" spans="1:18">
      <c r="A181" s="513" t="s">
        <v>1770</v>
      </c>
      <c r="B181" s="513">
        <v>406336609</v>
      </c>
      <c r="C181" s="513" t="s">
        <v>1770</v>
      </c>
      <c r="E181"/>
      <c r="F181"/>
      <c r="H181"/>
      <c r="J181" s="27"/>
      <c r="M181" s="27"/>
      <c r="N181" s="27"/>
      <c r="O181" s="27"/>
      <c r="P181" s="27"/>
      <c r="Q181" s="27"/>
      <c r="R181" s="511"/>
    </row>
    <row r="182" spans="1:18">
      <c r="A182" s="513" t="s">
        <v>1787</v>
      </c>
      <c r="B182" s="513">
        <v>406336609</v>
      </c>
      <c r="C182" s="513" t="s">
        <v>1787</v>
      </c>
      <c r="E182"/>
      <c r="F182"/>
      <c r="H182"/>
      <c r="J182" s="27"/>
      <c r="M182" s="27"/>
      <c r="N182" s="27"/>
      <c r="O182" s="27"/>
      <c r="P182" s="27"/>
      <c r="Q182" s="27"/>
      <c r="R182" s="511"/>
    </row>
    <row r="183" spans="1:18">
      <c r="A183" s="513" t="s">
        <v>1788</v>
      </c>
      <c r="B183" s="513">
        <v>406336609</v>
      </c>
      <c r="C183" s="513" t="s">
        <v>1788</v>
      </c>
      <c r="E183"/>
      <c r="F183"/>
      <c r="H183"/>
      <c r="J183" s="27"/>
      <c r="M183" s="27"/>
      <c r="N183" s="27"/>
      <c r="O183" s="27"/>
      <c r="P183" s="27"/>
      <c r="Q183" s="27"/>
      <c r="R183" s="511"/>
    </row>
    <row r="184" spans="1:18">
      <c r="A184" s="513" t="s">
        <v>1769</v>
      </c>
      <c r="B184" s="513">
        <v>0</v>
      </c>
      <c r="C184" s="513" t="s">
        <v>1769</v>
      </c>
      <c r="E184"/>
      <c r="F184"/>
      <c r="H184"/>
      <c r="J184" s="27"/>
      <c r="M184" s="27"/>
      <c r="N184" s="27"/>
      <c r="O184" s="27"/>
      <c r="P184" s="27"/>
      <c r="Q184" s="27"/>
      <c r="R184" s="511"/>
    </row>
    <row r="185" spans="1:18">
      <c r="A185" s="513" t="s">
        <v>15022</v>
      </c>
      <c r="B185" s="513">
        <v>54196094</v>
      </c>
      <c r="C185" s="513" t="s">
        <v>15022</v>
      </c>
      <c r="E185"/>
      <c r="F185"/>
      <c r="H185"/>
      <c r="J185" s="27"/>
      <c r="M185" s="27"/>
      <c r="N185" s="27"/>
      <c r="O185" s="27"/>
      <c r="P185" s="27"/>
      <c r="Q185" s="27"/>
      <c r="R185" s="511"/>
    </row>
    <row r="186" spans="1:18">
      <c r="A186" s="513" t="s">
        <v>15257</v>
      </c>
      <c r="B186" s="513">
        <v>54196094</v>
      </c>
      <c r="C186" s="513" t="s">
        <v>15257</v>
      </c>
      <c r="E186"/>
      <c r="F186"/>
      <c r="H186"/>
      <c r="J186" s="27"/>
      <c r="M186" s="27"/>
      <c r="N186" s="27"/>
      <c r="O186" s="27"/>
      <c r="P186" s="27"/>
      <c r="Q186" s="27"/>
      <c r="R186" s="511"/>
    </row>
    <row r="187" spans="1:18">
      <c r="A187" s="513" t="s">
        <v>15258</v>
      </c>
      <c r="B187" s="513">
        <v>54196094</v>
      </c>
      <c r="C187" s="513" t="s">
        <v>15258</v>
      </c>
      <c r="E187"/>
      <c r="F187"/>
      <c r="H187"/>
      <c r="J187" s="27"/>
      <c r="M187" s="27"/>
      <c r="N187" s="27"/>
      <c r="O187" s="27"/>
      <c r="P187" s="27"/>
      <c r="Q187" s="27"/>
      <c r="R187" s="511"/>
    </row>
    <row r="188" spans="1:18">
      <c r="A188" s="513" t="s">
        <v>15256</v>
      </c>
      <c r="B188" s="513">
        <v>54196094</v>
      </c>
      <c r="C188" s="513" t="s">
        <v>15256</v>
      </c>
      <c r="E188"/>
      <c r="F188"/>
      <c r="H188"/>
      <c r="J188" s="27"/>
      <c r="M188" s="27"/>
      <c r="N188" s="27"/>
      <c r="O188" s="27"/>
      <c r="P188" s="27"/>
      <c r="Q188" s="27"/>
      <c r="R188" s="511"/>
    </row>
    <row r="189" spans="1:18">
      <c r="A189" s="513" t="s">
        <v>15408</v>
      </c>
      <c r="B189" s="513">
        <v>1754908</v>
      </c>
      <c r="C189" s="513" t="s">
        <v>15408</v>
      </c>
      <c r="E189"/>
      <c r="F189"/>
      <c r="H189"/>
      <c r="J189" s="27"/>
      <c r="M189" s="27"/>
      <c r="N189" s="27"/>
      <c r="O189" s="27"/>
      <c r="P189" s="27"/>
      <c r="Q189" s="27"/>
      <c r="R189" s="511"/>
    </row>
    <row r="190" spans="1:18">
      <c r="A190" s="513" t="s">
        <v>15074</v>
      </c>
      <c r="B190" s="513">
        <v>1754908</v>
      </c>
      <c r="C190" s="513" t="s">
        <v>15074</v>
      </c>
      <c r="E190"/>
      <c r="F190"/>
      <c r="H190"/>
      <c r="J190" s="27"/>
      <c r="M190" s="27"/>
      <c r="N190" s="27"/>
      <c r="O190" s="27"/>
      <c r="P190" s="27"/>
      <c r="Q190" s="27"/>
      <c r="R190" s="511"/>
    </row>
    <row r="191" spans="1:18">
      <c r="A191" s="513" t="s">
        <v>15635</v>
      </c>
      <c r="B191" s="513">
        <v>70970982</v>
      </c>
      <c r="C191" s="513" t="s">
        <v>15635</v>
      </c>
      <c r="E191"/>
      <c r="F191"/>
      <c r="H191"/>
      <c r="J191" s="27"/>
      <c r="M191" s="27"/>
      <c r="N191" s="27"/>
      <c r="O191" s="27"/>
      <c r="P191" s="27"/>
      <c r="Q191" s="27"/>
      <c r="R191" s="511"/>
    </row>
    <row r="192" spans="1:18">
      <c r="A192" s="513" t="s">
        <v>15180</v>
      </c>
      <c r="B192" s="513">
        <v>70970982</v>
      </c>
      <c r="C192" s="513" t="s">
        <v>15180</v>
      </c>
      <c r="E192"/>
      <c r="F192"/>
      <c r="H192"/>
      <c r="J192" s="27"/>
      <c r="M192" s="27"/>
      <c r="N192" s="27"/>
      <c r="O192" s="27"/>
      <c r="P192" s="27"/>
      <c r="Q192" s="27"/>
      <c r="R192" s="511"/>
    </row>
    <row r="193" spans="1:18">
      <c r="A193" s="513" t="s">
        <v>1752</v>
      </c>
      <c r="B193" s="513">
        <v>-74819425</v>
      </c>
      <c r="C193" s="513" t="s">
        <v>1752</v>
      </c>
      <c r="E193"/>
      <c r="F193"/>
      <c r="H193"/>
      <c r="J193" s="27"/>
      <c r="M193" s="27"/>
      <c r="N193" s="27"/>
      <c r="O193" s="27"/>
      <c r="P193" s="27"/>
      <c r="Q193" s="27"/>
      <c r="R193" s="511"/>
    </row>
    <row r="194" spans="1:18">
      <c r="A194" s="513" t="s">
        <v>1755</v>
      </c>
      <c r="B194" s="513">
        <v>-74819425</v>
      </c>
      <c r="C194" s="513" t="s">
        <v>1755</v>
      </c>
      <c r="E194"/>
      <c r="F194"/>
      <c r="H194"/>
      <c r="J194" s="27"/>
      <c r="M194" s="27"/>
      <c r="N194" s="27"/>
      <c r="O194" s="27"/>
      <c r="P194" s="27"/>
      <c r="Q194" s="27"/>
      <c r="R194" s="511"/>
    </row>
    <row r="195" spans="1:18">
      <c r="A195" s="513" t="s">
        <v>1754</v>
      </c>
      <c r="B195" s="513">
        <v>-74819425</v>
      </c>
      <c r="C195" s="513" t="s">
        <v>1754</v>
      </c>
      <c r="E195"/>
      <c r="F195"/>
      <c r="H195"/>
      <c r="J195" s="27"/>
      <c r="M195" s="27"/>
      <c r="N195" s="27"/>
      <c r="O195" s="27"/>
      <c r="P195" s="27"/>
      <c r="Q195" s="27"/>
      <c r="R195" s="511"/>
    </row>
    <row r="196" spans="1:18">
      <c r="A196" s="513" t="s">
        <v>15505</v>
      </c>
      <c r="B196" s="513">
        <v>728941</v>
      </c>
      <c r="C196" s="513" t="s">
        <v>15505</v>
      </c>
      <c r="E196"/>
      <c r="F196"/>
      <c r="H196"/>
      <c r="J196" s="27"/>
      <c r="M196" s="27"/>
      <c r="N196" s="27"/>
      <c r="O196" s="27"/>
      <c r="P196" s="27"/>
      <c r="Q196" s="27"/>
      <c r="R196" s="511"/>
    </row>
    <row r="197" spans="1:18">
      <c r="A197" s="513" t="s">
        <v>15147</v>
      </c>
      <c r="B197" s="513">
        <v>0</v>
      </c>
      <c r="C197" s="513" t="s">
        <v>15147</v>
      </c>
      <c r="E197"/>
      <c r="F197"/>
      <c r="H197"/>
      <c r="J197" s="27"/>
      <c r="M197" s="27"/>
      <c r="N197" s="27"/>
      <c r="O197" s="27"/>
      <c r="P197" s="27"/>
      <c r="Q197" s="27"/>
      <c r="R197" s="511"/>
    </row>
    <row r="198" spans="1:18">
      <c r="A198" s="513" t="s">
        <v>15149</v>
      </c>
      <c r="B198" s="513">
        <v>728941</v>
      </c>
      <c r="C198" s="513" t="s">
        <v>15149</v>
      </c>
      <c r="E198"/>
      <c r="F198"/>
      <c r="H198"/>
      <c r="J198" s="27"/>
      <c r="M198" s="27"/>
      <c r="N198" s="27"/>
      <c r="O198" s="27"/>
      <c r="P198" s="27"/>
      <c r="Q198" s="27"/>
      <c r="R198" s="511"/>
    </row>
    <row r="199" spans="1:18">
      <c r="A199" s="513" t="s">
        <v>15150</v>
      </c>
      <c r="B199" s="513">
        <v>-67704707</v>
      </c>
      <c r="C199" s="513" t="s">
        <v>15150</v>
      </c>
      <c r="E199"/>
      <c r="F199"/>
      <c r="H199"/>
      <c r="J199" s="27"/>
      <c r="M199" s="27"/>
      <c r="N199" s="27"/>
      <c r="O199" s="27"/>
      <c r="P199" s="27"/>
      <c r="Q199" s="27"/>
      <c r="R199" s="511"/>
    </row>
    <row r="200" spans="1:18">
      <c r="A200" s="513" t="s">
        <v>15510</v>
      </c>
      <c r="B200" s="513">
        <v>-67704707</v>
      </c>
      <c r="C200" s="513" t="s">
        <v>15510</v>
      </c>
      <c r="E200"/>
      <c r="F200"/>
      <c r="H200"/>
      <c r="J200" s="27"/>
      <c r="M200" s="27"/>
      <c r="N200" s="27"/>
      <c r="O200" s="27"/>
      <c r="P200" s="27"/>
      <c r="Q200" s="27"/>
      <c r="R200" s="511"/>
    </row>
    <row r="201" spans="1:18">
      <c r="A201" s="513" t="s">
        <v>15484</v>
      </c>
      <c r="B201" s="513">
        <v>66975766</v>
      </c>
      <c r="C201" s="513" t="s">
        <v>15484</v>
      </c>
      <c r="E201"/>
      <c r="F201"/>
      <c r="H201"/>
      <c r="J201" s="27"/>
      <c r="M201" s="27"/>
      <c r="N201" s="27"/>
      <c r="O201" s="27"/>
      <c r="P201" s="27"/>
      <c r="Q201" s="27"/>
      <c r="R201" s="511"/>
    </row>
    <row r="202" spans="1:18">
      <c r="A202" s="513" t="s">
        <v>15148</v>
      </c>
      <c r="B202" s="513">
        <v>66975766</v>
      </c>
      <c r="C202" s="513" t="s">
        <v>15148</v>
      </c>
      <c r="E202"/>
      <c r="F202"/>
      <c r="H202"/>
      <c r="J202" s="27"/>
      <c r="M202" s="27"/>
      <c r="N202" s="27"/>
      <c r="O202" s="27"/>
      <c r="P202" s="27"/>
      <c r="Q202" s="27"/>
      <c r="R202" s="511"/>
    </row>
    <row r="203" spans="1:18">
      <c r="A203" s="513" t="s">
        <v>15152</v>
      </c>
      <c r="B203" s="513">
        <v>177325530</v>
      </c>
      <c r="C203" s="513" t="s">
        <v>15152</v>
      </c>
      <c r="E203"/>
      <c r="F203"/>
      <c r="H203"/>
      <c r="J203" s="27"/>
      <c r="M203" s="27"/>
      <c r="N203" s="27"/>
      <c r="O203" s="27"/>
      <c r="P203" s="27"/>
      <c r="Q203" s="27"/>
      <c r="R203" s="511"/>
    </row>
    <row r="204" spans="1:18">
      <c r="A204" s="513" t="s">
        <v>15543</v>
      </c>
      <c r="B204" s="513">
        <v>177325530</v>
      </c>
      <c r="C204" s="513" t="s">
        <v>15543</v>
      </c>
      <c r="E204"/>
      <c r="F204"/>
      <c r="H204"/>
      <c r="J204" s="27"/>
      <c r="M204" s="27"/>
      <c r="N204" s="27"/>
      <c r="O204" s="27"/>
      <c r="P204" s="27"/>
      <c r="Q204" s="27"/>
      <c r="R204" s="511"/>
    </row>
    <row r="205" spans="1:18">
      <c r="A205" s="513" t="s">
        <v>15151</v>
      </c>
      <c r="B205" s="513">
        <v>177325530</v>
      </c>
      <c r="C205" s="513" t="s">
        <v>15151</v>
      </c>
      <c r="E205"/>
      <c r="F205"/>
      <c r="H205"/>
      <c r="J205" s="27"/>
      <c r="M205" s="27"/>
      <c r="N205" s="27"/>
      <c r="O205" s="27"/>
      <c r="P205" s="27"/>
      <c r="Q205" s="27"/>
      <c r="R205" s="511"/>
    </row>
    <row r="206" spans="1:18">
      <c r="A206" s="513" t="s">
        <v>15200</v>
      </c>
      <c r="B206" s="513">
        <v>1146000</v>
      </c>
      <c r="C206" s="513" t="s">
        <v>15200</v>
      </c>
      <c r="E206"/>
      <c r="F206"/>
      <c r="H206"/>
      <c r="J206" s="27"/>
      <c r="M206" s="27"/>
      <c r="N206" s="27"/>
      <c r="O206" s="27"/>
      <c r="P206" s="27"/>
      <c r="Q206" s="27"/>
      <c r="R206" s="511"/>
    </row>
    <row r="207" spans="1:18">
      <c r="A207" s="513" t="s">
        <v>16006</v>
      </c>
      <c r="B207" s="513">
        <v>1146000</v>
      </c>
      <c r="C207" s="513" t="s">
        <v>16006</v>
      </c>
      <c r="E207"/>
      <c r="F207"/>
      <c r="H207"/>
      <c r="J207" s="27"/>
      <c r="M207" s="27"/>
      <c r="N207" s="27"/>
      <c r="O207" s="27"/>
      <c r="P207" s="27"/>
      <c r="Q207" s="27"/>
      <c r="R207" s="511"/>
    </row>
    <row r="208" spans="1:18">
      <c r="A208" s="513" t="s">
        <v>16004</v>
      </c>
      <c r="B208" s="513">
        <v>-31766280</v>
      </c>
      <c r="C208" s="513" t="s">
        <v>16004</v>
      </c>
      <c r="E208"/>
      <c r="F208"/>
      <c r="H208"/>
      <c r="J208" s="27"/>
      <c r="M208" s="27"/>
      <c r="N208" s="27"/>
      <c r="O208" s="27"/>
      <c r="P208" s="27"/>
      <c r="Q208" s="27"/>
      <c r="R208" s="511"/>
    </row>
    <row r="209" spans="1:18">
      <c r="A209" s="513" t="s">
        <v>15259</v>
      </c>
      <c r="B209" s="513">
        <v>262091406</v>
      </c>
      <c r="C209" s="513" t="s">
        <v>15259</v>
      </c>
      <c r="E209"/>
      <c r="F209"/>
      <c r="H209"/>
      <c r="J209" s="27"/>
      <c r="M209" s="27"/>
      <c r="N209" s="27"/>
      <c r="O209" s="27"/>
      <c r="P209" s="27"/>
      <c r="Q209" s="27"/>
      <c r="R209" s="511"/>
    </row>
    <row r="210" spans="1:18">
      <c r="A210" s="513" t="s">
        <v>1639</v>
      </c>
      <c r="B210" s="513">
        <v>262091406</v>
      </c>
      <c r="C210" s="513" t="s">
        <v>1639</v>
      </c>
      <c r="E210"/>
      <c r="F210"/>
      <c r="H210"/>
      <c r="J210" s="27"/>
      <c r="M210" s="27"/>
      <c r="N210" s="27"/>
      <c r="O210" s="27"/>
      <c r="P210" s="27"/>
      <c r="Q210" s="27"/>
      <c r="R210" s="511"/>
    </row>
    <row r="211" spans="1:18">
      <c r="A211" s="513" t="s">
        <v>15260</v>
      </c>
      <c r="B211" s="513">
        <v>262091406</v>
      </c>
      <c r="C211" s="513" t="s">
        <v>15260</v>
      </c>
      <c r="E211"/>
      <c r="F211"/>
      <c r="H211"/>
      <c r="J211" s="27"/>
      <c r="M211" s="27"/>
      <c r="N211" s="27"/>
      <c r="O211" s="27"/>
      <c r="P211" s="27"/>
      <c r="Q211" s="27"/>
      <c r="R211" s="511"/>
    </row>
    <row r="212" spans="1:18">
      <c r="A212" s="513" t="s">
        <v>1640</v>
      </c>
      <c r="B212" s="513">
        <v>262091406</v>
      </c>
      <c r="C212" s="513" t="s">
        <v>1640</v>
      </c>
      <c r="E212"/>
      <c r="F212"/>
      <c r="H212"/>
      <c r="J212" s="27"/>
      <c r="M212" s="27"/>
      <c r="N212" s="27"/>
      <c r="O212" s="27"/>
      <c r="P212" s="27"/>
      <c r="Q212" s="27"/>
      <c r="R212" s="511"/>
    </row>
    <row r="213" spans="1:18">
      <c r="A213" s="513" t="s">
        <v>15936</v>
      </c>
      <c r="B213" s="513">
        <v>60315233</v>
      </c>
      <c r="C213" s="513" t="s">
        <v>15936</v>
      </c>
      <c r="E213"/>
      <c r="F213"/>
      <c r="H213"/>
      <c r="J213" s="27"/>
      <c r="M213" s="27"/>
      <c r="N213" s="27"/>
      <c r="O213" s="27"/>
      <c r="P213" s="27"/>
      <c r="Q213" s="27"/>
      <c r="R213" s="511"/>
    </row>
    <row r="214" spans="1:18">
      <c r="A214" s="513" t="s">
        <v>15193</v>
      </c>
      <c r="B214" s="513">
        <v>60315233</v>
      </c>
      <c r="C214" s="513" t="s">
        <v>15193</v>
      </c>
      <c r="E214"/>
      <c r="F214"/>
      <c r="H214"/>
      <c r="J214" s="27"/>
      <c r="M214" s="27"/>
      <c r="N214" s="27"/>
      <c r="O214" s="27"/>
      <c r="P214" s="27"/>
      <c r="Q214" s="27"/>
      <c r="R214" s="511"/>
    </row>
    <row r="215" spans="1:18">
      <c r="A215" s="513" t="s">
        <v>15179</v>
      </c>
      <c r="B215" s="513">
        <v>15806715</v>
      </c>
      <c r="C215" s="513" t="s">
        <v>15179</v>
      </c>
      <c r="E215"/>
      <c r="F215"/>
      <c r="H215"/>
      <c r="J215" s="27"/>
      <c r="M215" s="27"/>
      <c r="N215" s="27"/>
      <c r="O215" s="27"/>
      <c r="P215" s="27"/>
      <c r="Q215" s="27"/>
      <c r="R215" s="511"/>
    </row>
    <row r="216" spans="1:18">
      <c r="A216" s="513" t="s">
        <v>15628</v>
      </c>
      <c r="B216" s="513">
        <v>15806715</v>
      </c>
      <c r="C216" s="513" t="s">
        <v>15628</v>
      </c>
      <c r="E216"/>
      <c r="F216"/>
      <c r="H216"/>
      <c r="J216" s="27"/>
      <c r="M216" s="27"/>
      <c r="N216" s="27"/>
      <c r="O216" s="27"/>
      <c r="P216" s="27"/>
      <c r="Q216" s="27"/>
      <c r="R216" s="511"/>
    </row>
    <row r="217" spans="1:18">
      <c r="A217" s="513" t="s">
        <v>15246</v>
      </c>
      <c r="B217" s="513">
        <v>15960000</v>
      </c>
      <c r="C217" s="513" t="s">
        <v>15246</v>
      </c>
      <c r="E217"/>
      <c r="F217"/>
      <c r="H217"/>
      <c r="J217" s="27"/>
      <c r="M217" s="27"/>
      <c r="N217" s="27"/>
      <c r="O217" s="27"/>
      <c r="P217" s="27"/>
      <c r="Q217" s="27"/>
      <c r="R217" s="511"/>
    </row>
    <row r="218" spans="1:18">
      <c r="A218" s="513" t="s">
        <v>15248</v>
      </c>
      <c r="B218" s="513">
        <v>15960000</v>
      </c>
      <c r="C218" s="513" t="s">
        <v>15248</v>
      </c>
      <c r="E218"/>
      <c r="F218"/>
      <c r="H218"/>
      <c r="J218" s="27"/>
      <c r="M218" s="27"/>
      <c r="N218" s="27"/>
      <c r="O218" s="27"/>
      <c r="P218" s="27"/>
      <c r="Q218" s="27"/>
      <c r="R218" s="511"/>
    </row>
    <row r="219" spans="1:18">
      <c r="A219" s="513" t="s">
        <v>42</v>
      </c>
      <c r="B219" s="513">
        <v>15960000</v>
      </c>
      <c r="C219" s="513" t="s">
        <v>42</v>
      </c>
      <c r="E219"/>
      <c r="F219"/>
      <c r="H219"/>
      <c r="J219" s="27"/>
      <c r="M219" s="27"/>
      <c r="N219" s="27"/>
      <c r="O219" s="27"/>
      <c r="P219" s="27"/>
      <c r="Q219" s="27"/>
      <c r="R219" s="511"/>
    </row>
    <row r="220" spans="1:18">
      <c r="A220" s="513" t="s">
        <v>15247</v>
      </c>
      <c r="B220" s="513">
        <v>15960000</v>
      </c>
      <c r="C220" s="513" t="s">
        <v>15247</v>
      </c>
      <c r="E220"/>
      <c r="F220"/>
      <c r="H220"/>
      <c r="J220" s="27"/>
      <c r="M220" s="27"/>
      <c r="N220" s="27"/>
      <c r="O220" s="27"/>
      <c r="P220" s="27"/>
      <c r="Q220" s="27"/>
      <c r="R220" s="511"/>
    </row>
    <row r="221" spans="1:18">
      <c r="A221" s="513" t="s">
        <v>15173</v>
      </c>
      <c r="B221" s="513">
        <v>352572</v>
      </c>
      <c r="C221" s="513" t="s">
        <v>15173</v>
      </c>
      <c r="E221"/>
      <c r="F221"/>
      <c r="H221"/>
      <c r="J221" s="27"/>
      <c r="M221" s="27"/>
      <c r="N221" s="27"/>
      <c r="O221" s="27"/>
      <c r="P221" s="27"/>
      <c r="Q221" s="27"/>
      <c r="R221" s="511"/>
    </row>
    <row r="222" spans="1:18">
      <c r="A222" s="513" t="s">
        <v>15846</v>
      </c>
      <c r="B222" s="513">
        <v>352572</v>
      </c>
      <c r="C222" s="513" t="s">
        <v>15846</v>
      </c>
      <c r="E222"/>
      <c r="F222"/>
      <c r="H222"/>
      <c r="J222" s="27"/>
      <c r="M222" s="27"/>
      <c r="N222" s="27"/>
      <c r="O222" s="27"/>
      <c r="P222" s="27"/>
      <c r="Q222" s="27"/>
      <c r="R222" s="511"/>
    </row>
    <row r="223" spans="1:18">
      <c r="A223" s="513" t="s">
        <v>1791</v>
      </c>
      <c r="B223" s="513">
        <v>-406336609</v>
      </c>
      <c r="C223" s="513" t="s">
        <v>1791</v>
      </c>
      <c r="E223"/>
      <c r="F223"/>
      <c r="H223"/>
      <c r="J223" s="27"/>
      <c r="M223" s="27"/>
      <c r="N223" s="27"/>
      <c r="O223" s="27"/>
      <c r="P223" s="27"/>
      <c r="Q223" s="27"/>
      <c r="R223" s="511"/>
    </row>
    <row r="224" spans="1:18">
      <c r="A224" s="513" t="s">
        <v>1773</v>
      </c>
      <c r="B224" s="513">
        <v>-406336609</v>
      </c>
      <c r="C224" s="513" t="s">
        <v>1773</v>
      </c>
      <c r="E224"/>
      <c r="F224"/>
      <c r="H224"/>
      <c r="J224" s="27"/>
      <c r="M224" s="27"/>
      <c r="N224" s="27"/>
      <c r="O224" s="27"/>
      <c r="P224" s="27"/>
      <c r="Q224" s="27"/>
      <c r="R224" s="511"/>
    </row>
    <row r="225" spans="1:18">
      <c r="A225" s="513" t="s">
        <v>1790</v>
      </c>
      <c r="B225" s="513">
        <v>-406336609</v>
      </c>
      <c r="C225" s="513" t="s">
        <v>1790</v>
      </c>
      <c r="E225"/>
      <c r="F225"/>
      <c r="H225"/>
      <c r="J225" s="27"/>
      <c r="M225" s="27"/>
      <c r="N225" s="27"/>
      <c r="O225" s="27"/>
      <c r="P225" s="27"/>
      <c r="Q225" s="27"/>
      <c r="R225" s="511"/>
    </row>
    <row r="226" spans="1:18">
      <c r="A226" s="513" t="s">
        <v>2031</v>
      </c>
      <c r="B226" s="513">
        <v>2470491627</v>
      </c>
      <c r="C226" s="513" t="s">
        <v>2031</v>
      </c>
      <c r="E226"/>
      <c r="F226"/>
      <c r="H226"/>
      <c r="J226" s="27"/>
      <c r="M226" s="27"/>
      <c r="N226" s="27"/>
      <c r="O226" s="27"/>
      <c r="P226" s="27"/>
      <c r="Q226" s="27"/>
      <c r="R226" s="511"/>
    </row>
    <row r="227" spans="1:18">
      <c r="A227" s="513" t="s">
        <v>15365</v>
      </c>
      <c r="B227" s="513">
        <v>5741954</v>
      </c>
      <c r="C227" s="513" t="s">
        <v>15365</v>
      </c>
      <c r="E227"/>
      <c r="F227"/>
      <c r="H227"/>
      <c r="J227" s="27"/>
      <c r="M227" s="27"/>
      <c r="N227" s="27"/>
      <c r="O227" s="27"/>
      <c r="P227" s="27"/>
      <c r="Q227" s="27"/>
      <c r="R227" s="511"/>
    </row>
    <row r="228" spans="1:18">
      <c r="A228" s="513" t="s">
        <v>16885</v>
      </c>
      <c r="B228" s="513">
        <v>2043324606</v>
      </c>
      <c r="C228" s="513" t="s">
        <v>16885</v>
      </c>
      <c r="E228"/>
      <c r="F228"/>
      <c r="H228"/>
      <c r="J228" s="27"/>
      <c r="M228" s="27"/>
      <c r="N228" s="27"/>
      <c r="O228" s="27"/>
      <c r="P228" s="27"/>
      <c r="Q228" s="27"/>
      <c r="R228" s="511"/>
    </row>
    <row r="229" spans="1:18">
      <c r="A229" s="513" t="s">
        <v>16873</v>
      </c>
      <c r="B229" s="513">
        <v>2043324606</v>
      </c>
      <c r="C229" s="513" t="s">
        <v>16873</v>
      </c>
      <c r="E229"/>
      <c r="F229"/>
      <c r="H229"/>
      <c r="J229" s="27"/>
      <c r="M229" s="27"/>
      <c r="N229" s="27"/>
      <c r="O229" s="27"/>
      <c r="P229" s="27"/>
      <c r="Q229" s="27"/>
      <c r="R229" s="511"/>
    </row>
    <row r="230" spans="1:18">
      <c r="A230" s="513" t="s">
        <v>14946</v>
      </c>
      <c r="B230" s="513">
        <v>2043324606</v>
      </c>
      <c r="C230" s="513" t="s">
        <v>14946</v>
      </c>
      <c r="E230"/>
      <c r="F230"/>
      <c r="H230"/>
      <c r="J230" s="27"/>
      <c r="M230" s="27"/>
      <c r="N230" s="27"/>
      <c r="O230" s="27"/>
      <c r="P230" s="27"/>
      <c r="Q230" s="27"/>
      <c r="R230" s="511"/>
    </row>
    <row r="231" spans="1:18">
      <c r="A231" s="513" t="s">
        <v>17446</v>
      </c>
      <c r="B231" s="513">
        <v>13977596</v>
      </c>
      <c r="C231" s="513" t="s">
        <v>17446</v>
      </c>
      <c r="E231"/>
      <c r="F231"/>
      <c r="H231"/>
      <c r="J231" s="27"/>
      <c r="M231" s="27"/>
      <c r="N231" s="27"/>
      <c r="O231" s="27"/>
      <c r="P231" s="27"/>
      <c r="Q231" s="27"/>
      <c r="R231" s="511"/>
    </row>
    <row r="232" spans="1:18">
      <c r="A232" s="513" t="s">
        <v>17297</v>
      </c>
      <c r="B232" s="513">
        <v>503203562</v>
      </c>
      <c r="C232" s="513" t="s">
        <v>17297</v>
      </c>
      <c r="E232"/>
      <c r="F232"/>
      <c r="H232"/>
      <c r="J232" s="27"/>
      <c r="M232" s="27"/>
      <c r="N232" s="27"/>
      <c r="O232" s="27"/>
      <c r="P232" s="27"/>
      <c r="Q232" s="27"/>
      <c r="R232" s="511"/>
    </row>
    <row r="233" spans="1:18">
      <c r="A233" s="513" t="s">
        <v>17530</v>
      </c>
      <c r="B233" s="513">
        <v>13977596</v>
      </c>
      <c r="C233" s="513" t="s">
        <v>17530</v>
      </c>
      <c r="E233"/>
      <c r="F233"/>
      <c r="H233"/>
      <c r="J233" s="27"/>
      <c r="M233" s="27"/>
      <c r="N233" s="27"/>
      <c r="O233" s="27"/>
      <c r="P233" s="27"/>
      <c r="Q233" s="27"/>
      <c r="R233" s="511"/>
    </row>
    <row r="234" spans="1:18">
      <c r="A234" s="513" t="s">
        <v>19041</v>
      </c>
      <c r="B234" s="513">
        <v>533121246</v>
      </c>
      <c r="C234" s="513" t="s">
        <v>19041</v>
      </c>
      <c r="E234"/>
      <c r="F234"/>
      <c r="H234"/>
      <c r="J234" s="27"/>
      <c r="M234" s="27"/>
      <c r="N234" s="27"/>
      <c r="O234" s="27"/>
      <c r="P234" s="27"/>
      <c r="Q234" s="27"/>
      <c r="R234" s="511"/>
    </row>
    <row r="235" spans="1:18">
      <c r="A235" s="513" t="s">
        <v>17520</v>
      </c>
      <c r="B235" s="513">
        <v>13977596</v>
      </c>
      <c r="C235" s="513" t="s">
        <v>17520</v>
      </c>
      <c r="E235"/>
      <c r="F235"/>
      <c r="H235"/>
      <c r="J235" s="27"/>
      <c r="M235" s="27"/>
      <c r="N235" s="27"/>
      <c r="O235" s="27"/>
      <c r="P235" s="27"/>
      <c r="Q235" s="27"/>
      <c r="R235" s="511"/>
    </row>
    <row r="236" spans="1:18">
      <c r="A236" s="513" t="s">
        <v>18252</v>
      </c>
      <c r="B236" s="513">
        <v>7515320</v>
      </c>
      <c r="C236" s="513" t="s">
        <v>18252</v>
      </c>
      <c r="E236"/>
      <c r="F236"/>
      <c r="H236"/>
      <c r="J236" s="27"/>
      <c r="M236" s="27"/>
      <c r="N236" s="27"/>
      <c r="O236" s="27"/>
      <c r="P236" s="27"/>
      <c r="Q236" s="27"/>
      <c r="R236" s="511"/>
    </row>
    <row r="237" spans="1:18">
      <c r="A237" s="513" t="s">
        <v>18266</v>
      </c>
      <c r="B237" s="513">
        <v>7515320</v>
      </c>
      <c r="C237" s="513" t="s">
        <v>18266</v>
      </c>
      <c r="E237"/>
      <c r="F237"/>
      <c r="H237"/>
      <c r="J237" s="27"/>
      <c r="M237" s="27"/>
      <c r="N237" s="27"/>
      <c r="O237" s="27"/>
      <c r="P237" s="27"/>
      <c r="Q237" s="27"/>
      <c r="R237" s="511"/>
    </row>
    <row r="238" spans="1:18">
      <c r="A238" s="513" t="s">
        <v>17295</v>
      </c>
      <c r="B238" s="513">
        <v>29917684</v>
      </c>
      <c r="C238" s="513" t="s">
        <v>17295</v>
      </c>
      <c r="E238"/>
      <c r="F238"/>
      <c r="H238"/>
      <c r="J238" s="27"/>
      <c r="M238" s="27"/>
      <c r="N238" s="27"/>
      <c r="O238" s="27"/>
      <c r="P238" s="27"/>
      <c r="Q238" s="27"/>
      <c r="R238" s="511"/>
    </row>
    <row r="239" spans="1:18">
      <c r="A239" s="513" t="s">
        <v>17490</v>
      </c>
      <c r="B239" s="513">
        <v>7515320</v>
      </c>
      <c r="C239" s="513" t="s">
        <v>17490</v>
      </c>
      <c r="E239"/>
      <c r="F239"/>
      <c r="H239"/>
      <c r="J239" s="27"/>
      <c r="M239" s="27"/>
      <c r="N239" s="27"/>
      <c r="O239" s="27"/>
      <c r="P239" s="27"/>
      <c r="Q239" s="27"/>
      <c r="R239" s="511"/>
    </row>
    <row r="240" spans="1:18">
      <c r="A240" s="513" t="s">
        <v>19045</v>
      </c>
      <c r="B240" s="513">
        <v>1086475636</v>
      </c>
      <c r="C240" s="513" t="s">
        <v>19045</v>
      </c>
      <c r="E240"/>
      <c r="F240"/>
      <c r="H240"/>
      <c r="J240" s="27"/>
      <c r="M240" s="27"/>
      <c r="N240" s="27"/>
      <c r="O240" s="27"/>
      <c r="P240" s="27"/>
      <c r="Q240" s="27"/>
      <c r="R240" s="511"/>
    </row>
    <row r="241" spans="1:18">
      <c r="A241" s="513" t="s">
        <v>18588</v>
      </c>
      <c r="B241" s="513">
        <v>1086475636</v>
      </c>
      <c r="C241" s="513" t="s">
        <v>18588</v>
      </c>
      <c r="E241"/>
      <c r="F241"/>
      <c r="H241"/>
      <c r="J241" s="27"/>
      <c r="M241" s="27"/>
      <c r="N241" s="27"/>
      <c r="O241" s="27"/>
      <c r="P241" s="27"/>
      <c r="Q241" s="27"/>
      <c r="R241" s="511"/>
    </row>
    <row r="242" spans="1:18">
      <c r="A242" s="513" t="s">
        <v>18571</v>
      </c>
      <c r="B242" s="513">
        <v>1086475636</v>
      </c>
      <c r="C242" s="513" t="s">
        <v>18571</v>
      </c>
      <c r="E242"/>
      <c r="F242"/>
      <c r="H242"/>
      <c r="J242" s="27"/>
      <c r="M242" s="27"/>
      <c r="N242" s="27"/>
      <c r="O242" s="27"/>
      <c r="P242" s="27"/>
      <c r="Q242" s="27"/>
      <c r="R242" s="511"/>
    </row>
    <row r="243" spans="1:18">
      <c r="A243" s="513" t="s">
        <v>18582</v>
      </c>
      <c r="B243" s="513">
        <v>1086475636</v>
      </c>
      <c r="C243" s="513" t="s">
        <v>18582</v>
      </c>
      <c r="E243"/>
      <c r="F243"/>
      <c r="H243"/>
      <c r="J243" s="27"/>
      <c r="M243" s="27"/>
      <c r="N243" s="27"/>
      <c r="O243" s="27"/>
      <c r="P243" s="27"/>
      <c r="Q243" s="27"/>
      <c r="R243" s="511"/>
    </row>
    <row r="244" spans="1:18">
      <c r="A244" s="513" t="s">
        <v>17518</v>
      </c>
      <c r="B244" s="513">
        <v>144749294</v>
      </c>
      <c r="C244" s="513" t="s">
        <v>17518</v>
      </c>
      <c r="E244"/>
      <c r="F244"/>
      <c r="H244"/>
      <c r="J244" s="27"/>
      <c r="M244" s="27"/>
      <c r="N244" s="27"/>
      <c r="O244" s="27"/>
      <c r="P244" s="27"/>
      <c r="Q244" s="27"/>
      <c r="R244" s="511"/>
    </row>
    <row r="245" spans="1:18">
      <c r="A245" s="513" t="s">
        <v>17508</v>
      </c>
      <c r="B245" s="513">
        <v>144749294</v>
      </c>
      <c r="C245" s="513" t="s">
        <v>17508</v>
      </c>
      <c r="E245"/>
      <c r="F245"/>
      <c r="H245"/>
      <c r="J245" s="27"/>
      <c r="M245" s="27"/>
      <c r="N245" s="27"/>
      <c r="O245" s="27"/>
      <c r="P245" s="27"/>
      <c r="Q245" s="27"/>
      <c r="R245" s="511"/>
    </row>
    <row r="246" spans="1:18">
      <c r="A246" s="513" t="s">
        <v>17447</v>
      </c>
      <c r="B246" s="513">
        <v>187399384</v>
      </c>
      <c r="C246" s="513" t="s">
        <v>17447</v>
      </c>
      <c r="E246"/>
      <c r="F246"/>
      <c r="H246"/>
      <c r="J246" s="27"/>
      <c r="M246" s="27"/>
      <c r="N246" s="27"/>
      <c r="O246" s="27"/>
      <c r="P246" s="27"/>
      <c r="Q246" s="27"/>
      <c r="R246" s="511"/>
    </row>
    <row r="247" spans="1:18">
      <c r="A247" s="513" t="s">
        <v>18426</v>
      </c>
      <c r="B247" s="513">
        <v>10626</v>
      </c>
      <c r="C247" s="513" t="s">
        <v>18426</v>
      </c>
      <c r="E247"/>
      <c r="F247"/>
      <c r="H247"/>
      <c r="J247" s="27"/>
      <c r="M247" s="27"/>
      <c r="N247" s="27"/>
      <c r="O247" s="27"/>
      <c r="P247" s="27"/>
      <c r="Q247" s="27"/>
      <c r="R247" s="511"/>
    </row>
    <row r="248" spans="1:18">
      <c r="A248" s="513" t="s">
        <v>19044</v>
      </c>
      <c r="B248" s="513">
        <v>655515</v>
      </c>
      <c r="C248" s="513" t="s">
        <v>19044</v>
      </c>
      <c r="E248"/>
      <c r="F248"/>
      <c r="H248"/>
      <c r="J248" s="27"/>
      <c r="M248" s="27"/>
      <c r="N248" s="27"/>
      <c r="O248" s="27"/>
      <c r="P248" s="27"/>
      <c r="Q248" s="27"/>
      <c r="R248" s="511"/>
    </row>
    <row r="249" spans="1:18">
      <c r="A249" s="513" t="s">
        <v>18542</v>
      </c>
      <c r="B249" s="513">
        <v>10626</v>
      </c>
      <c r="C249" s="513" t="s">
        <v>18542</v>
      </c>
      <c r="E249"/>
      <c r="F249"/>
      <c r="H249"/>
      <c r="J249" s="27"/>
      <c r="M249" s="27"/>
      <c r="N249" s="27"/>
      <c r="O249" s="27"/>
      <c r="P249" s="27"/>
      <c r="Q249" s="27"/>
      <c r="R249" s="511"/>
    </row>
    <row r="250" spans="1:18">
      <c r="A250" s="513" t="s">
        <v>18451</v>
      </c>
      <c r="B250" s="513">
        <v>1551000</v>
      </c>
      <c r="C250" s="513" t="s">
        <v>18451</v>
      </c>
      <c r="E250"/>
      <c r="F250"/>
      <c r="H250"/>
      <c r="J250" s="27"/>
      <c r="M250" s="27"/>
      <c r="N250" s="27"/>
      <c r="O250" s="27"/>
      <c r="P250" s="27"/>
      <c r="Q250" s="27"/>
      <c r="R250" s="511"/>
    </row>
    <row r="251" spans="1:18">
      <c r="A251" s="513" t="s">
        <v>19039</v>
      </c>
      <c r="B251" s="513">
        <v>42399669</v>
      </c>
      <c r="C251" s="513" t="s">
        <v>19039</v>
      </c>
      <c r="E251"/>
      <c r="F251"/>
      <c r="H251"/>
      <c r="J251" s="27"/>
      <c r="M251" s="27"/>
      <c r="N251" s="27"/>
      <c r="O251" s="27"/>
      <c r="P251" s="27"/>
      <c r="Q251" s="27"/>
      <c r="R251" s="511"/>
    </row>
    <row r="252" spans="1:18">
      <c r="A252" s="513" t="s">
        <v>18557</v>
      </c>
      <c r="B252" s="513">
        <v>1551000</v>
      </c>
      <c r="C252" s="513" t="s">
        <v>18557</v>
      </c>
      <c r="E252"/>
      <c r="F252"/>
      <c r="H252"/>
      <c r="J252" s="27"/>
      <c r="M252" s="27"/>
      <c r="N252" s="27"/>
      <c r="O252" s="27"/>
      <c r="P252" s="27"/>
      <c r="Q252" s="27"/>
      <c r="R252" s="511"/>
    </row>
    <row r="253" spans="1:18">
      <c r="A253" s="513" t="s">
        <v>17658</v>
      </c>
      <c r="B253" s="513">
        <v>315000</v>
      </c>
      <c r="C253" s="513" t="s">
        <v>17658</v>
      </c>
      <c r="E253"/>
      <c r="F253"/>
      <c r="H253"/>
      <c r="J253" s="27"/>
      <c r="M253" s="27"/>
      <c r="N253" s="27"/>
      <c r="O253" s="27"/>
      <c r="P253" s="27"/>
      <c r="Q253" s="27"/>
      <c r="R253" s="511"/>
    </row>
    <row r="254" spans="1:18">
      <c r="A254" s="513" t="s">
        <v>17442</v>
      </c>
      <c r="B254" s="513">
        <v>47184163</v>
      </c>
      <c r="C254" s="513" t="s">
        <v>17442</v>
      </c>
      <c r="E254"/>
      <c r="F254"/>
      <c r="H254"/>
      <c r="J254" s="27"/>
      <c r="M254" s="27"/>
      <c r="N254" s="27"/>
      <c r="O254" s="27"/>
      <c r="P254" s="27"/>
      <c r="Q254" s="27"/>
      <c r="R254" s="511"/>
    </row>
    <row r="255" spans="1:18">
      <c r="A255" s="513" t="s">
        <v>17683</v>
      </c>
      <c r="B255" s="513">
        <v>315000</v>
      </c>
      <c r="C255" s="513" t="s">
        <v>17683</v>
      </c>
      <c r="E255"/>
      <c r="F255"/>
      <c r="H255"/>
      <c r="J255" s="27"/>
      <c r="M255" s="27"/>
      <c r="N255" s="27"/>
      <c r="O255" s="27"/>
      <c r="P255" s="27"/>
      <c r="Q255" s="27"/>
      <c r="R255" s="511"/>
    </row>
    <row r="256" spans="1:18">
      <c r="A256" s="513" t="s">
        <v>19036</v>
      </c>
      <c r="B256" s="513">
        <v>12295697</v>
      </c>
      <c r="C256" s="513" t="s">
        <v>19036</v>
      </c>
      <c r="E256"/>
      <c r="F256"/>
      <c r="H256"/>
      <c r="J256" s="27"/>
      <c r="M256" s="27"/>
      <c r="N256" s="27"/>
      <c r="O256" s="27"/>
      <c r="P256" s="27"/>
      <c r="Q256" s="27"/>
      <c r="R256" s="511"/>
    </row>
    <row r="257" spans="1:18">
      <c r="A257" s="513" t="s">
        <v>16964</v>
      </c>
      <c r="B257" s="513">
        <v>11289291</v>
      </c>
      <c r="C257" s="513" t="s">
        <v>16964</v>
      </c>
      <c r="E257"/>
      <c r="F257"/>
      <c r="H257"/>
      <c r="J257" s="27"/>
      <c r="M257" s="27"/>
      <c r="N257" s="27"/>
      <c r="O257" s="27"/>
      <c r="P257" s="27"/>
      <c r="Q257" s="27"/>
      <c r="R257" s="511"/>
    </row>
    <row r="258" spans="1:18">
      <c r="A258" s="513" t="s">
        <v>16971</v>
      </c>
      <c r="B258" s="513">
        <v>11289291</v>
      </c>
      <c r="C258" s="513" t="s">
        <v>16971</v>
      </c>
      <c r="E258"/>
      <c r="F258"/>
      <c r="H258"/>
      <c r="J258" s="27"/>
      <c r="M258" s="27"/>
      <c r="N258" s="27"/>
      <c r="O258" s="27"/>
      <c r="P258" s="27"/>
      <c r="Q258" s="27"/>
      <c r="R258" s="511"/>
    </row>
    <row r="259" spans="1:18">
      <c r="A259" s="513" t="s">
        <v>17424</v>
      </c>
      <c r="B259" s="513">
        <v>66010</v>
      </c>
      <c r="C259" s="513" t="s">
        <v>17424</v>
      </c>
      <c r="E259"/>
      <c r="F259"/>
      <c r="H259"/>
      <c r="J259" s="27"/>
      <c r="M259" s="27"/>
      <c r="N259" s="27"/>
      <c r="O259" s="27"/>
      <c r="P259" s="27"/>
      <c r="Q259" s="27"/>
      <c r="R259" s="511"/>
    </row>
    <row r="260" spans="1:18">
      <c r="A260" s="513" t="s">
        <v>18062</v>
      </c>
      <c r="B260" s="513">
        <v>66010</v>
      </c>
      <c r="C260" s="513" t="s">
        <v>18062</v>
      </c>
      <c r="E260"/>
      <c r="F260"/>
      <c r="H260"/>
      <c r="J260" s="27"/>
      <c r="M260" s="27"/>
      <c r="N260" s="27"/>
      <c r="O260" s="27"/>
      <c r="P260" s="27"/>
      <c r="Q260" s="27"/>
      <c r="R260" s="511"/>
    </row>
    <row r="261" spans="1:18">
      <c r="A261" s="513" t="s">
        <v>17675</v>
      </c>
      <c r="B261" s="513">
        <v>2862750</v>
      </c>
      <c r="C261" s="513" t="s">
        <v>17675</v>
      </c>
      <c r="E261"/>
      <c r="F261"/>
      <c r="H261"/>
      <c r="J261" s="27"/>
      <c r="M261" s="27"/>
      <c r="N261" s="27"/>
      <c r="O261" s="27"/>
      <c r="P261" s="27"/>
      <c r="Q261" s="27"/>
      <c r="R261" s="511"/>
    </row>
    <row r="262" spans="1:18">
      <c r="A262" s="513" t="s">
        <v>17700</v>
      </c>
      <c r="B262" s="513">
        <v>2862750</v>
      </c>
      <c r="C262" s="513" t="s">
        <v>17700</v>
      </c>
      <c r="E262"/>
      <c r="F262"/>
      <c r="H262"/>
      <c r="J262" s="27"/>
      <c r="M262" s="27"/>
      <c r="N262" s="27"/>
      <c r="O262" s="27"/>
      <c r="P262" s="27"/>
      <c r="Q262" s="27"/>
      <c r="R262" s="511"/>
    </row>
    <row r="263" spans="1:18">
      <c r="A263" s="513" t="s">
        <v>17232</v>
      </c>
      <c r="B263" s="513">
        <v>4049</v>
      </c>
      <c r="C263" s="513" t="s">
        <v>17232</v>
      </c>
      <c r="E263"/>
      <c r="F263"/>
      <c r="H263"/>
      <c r="J263" s="27"/>
      <c r="M263" s="27"/>
      <c r="N263" s="27"/>
      <c r="O263" s="27"/>
      <c r="P263" s="27"/>
      <c r="Q263" s="27"/>
      <c r="R263" s="511"/>
    </row>
    <row r="264" spans="1:18">
      <c r="A264" s="513" t="s">
        <v>17249</v>
      </c>
      <c r="B264" s="513">
        <v>4049</v>
      </c>
      <c r="C264" s="513" t="s">
        <v>17249</v>
      </c>
      <c r="E264"/>
      <c r="F264"/>
      <c r="H264"/>
      <c r="J264" s="27"/>
      <c r="M264" s="27"/>
      <c r="N264" s="27"/>
      <c r="O264" s="27"/>
      <c r="P264" s="27"/>
      <c r="Q264" s="27"/>
      <c r="R264" s="511"/>
    </row>
    <row r="265" spans="1:18">
      <c r="A265" s="513" t="s">
        <v>14945</v>
      </c>
      <c r="B265" s="513">
        <v>334621</v>
      </c>
      <c r="C265" s="513" t="s">
        <v>14945</v>
      </c>
      <c r="E265"/>
      <c r="F265"/>
      <c r="H265"/>
      <c r="J265" s="27"/>
      <c r="M265" s="27"/>
      <c r="N265" s="27"/>
      <c r="O265" s="27"/>
      <c r="P265" s="27"/>
      <c r="Q265" s="27"/>
      <c r="R265" s="511"/>
    </row>
    <row r="266" spans="1:18">
      <c r="A266" s="513" t="s">
        <v>18873</v>
      </c>
      <c r="B266" s="513">
        <v>919844</v>
      </c>
      <c r="C266" s="513" t="s">
        <v>18873</v>
      </c>
      <c r="E266"/>
      <c r="F266"/>
      <c r="H266"/>
      <c r="J266" s="27"/>
      <c r="M266" s="27"/>
      <c r="N266" s="27"/>
      <c r="O266" s="27"/>
      <c r="P266" s="27"/>
      <c r="Q266" s="27"/>
      <c r="R266" s="511"/>
    </row>
    <row r="267" spans="1:18">
      <c r="A267" s="513" t="s">
        <v>18692</v>
      </c>
      <c r="B267" s="513">
        <v>55918760</v>
      </c>
      <c r="C267" s="513" t="s">
        <v>18692</v>
      </c>
      <c r="E267"/>
      <c r="F267"/>
      <c r="H267"/>
      <c r="J267" s="27"/>
      <c r="M267" s="27"/>
      <c r="N267" s="27"/>
      <c r="O267" s="27"/>
      <c r="P267" s="27"/>
      <c r="Q267" s="27"/>
      <c r="R267" s="511"/>
    </row>
    <row r="268" spans="1:18">
      <c r="A268" s="513" t="s">
        <v>18573</v>
      </c>
      <c r="B268" s="513">
        <v>0</v>
      </c>
      <c r="C268" s="513" t="s">
        <v>18573</v>
      </c>
      <c r="E268"/>
      <c r="F268"/>
      <c r="H268"/>
      <c r="J268" s="27"/>
      <c r="M268" s="27"/>
      <c r="N268" s="27"/>
      <c r="O268" s="27"/>
      <c r="P268" s="27"/>
      <c r="Q268" s="27"/>
      <c r="R268" s="511"/>
    </row>
    <row r="269" spans="1:18">
      <c r="A269" s="513" t="s">
        <v>18852</v>
      </c>
      <c r="B269" s="513">
        <v>919844</v>
      </c>
      <c r="C269" s="513" t="s">
        <v>18852</v>
      </c>
      <c r="E269"/>
      <c r="F269"/>
      <c r="H269"/>
      <c r="J269" s="27"/>
      <c r="M269" s="27"/>
      <c r="N269" s="27"/>
      <c r="O269" s="27"/>
      <c r="P269" s="27"/>
      <c r="Q269" s="27"/>
      <c r="R269" s="511"/>
    </row>
    <row r="270" spans="1:18">
      <c r="A270" s="513" t="s">
        <v>18596</v>
      </c>
      <c r="B270" s="513">
        <v>0</v>
      </c>
      <c r="C270" s="513" t="s">
        <v>18596</v>
      </c>
      <c r="E270"/>
      <c r="F270"/>
      <c r="H270"/>
      <c r="J270" s="27"/>
      <c r="M270" s="27"/>
      <c r="N270" s="27"/>
      <c r="O270" s="27"/>
      <c r="P270" s="27"/>
      <c r="Q270" s="27"/>
      <c r="R270" s="511"/>
    </row>
    <row r="271" spans="1:18">
      <c r="A271" s="513" t="s">
        <v>15065</v>
      </c>
      <c r="B271" s="513">
        <v>998906</v>
      </c>
      <c r="C271" s="513" t="s">
        <v>15065</v>
      </c>
      <c r="E271"/>
      <c r="F271"/>
      <c r="H271"/>
      <c r="J271" s="27"/>
      <c r="M271" s="27"/>
      <c r="N271" s="27"/>
      <c r="O271" s="27"/>
      <c r="P271" s="27"/>
      <c r="Q271" s="27"/>
      <c r="R271" s="511"/>
    </row>
    <row r="272" spans="1:18">
      <c r="A272" s="513" t="s">
        <v>17005</v>
      </c>
      <c r="B272" s="513">
        <v>998906</v>
      </c>
      <c r="C272" s="513" t="s">
        <v>17005</v>
      </c>
      <c r="E272"/>
      <c r="F272"/>
      <c r="H272"/>
      <c r="J272" s="27"/>
      <c r="M272" s="27"/>
      <c r="N272" s="27"/>
      <c r="O272" s="27"/>
      <c r="P272" s="27"/>
      <c r="Q272" s="27"/>
      <c r="R272" s="511"/>
    </row>
    <row r="273" spans="1:18">
      <c r="A273" s="513" t="s">
        <v>15069</v>
      </c>
      <c r="B273" s="513">
        <v>2334658</v>
      </c>
      <c r="C273" s="513" t="s">
        <v>15069</v>
      </c>
      <c r="E273"/>
      <c r="F273"/>
      <c r="H273"/>
      <c r="J273" s="27"/>
      <c r="M273" s="27"/>
      <c r="N273" s="27"/>
      <c r="O273" s="27"/>
      <c r="P273" s="27"/>
      <c r="Q273" s="27"/>
      <c r="R273" s="511"/>
    </row>
    <row r="274" spans="1:18">
      <c r="A274" s="513" t="s">
        <v>18452</v>
      </c>
      <c r="B274" s="513">
        <v>2334658</v>
      </c>
      <c r="C274" s="513" t="s">
        <v>18452</v>
      </c>
      <c r="E274"/>
      <c r="F274"/>
      <c r="H274"/>
      <c r="J274" s="27"/>
      <c r="M274" s="27"/>
      <c r="N274" s="27"/>
      <c r="O274" s="27"/>
      <c r="P274" s="27"/>
      <c r="Q274" s="27"/>
      <c r="R274" s="511"/>
    </row>
    <row r="275" spans="1:18">
      <c r="A275" s="513" t="s">
        <v>18384</v>
      </c>
      <c r="B275" s="513">
        <v>50000</v>
      </c>
      <c r="C275" s="513" t="s">
        <v>18384</v>
      </c>
      <c r="E275"/>
      <c r="F275"/>
      <c r="H275"/>
      <c r="J275" s="27"/>
      <c r="M275" s="27"/>
      <c r="N275" s="27"/>
      <c r="O275" s="27"/>
      <c r="P275" s="27"/>
      <c r="Q275" s="27"/>
      <c r="R275" s="511"/>
    </row>
    <row r="276" spans="1:18">
      <c r="A276" s="513" t="s">
        <v>17461</v>
      </c>
      <c r="B276" s="513">
        <v>50000</v>
      </c>
      <c r="C276" s="513" t="s">
        <v>17461</v>
      </c>
      <c r="E276"/>
      <c r="F276"/>
      <c r="H276"/>
      <c r="J276" s="27"/>
      <c r="M276" s="27"/>
      <c r="N276" s="27"/>
      <c r="O276" s="27"/>
      <c r="P276" s="27"/>
      <c r="Q276" s="27"/>
      <c r="R276" s="511"/>
    </row>
    <row r="277" spans="1:18">
      <c r="A277" s="513" t="s">
        <v>18380</v>
      </c>
      <c r="B277" s="513">
        <v>50000</v>
      </c>
      <c r="C277" s="513" t="s">
        <v>18380</v>
      </c>
      <c r="E277"/>
      <c r="F277"/>
      <c r="H277"/>
      <c r="J277" s="27"/>
      <c r="M277" s="27"/>
      <c r="N277" s="27"/>
      <c r="O277" s="27"/>
      <c r="P277" s="27"/>
      <c r="Q277" s="27"/>
      <c r="R277" s="511"/>
    </row>
    <row r="278" spans="1:18">
      <c r="A278" s="513" t="s">
        <v>17430</v>
      </c>
      <c r="B278" s="513">
        <v>133762</v>
      </c>
      <c r="C278" s="513" t="s">
        <v>17430</v>
      </c>
      <c r="E278"/>
      <c r="F278"/>
      <c r="H278"/>
      <c r="J278" s="27"/>
      <c r="M278" s="27"/>
      <c r="N278" s="27"/>
      <c r="O278" s="27"/>
      <c r="P278" s="27"/>
      <c r="Q278" s="27"/>
      <c r="R278" s="511"/>
    </row>
    <row r="279" spans="1:18">
      <c r="A279" s="513" t="s">
        <v>18057</v>
      </c>
      <c r="B279" s="513">
        <v>133762</v>
      </c>
      <c r="C279" s="513" t="s">
        <v>18057</v>
      </c>
      <c r="E279"/>
      <c r="F279"/>
      <c r="H279"/>
      <c r="J279" s="27"/>
      <c r="M279" s="27"/>
      <c r="N279" s="27"/>
      <c r="O279" s="27"/>
      <c r="P279" s="27"/>
      <c r="Q279" s="27"/>
      <c r="R279" s="511"/>
    </row>
    <row r="280" spans="1:18">
      <c r="A280" s="513" t="s">
        <v>17702</v>
      </c>
      <c r="B280" s="513">
        <v>61966</v>
      </c>
      <c r="C280" s="513" t="s">
        <v>17702</v>
      </c>
      <c r="E280"/>
      <c r="F280"/>
      <c r="H280"/>
      <c r="J280" s="27"/>
      <c r="M280" s="27"/>
      <c r="N280" s="27"/>
      <c r="O280" s="27"/>
      <c r="P280" s="27"/>
      <c r="Q280" s="27"/>
      <c r="R280" s="511"/>
    </row>
    <row r="281" spans="1:18">
      <c r="A281" s="513" t="s">
        <v>17673</v>
      </c>
      <c r="B281" s="513">
        <v>61966</v>
      </c>
      <c r="C281" s="513" t="s">
        <v>17673</v>
      </c>
      <c r="E281"/>
      <c r="F281"/>
      <c r="H281"/>
      <c r="J281" s="27"/>
      <c r="M281" s="27"/>
      <c r="N281" s="27"/>
      <c r="O281" s="27"/>
      <c r="P281" s="27"/>
      <c r="Q281" s="27"/>
      <c r="R281" s="511"/>
    </row>
    <row r="282" spans="1:18">
      <c r="A282" s="513" t="s">
        <v>17418</v>
      </c>
      <c r="B282" s="513">
        <v>292100</v>
      </c>
      <c r="C282" s="513" t="s">
        <v>17418</v>
      </c>
      <c r="E282"/>
      <c r="F282"/>
      <c r="H282"/>
      <c r="J282" s="27"/>
      <c r="M282" s="27"/>
      <c r="N282" s="27"/>
      <c r="O282" s="27"/>
      <c r="P282" s="27"/>
      <c r="Q282" s="27"/>
      <c r="R282" s="511"/>
    </row>
    <row r="283" spans="1:18">
      <c r="A283" s="513" t="s">
        <v>18065</v>
      </c>
      <c r="B283" s="513">
        <v>292100</v>
      </c>
      <c r="C283" s="513" t="s">
        <v>18065</v>
      </c>
      <c r="E283"/>
      <c r="F283"/>
      <c r="H283"/>
      <c r="J283" s="27"/>
      <c r="M283" s="27"/>
      <c r="N283" s="27"/>
      <c r="O283" s="27"/>
      <c r="P283" s="27"/>
      <c r="Q283" s="27"/>
      <c r="R283" s="511"/>
    </row>
    <row r="284" spans="1:18">
      <c r="A284" s="513" t="s">
        <v>17498</v>
      </c>
      <c r="B284" s="513">
        <v>16456118</v>
      </c>
      <c r="C284" s="513" t="s">
        <v>17498</v>
      </c>
      <c r="E284"/>
      <c r="F284"/>
      <c r="H284"/>
      <c r="J284" s="27"/>
      <c r="M284" s="27"/>
      <c r="N284" s="27"/>
      <c r="O284" s="27"/>
      <c r="P284" s="27"/>
      <c r="Q284" s="27"/>
      <c r="R284" s="511"/>
    </row>
    <row r="285" spans="1:18">
      <c r="A285" s="513" t="s">
        <v>17352</v>
      </c>
      <c r="B285" s="513">
        <v>16456118</v>
      </c>
      <c r="C285" s="513" t="s">
        <v>17352</v>
      </c>
      <c r="E285"/>
      <c r="F285"/>
      <c r="H285"/>
      <c r="J285" s="27"/>
      <c r="M285" s="27"/>
      <c r="N285" s="27"/>
      <c r="O285" s="27"/>
      <c r="P285" s="27"/>
      <c r="Q285" s="27"/>
      <c r="R285" s="511"/>
    </row>
    <row r="286" spans="1:18">
      <c r="A286" s="513" t="s">
        <v>18566</v>
      </c>
      <c r="B286" s="513">
        <v>8455724</v>
      </c>
      <c r="C286" s="513" t="s">
        <v>18566</v>
      </c>
      <c r="E286"/>
      <c r="F286"/>
      <c r="H286"/>
      <c r="J286" s="27"/>
      <c r="M286" s="27"/>
      <c r="N286" s="27"/>
      <c r="O286" s="27"/>
      <c r="P286" s="27"/>
      <c r="Q286" s="27"/>
      <c r="R286" s="511"/>
    </row>
    <row r="287" spans="1:18">
      <c r="A287" s="513" t="s">
        <v>18460</v>
      </c>
      <c r="B287" s="513">
        <v>8455724</v>
      </c>
      <c r="C287" s="513" t="s">
        <v>18460</v>
      </c>
      <c r="E287"/>
      <c r="F287"/>
      <c r="H287"/>
      <c r="J287" s="27"/>
      <c r="M287" s="27"/>
      <c r="N287" s="27"/>
      <c r="O287" s="27"/>
      <c r="P287" s="27"/>
      <c r="Q287" s="27"/>
      <c r="R287" s="511"/>
    </row>
    <row r="288" spans="1:18">
      <c r="A288" s="513" t="s">
        <v>18450</v>
      </c>
      <c r="B288" s="513">
        <v>1701299</v>
      </c>
      <c r="C288" s="513" t="s">
        <v>18450</v>
      </c>
      <c r="E288"/>
      <c r="F288"/>
      <c r="H288"/>
      <c r="J288" s="27"/>
      <c r="M288" s="27"/>
      <c r="N288" s="27"/>
      <c r="O288" s="27"/>
      <c r="P288" s="27"/>
      <c r="Q288" s="27"/>
      <c r="R288" s="511"/>
    </row>
    <row r="289" spans="1:18">
      <c r="A289" s="513" t="s">
        <v>18555</v>
      </c>
      <c r="B289" s="513">
        <v>1701299</v>
      </c>
      <c r="C289" s="513" t="s">
        <v>18555</v>
      </c>
      <c r="E289"/>
      <c r="F289"/>
      <c r="H289"/>
      <c r="J289" s="27"/>
      <c r="M289" s="27"/>
      <c r="N289" s="27"/>
      <c r="O289" s="27"/>
      <c r="P289" s="27"/>
      <c r="Q289" s="27"/>
      <c r="R289" s="511"/>
    </row>
    <row r="290" spans="1:18">
      <c r="A290" s="513" t="s">
        <v>18415</v>
      </c>
      <c r="B290" s="513">
        <v>1115967</v>
      </c>
      <c r="C290" s="513" t="s">
        <v>18415</v>
      </c>
      <c r="E290"/>
      <c r="F290"/>
      <c r="H290"/>
      <c r="J290" s="27"/>
      <c r="M290" s="27"/>
      <c r="N290" s="27"/>
      <c r="O290" s="27"/>
      <c r="P290" s="27"/>
      <c r="Q290" s="27"/>
      <c r="R290" s="511"/>
    </row>
    <row r="291" spans="1:18">
      <c r="A291" s="513" t="s">
        <v>18553</v>
      </c>
      <c r="B291" s="513">
        <v>1115967</v>
      </c>
      <c r="C291" s="513" t="s">
        <v>18553</v>
      </c>
      <c r="E291"/>
      <c r="F291"/>
      <c r="H291"/>
      <c r="J291" s="27"/>
      <c r="M291" s="27"/>
      <c r="N291" s="27"/>
      <c r="O291" s="27"/>
      <c r="P291" s="27"/>
      <c r="Q291" s="27"/>
      <c r="R291" s="511"/>
    </row>
    <row r="292" spans="1:18">
      <c r="A292" s="513" t="s">
        <v>17817</v>
      </c>
      <c r="B292" s="513">
        <v>142754001</v>
      </c>
      <c r="C292" s="513" t="s">
        <v>17817</v>
      </c>
      <c r="E292"/>
      <c r="F292"/>
      <c r="H292"/>
      <c r="J292" s="27"/>
      <c r="M292" s="27"/>
      <c r="N292" s="27"/>
      <c r="O292" s="27"/>
      <c r="P292" s="27"/>
      <c r="Q292" s="27"/>
      <c r="R292" s="511"/>
    </row>
    <row r="293" spans="1:18">
      <c r="A293" s="513" t="s">
        <v>19040</v>
      </c>
      <c r="B293" s="513">
        <v>236828975</v>
      </c>
      <c r="C293" s="513" t="s">
        <v>19040</v>
      </c>
      <c r="E293"/>
      <c r="F293"/>
      <c r="H293"/>
      <c r="J293" s="27"/>
      <c r="M293" s="27"/>
      <c r="N293" s="27"/>
      <c r="O293" s="27"/>
      <c r="P293" s="27"/>
      <c r="Q293" s="27"/>
      <c r="R293" s="511"/>
    </row>
    <row r="294" spans="1:18">
      <c r="A294" s="513" t="s">
        <v>17785</v>
      </c>
      <c r="B294" s="513">
        <v>212537191</v>
      </c>
      <c r="C294" s="513" t="s">
        <v>17785</v>
      </c>
      <c r="E294"/>
      <c r="F294"/>
      <c r="H294"/>
      <c r="J294" s="27"/>
      <c r="M294" s="27"/>
      <c r="N294" s="27"/>
      <c r="O294" s="27"/>
      <c r="P294" s="27"/>
      <c r="Q294" s="27"/>
      <c r="R294" s="511"/>
    </row>
    <row r="295" spans="1:18">
      <c r="A295" s="513" t="s">
        <v>17238</v>
      </c>
      <c r="B295" s="513">
        <v>142754001</v>
      </c>
      <c r="C295" s="513" t="s">
        <v>17238</v>
      </c>
      <c r="E295"/>
      <c r="F295"/>
      <c r="H295"/>
      <c r="J295" s="27"/>
      <c r="M295" s="27"/>
      <c r="N295" s="27"/>
      <c r="O295" s="27"/>
      <c r="P295" s="27"/>
      <c r="Q295" s="27"/>
      <c r="R295" s="511"/>
    </row>
    <row r="296" spans="1:18">
      <c r="A296" s="513" t="s">
        <v>17382</v>
      </c>
      <c r="B296" s="513">
        <v>2048000</v>
      </c>
      <c r="C296" s="513" t="s">
        <v>17382</v>
      </c>
      <c r="E296"/>
      <c r="F296"/>
      <c r="H296"/>
      <c r="J296" s="27"/>
      <c r="M296" s="27"/>
      <c r="N296" s="27"/>
      <c r="O296" s="27"/>
      <c r="P296" s="27"/>
      <c r="Q296" s="27"/>
      <c r="R296" s="511"/>
    </row>
    <row r="297" spans="1:18">
      <c r="A297" s="513" t="s">
        <v>17719</v>
      </c>
      <c r="B297" s="513">
        <v>2048000</v>
      </c>
      <c r="C297" s="513" t="s">
        <v>17719</v>
      </c>
      <c r="E297"/>
      <c r="F297"/>
      <c r="H297"/>
      <c r="J297" s="27"/>
      <c r="M297" s="27"/>
      <c r="N297" s="27"/>
      <c r="O297" s="27"/>
      <c r="P297" s="27"/>
      <c r="Q297" s="27"/>
      <c r="R297" s="511"/>
    </row>
    <row r="298" spans="1:18">
      <c r="A298" s="513" t="s">
        <v>17742</v>
      </c>
      <c r="B298" s="513">
        <v>2048000</v>
      </c>
      <c r="C298" s="513" t="s">
        <v>17742</v>
      </c>
      <c r="E298"/>
      <c r="F298"/>
      <c r="H298"/>
      <c r="J298" s="27"/>
      <c r="M298" s="27"/>
      <c r="N298" s="27"/>
      <c r="O298" s="27"/>
      <c r="P298" s="27"/>
      <c r="Q298" s="27"/>
      <c r="R298" s="511"/>
    </row>
    <row r="299" spans="1:18">
      <c r="A299" s="513" t="s">
        <v>17706</v>
      </c>
      <c r="B299" s="513">
        <v>711700</v>
      </c>
      <c r="C299" s="513" t="s">
        <v>17706</v>
      </c>
      <c r="E299"/>
      <c r="F299"/>
      <c r="H299"/>
      <c r="J299" s="27"/>
      <c r="M299" s="27"/>
      <c r="N299" s="27"/>
      <c r="O299" s="27"/>
      <c r="P299" s="27"/>
      <c r="Q299" s="27"/>
      <c r="R299" s="511"/>
    </row>
    <row r="300" spans="1:18">
      <c r="A300" s="513" t="s">
        <v>17667</v>
      </c>
      <c r="B300" s="513">
        <v>711700</v>
      </c>
      <c r="C300" s="513" t="s">
        <v>17667</v>
      </c>
      <c r="E300"/>
      <c r="F300"/>
      <c r="H300"/>
      <c r="J300" s="27"/>
      <c r="M300" s="27"/>
      <c r="N300" s="27"/>
      <c r="O300" s="27"/>
      <c r="P300" s="27"/>
      <c r="Q300" s="27"/>
      <c r="R300" s="511"/>
    </row>
    <row r="301" spans="1:18">
      <c r="A301" s="513" t="s">
        <v>17843</v>
      </c>
      <c r="B301" s="513">
        <v>18195729</v>
      </c>
      <c r="C301" s="513" t="s">
        <v>17843</v>
      </c>
      <c r="E301"/>
      <c r="F301"/>
      <c r="H301"/>
      <c r="J301" s="27"/>
      <c r="M301" s="27"/>
      <c r="N301" s="27"/>
      <c r="O301" s="27"/>
      <c r="P301" s="27"/>
      <c r="Q301" s="27"/>
      <c r="R301" s="511"/>
    </row>
    <row r="302" spans="1:18">
      <c r="A302" s="513" t="s">
        <v>17328</v>
      </c>
      <c r="B302" s="513">
        <v>18195729</v>
      </c>
      <c r="C302" s="513" t="s">
        <v>17328</v>
      </c>
      <c r="E302"/>
      <c r="F302"/>
      <c r="H302"/>
      <c r="J302" s="27"/>
      <c r="M302" s="27"/>
      <c r="N302" s="27"/>
      <c r="O302" s="27"/>
      <c r="P302" s="27"/>
      <c r="Q302" s="27"/>
      <c r="R302" s="511"/>
    </row>
    <row r="303" spans="1:18">
      <c r="A303" s="513" t="s">
        <v>17781</v>
      </c>
      <c r="B303" s="513">
        <v>229648</v>
      </c>
      <c r="C303" s="513" t="s">
        <v>17781</v>
      </c>
      <c r="E303"/>
      <c r="F303"/>
      <c r="H303"/>
      <c r="J303" s="27"/>
      <c r="M303" s="27"/>
      <c r="N303" s="27"/>
      <c r="O303" s="27"/>
      <c r="P303" s="27"/>
      <c r="Q303" s="27"/>
      <c r="R303" s="511"/>
    </row>
    <row r="304" spans="1:18">
      <c r="A304" s="513" t="s">
        <v>17378</v>
      </c>
      <c r="B304" s="513">
        <v>229648</v>
      </c>
      <c r="C304" s="513" t="s">
        <v>17378</v>
      </c>
      <c r="E304"/>
      <c r="F304"/>
      <c r="H304"/>
      <c r="J304" s="27"/>
      <c r="M304" s="27"/>
      <c r="N304" s="27"/>
      <c r="O304" s="27"/>
      <c r="P304" s="27"/>
      <c r="Q304" s="27"/>
      <c r="R304" s="511"/>
    </row>
    <row r="305" spans="1:18">
      <c r="A305" s="513" t="s">
        <v>17802</v>
      </c>
      <c r="B305" s="513">
        <v>229648</v>
      </c>
      <c r="C305" s="513" t="s">
        <v>17802</v>
      </c>
      <c r="E305"/>
      <c r="F305"/>
      <c r="H305"/>
      <c r="J305" s="27"/>
      <c r="M305" s="27"/>
      <c r="N305" s="27"/>
      <c r="O305" s="27"/>
      <c r="P305" s="27"/>
      <c r="Q305" s="27"/>
      <c r="R305" s="511"/>
    </row>
    <row r="306" spans="1:18">
      <c r="A306" s="513" t="s">
        <v>17412</v>
      </c>
      <c r="B306" s="513">
        <v>227795</v>
      </c>
      <c r="C306" s="513" t="s">
        <v>17412</v>
      </c>
      <c r="E306"/>
      <c r="F306"/>
      <c r="H306"/>
      <c r="J306" s="27"/>
      <c r="M306" s="27"/>
      <c r="N306" s="27"/>
      <c r="O306" s="27"/>
      <c r="P306" s="27"/>
      <c r="Q306" s="27"/>
      <c r="R306" s="511"/>
    </row>
    <row r="307" spans="1:18">
      <c r="A307" s="513" t="s">
        <v>18068</v>
      </c>
      <c r="B307" s="513">
        <v>227795</v>
      </c>
      <c r="C307" s="513" t="s">
        <v>18068</v>
      </c>
      <c r="E307"/>
      <c r="F307"/>
      <c r="H307"/>
      <c r="J307" s="27"/>
      <c r="M307" s="27"/>
      <c r="N307" s="27"/>
      <c r="O307" s="27"/>
      <c r="P307" s="27"/>
      <c r="Q307" s="27"/>
      <c r="R307" s="511"/>
    </row>
    <row r="308" spans="1:18">
      <c r="A308" s="513" t="s">
        <v>17306</v>
      </c>
      <c r="B308" s="513">
        <v>11177521</v>
      </c>
      <c r="C308" s="513" t="s">
        <v>17306</v>
      </c>
      <c r="E308"/>
      <c r="F308"/>
      <c r="H308"/>
      <c r="J308" s="27"/>
      <c r="M308" s="27"/>
      <c r="N308" s="27"/>
      <c r="O308" s="27"/>
      <c r="P308" s="27"/>
      <c r="Q308" s="27"/>
      <c r="R308" s="511"/>
    </row>
    <row r="309" spans="1:18">
      <c r="A309" s="513" t="s">
        <v>17827</v>
      </c>
      <c r="B309" s="513">
        <v>11177521</v>
      </c>
      <c r="C309" s="513" t="s">
        <v>17827</v>
      </c>
      <c r="E309"/>
      <c r="F309"/>
      <c r="H309"/>
      <c r="J309" s="27"/>
      <c r="M309" s="27"/>
      <c r="N309" s="27"/>
      <c r="O309" s="27"/>
      <c r="P309" s="27"/>
      <c r="Q309" s="27"/>
      <c r="R309" s="511"/>
    </row>
    <row r="310" spans="1:18">
      <c r="A310" s="513" t="s">
        <v>17751</v>
      </c>
      <c r="B310" s="513">
        <v>3875566</v>
      </c>
      <c r="C310" s="513" t="s">
        <v>17751</v>
      </c>
      <c r="E310"/>
      <c r="F310"/>
      <c r="H310"/>
      <c r="J310" s="27"/>
      <c r="M310" s="27"/>
      <c r="N310" s="27"/>
      <c r="O310" s="27"/>
      <c r="P310" s="27"/>
      <c r="Q310" s="27"/>
      <c r="R310" s="511"/>
    </row>
    <row r="311" spans="1:18">
      <c r="A311" s="513" t="s">
        <v>17383</v>
      </c>
      <c r="B311" s="513">
        <v>3875566</v>
      </c>
      <c r="C311" s="513" t="s">
        <v>17383</v>
      </c>
      <c r="E311"/>
      <c r="F311"/>
      <c r="H311"/>
      <c r="J311" s="27"/>
      <c r="M311" s="27"/>
      <c r="N311" s="27"/>
      <c r="O311" s="27"/>
      <c r="P311" s="27"/>
      <c r="Q311" s="27"/>
      <c r="R311" s="511"/>
    </row>
    <row r="312" spans="1:18">
      <c r="A312" s="513" t="s">
        <v>17758</v>
      </c>
      <c r="B312" s="513">
        <v>3875566</v>
      </c>
      <c r="C312" s="513" t="s">
        <v>17758</v>
      </c>
      <c r="E312"/>
      <c r="F312"/>
      <c r="H312"/>
      <c r="J312" s="27"/>
      <c r="M312" s="27"/>
      <c r="N312" s="27"/>
      <c r="O312" s="27"/>
      <c r="P312" s="27"/>
      <c r="Q312" s="27"/>
      <c r="R312" s="511"/>
    </row>
    <row r="313" spans="1:18">
      <c r="A313" s="513" t="s">
        <v>17506</v>
      </c>
      <c r="B313" s="513">
        <v>26193972</v>
      </c>
      <c r="C313" s="513" t="s">
        <v>17506</v>
      </c>
      <c r="E313"/>
      <c r="F313"/>
      <c r="H313"/>
      <c r="J313" s="27"/>
      <c r="M313" s="27"/>
      <c r="N313" s="27"/>
      <c r="O313" s="27"/>
      <c r="P313" s="27"/>
      <c r="Q313" s="27"/>
      <c r="R313" s="511"/>
    </row>
    <row r="314" spans="1:18">
      <c r="A314" s="513" t="s">
        <v>17516</v>
      </c>
      <c r="B314" s="513">
        <v>26193972</v>
      </c>
      <c r="C314" s="513" t="s">
        <v>17516</v>
      </c>
      <c r="E314"/>
      <c r="F314"/>
      <c r="H314"/>
      <c r="J314" s="27"/>
      <c r="M314" s="27"/>
      <c r="N314" s="27"/>
      <c r="O314" s="27"/>
      <c r="P314" s="27"/>
      <c r="Q314" s="27"/>
      <c r="R314" s="511"/>
    </row>
    <row r="315" spans="1:18">
      <c r="A315" s="513" t="s">
        <v>17919</v>
      </c>
      <c r="B315" s="513">
        <v>95667</v>
      </c>
      <c r="C315" s="513" t="s">
        <v>17919</v>
      </c>
      <c r="E315"/>
      <c r="F315"/>
      <c r="H315"/>
      <c r="J315" s="27"/>
      <c r="M315" s="27"/>
      <c r="N315" s="27"/>
      <c r="O315" s="27"/>
      <c r="P315" s="27"/>
      <c r="Q315" s="27"/>
      <c r="R315" s="511"/>
    </row>
    <row r="316" spans="1:18">
      <c r="A316" s="513" t="s">
        <v>17900</v>
      </c>
      <c r="B316" s="513">
        <v>95667</v>
      </c>
      <c r="C316" s="513" t="s">
        <v>17900</v>
      </c>
      <c r="E316"/>
      <c r="F316"/>
      <c r="H316"/>
      <c r="J316" s="27"/>
      <c r="M316" s="27"/>
      <c r="N316" s="27"/>
      <c r="O316" s="27"/>
      <c r="P316" s="27"/>
      <c r="Q316" s="27"/>
      <c r="R316" s="511"/>
    </row>
    <row r="317" spans="1:18">
      <c r="A317" s="513" t="s">
        <v>17377</v>
      </c>
      <c r="B317" s="513">
        <v>108174602</v>
      </c>
      <c r="C317" s="513" t="s">
        <v>17377</v>
      </c>
      <c r="E317"/>
      <c r="F317"/>
      <c r="H317"/>
      <c r="J317" s="27"/>
      <c r="M317" s="27"/>
      <c r="N317" s="27"/>
      <c r="O317" s="27"/>
      <c r="P317" s="27"/>
      <c r="Q317" s="27"/>
      <c r="R317" s="511"/>
    </row>
    <row r="318" spans="1:18">
      <c r="A318" s="513" t="s">
        <v>17711</v>
      </c>
      <c r="B318" s="513">
        <v>1632670</v>
      </c>
      <c r="C318" s="513" t="s">
        <v>17711</v>
      </c>
      <c r="E318"/>
      <c r="F318"/>
      <c r="H318"/>
      <c r="J318" s="27"/>
      <c r="M318" s="27"/>
      <c r="N318" s="27"/>
      <c r="O318" s="27"/>
      <c r="P318" s="27"/>
      <c r="Q318" s="27"/>
      <c r="R318" s="511"/>
    </row>
    <row r="319" spans="1:18">
      <c r="A319" s="513" t="s">
        <v>17669</v>
      </c>
      <c r="B319" s="513">
        <v>1632670</v>
      </c>
      <c r="C319" s="513" t="s">
        <v>17669</v>
      </c>
      <c r="E319"/>
      <c r="F319"/>
      <c r="H319"/>
      <c r="J319" s="27"/>
      <c r="M319" s="27"/>
      <c r="N319" s="27"/>
      <c r="O319" s="27"/>
      <c r="P319" s="27"/>
      <c r="Q319" s="27"/>
      <c r="R319" s="511"/>
    </row>
    <row r="320" spans="1:18">
      <c r="A320" s="513" t="s">
        <v>14886</v>
      </c>
      <c r="B320" s="513">
        <v>9670000</v>
      </c>
      <c r="C320" s="513" t="s">
        <v>14886</v>
      </c>
      <c r="E320"/>
      <c r="F320"/>
      <c r="H320"/>
      <c r="J320" s="27"/>
      <c r="M320" s="27"/>
      <c r="N320" s="27"/>
      <c r="O320" s="27"/>
      <c r="P320" s="27"/>
      <c r="Q320" s="27"/>
      <c r="R320" s="511"/>
    </row>
    <row r="321" spans="1:18">
      <c r="A321" s="513" t="s">
        <v>18543</v>
      </c>
      <c r="B321" s="513">
        <v>8856000</v>
      </c>
      <c r="C321" s="513" t="s">
        <v>18543</v>
      </c>
      <c r="E321"/>
      <c r="F321"/>
      <c r="H321"/>
      <c r="J321" s="27"/>
      <c r="M321" s="27"/>
      <c r="N321" s="27"/>
      <c r="O321" s="27"/>
      <c r="P321" s="27"/>
      <c r="Q321" s="27"/>
      <c r="R321" s="511"/>
    </row>
    <row r="322" spans="1:18">
      <c r="A322" s="513" t="s">
        <v>14949</v>
      </c>
      <c r="B322" s="513">
        <v>-44526094</v>
      </c>
      <c r="C322" s="513" t="s">
        <v>14949</v>
      </c>
      <c r="E322"/>
      <c r="F322"/>
      <c r="H322"/>
      <c r="J322" s="27"/>
      <c r="M322" s="27"/>
      <c r="N322" s="27"/>
      <c r="O322" s="27"/>
      <c r="P322" s="27"/>
      <c r="Q322" s="27"/>
      <c r="R322" s="511"/>
    </row>
    <row r="323" spans="1:18">
      <c r="A323" s="513" t="s">
        <v>17842</v>
      </c>
      <c r="B323" s="513">
        <v>208</v>
      </c>
      <c r="C323" s="513" t="s">
        <v>17842</v>
      </c>
      <c r="E323"/>
      <c r="F323"/>
      <c r="H323"/>
      <c r="J323" s="27"/>
      <c r="M323" s="27"/>
      <c r="N323" s="27"/>
      <c r="O323" s="27"/>
      <c r="P323" s="27"/>
      <c r="Q323" s="27"/>
      <c r="R323" s="511"/>
    </row>
    <row r="324" spans="1:18">
      <c r="A324" s="513" t="s">
        <v>17326</v>
      </c>
      <c r="B324" s="513">
        <v>208</v>
      </c>
      <c r="C324" s="513" t="s">
        <v>17326</v>
      </c>
      <c r="E324"/>
      <c r="F324"/>
      <c r="H324"/>
      <c r="J324" s="27"/>
      <c r="M324" s="27"/>
      <c r="N324" s="27"/>
      <c r="O324" s="27"/>
      <c r="P324" s="27"/>
      <c r="Q324" s="27"/>
      <c r="R324" s="511"/>
    </row>
    <row r="325" spans="1:18">
      <c r="A325" s="513" t="s">
        <v>17902</v>
      </c>
      <c r="B325" s="513">
        <v>95847229</v>
      </c>
      <c r="C325" s="513" t="s">
        <v>17902</v>
      </c>
      <c r="E325"/>
      <c r="F325"/>
      <c r="H325"/>
      <c r="J325" s="27"/>
      <c r="M325" s="27"/>
      <c r="N325" s="27"/>
      <c r="O325" s="27"/>
      <c r="P325" s="27"/>
      <c r="Q325" s="27"/>
      <c r="R325" s="511"/>
    </row>
    <row r="326" spans="1:18">
      <c r="A326" s="513" t="s">
        <v>17920</v>
      </c>
      <c r="B326" s="513">
        <v>95847229</v>
      </c>
      <c r="C326" s="513" t="s">
        <v>17920</v>
      </c>
      <c r="E326"/>
      <c r="F326"/>
      <c r="H326"/>
      <c r="J326" s="27"/>
      <c r="M326" s="27"/>
      <c r="N326" s="27"/>
      <c r="O326" s="27"/>
      <c r="P326" s="27"/>
      <c r="Q326" s="27"/>
      <c r="R326" s="511"/>
    </row>
    <row r="327" spans="1:18">
      <c r="A327" s="513" t="s">
        <v>17823</v>
      </c>
      <c r="B327" s="513">
        <v>12757758</v>
      </c>
      <c r="C327" s="513" t="s">
        <v>17823</v>
      </c>
      <c r="E327"/>
      <c r="F327"/>
      <c r="H327"/>
      <c r="J327" s="27"/>
      <c r="M327" s="27"/>
      <c r="N327" s="27"/>
      <c r="O327" s="27"/>
      <c r="P327" s="27"/>
      <c r="Q327" s="27"/>
      <c r="R327" s="511"/>
    </row>
    <row r="328" spans="1:18">
      <c r="A328" s="513" t="s">
        <v>17302</v>
      </c>
      <c r="B328" s="513">
        <v>12757758</v>
      </c>
      <c r="C328" s="513" t="s">
        <v>17302</v>
      </c>
      <c r="E328"/>
      <c r="F328"/>
      <c r="H328"/>
      <c r="J328" s="27"/>
      <c r="M328" s="27"/>
      <c r="N328" s="27"/>
      <c r="O328" s="27"/>
      <c r="P328" s="27"/>
      <c r="Q328" s="27"/>
      <c r="R328" s="511"/>
    </row>
    <row r="329" spans="1:18">
      <c r="A329" s="513" t="s">
        <v>17824</v>
      </c>
      <c r="B329" s="513">
        <v>1521009</v>
      </c>
      <c r="C329" s="513" t="s">
        <v>17824</v>
      </c>
      <c r="E329"/>
      <c r="F329"/>
      <c r="H329"/>
      <c r="J329" s="27"/>
      <c r="M329" s="27"/>
      <c r="N329" s="27"/>
      <c r="O329" s="27"/>
      <c r="P329" s="27"/>
      <c r="Q329" s="27"/>
      <c r="R329" s="511"/>
    </row>
    <row r="330" spans="1:18">
      <c r="A330" s="513" t="s">
        <v>17304</v>
      </c>
      <c r="B330" s="513">
        <v>1521009</v>
      </c>
      <c r="C330" s="513" t="s">
        <v>17304</v>
      </c>
      <c r="E330"/>
      <c r="F330"/>
      <c r="H330"/>
      <c r="J330" s="27"/>
      <c r="M330" s="27"/>
      <c r="N330" s="27"/>
      <c r="O330" s="27"/>
      <c r="P330" s="27"/>
      <c r="Q330" s="27"/>
      <c r="R330" s="511"/>
    </row>
    <row r="331" spans="1:18">
      <c r="A331" s="513" t="s">
        <v>17305</v>
      </c>
      <c r="B331" s="513">
        <v>12757758</v>
      </c>
      <c r="C331" s="513" t="s">
        <v>17305</v>
      </c>
      <c r="E331"/>
      <c r="F331"/>
      <c r="H331"/>
      <c r="J331" s="27"/>
      <c r="M331" s="27"/>
      <c r="N331" s="27"/>
      <c r="O331" s="27"/>
      <c r="P331" s="27"/>
      <c r="Q331" s="27"/>
      <c r="R331" s="511"/>
    </row>
    <row r="332" spans="1:18">
      <c r="A332" s="513" t="s">
        <v>17826</v>
      </c>
      <c r="B332" s="513">
        <v>12757758</v>
      </c>
      <c r="C332" s="513" t="s">
        <v>17826</v>
      </c>
      <c r="E332"/>
      <c r="F332"/>
      <c r="H332"/>
      <c r="J332" s="27"/>
      <c r="M332" s="27"/>
      <c r="N332" s="27"/>
      <c r="O332" s="27"/>
      <c r="P332" s="27"/>
      <c r="Q332" s="27"/>
      <c r="R332" s="511"/>
    </row>
    <row r="333" spans="1:18">
      <c r="A333" s="513" t="s">
        <v>17845</v>
      </c>
      <c r="B333" s="513">
        <v>6294700</v>
      </c>
      <c r="C333" s="513" t="s">
        <v>17845</v>
      </c>
      <c r="E333"/>
      <c r="F333"/>
      <c r="H333"/>
      <c r="J333" s="27"/>
      <c r="M333" s="27"/>
      <c r="N333" s="27"/>
      <c r="O333" s="27"/>
      <c r="P333" s="27"/>
      <c r="Q333" s="27"/>
      <c r="R333" s="511"/>
    </row>
    <row r="334" spans="1:18">
      <c r="A334" s="513" t="s">
        <v>17330</v>
      </c>
      <c r="B334" s="513">
        <v>6294700</v>
      </c>
      <c r="C334" s="513" t="s">
        <v>17330</v>
      </c>
      <c r="E334"/>
      <c r="F334"/>
      <c r="H334"/>
      <c r="J334" s="27"/>
      <c r="M334" s="27"/>
      <c r="N334" s="27"/>
      <c r="O334" s="27"/>
      <c r="P334" s="27"/>
      <c r="Q334" s="27"/>
      <c r="R334" s="511"/>
    </row>
    <row r="335" spans="1:18">
      <c r="A335" s="513" t="s">
        <v>17841</v>
      </c>
      <c r="B335" s="513">
        <v>2174400</v>
      </c>
      <c r="C335" s="513" t="s">
        <v>17841</v>
      </c>
      <c r="E335"/>
      <c r="F335"/>
      <c r="H335"/>
      <c r="J335" s="27"/>
      <c r="M335" s="27"/>
      <c r="N335" s="27"/>
      <c r="O335" s="27"/>
      <c r="P335" s="27"/>
      <c r="Q335" s="27"/>
      <c r="R335" s="511"/>
    </row>
    <row r="336" spans="1:18">
      <c r="A336" s="513" t="s">
        <v>17325</v>
      </c>
      <c r="B336" s="513">
        <v>2174400</v>
      </c>
      <c r="C336" s="513" t="s">
        <v>17325</v>
      </c>
      <c r="E336"/>
      <c r="F336"/>
      <c r="H336"/>
      <c r="J336" s="27"/>
      <c r="M336" s="27"/>
      <c r="N336" s="27"/>
      <c r="O336" s="27"/>
      <c r="P336" s="27"/>
      <c r="Q336" s="27"/>
      <c r="R336" s="511"/>
    </row>
    <row r="337" spans="1:18">
      <c r="A337" s="513" t="s">
        <v>18524</v>
      </c>
      <c r="B337" s="513">
        <v>343571</v>
      </c>
      <c r="C337" s="513" t="s">
        <v>18524</v>
      </c>
      <c r="E337"/>
      <c r="F337"/>
      <c r="H337"/>
      <c r="J337" s="27"/>
      <c r="M337" s="27"/>
      <c r="N337" s="27"/>
      <c r="O337" s="27"/>
      <c r="P337" s="27"/>
      <c r="Q337" s="27"/>
      <c r="R337" s="511"/>
    </row>
    <row r="338" spans="1:18">
      <c r="A338" s="513" t="s">
        <v>18526</v>
      </c>
      <c r="B338" s="513">
        <v>343571</v>
      </c>
      <c r="C338" s="513" t="s">
        <v>18526</v>
      </c>
      <c r="E338"/>
      <c r="F338"/>
      <c r="H338"/>
      <c r="J338" s="27"/>
      <c r="M338" s="27"/>
      <c r="N338" s="27"/>
      <c r="O338" s="27"/>
      <c r="P338" s="27"/>
      <c r="Q338" s="27"/>
      <c r="R338" s="511"/>
    </row>
    <row r="339" spans="1:18">
      <c r="A339" s="513" t="s">
        <v>18425</v>
      </c>
      <c r="B339" s="513">
        <v>436639</v>
      </c>
      <c r="C339" s="513" t="s">
        <v>18425</v>
      </c>
      <c r="E339"/>
      <c r="F339"/>
      <c r="H339"/>
      <c r="J339" s="27"/>
      <c r="M339" s="27"/>
      <c r="N339" s="27"/>
      <c r="O339" s="27"/>
      <c r="P339" s="27"/>
      <c r="Q339" s="27"/>
      <c r="R339" s="511"/>
    </row>
    <row r="340" spans="1:18">
      <c r="A340" s="513" t="s">
        <v>17663</v>
      </c>
      <c r="B340" s="513">
        <v>1207745</v>
      </c>
      <c r="C340" s="513" t="s">
        <v>17663</v>
      </c>
      <c r="E340"/>
      <c r="F340"/>
      <c r="H340"/>
      <c r="J340" s="27"/>
      <c r="M340" s="27"/>
      <c r="N340" s="27"/>
      <c r="O340" s="27"/>
      <c r="P340" s="27"/>
      <c r="Q340" s="27"/>
      <c r="R340" s="511"/>
    </row>
    <row r="341" spans="1:18">
      <c r="A341" s="513" t="s">
        <v>17709</v>
      </c>
      <c r="B341" s="513">
        <v>1207745</v>
      </c>
      <c r="C341" s="513" t="s">
        <v>17709</v>
      </c>
      <c r="E341"/>
      <c r="F341"/>
      <c r="H341"/>
      <c r="J341" s="27"/>
      <c r="M341" s="27"/>
      <c r="N341" s="27"/>
      <c r="O341" s="27"/>
      <c r="P341" s="27"/>
      <c r="Q341" s="27"/>
      <c r="R341" s="511"/>
    </row>
    <row r="342" spans="1:18">
      <c r="A342" s="513" t="s">
        <v>18981</v>
      </c>
      <c r="B342" s="513">
        <v>6918866</v>
      </c>
      <c r="C342" s="513" t="s">
        <v>18981</v>
      </c>
      <c r="E342"/>
      <c r="F342"/>
      <c r="H342"/>
      <c r="J342" s="27"/>
      <c r="M342" s="27"/>
      <c r="N342" s="27"/>
      <c r="O342" s="27"/>
      <c r="P342" s="27"/>
      <c r="Q342" s="27"/>
      <c r="R342" s="511"/>
    </row>
    <row r="343" spans="1:18">
      <c r="A343" s="513" t="s">
        <v>18686</v>
      </c>
      <c r="B343" s="513">
        <v>6918866</v>
      </c>
      <c r="C343" s="513" t="s">
        <v>18686</v>
      </c>
      <c r="E343"/>
      <c r="F343"/>
      <c r="H343"/>
      <c r="J343" s="27"/>
      <c r="M343" s="27"/>
      <c r="N343" s="27"/>
      <c r="O343" s="27"/>
      <c r="P343" s="27"/>
      <c r="Q343" s="27"/>
      <c r="R343" s="511"/>
    </row>
    <row r="344" spans="1:18">
      <c r="A344" s="513" t="s">
        <v>18689</v>
      </c>
      <c r="B344" s="513">
        <v>25200</v>
      </c>
      <c r="C344" s="513" t="s">
        <v>18689</v>
      </c>
      <c r="E344"/>
      <c r="F344"/>
      <c r="H344"/>
      <c r="J344" s="27"/>
      <c r="M344" s="27"/>
      <c r="N344" s="27"/>
      <c r="O344" s="27"/>
      <c r="P344" s="27"/>
      <c r="Q344" s="27"/>
      <c r="R344" s="511"/>
    </row>
    <row r="345" spans="1:18">
      <c r="A345" s="513" t="s">
        <v>18978</v>
      </c>
      <c r="B345" s="513">
        <v>25200</v>
      </c>
      <c r="C345" s="513" t="s">
        <v>18978</v>
      </c>
      <c r="E345"/>
      <c r="F345"/>
      <c r="H345"/>
      <c r="J345" s="27"/>
      <c r="M345" s="27"/>
      <c r="N345" s="27"/>
      <c r="O345" s="27"/>
      <c r="P345" s="27"/>
      <c r="Q345" s="27"/>
      <c r="R345" s="511"/>
    </row>
    <row r="346" spans="1:18">
      <c r="A346" s="513" t="s">
        <v>17206</v>
      </c>
      <c r="B346" s="513">
        <v>136839</v>
      </c>
      <c r="C346" s="513" t="s">
        <v>17206</v>
      </c>
      <c r="E346"/>
      <c r="F346"/>
      <c r="H346"/>
      <c r="J346" s="27"/>
      <c r="M346" s="27"/>
      <c r="N346" s="27"/>
      <c r="O346" s="27"/>
      <c r="P346" s="27"/>
      <c r="Q346" s="27"/>
      <c r="R346" s="511"/>
    </row>
    <row r="347" spans="1:18">
      <c r="A347" s="513" t="s">
        <v>17274</v>
      </c>
      <c r="B347" s="513">
        <v>136839</v>
      </c>
      <c r="C347" s="513" t="s">
        <v>17274</v>
      </c>
      <c r="E347"/>
      <c r="F347"/>
      <c r="H347"/>
      <c r="J347" s="27"/>
      <c r="M347" s="27"/>
      <c r="N347" s="27"/>
      <c r="O347" s="27"/>
      <c r="P347" s="27"/>
      <c r="Q347" s="27"/>
      <c r="R347" s="511"/>
    </row>
    <row r="348" spans="1:18">
      <c r="A348" s="513" t="s">
        <v>18104</v>
      </c>
      <c r="B348" s="513">
        <v>10189333</v>
      </c>
      <c r="C348" s="513" t="s">
        <v>18104</v>
      </c>
      <c r="E348"/>
      <c r="F348"/>
      <c r="H348"/>
      <c r="J348" s="27"/>
      <c r="M348" s="27"/>
      <c r="N348" s="27"/>
      <c r="O348" s="27"/>
      <c r="P348" s="27"/>
      <c r="Q348" s="27"/>
      <c r="R348" s="511"/>
    </row>
    <row r="349" spans="1:18">
      <c r="A349" s="513" t="s">
        <v>17783</v>
      </c>
      <c r="B349" s="513">
        <v>24291784</v>
      </c>
      <c r="C349" s="513" t="s">
        <v>17783</v>
      </c>
      <c r="E349"/>
      <c r="F349"/>
      <c r="H349"/>
      <c r="J349" s="27"/>
      <c r="M349" s="27"/>
      <c r="N349" s="27"/>
      <c r="O349" s="27"/>
      <c r="P349" s="27"/>
      <c r="Q349" s="27"/>
      <c r="R349" s="511"/>
    </row>
    <row r="350" spans="1:18">
      <c r="A350" s="513" t="s">
        <v>17873</v>
      </c>
      <c r="B350" s="513">
        <v>10189333</v>
      </c>
      <c r="C350" s="513" t="s">
        <v>17873</v>
      </c>
      <c r="E350"/>
      <c r="F350"/>
      <c r="H350"/>
      <c r="J350" s="27"/>
      <c r="M350" s="27"/>
      <c r="N350" s="27"/>
      <c r="O350" s="27"/>
      <c r="P350" s="27"/>
      <c r="Q350" s="27"/>
      <c r="R350" s="511"/>
    </row>
    <row r="351" spans="1:18">
      <c r="A351" s="513" t="s">
        <v>18915</v>
      </c>
      <c r="B351" s="513">
        <v>13516936</v>
      </c>
      <c r="C351" s="513" t="s">
        <v>18915</v>
      </c>
      <c r="E351"/>
      <c r="F351"/>
      <c r="H351"/>
      <c r="M351" s="27"/>
      <c r="N351" s="27"/>
      <c r="O351" s="27"/>
      <c r="P351" s="27"/>
      <c r="Q351" s="27"/>
      <c r="R351" s="511"/>
    </row>
    <row r="352" spans="1:18">
      <c r="A352" s="513" t="s">
        <v>18712</v>
      </c>
      <c r="B352" s="513">
        <v>17455823</v>
      </c>
      <c r="C352" s="513" t="s">
        <v>18712</v>
      </c>
      <c r="E352"/>
      <c r="F352"/>
      <c r="H352"/>
      <c r="M352" s="27"/>
      <c r="N352" s="27"/>
      <c r="O352" s="27"/>
      <c r="P352" s="27"/>
      <c r="Q352" s="27"/>
      <c r="R352" s="511"/>
    </row>
    <row r="353" spans="1:18">
      <c r="A353" s="513" t="s">
        <v>18913</v>
      </c>
      <c r="B353" s="513">
        <v>13516936</v>
      </c>
      <c r="C353" s="513" t="s">
        <v>18913</v>
      </c>
      <c r="E353"/>
      <c r="F353"/>
      <c r="H353"/>
      <c r="M353" s="27"/>
      <c r="N353" s="27"/>
      <c r="O353" s="27"/>
      <c r="P353" s="27"/>
      <c r="Q353" s="27"/>
      <c r="R353" s="511"/>
    </row>
    <row r="354" spans="1:18">
      <c r="A354" s="513" t="s">
        <v>18690</v>
      </c>
      <c r="B354" s="513">
        <v>11763796</v>
      </c>
      <c r="C354" s="513" t="s">
        <v>18690</v>
      </c>
      <c r="E354"/>
      <c r="F354"/>
      <c r="H354"/>
      <c r="M354" s="27"/>
      <c r="N354" s="27"/>
      <c r="O354" s="27"/>
      <c r="P354" s="27"/>
      <c r="Q354" s="27"/>
      <c r="R354" s="511"/>
    </row>
    <row r="355" spans="1:18">
      <c r="A355" s="513" t="s">
        <v>18984</v>
      </c>
      <c r="B355" s="513">
        <v>11763796</v>
      </c>
      <c r="C355" s="513" t="s">
        <v>18984</v>
      </c>
      <c r="E355"/>
      <c r="F355"/>
      <c r="H355"/>
      <c r="M355" s="27"/>
      <c r="N355" s="27"/>
      <c r="O355" s="27"/>
      <c r="P355" s="27"/>
      <c r="Q355" s="27"/>
      <c r="R355" s="511"/>
    </row>
    <row r="356" spans="1:18">
      <c r="A356" s="513" t="s">
        <v>17829</v>
      </c>
      <c r="B356" s="513">
        <v>140000</v>
      </c>
      <c r="C356" s="513" t="s">
        <v>17829</v>
      </c>
      <c r="E356"/>
      <c r="F356"/>
      <c r="H356"/>
      <c r="M356" s="27"/>
      <c r="N356" s="27"/>
      <c r="O356" s="27"/>
      <c r="P356" s="27"/>
      <c r="Q356" s="27"/>
      <c r="R356" s="511"/>
    </row>
    <row r="357" spans="1:18">
      <c r="A357" s="513" t="s">
        <v>17310</v>
      </c>
      <c r="B357" s="513">
        <v>140000</v>
      </c>
      <c r="C357" s="513" t="s">
        <v>17310</v>
      </c>
      <c r="E357"/>
      <c r="F357"/>
      <c r="H357"/>
      <c r="M357" s="27"/>
      <c r="N357" s="27"/>
      <c r="O357" s="27"/>
      <c r="P357" s="27"/>
      <c r="Q357" s="27"/>
      <c r="R357" s="511"/>
    </row>
    <row r="358" spans="1:18">
      <c r="A358" s="513" t="s">
        <v>17822</v>
      </c>
      <c r="B358" s="513">
        <v>1206431</v>
      </c>
      <c r="C358" s="513" t="s">
        <v>17822</v>
      </c>
      <c r="E358"/>
      <c r="F358"/>
      <c r="H358"/>
      <c r="M358" s="27"/>
      <c r="N358" s="27"/>
      <c r="O358" s="27"/>
      <c r="P358" s="27"/>
      <c r="Q358" s="27"/>
      <c r="R358" s="511"/>
    </row>
    <row r="359" spans="1:18">
      <c r="A359" s="513" t="s">
        <v>17300</v>
      </c>
      <c r="B359" s="513">
        <v>1206431</v>
      </c>
      <c r="C359" s="513" t="s">
        <v>17300</v>
      </c>
      <c r="E359"/>
      <c r="F359"/>
      <c r="H359"/>
      <c r="M359" s="27"/>
      <c r="N359" s="27"/>
      <c r="O359" s="27"/>
      <c r="P359" s="27"/>
      <c r="Q359" s="27"/>
      <c r="R359" s="511"/>
    </row>
    <row r="360" spans="1:18">
      <c r="A360" s="513" t="s">
        <v>18741</v>
      </c>
      <c r="B360" s="513">
        <v>33691530</v>
      </c>
      <c r="C360" s="513" t="s">
        <v>18741</v>
      </c>
      <c r="E360"/>
      <c r="F360"/>
      <c r="H360"/>
      <c r="M360" s="27"/>
      <c r="N360" s="27"/>
      <c r="O360" s="27"/>
      <c r="P360" s="27"/>
      <c r="Q360" s="27"/>
      <c r="R360" s="511"/>
    </row>
    <row r="361" spans="1:18">
      <c r="A361" s="513" t="s">
        <v>18991</v>
      </c>
      <c r="B361" s="513">
        <v>33691530</v>
      </c>
      <c r="C361" s="513" t="s">
        <v>18991</v>
      </c>
      <c r="E361"/>
      <c r="F361"/>
      <c r="H361"/>
      <c r="M361" s="27"/>
      <c r="N361" s="27"/>
      <c r="O361" s="27"/>
      <c r="P361" s="27"/>
      <c r="Q361" s="27"/>
      <c r="R361" s="511"/>
    </row>
    <row r="362" spans="1:18">
      <c r="A362" s="513" t="s">
        <v>18839</v>
      </c>
      <c r="B362" s="513">
        <v>3789463</v>
      </c>
      <c r="C362" s="513" t="s">
        <v>18839</v>
      </c>
      <c r="E362"/>
      <c r="F362"/>
      <c r="H362"/>
      <c r="M362" s="27"/>
      <c r="N362" s="27"/>
      <c r="O362" s="27"/>
      <c r="P362" s="27"/>
      <c r="Q362" s="27"/>
      <c r="R362" s="511"/>
    </row>
    <row r="363" spans="1:18">
      <c r="A363" s="513" t="s">
        <v>18862</v>
      </c>
      <c r="B363" s="513">
        <v>3789463</v>
      </c>
      <c r="C363" s="513" t="s">
        <v>18862</v>
      </c>
      <c r="E363"/>
      <c r="F363"/>
      <c r="H363"/>
      <c r="M363" s="27"/>
      <c r="N363" s="27"/>
      <c r="O363" s="27"/>
      <c r="P363" s="27"/>
      <c r="Q363" s="27"/>
      <c r="R363" s="511"/>
    </row>
    <row r="364" spans="1:18">
      <c r="A364" s="513" t="s">
        <v>18696</v>
      </c>
      <c r="B364" s="513">
        <v>45189</v>
      </c>
      <c r="C364" s="513" t="s">
        <v>18696</v>
      </c>
      <c r="E364"/>
      <c r="F364"/>
      <c r="H364"/>
      <c r="M364" s="27"/>
      <c r="N364" s="27"/>
      <c r="O364" s="27"/>
      <c r="P364" s="27"/>
      <c r="Q364" s="27"/>
      <c r="R364" s="511"/>
    </row>
    <row r="365" spans="1:18">
      <c r="A365" s="513" t="s">
        <v>18977</v>
      </c>
      <c r="B365" s="513">
        <v>45189</v>
      </c>
      <c r="C365" s="513" t="s">
        <v>18977</v>
      </c>
      <c r="E365"/>
      <c r="F365"/>
      <c r="H365"/>
      <c r="M365" s="27"/>
      <c r="N365" s="27"/>
      <c r="O365" s="27"/>
      <c r="P365" s="27"/>
      <c r="Q365" s="27"/>
      <c r="R365" s="511"/>
    </row>
    <row r="366" spans="1:18">
      <c r="A366" s="513" t="s">
        <v>18391</v>
      </c>
      <c r="B366" s="513">
        <v>200000</v>
      </c>
      <c r="C366" s="513" t="s">
        <v>18391</v>
      </c>
      <c r="E366"/>
      <c r="F366"/>
      <c r="H366"/>
      <c r="M366" s="27"/>
      <c r="N366" s="27"/>
      <c r="O366" s="27"/>
      <c r="P366" s="27"/>
      <c r="Q366" s="27"/>
      <c r="R366" s="511"/>
    </row>
    <row r="367" spans="1:18">
      <c r="A367" s="513" t="s">
        <v>17450</v>
      </c>
      <c r="B367" s="513">
        <v>200000</v>
      </c>
      <c r="C367" s="513" t="s">
        <v>17450</v>
      </c>
      <c r="E367"/>
      <c r="F367"/>
      <c r="H367"/>
      <c r="M367" s="27"/>
      <c r="N367" s="27"/>
      <c r="O367" s="27"/>
      <c r="P367" s="27"/>
      <c r="Q367" s="27"/>
      <c r="R367" s="511"/>
    </row>
    <row r="368" spans="1:18">
      <c r="A368" s="513" t="s">
        <v>17313</v>
      </c>
      <c r="B368" s="513">
        <v>751476</v>
      </c>
      <c r="C368" s="513" t="s">
        <v>17313</v>
      </c>
      <c r="E368"/>
      <c r="F368"/>
      <c r="H368"/>
      <c r="M368" s="27"/>
      <c r="N368" s="27"/>
      <c r="O368" s="27"/>
      <c r="P368" s="27"/>
      <c r="Q368" s="27"/>
      <c r="R368" s="511"/>
    </row>
    <row r="369" spans="1:18">
      <c r="A369" s="513" t="s">
        <v>17831</v>
      </c>
      <c r="B369" s="513">
        <v>751476</v>
      </c>
      <c r="C369" s="513" t="s">
        <v>17831</v>
      </c>
      <c r="E369"/>
      <c r="F369"/>
      <c r="H369"/>
      <c r="M369" s="27"/>
      <c r="N369" s="27"/>
      <c r="O369" s="27"/>
      <c r="P369" s="27"/>
      <c r="Q369" s="27"/>
      <c r="R369" s="511"/>
    </row>
    <row r="370" spans="1:18">
      <c r="A370" s="513" t="s">
        <v>17851</v>
      </c>
      <c r="B370" s="513">
        <v>55483</v>
      </c>
      <c r="C370" s="513" t="s">
        <v>17851</v>
      </c>
      <c r="E370"/>
      <c r="F370"/>
      <c r="H370"/>
      <c r="M370" s="27"/>
      <c r="N370" s="27"/>
      <c r="O370" s="27"/>
      <c r="P370" s="27"/>
      <c r="Q370" s="27"/>
      <c r="R370" s="511"/>
    </row>
    <row r="371" spans="1:18">
      <c r="A371" s="513" t="s">
        <v>17338</v>
      </c>
      <c r="B371" s="513">
        <v>55483</v>
      </c>
      <c r="C371" s="513" t="s">
        <v>17338</v>
      </c>
      <c r="E371"/>
      <c r="F371"/>
      <c r="H371"/>
      <c r="M371" s="27"/>
      <c r="N371" s="27"/>
      <c r="O371" s="27"/>
      <c r="P371" s="27"/>
      <c r="Q371" s="27"/>
      <c r="R371" s="511"/>
    </row>
    <row r="372" spans="1:18">
      <c r="A372" s="513" t="s">
        <v>18926</v>
      </c>
      <c r="B372" s="513">
        <v>-605605823</v>
      </c>
      <c r="C372" s="513" t="s">
        <v>18926</v>
      </c>
      <c r="E372"/>
      <c r="F372"/>
      <c r="H372"/>
      <c r="M372" s="27"/>
      <c r="N372" s="27"/>
      <c r="O372" s="27"/>
      <c r="P372" s="27"/>
      <c r="Q372" s="27"/>
      <c r="R372" s="511"/>
    </row>
    <row r="373" spans="1:18">
      <c r="A373" s="513" t="s">
        <v>18709</v>
      </c>
      <c r="B373" s="513">
        <v>-605605823</v>
      </c>
      <c r="C373" s="513" t="s">
        <v>18709</v>
      </c>
      <c r="E373"/>
      <c r="F373"/>
      <c r="H373"/>
      <c r="M373" s="27"/>
      <c r="N373" s="27"/>
      <c r="O373" s="27"/>
      <c r="P373" s="27"/>
      <c r="Q373" s="27"/>
      <c r="R373" s="511"/>
    </row>
    <row r="374" spans="1:18">
      <c r="A374" s="513" t="s">
        <v>18922</v>
      </c>
      <c r="B374" s="513">
        <v>3938887</v>
      </c>
      <c r="C374" s="513" t="s">
        <v>18922</v>
      </c>
      <c r="E374"/>
      <c r="F374"/>
      <c r="H374"/>
      <c r="M374" s="27"/>
      <c r="N374" s="27"/>
      <c r="O374" s="27"/>
      <c r="P374" s="27"/>
      <c r="Q374" s="27"/>
      <c r="R374" s="511"/>
    </row>
    <row r="375" spans="1:18">
      <c r="A375" s="513" t="s">
        <v>18918</v>
      </c>
      <c r="B375" s="513">
        <v>3938887</v>
      </c>
      <c r="C375" s="513" t="s">
        <v>18918</v>
      </c>
      <c r="E375"/>
      <c r="F375"/>
      <c r="H375"/>
      <c r="M375" s="27"/>
      <c r="N375" s="27"/>
      <c r="O375" s="27"/>
      <c r="P375" s="27"/>
      <c r="Q375" s="27"/>
      <c r="R375" s="511"/>
    </row>
    <row r="376" spans="1:18">
      <c r="A376" s="513" t="s">
        <v>17895</v>
      </c>
      <c r="B376" s="513">
        <v>474000</v>
      </c>
      <c r="C376" s="513" t="s">
        <v>17895</v>
      </c>
      <c r="E376"/>
      <c r="F376"/>
      <c r="H376"/>
      <c r="M376" s="27"/>
      <c r="N376" s="27"/>
      <c r="O376" s="27"/>
      <c r="P376" s="27"/>
      <c r="Q376" s="27"/>
      <c r="R376" s="511"/>
    </row>
    <row r="377" spans="1:18">
      <c r="A377" s="513" t="s">
        <v>18128</v>
      </c>
      <c r="B377" s="513">
        <v>474000</v>
      </c>
      <c r="C377" s="513" t="s">
        <v>18128</v>
      </c>
      <c r="E377"/>
      <c r="F377"/>
      <c r="H377"/>
      <c r="M377" s="27"/>
      <c r="N377" s="27"/>
      <c r="O377" s="27"/>
      <c r="P377" s="27"/>
      <c r="Q377" s="27"/>
      <c r="R377" s="511"/>
    </row>
    <row r="378" spans="1:18">
      <c r="A378" s="513" t="s">
        <v>18125</v>
      </c>
      <c r="B378" s="513">
        <v>58900</v>
      </c>
      <c r="C378" s="513" t="s">
        <v>18125</v>
      </c>
      <c r="E378"/>
      <c r="F378"/>
      <c r="H378"/>
      <c r="M378" s="27"/>
      <c r="N378" s="27"/>
      <c r="O378" s="27"/>
      <c r="P378" s="27"/>
      <c r="Q378" s="27"/>
      <c r="R378" s="511"/>
    </row>
    <row r="379" spans="1:18">
      <c r="A379" s="513" t="s">
        <v>17892</v>
      </c>
      <c r="B379" s="513">
        <v>58900</v>
      </c>
      <c r="C379" s="513" t="s">
        <v>17892</v>
      </c>
      <c r="E379"/>
      <c r="F379"/>
      <c r="H379"/>
      <c r="M379" s="27"/>
      <c r="N379" s="27"/>
      <c r="O379" s="27"/>
      <c r="P379" s="27"/>
      <c r="Q379" s="27"/>
      <c r="R379" s="511"/>
    </row>
    <row r="380" spans="1:18">
      <c r="A380" s="513" t="s">
        <v>18113</v>
      </c>
      <c r="B380" s="513">
        <v>876984</v>
      </c>
      <c r="C380" s="513" t="s">
        <v>18113</v>
      </c>
      <c r="E380"/>
      <c r="F380"/>
      <c r="H380"/>
      <c r="M380" s="27"/>
      <c r="N380" s="27"/>
      <c r="O380" s="27"/>
      <c r="P380" s="27"/>
      <c r="Q380" s="27"/>
      <c r="R380" s="511"/>
    </row>
    <row r="381" spans="1:18">
      <c r="A381" s="513" t="s">
        <v>17864</v>
      </c>
      <c r="B381" s="513">
        <v>876984</v>
      </c>
      <c r="C381" s="513" t="s">
        <v>17864</v>
      </c>
      <c r="E381"/>
      <c r="F381"/>
      <c r="H381"/>
      <c r="M381" s="27"/>
      <c r="N381" s="27"/>
      <c r="O381" s="27"/>
      <c r="P381" s="27"/>
      <c r="Q381" s="27"/>
      <c r="R381" s="511"/>
    </row>
    <row r="382" spans="1:18">
      <c r="A382" s="513" t="s">
        <v>18127</v>
      </c>
      <c r="B382" s="513">
        <v>1406171</v>
      </c>
      <c r="C382" s="513" t="s">
        <v>18127</v>
      </c>
      <c r="E382"/>
      <c r="F382"/>
      <c r="H382"/>
      <c r="M382" s="27"/>
      <c r="N382" s="27"/>
      <c r="O382" s="27"/>
      <c r="P382" s="27"/>
      <c r="Q382" s="27"/>
      <c r="R382" s="511"/>
    </row>
    <row r="383" spans="1:18">
      <c r="A383" s="513" t="s">
        <v>17894</v>
      </c>
      <c r="B383" s="513">
        <v>1406171</v>
      </c>
      <c r="C383" s="513" t="s">
        <v>17894</v>
      </c>
      <c r="E383"/>
      <c r="F383"/>
      <c r="H383"/>
      <c r="M383" s="27"/>
      <c r="N383" s="27"/>
      <c r="O383" s="27"/>
      <c r="P383" s="27"/>
      <c r="Q383" s="27"/>
      <c r="R383" s="511"/>
    </row>
    <row r="384" spans="1:18">
      <c r="A384" s="513" t="s">
        <v>17466</v>
      </c>
      <c r="B384" s="513">
        <v>126022</v>
      </c>
      <c r="C384" s="513" t="s">
        <v>17466</v>
      </c>
      <c r="E384"/>
      <c r="F384"/>
      <c r="H384"/>
      <c r="M384" s="27"/>
      <c r="N384" s="27"/>
      <c r="O384" s="27"/>
      <c r="P384" s="27"/>
      <c r="Q384" s="27"/>
      <c r="R384" s="511"/>
    </row>
    <row r="385" spans="1:18">
      <c r="A385" s="513" t="s">
        <v>18332</v>
      </c>
      <c r="B385" s="513">
        <v>126022</v>
      </c>
      <c r="C385" s="513" t="s">
        <v>18332</v>
      </c>
      <c r="E385"/>
      <c r="F385"/>
      <c r="H385"/>
      <c r="M385" s="27"/>
      <c r="N385" s="27"/>
      <c r="O385" s="27"/>
      <c r="P385" s="27"/>
      <c r="Q385" s="27"/>
      <c r="R385" s="511"/>
    </row>
    <row r="386" spans="1:18">
      <c r="A386" s="513" t="s">
        <v>18327</v>
      </c>
      <c r="B386" s="513">
        <v>126022</v>
      </c>
      <c r="C386" s="513" t="s">
        <v>18327</v>
      </c>
      <c r="E386"/>
      <c r="F386"/>
      <c r="H386"/>
      <c r="M386" s="27"/>
      <c r="N386" s="27"/>
      <c r="O386" s="27"/>
      <c r="P386" s="27"/>
      <c r="Q386" s="27"/>
      <c r="R386" s="511"/>
    </row>
    <row r="387" spans="1:18">
      <c r="A387" s="513" t="s">
        <v>17865</v>
      </c>
      <c r="B387" s="513">
        <v>1053895</v>
      </c>
      <c r="C387" s="513" t="s">
        <v>17865</v>
      </c>
      <c r="E387"/>
      <c r="F387"/>
      <c r="H387"/>
      <c r="M387" s="27"/>
      <c r="N387" s="27"/>
      <c r="O387" s="27"/>
      <c r="P387" s="27"/>
      <c r="Q387" s="27"/>
      <c r="R387" s="511"/>
    </row>
    <row r="388" spans="1:18">
      <c r="A388" s="513" t="s">
        <v>18112</v>
      </c>
      <c r="B388" s="513">
        <v>1053895</v>
      </c>
      <c r="C388" s="513" t="s">
        <v>18112</v>
      </c>
      <c r="E388"/>
      <c r="F388"/>
      <c r="H388"/>
      <c r="M388" s="27"/>
      <c r="N388" s="27"/>
      <c r="O388" s="27"/>
      <c r="P388" s="27"/>
      <c r="Q388" s="27"/>
      <c r="R388" s="511"/>
    </row>
    <row r="389" spans="1:18">
      <c r="A389" s="513" t="s">
        <v>18111</v>
      </c>
      <c r="B389" s="513">
        <v>137267</v>
      </c>
      <c r="C389" s="513" t="s">
        <v>18111</v>
      </c>
      <c r="E389"/>
      <c r="F389"/>
      <c r="H389"/>
      <c r="M389" s="27"/>
      <c r="N389" s="27"/>
      <c r="O389" s="27"/>
      <c r="P389" s="27"/>
      <c r="Q389" s="27"/>
      <c r="R389" s="511"/>
    </row>
    <row r="390" spans="1:18">
      <c r="A390" s="513" t="s">
        <v>17866</v>
      </c>
      <c r="B390" s="513">
        <v>137267</v>
      </c>
      <c r="C390" s="513" t="s">
        <v>17866</v>
      </c>
      <c r="E390"/>
      <c r="F390"/>
      <c r="H390"/>
      <c r="M390" s="27"/>
      <c r="N390" s="27"/>
      <c r="O390" s="27"/>
      <c r="P390" s="27"/>
      <c r="Q390" s="27"/>
      <c r="R390" s="511"/>
    </row>
    <row r="391" spans="1:18">
      <c r="A391" s="513" t="s">
        <v>18110</v>
      </c>
      <c r="B391" s="513">
        <v>1143895</v>
      </c>
      <c r="C391" s="513" t="s">
        <v>18110</v>
      </c>
      <c r="E391"/>
      <c r="F391"/>
      <c r="H391"/>
      <c r="M391" s="27"/>
      <c r="N391" s="27"/>
      <c r="O391" s="27"/>
      <c r="P391" s="27"/>
      <c r="Q391" s="27"/>
      <c r="R391" s="511"/>
    </row>
    <row r="392" spans="1:18">
      <c r="A392" s="513" t="s">
        <v>17867</v>
      </c>
      <c r="B392" s="513">
        <v>1143895</v>
      </c>
      <c r="C392" s="513" t="s">
        <v>17867</v>
      </c>
      <c r="E392"/>
      <c r="F392"/>
      <c r="H392"/>
      <c r="M392" s="27"/>
      <c r="N392" s="27"/>
      <c r="O392" s="27"/>
      <c r="P392" s="27"/>
      <c r="Q392" s="27"/>
      <c r="R392" s="511"/>
    </row>
    <row r="393" spans="1:18">
      <c r="A393" s="513" t="s">
        <v>17298</v>
      </c>
      <c r="B393" s="513">
        <v>621799</v>
      </c>
      <c r="C393" s="513" t="s">
        <v>17298</v>
      </c>
      <c r="E393"/>
      <c r="F393"/>
      <c r="H393"/>
      <c r="M393" s="27"/>
      <c r="N393" s="27"/>
      <c r="O393" s="27"/>
      <c r="P393" s="27"/>
      <c r="Q393" s="27"/>
      <c r="R393" s="511"/>
    </row>
    <row r="394" spans="1:18">
      <c r="A394" s="513" t="s">
        <v>17821</v>
      </c>
      <c r="B394" s="513">
        <v>621799</v>
      </c>
      <c r="C394" s="513" t="s">
        <v>17821</v>
      </c>
      <c r="E394"/>
      <c r="F394"/>
      <c r="H394"/>
      <c r="M394" s="27"/>
      <c r="N394" s="27"/>
      <c r="O394" s="27"/>
      <c r="P394" s="27"/>
      <c r="Q394" s="27"/>
      <c r="R394" s="511"/>
    </row>
    <row r="395" spans="1:18">
      <c r="A395" s="513" t="s">
        <v>17813</v>
      </c>
      <c r="B395" s="513">
        <v>12231706</v>
      </c>
      <c r="C395" s="513" t="s">
        <v>17813</v>
      </c>
      <c r="E395"/>
      <c r="F395"/>
      <c r="H395"/>
      <c r="M395" s="27"/>
      <c r="N395" s="27"/>
      <c r="O395" s="27"/>
      <c r="P395" s="27"/>
      <c r="Q395" s="27"/>
      <c r="R395" s="511"/>
    </row>
    <row r="396" spans="1:18">
      <c r="A396" s="513" t="s">
        <v>17898</v>
      </c>
      <c r="B396" s="513">
        <v>12231706</v>
      </c>
      <c r="C396" s="513" t="s">
        <v>17898</v>
      </c>
      <c r="E396"/>
      <c r="F396"/>
      <c r="H396"/>
      <c r="M396" s="27"/>
      <c r="N396" s="27"/>
      <c r="O396" s="27"/>
      <c r="P396" s="27"/>
      <c r="Q396" s="27"/>
      <c r="R396" s="511"/>
    </row>
    <row r="397" spans="1:18">
      <c r="A397" s="513" t="s">
        <v>18529</v>
      </c>
      <c r="B397" s="513">
        <v>93068</v>
      </c>
      <c r="C397" s="513" t="s">
        <v>18529</v>
      </c>
      <c r="E397"/>
      <c r="F397"/>
      <c r="H397"/>
      <c r="M397" s="27"/>
      <c r="N397" s="27"/>
      <c r="O397" s="27"/>
      <c r="P397" s="27"/>
      <c r="Q397" s="27"/>
      <c r="R397" s="511"/>
    </row>
    <row r="398" spans="1:18">
      <c r="A398" s="513" t="s">
        <v>18521</v>
      </c>
      <c r="B398" s="513">
        <v>93068</v>
      </c>
      <c r="C398" s="513" t="s">
        <v>18521</v>
      </c>
      <c r="E398"/>
      <c r="F398"/>
      <c r="H398"/>
      <c r="M398" s="27"/>
      <c r="N398" s="27"/>
      <c r="O398" s="27"/>
      <c r="P398" s="27"/>
      <c r="Q398" s="27"/>
      <c r="R398" s="511"/>
    </row>
    <row r="399" spans="1:18">
      <c r="A399" s="513" t="s">
        <v>18594</v>
      </c>
      <c r="B399" s="513">
        <v>0</v>
      </c>
      <c r="C399" s="513" t="s">
        <v>18594</v>
      </c>
      <c r="E399"/>
      <c r="F399"/>
      <c r="H399"/>
      <c r="M399" s="27"/>
      <c r="N399" s="27"/>
      <c r="O399" s="27"/>
      <c r="P399" s="27"/>
      <c r="Q399" s="27"/>
      <c r="R399" s="511"/>
    </row>
    <row r="400" spans="1:18">
      <c r="A400" s="513" t="s">
        <v>18610</v>
      </c>
      <c r="B400" s="513">
        <v>-480869813</v>
      </c>
      <c r="C400" s="513" t="s">
        <v>18610</v>
      </c>
      <c r="E400"/>
      <c r="F400"/>
      <c r="H400"/>
      <c r="M400" s="27"/>
      <c r="N400" s="27"/>
      <c r="O400" s="27"/>
      <c r="P400" s="27"/>
      <c r="Q400" s="27"/>
      <c r="R400" s="511"/>
    </row>
    <row r="401" spans="1:18">
      <c r="A401" s="513" t="s">
        <v>18680</v>
      </c>
      <c r="B401" s="513">
        <v>-480869813</v>
      </c>
      <c r="C401" s="513" t="s">
        <v>18680</v>
      </c>
      <c r="E401"/>
      <c r="F401"/>
      <c r="H401"/>
      <c r="M401" s="27"/>
      <c r="N401" s="27"/>
      <c r="O401" s="27"/>
      <c r="P401" s="27"/>
      <c r="Q401" s="27"/>
      <c r="R401" s="511"/>
    </row>
    <row r="402" spans="1:18">
      <c r="A402" s="513" t="s">
        <v>18654</v>
      </c>
      <c r="B402" s="513">
        <v>28756592</v>
      </c>
      <c r="C402" s="513" t="s">
        <v>18654</v>
      </c>
      <c r="E402"/>
      <c r="F402"/>
      <c r="H402"/>
      <c r="M402" s="27"/>
      <c r="N402" s="27"/>
      <c r="O402" s="27"/>
      <c r="P402" s="27"/>
      <c r="Q402" s="27"/>
      <c r="R402" s="511"/>
    </row>
    <row r="403" spans="1:18">
      <c r="A403" s="513" t="s">
        <v>18622</v>
      </c>
      <c r="B403" s="513">
        <v>28756592</v>
      </c>
      <c r="C403" s="513" t="s">
        <v>18622</v>
      </c>
      <c r="E403"/>
      <c r="F403"/>
      <c r="H403"/>
      <c r="M403" s="27"/>
      <c r="N403" s="27"/>
      <c r="O403" s="27"/>
      <c r="P403" s="27"/>
      <c r="Q403" s="27"/>
      <c r="R403" s="511"/>
    </row>
    <row r="404" spans="1:18">
      <c r="A404" s="513" t="s">
        <v>18639</v>
      </c>
      <c r="B404" s="513">
        <v>13862300</v>
      </c>
      <c r="C404" s="513" t="s">
        <v>18639</v>
      </c>
      <c r="E404"/>
      <c r="F404"/>
      <c r="H404"/>
      <c r="M404" s="27"/>
      <c r="N404" s="27"/>
      <c r="O404" s="27"/>
      <c r="P404" s="27"/>
      <c r="Q404" s="27"/>
      <c r="R404" s="511"/>
    </row>
    <row r="405" spans="1:18">
      <c r="A405" s="513" t="s">
        <v>18670</v>
      </c>
      <c r="B405" s="513">
        <v>13862300</v>
      </c>
      <c r="C405" s="513" t="s">
        <v>18670</v>
      </c>
      <c r="E405"/>
      <c r="F405"/>
      <c r="H405"/>
      <c r="M405" s="27"/>
      <c r="N405" s="27"/>
      <c r="O405" s="27"/>
      <c r="P405" s="27"/>
      <c r="Q405" s="27"/>
      <c r="R405" s="511"/>
    </row>
    <row r="406" spans="1:18">
      <c r="A406" s="513" t="s">
        <v>18636</v>
      </c>
      <c r="B406" s="513">
        <v>4630900</v>
      </c>
      <c r="C406" s="513" t="s">
        <v>18636</v>
      </c>
      <c r="E406"/>
      <c r="F406"/>
      <c r="H406"/>
      <c r="M406" s="27"/>
      <c r="N406" s="27"/>
      <c r="O406" s="27"/>
      <c r="P406" s="27"/>
      <c r="Q406" s="27"/>
      <c r="R406" s="511"/>
    </row>
    <row r="407" spans="1:18">
      <c r="A407" s="513" t="s">
        <v>18667</v>
      </c>
      <c r="B407" s="513">
        <v>4630900</v>
      </c>
      <c r="C407" s="513" t="s">
        <v>18667</v>
      </c>
      <c r="E407"/>
      <c r="F407"/>
      <c r="H407"/>
      <c r="M407" s="27"/>
      <c r="N407" s="27"/>
      <c r="O407" s="27"/>
      <c r="P407" s="27"/>
      <c r="Q407" s="27"/>
      <c r="R407" s="511"/>
    </row>
    <row r="408" spans="1:18">
      <c r="A408" s="513" t="s">
        <v>18652</v>
      </c>
      <c r="B408" s="513">
        <v>29285198</v>
      </c>
      <c r="C408" s="513" t="s">
        <v>18652</v>
      </c>
      <c r="E408"/>
      <c r="F408"/>
      <c r="H408"/>
      <c r="M408" s="27"/>
      <c r="N408" s="27"/>
      <c r="O408" s="27"/>
      <c r="P408" s="27"/>
      <c r="Q408" s="27"/>
      <c r="R408" s="511"/>
    </row>
    <row r="409" spans="1:18">
      <c r="A409" s="513" t="s">
        <v>18619</v>
      </c>
      <c r="B409" s="513">
        <v>29285198</v>
      </c>
      <c r="C409" s="513" t="s">
        <v>18619</v>
      </c>
      <c r="E409"/>
      <c r="F409"/>
      <c r="H409"/>
      <c r="M409" s="27"/>
      <c r="N409" s="27"/>
      <c r="O409" s="27"/>
      <c r="P409" s="27"/>
      <c r="Q409" s="27"/>
      <c r="R409" s="511"/>
    </row>
    <row r="410" spans="1:18">
      <c r="A410" s="513" t="s">
        <v>18653</v>
      </c>
      <c r="B410" s="513">
        <v>3360795</v>
      </c>
      <c r="C410" s="513" t="s">
        <v>18653</v>
      </c>
      <c r="E410"/>
      <c r="F410"/>
      <c r="H410"/>
      <c r="M410" s="27"/>
      <c r="N410" s="27"/>
      <c r="O410" s="27"/>
      <c r="P410" s="27"/>
      <c r="Q410" s="27"/>
      <c r="R410" s="511"/>
    </row>
    <row r="411" spans="1:18">
      <c r="A411" s="513" t="s">
        <v>18621</v>
      </c>
      <c r="B411" s="513">
        <v>3360795</v>
      </c>
      <c r="C411" s="513" t="s">
        <v>18621</v>
      </c>
      <c r="E411"/>
      <c r="F411"/>
      <c r="H411"/>
      <c r="M411" s="27"/>
      <c r="N411" s="27"/>
      <c r="O411" s="27"/>
      <c r="P411" s="27"/>
      <c r="Q411" s="27"/>
      <c r="R411" s="511"/>
    </row>
    <row r="412" spans="1:18">
      <c r="A412" s="513" t="s">
        <v>18608</v>
      </c>
      <c r="B412" s="513">
        <v>311316960</v>
      </c>
      <c r="C412" s="513" t="s">
        <v>18608</v>
      </c>
      <c r="E412"/>
      <c r="F412"/>
      <c r="H412"/>
      <c r="M412" s="27"/>
      <c r="N412" s="27"/>
      <c r="O412" s="27"/>
      <c r="P412" s="27"/>
      <c r="Q412" s="27"/>
      <c r="R412" s="511"/>
    </row>
    <row r="413" spans="1:18">
      <c r="A413" s="513" t="s">
        <v>18646</v>
      </c>
      <c r="B413" s="513">
        <v>311316960</v>
      </c>
      <c r="C413" s="513" t="s">
        <v>18646</v>
      </c>
      <c r="E413"/>
      <c r="F413"/>
      <c r="H413"/>
      <c r="M413" s="27"/>
      <c r="N413" s="27"/>
      <c r="O413" s="27"/>
      <c r="P413" s="27"/>
      <c r="Q413" s="27"/>
      <c r="R413" s="511"/>
    </row>
    <row r="414" spans="1:18">
      <c r="A414" s="513" t="s">
        <v>18623</v>
      </c>
      <c r="B414" s="513">
        <v>20534236</v>
      </c>
      <c r="C414" s="513" t="s">
        <v>18623</v>
      </c>
      <c r="E414"/>
      <c r="F414"/>
      <c r="H414"/>
      <c r="M414" s="27"/>
      <c r="N414" s="27"/>
      <c r="O414" s="27"/>
      <c r="P414" s="27"/>
      <c r="Q414" s="27"/>
      <c r="R414" s="511"/>
    </row>
    <row r="415" spans="1:18">
      <c r="A415" s="513" t="s">
        <v>18655</v>
      </c>
      <c r="B415" s="513">
        <v>20534236</v>
      </c>
      <c r="C415" s="513" t="s">
        <v>18655</v>
      </c>
      <c r="E415"/>
      <c r="F415"/>
      <c r="H415"/>
      <c r="M415" s="27"/>
      <c r="N415" s="27"/>
      <c r="O415" s="27"/>
      <c r="P415" s="27"/>
      <c r="Q415" s="27"/>
      <c r="R415" s="511"/>
    </row>
    <row r="416" spans="1:18">
      <c r="A416" s="513" t="s">
        <v>18706</v>
      </c>
      <c r="B416" s="513">
        <v>6748625</v>
      </c>
      <c r="C416" s="513" t="s">
        <v>18706</v>
      </c>
      <c r="E416"/>
      <c r="F416"/>
      <c r="H416"/>
      <c r="M416" s="27"/>
      <c r="N416" s="27"/>
      <c r="O416" s="27"/>
      <c r="P416" s="27"/>
      <c r="Q416" s="27"/>
      <c r="R416" s="511"/>
    </row>
    <row r="417" spans="1:18">
      <c r="A417" s="513" t="s">
        <v>18889</v>
      </c>
      <c r="B417" s="513">
        <v>2769000</v>
      </c>
      <c r="C417" s="513" t="s">
        <v>18889</v>
      </c>
      <c r="E417"/>
      <c r="F417"/>
      <c r="H417"/>
      <c r="M417" s="27"/>
      <c r="N417" s="27"/>
      <c r="O417" s="27"/>
      <c r="P417" s="27"/>
      <c r="Q417" s="27"/>
      <c r="R417" s="511"/>
    </row>
    <row r="418" spans="1:18">
      <c r="A418" s="513" t="s">
        <v>18897</v>
      </c>
      <c r="B418" s="513">
        <v>2769000</v>
      </c>
      <c r="C418" s="513" t="s">
        <v>18897</v>
      </c>
      <c r="E418"/>
      <c r="F418"/>
      <c r="H418"/>
      <c r="M418" s="27"/>
      <c r="N418" s="27"/>
      <c r="O418" s="27"/>
      <c r="P418" s="27"/>
      <c r="Q418" s="27"/>
      <c r="R418" s="511"/>
    </row>
    <row r="419" spans="1:18">
      <c r="A419" s="513" t="s">
        <v>18638</v>
      </c>
      <c r="B419" s="513">
        <v>41253075</v>
      </c>
      <c r="C419" s="513" t="s">
        <v>18638</v>
      </c>
      <c r="E419"/>
      <c r="F419"/>
      <c r="H419"/>
      <c r="M419" s="27"/>
      <c r="N419" s="27"/>
      <c r="O419" s="27"/>
      <c r="P419" s="27"/>
      <c r="Q419" s="27"/>
      <c r="R419" s="511"/>
    </row>
    <row r="420" spans="1:18">
      <c r="A420" s="513" t="s">
        <v>18669</v>
      </c>
      <c r="B420" s="513">
        <v>41253075</v>
      </c>
      <c r="C420" s="513" t="s">
        <v>18669</v>
      </c>
      <c r="E420"/>
      <c r="F420"/>
      <c r="H420"/>
      <c r="M420" s="27"/>
      <c r="N420" s="27"/>
      <c r="O420" s="27"/>
      <c r="P420" s="27"/>
      <c r="Q420" s="27"/>
      <c r="R420" s="511"/>
    </row>
    <row r="421" spans="1:18">
      <c r="A421" s="513" t="s">
        <v>18109</v>
      </c>
      <c r="B421" s="513">
        <v>1112634</v>
      </c>
      <c r="C421" s="513" t="s">
        <v>18109</v>
      </c>
      <c r="E421"/>
      <c r="F421"/>
      <c r="H421"/>
      <c r="M421" s="27"/>
      <c r="N421" s="27"/>
      <c r="O421" s="27"/>
      <c r="P421" s="27"/>
      <c r="Q421" s="27"/>
      <c r="R421" s="511"/>
    </row>
    <row r="422" spans="1:18">
      <c r="A422" s="513" t="s">
        <v>17868</v>
      </c>
      <c r="B422" s="513">
        <v>1112634</v>
      </c>
      <c r="C422" s="513" t="s">
        <v>17868</v>
      </c>
      <c r="E422"/>
      <c r="F422"/>
      <c r="H422"/>
      <c r="M422" s="27"/>
      <c r="N422" s="27"/>
      <c r="O422" s="27"/>
      <c r="P422" s="27"/>
      <c r="Q422" s="27"/>
      <c r="R422" s="511"/>
    </row>
    <row r="423" spans="1:18">
      <c r="A423" s="513" t="s">
        <v>18985</v>
      </c>
      <c r="B423" s="513">
        <v>264703</v>
      </c>
      <c r="C423" s="513" t="s">
        <v>18985</v>
      </c>
      <c r="E423"/>
      <c r="F423"/>
      <c r="H423"/>
      <c r="M423" s="27"/>
      <c r="N423" s="27"/>
      <c r="O423" s="27"/>
      <c r="P423" s="27"/>
      <c r="Q423" s="27"/>
      <c r="R423" s="511"/>
    </row>
    <row r="424" spans="1:18">
      <c r="A424" s="513" t="s">
        <v>18691</v>
      </c>
      <c r="B424" s="513">
        <v>264703</v>
      </c>
      <c r="C424" s="513" t="s">
        <v>18691</v>
      </c>
      <c r="E424"/>
      <c r="F424"/>
      <c r="H424"/>
      <c r="M424" s="27"/>
      <c r="N424" s="27"/>
      <c r="O424" s="27"/>
      <c r="P424" s="27"/>
      <c r="Q424" s="27"/>
      <c r="R424" s="511"/>
    </row>
    <row r="425" spans="1:18">
      <c r="A425" s="513" t="s">
        <v>17398</v>
      </c>
      <c r="B425" s="513">
        <v>783752</v>
      </c>
      <c r="C425" s="513" t="s">
        <v>17398</v>
      </c>
      <c r="E425"/>
      <c r="F425"/>
      <c r="H425"/>
      <c r="M425" s="27"/>
      <c r="N425" s="27"/>
      <c r="O425" s="27"/>
      <c r="P425" s="27"/>
      <c r="Q425" s="27"/>
      <c r="R425" s="511"/>
    </row>
    <row r="426" spans="1:18">
      <c r="A426" s="513" t="s">
        <v>18075</v>
      </c>
      <c r="B426" s="513">
        <v>783752</v>
      </c>
      <c r="C426" s="513" t="s">
        <v>18075</v>
      </c>
      <c r="E426"/>
      <c r="F426"/>
      <c r="H426"/>
      <c r="M426" s="27"/>
      <c r="N426" s="27"/>
      <c r="O426" s="27"/>
      <c r="P426" s="27"/>
      <c r="Q426" s="27"/>
      <c r="R426" s="511"/>
    </row>
    <row r="427" spans="1:18">
      <c r="A427" s="513" t="s">
        <v>17312</v>
      </c>
      <c r="B427" s="513">
        <v>1860000</v>
      </c>
      <c r="C427" s="513" t="s">
        <v>17312</v>
      </c>
      <c r="E427"/>
      <c r="F427"/>
      <c r="H427"/>
      <c r="M427" s="27"/>
      <c r="N427" s="27"/>
      <c r="O427" s="27"/>
      <c r="P427" s="27"/>
      <c r="Q427" s="27"/>
      <c r="R427" s="511"/>
    </row>
    <row r="428" spans="1:18">
      <c r="A428" s="513" t="s">
        <v>17830</v>
      </c>
      <c r="B428" s="513">
        <v>1860000</v>
      </c>
      <c r="C428" s="513" t="s">
        <v>17830</v>
      </c>
      <c r="E428"/>
      <c r="F428"/>
      <c r="H428"/>
      <c r="M428" s="27"/>
      <c r="N428" s="27"/>
      <c r="O428" s="27"/>
      <c r="P428" s="27"/>
      <c r="Q428" s="27"/>
      <c r="R428" s="511"/>
    </row>
    <row r="429" spans="1:18">
      <c r="A429" s="513" t="s">
        <v>18618</v>
      </c>
      <c r="B429" s="513">
        <v>2192923</v>
      </c>
      <c r="C429" s="513" t="s">
        <v>18618</v>
      </c>
      <c r="E429"/>
      <c r="F429"/>
      <c r="H429"/>
      <c r="M429" s="27"/>
      <c r="N429" s="27"/>
      <c r="O429" s="27"/>
      <c r="P429" s="27"/>
      <c r="Q429" s="27"/>
      <c r="R429" s="511"/>
    </row>
    <row r="430" spans="1:18">
      <c r="A430" s="513" t="s">
        <v>18651</v>
      </c>
      <c r="B430" s="513">
        <v>2192923</v>
      </c>
      <c r="C430" s="513" t="s">
        <v>18651</v>
      </c>
      <c r="E430"/>
      <c r="F430"/>
      <c r="H430"/>
      <c r="M430" s="27"/>
      <c r="N430" s="27"/>
      <c r="O430" s="27"/>
      <c r="P430" s="27"/>
      <c r="Q430" s="27"/>
      <c r="R430" s="511"/>
    </row>
    <row r="431" spans="1:18">
      <c r="A431" s="513" t="s">
        <v>18547</v>
      </c>
      <c r="B431" s="513">
        <v>-54196094</v>
      </c>
      <c r="C431" s="513" t="s">
        <v>18547</v>
      </c>
      <c r="E431"/>
      <c r="F431"/>
      <c r="H431"/>
      <c r="M431" s="27"/>
      <c r="N431" s="27"/>
      <c r="O431" s="27"/>
      <c r="P431" s="27"/>
      <c r="Q431" s="27"/>
      <c r="R431" s="511"/>
    </row>
    <row r="432" spans="1:18">
      <c r="A432" s="513" t="s">
        <v>14890</v>
      </c>
      <c r="B432" s="513">
        <v>-54196094</v>
      </c>
      <c r="C432" s="513" t="s">
        <v>14890</v>
      </c>
      <c r="E432"/>
      <c r="F432"/>
      <c r="H432"/>
      <c r="M432" s="27"/>
      <c r="N432" s="27"/>
      <c r="O432" s="27"/>
      <c r="P432" s="27"/>
      <c r="Q432" s="27"/>
      <c r="R432" s="511"/>
    </row>
    <row r="433" spans="1:18">
      <c r="A433" s="513" t="s">
        <v>15070</v>
      </c>
      <c r="B433" s="513">
        <v>14971709</v>
      </c>
      <c r="C433" s="513" t="s">
        <v>15070</v>
      </c>
      <c r="E433"/>
      <c r="F433"/>
      <c r="H433"/>
      <c r="M433" s="27"/>
      <c r="N433" s="27"/>
      <c r="O433" s="27"/>
      <c r="P433" s="27"/>
      <c r="Q433" s="27"/>
      <c r="R433" s="511"/>
    </row>
    <row r="434" spans="1:18">
      <c r="A434" s="513" t="s">
        <v>18791</v>
      </c>
      <c r="B434" s="513">
        <v>14971709</v>
      </c>
      <c r="C434" s="513" t="s">
        <v>18791</v>
      </c>
      <c r="E434"/>
      <c r="F434"/>
      <c r="H434"/>
      <c r="M434" s="27"/>
      <c r="N434" s="27"/>
      <c r="O434" s="27"/>
      <c r="P434" s="27"/>
      <c r="Q434" s="27"/>
      <c r="R434" s="511"/>
    </row>
    <row r="435" spans="1:18">
      <c r="A435" s="513" t="s">
        <v>18779</v>
      </c>
      <c r="B435" s="513">
        <v>14971709</v>
      </c>
      <c r="C435" s="513" t="s">
        <v>18779</v>
      </c>
      <c r="E435"/>
      <c r="F435"/>
      <c r="H435"/>
      <c r="M435" s="27"/>
      <c r="N435" s="27"/>
      <c r="O435" s="27"/>
      <c r="P435" s="27"/>
      <c r="Q435" s="27"/>
      <c r="R435" s="511"/>
    </row>
    <row r="436" spans="1:18">
      <c r="A436" s="513" t="s">
        <v>17893</v>
      </c>
      <c r="B436" s="513">
        <v>271</v>
      </c>
      <c r="C436" s="513" t="s">
        <v>17893</v>
      </c>
      <c r="E436"/>
      <c r="F436"/>
      <c r="H436"/>
      <c r="M436" s="27"/>
      <c r="N436" s="27"/>
      <c r="O436" s="27"/>
      <c r="P436" s="27"/>
      <c r="Q436" s="27"/>
      <c r="R436" s="511"/>
    </row>
    <row r="437" spans="1:18">
      <c r="A437" s="513" t="s">
        <v>18126</v>
      </c>
      <c r="B437" s="513">
        <v>271</v>
      </c>
      <c r="C437" s="513" t="s">
        <v>18126</v>
      </c>
      <c r="E437"/>
      <c r="F437"/>
      <c r="H437"/>
      <c r="M437" s="27"/>
      <c r="N437" s="27"/>
      <c r="O437" s="27"/>
      <c r="P437" s="27"/>
      <c r="Q437" s="27"/>
      <c r="R437" s="511"/>
    </row>
    <row r="438" spans="1:18">
      <c r="A438" s="513" t="s">
        <v>18637</v>
      </c>
      <c r="B438" s="513">
        <v>2542</v>
      </c>
      <c r="C438" s="513" t="s">
        <v>18637</v>
      </c>
      <c r="E438"/>
      <c r="F438"/>
      <c r="H438"/>
      <c r="M438" s="27"/>
      <c r="N438" s="27"/>
      <c r="O438" s="27"/>
      <c r="P438" s="27"/>
      <c r="Q438" s="27"/>
      <c r="R438" s="511"/>
    </row>
    <row r="439" spans="1:18">
      <c r="A439" s="513" t="s">
        <v>18668</v>
      </c>
      <c r="B439" s="513">
        <v>2542</v>
      </c>
      <c r="C439" s="513" t="s">
        <v>18668</v>
      </c>
      <c r="E439"/>
      <c r="F439"/>
      <c r="H439"/>
      <c r="M439" s="27"/>
      <c r="N439" s="27"/>
      <c r="O439" s="27"/>
      <c r="P439" s="27"/>
      <c r="Q439" s="27"/>
      <c r="R439" s="511"/>
    </row>
    <row r="440" spans="1:18">
      <c r="A440" s="513" t="s">
        <v>18869</v>
      </c>
      <c r="B440" s="513">
        <v>549544</v>
      </c>
      <c r="C440" s="513" t="s">
        <v>18869</v>
      </c>
      <c r="E440"/>
      <c r="F440"/>
      <c r="H440"/>
      <c r="M440" s="27"/>
      <c r="N440" s="27"/>
      <c r="O440" s="27"/>
      <c r="P440" s="27"/>
      <c r="Q440" s="27"/>
      <c r="R440" s="511"/>
    </row>
    <row r="441" spans="1:18">
      <c r="A441" s="513" t="s">
        <v>18856</v>
      </c>
      <c r="B441" s="513">
        <v>549544</v>
      </c>
      <c r="C441" s="513" t="s">
        <v>18856</v>
      </c>
      <c r="E441"/>
      <c r="F441"/>
      <c r="H441"/>
      <c r="M441" s="27"/>
      <c r="N441" s="27"/>
      <c r="O441" s="27"/>
      <c r="P441" s="27"/>
      <c r="Q441" s="27"/>
      <c r="R441" s="511"/>
    </row>
    <row r="442" spans="1:18">
      <c r="A442" s="513" t="s">
        <v>17494</v>
      </c>
      <c r="B442" s="513">
        <v>21600000</v>
      </c>
      <c r="C442" s="513" t="s">
        <v>17494</v>
      </c>
      <c r="E442"/>
      <c r="F442"/>
      <c r="H442"/>
      <c r="M442" s="27"/>
      <c r="N442" s="27"/>
      <c r="O442" s="27"/>
      <c r="P442" s="27"/>
      <c r="Q442" s="27"/>
      <c r="R442" s="511"/>
    </row>
    <row r="443" spans="1:18">
      <c r="A443" s="513" t="s">
        <v>18156</v>
      </c>
      <c r="B443" s="513">
        <v>21600000</v>
      </c>
      <c r="C443" s="513" t="s">
        <v>18156</v>
      </c>
      <c r="E443"/>
      <c r="F443"/>
      <c r="H443"/>
      <c r="M443" s="27"/>
      <c r="N443" s="27"/>
      <c r="O443" s="27"/>
      <c r="P443" s="27"/>
      <c r="Q443" s="27"/>
      <c r="R443" s="511"/>
    </row>
    <row r="444" spans="1:18">
      <c r="A444" s="513" t="s">
        <v>18146</v>
      </c>
      <c r="B444" s="513">
        <v>21600000</v>
      </c>
      <c r="C444" s="513" t="s">
        <v>18146</v>
      </c>
      <c r="E444"/>
      <c r="F444"/>
      <c r="H444"/>
      <c r="M444" s="27"/>
      <c r="N444" s="27"/>
      <c r="O444" s="27"/>
      <c r="P444" s="27"/>
      <c r="Q444" s="27"/>
      <c r="R444" s="511"/>
    </row>
    <row r="445" spans="1:18">
      <c r="A445" s="513" t="s">
        <v>18705</v>
      </c>
      <c r="B445" s="513">
        <v>242276775</v>
      </c>
      <c r="C445" s="513" t="s">
        <v>18705</v>
      </c>
      <c r="E445"/>
      <c r="F445"/>
      <c r="H445"/>
      <c r="M445" s="27"/>
      <c r="N445" s="27"/>
      <c r="O445" s="27"/>
      <c r="P445" s="27"/>
      <c r="Q445" s="27"/>
      <c r="R445" s="511"/>
    </row>
    <row r="446" spans="1:18">
      <c r="A446" s="513" t="s">
        <v>18946</v>
      </c>
      <c r="B446" s="513">
        <v>231736692</v>
      </c>
      <c r="C446" s="513" t="s">
        <v>18946</v>
      </c>
      <c r="E446"/>
      <c r="F446"/>
      <c r="H446"/>
      <c r="M446" s="27"/>
      <c r="N446" s="27"/>
      <c r="O446" s="27"/>
      <c r="P446" s="27"/>
      <c r="Q446" s="27"/>
      <c r="R446" s="511"/>
    </row>
    <row r="447" spans="1:18">
      <c r="A447" s="513" t="s">
        <v>18933</v>
      </c>
      <c r="B447" s="513">
        <v>231736692</v>
      </c>
      <c r="C447" s="513" t="s">
        <v>18933</v>
      </c>
      <c r="E447"/>
      <c r="F447"/>
      <c r="H447"/>
      <c r="M447" s="27"/>
      <c r="N447" s="27"/>
      <c r="O447" s="27"/>
      <c r="P447" s="27"/>
      <c r="Q447" s="27"/>
      <c r="R447" s="511"/>
    </row>
    <row r="448" spans="1:18">
      <c r="A448" s="513" t="s">
        <v>18863</v>
      </c>
      <c r="B448" s="513">
        <v>1049834</v>
      </c>
      <c r="C448" s="513" t="s">
        <v>18863</v>
      </c>
      <c r="E448"/>
      <c r="F448"/>
      <c r="H448"/>
      <c r="M448" s="27"/>
      <c r="N448" s="27"/>
      <c r="O448" s="27"/>
      <c r="P448" s="27"/>
      <c r="Q448" s="27"/>
      <c r="R448" s="511"/>
    </row>
    <row r="449" spans="1:18">
      <c r="A449" s="513" t="s">
        <v>18840</v>
      </c>
      <c r="B449" s="513">
        <v>1049834</v>
      </c>
      <c r="C449" s="513" t="s">
        <v>18840</v>
      </c>
      <c r="E449"/>
      <c r="F449"/>
      <c r="H449"/>
      <c r="M449" s="27"/>
      <c r="N449" s="27"/>
      <c r="O449" s="27"/>
      <c r="P449" s="27"/>
      <c r="Q449" s="27"/>
      <c r="R449" s="511"/>
    </row>
    <row r="450" spans="1:18">
      <c r="A450" s="513" t="s">
        <v>18979</v>
      </c>
      <c r="B450" s="513">
        <v>6087259</v>
      </c>
      <c r="C450" s="513" t="s">
        <v>18979</v>
      </c>
      <c r="E450"/>
      <c r="F450"/>
      <c r="H450"/>
      <c r="M450" s="27"/>
      <c r="N450" s="27"/>
      <c r="O450" s="27"/>
      <c r="P450" s="27"/>
      <c r="Q450" s="27"/>
      <c r="R450" s="511"/>
    </row>
    <row r="451" spans="1:18">
      <c r="A451" s="513" t="s">
        <v>18688</v>
      </c>
      <c r="B451" s="513">
        <v>6087259</v>
      </c>
      <c r="C451" s="513" t="s">
        <v>18688</v>
      </c>
      <c r="E451"/>
      <c r="F451"/>
      <c r="H451"/>
      <c r="M451" s="27"/>
      <c r="N451" s="27"/>
      <c r="O451" s="27"/>
      <c r="P451" s="27"/>
      <c r="Q451" s="27"/>
      <c r="R451" s="511"/>
    </row>
    <row r="452" spans="1:18">
      <c r="A452" s="513" t="s">
        <v>18657</v>
      </c>
      <c r="B452" s="513">
        <v>3743999</v>
      </c>
      <c r="C452" s="513" t="s">
        <v>18657</v>
      </c>
      <c r="E452"/>
      <c r="F452"/>
      <c r="H452"/>
      <c r="M452" s="27"/>
      <c r="N452" s="27"/>
      <c r="O452" s="27"/>
      <c r="P452" s="27"/>
      <c r="Q452" s="27"/>
      <c r="R452" s="511"/>
    </row>
    <row r="453" spans="1:18">
      <c r="A453" s="513" t="s">
        <v>18625</v>
      </c>
      <c r="B453" s="513">
        <v>3743999</v>
      </c>
      <c r="C453" s="513" t="s">
        <v>18625</v>
      </c>
      <c r="E453"/>
      <c r="F453"/>
      <c r="H453"/>
      <c r="M453" s="27"/>
      <c r="N453" s="27"/>
      <c r="O453" s="27"/>
      <c r="P453" s="27"/>
      <c r="Q453" s="27"/>
      <c r="R453" s="511"/>
    </row>
    <row r="454" spans="1:18">
      <c r="A454" s="513" t="s">
        <v>18937</v>
      </c>
      <c r="B454" s="513">
        <v>105968</v>
      </c>
      <c r="C454" s="513" t="s">
        <v>18937</v>
      </c>
      <c r="E454"/>
      <c r="F454"/>
      <c r="H454"/>
      <c r="M454" s="27"/>
      <c r="N454" s="27"/>
      <c r="O454" s="27"/>
      <c r="P454" s="27"/>
      <c r="Q454" s="27"/>
      <c r="R454" s="511"/>
    </row>
    <row r="455" spans="1:18">
      <c r="A455" s="513" t="s">
        <v>18935</v>
      </c>
      <c r="B455" s="513">
        <v>105968</v>
      </c>
      <c r="C455" s="513" t="s">
        <v>18935</v>
      </c>
      <c r="E455"/>
      <c r="F455"/>
      <c r="H455"/>
      <c r="M455" s="27"/>
      <c r="N455" s="27"/>
      <c r="O455" s="27"/>
      <c r="P455" s="27"/>
      <c r="Q455" s="27"/>
      <c r="R455" s="511"/>
    </row>
    <row r="456" spans="1:18">
      <c r="A456" s="513" t="s">
        <v>18658</v>
      </c>
      <c r="B456" s="513">
        <v>2200000</v>
      </c>
      <c r="C456" s="513" t="s">
        <v>18658</v>
      </c>
      <c r="E456"/>
      <c r="F456"/>
      <c r="H456"/>
      <c r="M456" s="27"/>
      <c r="N456" s="27"/>
      <c r="O456" s="27"/>
      <c r="P456" s="27"/>
      <c r="Q456" s="27"/>
      <c r="R456" s="511"/>
    </row>
    <row r="457" spans="1:18">
      <c r="A457" s="513" t="s">
        <v>18626</v>
      </c>
      <c r="B457" s="513">
        <v>2200000</v>
      </c>
      <c r="C457" s="513" t="s">
        <v>18626</v>
      </c>
      <c r="E457"/>
      <c r="F457"/>
      <c r="H457"/>
      <c r="M457" s="27"/>
      <c r="N457" s="27"/>
      <c r="O457" s="27"/>
      <c r="P457" s="27"/>
      <c r="Q457" s="27"/>
      <c r="R457" s="511"/>
    </row>
    <row r="458" spans="1:18">
      <c r="A458" s="513" t="s">
        <v>17857</v>
      </c>
      <c r="B458" s="513">
        <v>268918</v>
      </c>
      <c r="C458" s="513" t="s">
        <v>17857</v>
      </c>
      <c r="E458"/>
      <c r="F458"/>
      <c r="H458"/>
      <c r="M458" s="27"/>
      <c r="N458" s="27"/>
      <c r="O458" s="27"/>
      <c r="P458" s="27"/>
      <c r="Q458" s="27"/>
      <c r="R458" s="511"/>
    </row>
    <row r="459" spans="1:18">
      <c r="A459" s="513" t="s">
        <v>17347</v>
      </c>
      <c r="B459" s="513">
        <v>268918</v>
      </c>
      <c r="C459" s="513" t="s">
        <v>17347</v>
      </c>
      <c r="E459"/>
      <c r="F459"/>
      <c r="H459"/>
      <c r="M459" s="27"/>
      <c r="N459" s="27"/>
      <c r="O459" s="27"/>
      <c r="P459" s="27"/>
      <c r="Q459" s="27"/>
      <c r="R459" s="511"/>
    </row>
    <row r="460" spans="1:18">
      <c r="A460" s="513" t="s">
        <v>18647</v>
      </c>
      <c r="B460" s="513">
        <v>19398706</v>
      </c>
      <c r="C460" s="513" t="s">
        <v>18647</v>
      </c>
      <c r="E460"/>
      <c r="F460"/>
      <c r="H460"/>
      <c r="M460" s="27"/>
      <c r="N460" s="27"/>
      <c r="O460" s="27"/>
      <c r="P460" s="27"/>
      <c r="Q460" s="27"/>
      <c r="R460" s="511"/>
    </row>
    <row r="461" spans="1:18">
      <c r="A461" s="513" t="s">
        <v>18609</v>
      </c>
      <c r="B461" s="513">
        <v>19398706</v>
      </c>
      <c r="C461" s="513" t="s">
        <v>18609</v>
      </c>
      <c r="E461"/>
      <c r="F461"/>
      <c r="H461"/>
      <c r="M461" s="27"/>
      <c r="N461" s="27"/>
      <c r="O461" s="27"/>
      <c r="P461" s="27"/>
      <c r="Q461" s="27"/>
      <c r="R461" s="511"/>
    </row>
    <row r="462" spans="1:18">
      <c r="A462" s="513" t="s">
        <v>17639</v>
      </c>
      <c r="B462" s="513">
        <v>1444290</v>
      </c>
      <c r="C462" s="513" t="s">
        <v>17639</v>
      </c>
      <c r="E462"/>
      <c r="F462"/>
      <c r="H462"/>
      <c r="M462" s="27"/>
      <c r="N462" s="27"/>
      <c r="O462" s="27"/>
      <c r="P462" s="27"/>
      <c r="Q462" s="27"/>
      <c r="R462" s="511"/>
    </row>
    <row r="463" spans="1:18">
      <c r="A463" s="513" t="s">
        <v>17444</v>
      </c>
      <c r="B463" s="513">
        <v>1444290</v>
      </c>
      <c r="C463" s="513" t="s">
        <v>17444</v>
      </c>
      <c r="E463"/>
      <c r="F463"/>
      <c r="H463"/>
      <c r="M463" s="27"/>
      <c r="N463" s="27"/>
      <c r="O463" s="27"/>
      <c r="P463" s="27"/>
      <c r="Q463" s="27"/>
      <c r="R463" s="511"/>
    </row>
    <row r="464" spans="1:18">
      <c r="A464" s="513" t="s">
        <v>17587</v>
      </c>
      <c r="B464" s="513">
        <v>1444290</v>
      </c>
      <c r="C464" s="513" t="s">
        <v>17587</v>
      </c>
      <c r="E464"/>
      <c r="F464"/>
      <c r="H464"/>
      <c r="M464" s="27"/>
      <c r="N464" s="27"/>
      <c r="O464" s="27"/>
      <c r="P464" s="27"/>
      <c r="Q464" s="27"/>
      <c r="R464" s="511"/>
    </row>
    <row r="465" spans="1:18">
      <c r="A465" s="513" t="s">
        <v>18617</v>
      </c>
      <c r="B465" s="513">
        <v>331587</v>
      </c>
      <c r="C465" s="513" t="s">
        <v>18617</v>
      </c>
      <c r="E465"/>
      <c r="F465"/>
      <c r="H465"/>
      <c r="M465" s="27"/>
      <c r="N465" s="27"/>
      <c r="O465" s="27"/>
      <c r="P465" s="27"/>
      <c r="Q465" s="27"/>
      <c r="R465" s="511"/>
    </row>
    <row r="466" spans="1:18">
      <c r="A466" s="513" t="s">
        <v>18650</v>
      </c>
      <c r="B466" s="513">
        <v>331587</v>
      </c>
      <c r="C466" s="513" t="s">
        <v>18650</v>
      </c>
      <c r="E466"/>
      <c r="F466"/>
      <c r="H466"/>
      <c r="M466" s="27"/>
      <c r="N466" s="27"/>
      <c r="O466" s="27"/>
      <c r="P466" s="27"/>
      <c r="Q466" s="27"/>
      <c r="R466" s="511"/>
    </row>
    <row r="467" spans="1:18">
      <c r="A467" s="513" t="s">
        <v>17862</v>
      </c>
      <c r="B467" s="513">
        <v>6504334</v>
      </c>
      <c r="C467" s="513" t="s">
        <v>17862</v>
      </c>
      <c r="E467"/>
      <c r="F467"/>
      <c r="H467"/>
      <c r="M467" s="27"/>
      <c r="N467" s="27"/>
      <c r="O467" s="27"/>
      <c r="P467" s="27"/>
      <c r="Q467" s="27"/>
      <c r="R467" s="511"/>
    </row>
    <row r="468" spans="1:18">
      <c r="A468" s="513" t="s">
        <v>18115</v>
      </c>
      <c r="B468" s="513">
        <v>6504334</v>
      </c>
      <c r="C468" s="513" t="s">
        <v>18115</v>
      </c>
      <c r="E468"/>
      <c r="F468"/>
      <c r="H468"/>
      <c r="M468" s="27"/>
      <c r="N468" s="27"/>
      <c r="O468" s="27"/>
      <c r="P468" s="27"/>
      <c r="Q468" s="27"/>
      <c r="R468" s="511"/>
    </row>
    <row r="469" spans="1:18">
      <c r="A469" s="513" t="s">
        <v>17372</v>
      </c>
      <c r="B469" s="513">
        <v>59846843</v>
      </c>
      <c r="C469" s="513" t="s">
        <v>17372</v>
      </c>
      <c r="E469"/>
      <c r="F469"/>
      <c r="H469"/>
      <c r="M469" s="27"/>
      <c r="N469" s="27"/>
      <c r="O469" s="27"/>
      <c r="P469" s="27"/>
      <c r="Q469" s="27"/>
      <c r="R469" s="511"/>
    </row>
    <row r="470" spans="1:18">
      <c r="A470" s="513" t="s">
        <v>18034</v>
      </c>
      <c r="B470" s="513">
        <v>59846843</v>
      </c>
      <c r="C470" s="513" t="s">
        <v>18034</v>
      </c>
      <c r="E470"/>
      <c r="F470"/>
      <c r="H470"/>
      <c r="M470" s="27"/>
      <c r="N470" s="27"/>
      <c r="O470" s="27"/>
      <c r="P470" s="27"/>
      <c r="Q470" s="27"/>
      <c r="R470" s="511"/>
    </row>
    <row r="471" spans="1:18">
      <c r="A471" s="513" t="s">
        <v>18040</v>
      </c>
      <c r="B471" s="513">
        <v>59846843</v>
      </c>
      <c r="C471" s="513" t="s">
        <v>18040</v>
      </c>
      <c r="E471"/>
      <c r="F471"/>
      <c r="H471"/>
      <c r="M471" s="27"/>
      <c r="N471" s="27"/>
      <c r="O471" s="27"/>
      <c r="P471" s="27"/>
      <c r="Q471" s="27"/>
      <c r="R471" s="511"/>
    </row>
    <row r="472" spans="1:18">
      <c r="A472" s="513" t="s">
        <v>18848</v>
      </c>
      <c r="B472" s="513">
        <v>24067860</v>
      </c>
      <c r="C472" s="513" t="s">
        <v>18848</v>
      </c>
      <c r="E472"/>
      <c r="F472"/>
      <c r="H472"/>
      <c r="M472" s="27"/>
      <c r="N472" s="27"/>
      <c r="O472" s="27"/>
      <c r="P472" s="27"/>
      <c r="Q472" s="27"/>
      <c r="R472" s="511"/>
    </row>
    <row r="473" spans="1:18">
      <c r="A473" s="513" t="s">
        <v>18858</v>
      </c>
      <c r="B473" s="513">
        <v>24067860</v>
      </c>
      <c r="C473" s="513" t="s">
        <v>18858</v>
      </c>
      <c r="E473"/>
      <c r="F473"/>
      <c r="H473"/>
      <c r="M473" s="27"/>
      <c r="N473" s="27"/>
      <c r="O473" s="27"/>
      <c r="P473" s="27"/>
      <c r="Q473" s="27"/>
      <c r="R473" s="511"/>
    </row>
    <row r="474" spans="1:18">
      <c r="A474" s="513" t="s">
        <v>17402</v>
      </c>
      <c r="B474" s="513">
        <v>1680346</v>
      </c>
      <c r="C474" s="513" t="s">
        <v>17402</v>
      </c>
      <c r="E474"/>
      <c r="F474"/>
      <c r="H474"/>
      <c r="M474" s="27"/>
      <c r="N474" s="27"/>
      <c r="O474" s="27"/>
      <c r="P474" s="27"/>
      <c r="Q474" s="27"/>
      <c r="R474" s="511"/>
    </row>
    <row r="475" spans="1:18">
      <c r="A475" s="513" t="s">
        <v>18073</v>
      </c>
      <c r="B475" s="513">
        <v>1680346</v>
      </c>
      <c r="C475" s="513" t="s">
        <v>18073</v>
      </c>
      <c r="E475"/>
      <c r="F475"/>
      <c r="H475"/>
      <c r="M475" s="27"/>
      <c r="N475" s="27"/>
      <c r="O475" s="27"/>
      <c r="P475" s="27"/>
      <c r="Q475" s="27"/>
      <c r="R475" s="511"/>
    </row>
    <row r="476" spans="1:18">
      <c r="A476" s="513" t="s">
        <v>18698</v>
      </c>
      <c r="B476" s="513">
        <v>2478043</v>
      </c>
      <c r="C476" s="513" t="s">
        <v>18698</v>
      </c>
      <c r="E476"/>
      <c r="F476"/>
      <c r="H476"/>
      <c r="M476" s="27"/>
      <c r="N476" s="27"/>
      <c r="O476" s="27"/>
      <c r="P476" s="27"/>
      <c r="Q476" s="27"/>
      <c r="R476" s="511"/>
    </row>
    <row r="477" spans="1:18">
      <c r="A477" s="513" t="s">
        <v>18975</v>
      </c>
      <c r="B477" s="513">
        <v>2478043</v>
      </c>
      <c r="C477" s="513" t="s">
        <v>18975</v>
      </c>
      <c r="E477"/>
      <c r="F477"/>
      <c r="H477"/>
      <c r="M477" s="27"/>
      <c r="N477" s="27"/>
      <c r="O477" s="27"/>
      <c r="P477" s="27"/>
      <c r="Q477" s="27"/>
      <c r="R477" s="511"/>
    </row>
    <row r="478" spans="1:18">
      <c r="A478" s="513" t="s">
        <v>16979</v>
      </c>
      <c r="B478" s="513">
        <v>7500</v>
      </c>
      <c r="C478" s="513" t="s">
        <v>16979</v>
      </c>
      <c r="E478"/>
      <c r="F478"/>
      <c r="H478"/>
      <c r="M478" s="27"/>
      <c r="N478" s="27"/>
      <c r="O478" s="27"/>
      <c r="P478" s="27"/>
      <c r="Q478" s="27"/>
      <c r="R478" s="511"/>
    </row>
    <row r="479" spans="1:18">
      <c r="A479" s="513" t="s">
        <v>17008</v>
      </c>
      <c r="B479" s="513">
        <v>7500</v>
      </c>
      <c r="C479" s="513" t="s">
        <v>17008</v>
      </c>
      <c r="E479"/>
      <c r="F479"/>
      <c r="H479"/>
      <c r="M479" s="27"/>
      <c r="N479" s="27"/>
      <c r="O479" s="27"/>
      <c r="P479" s="27"/>
      <c r="Q479" s="27"/>
      <c r="R479" s="511"/>
    </row>
    <row r="480" spans="1:18">
      <c r="A480" s="513" t="s">
        <v>18901</v>
      </c>
      <c r="B480" s="513">
        <v>3979625</v>
      </c>
      <c r="C480" s="513" t="s">
        <v>18901</v>
      </c>
      <c r="E480"/>
      <c r="F480"/>
      <c r="H480"/>
      <c r="M480" s="27"/>
      <c r="N480" s="27"/>
      <c r="O480" s="27"/>
      <c r="P480" s="27"/>
      <c r="Q480" s="27"/>
      <c r="R480" s="511"/>
    </row>
    <row r="481" spans="1:18">
      <c r="A481" s="513" t="s">
        <v>18892</v>
      </c>
      <c r="B481" s="513">
        <v>3979625</v>
      </c>
      <c r="C481" s="513" t="s">
        <v>18892</v>
      </c>
      <c r="E481"/>
      <c r="F481"/>
      <c r="H481"/>
      <c r="M481" s="27"/>
      <c r="N481" s="27"/>
      <c r="O481" s="27"/>
      <c r="P481" s="27"/>
      <c r="Q481" s="27"/>
      <c r="R481" s="511"/>
    </row>
    <row r="482" spans="1:18">
      <c r="A482" s="513" t="s">
        <v>18421</v>
      </c>
      <c r="B482" s="513">
        <v>208250</v>
      </c>
      <c r="C482" s="513" t="s">
        <v>18421</v>
      </c>
      <c r="E482"/>
      <c r="F482"/>
      <c r="H482"/>
      <c r="M482" s="27"/>
      <c r="N482" s="27"/>
      <c r="O482" s="27"/>
      <c r="P482" s="27"/>
      <c r="Q482" s="27"/>
      <c r="R482" s="511"/>
    </row>
    <row r="483" spans="1:18">
      <c r="A483" s="513" t="s">
        <v>18501</v>
      </c>
      <c r="B483" s="513">
        <v>208250</v>
      </c>
      <c r="C483" s="513" t="s">
        <v>18501</v>
      </c>
      <c r="E483"/>
      <c r="F483"/>
      <c r="H483"/>
      <c r="M483" s="27"/>
      <c r="N483" s="27"/>
      <c r="O483" s="27"/>
      <c r="P483" s="27"/>
      <c r="Q483" s="27"/>
      <c r="R483" s="511"/>
    </row>
    <row r="484" spans="1:18">
      <c r="A484" s="513" t="s">
        <v>18487</v>
      </c>
      <c r="B484" s="513">
        <v>208250</v>
      </c>
      <c r="C484" s="513" t="s">
        <v>18487</v>
      </c>
      <c r="E484"/>
      <c r="F484"/>
      <c r="H484"/>
      <c r="M484" s="27"/>
      <c r="N484" s="27"/>
      <c r="O484" s="27"/>
      <c r="P484" s="27"/>
      <c r="Q484" s="27"/>
      <c r="R484" s="511"/>
    </row>
    <row r="485" spans="1:18">
      <c r="A485" s="513" t="s">
        <v>18106</v>
      </c>
      <c r="B485" s="513">
        <v>854100</v>
      </c>
      <c r="C485" s="513" t="s">
        <v>18106</v>
      </c>
      <c r="E485"/>
      <c r="F485"/>
      <c r="H485"/>
      <c r="M485" s="27"/>
      <c r="N485" s="27"/>
      <c r="O485" s="27"/>
      <c r="P485" s="27"/>
      <c r="Q485" s="27"/>
      <c r="R485" s="511"/>
    </row>
    <row r="486" spans="1:18">
      <c r="A486" s="513" t="s">
        <v>17871</v>
      </c>
      <c r="B486" s="513">
        <v>854100</v>
      </c>
      <c r="C486" s="513" t="s">
        <v>17871</v>
      </c>
      <c r="E486"/>
      <c r="F486"/>
      <c r="H486"/>
      <c r="M486" s="27"/>
      <c r="N486" s="27"/>
      <c r="O486" s="27"/>
      <c r="P486" s="27"/>
      <c r="Q486" s="27"/>
      <c r="R486" s="511"/>
    </row>
    <row r="487" spans="1:18">
      <c r="A487" s="513" t="s">
        <v>18419</v>
      </c>
      <c r="B487" s="513">
        <v>27241021</v>
      </c>
      <c r="C487" s="513" t="s">
        <v>18419</v>
      </c>
      <c r="E487"/>
      <c r="F487"/>
      <c r="H487"/>
      <c r="M487" s="27"/>
      <c r="N487" s="27"/>
      <c r="O487" s="27"/>
      <c r="P487" s="27"/>
      <c r="Q487" s="27"/>
      <c r="R487" s="511"/>
    </row>
    <row r="488" spans="1:18">
      <c r="A488" s="513" t="s">
        <v>14914</v>
      </c>
      <c r="B488" s="513">
        <v>27241021</v>
      </c>
      <c r="C488" s="513" t="s">
        <v>14914</v>
      </c>
      <c r="E488"/>
      <c r="F488"/>
      <c r="H488"/>
      <c r="M488" s="27"/>
      <c r="N488" s="27"/>
      <c r="O488" s="27"/>
      <c r="P488" s="27"/>
      <c r="Q488" s="27"/>
      <c r="R488" s="511"/>
    </row>
    <row r="489" spans="1:18">
      <c r="A489" s="513" t="s">
        <v>18752</v>
      </c>
      <c r="B489" s="513">
        <v>194400000</v>
      </c>
      <c r="C489" s="513" t="s">
        <v>18752</v>
      </c>
      <c r="E489"/>
      <c r="F489"/>
      <c r="H489"/>
      <c r="M489" s="27"/>
      <c r="N489" s="27"/>
      <c r="O489" s="27"/>
      <c r="P489" s="27"/>
      <c r="Q489" s="27"/>
      <c r="R489" s="511"/>
    </row>
    <row r="490" spans="1:18">
      <c r="A490" s="513" t="s">
        <v>18715</v>
      </c>
      <c r="B490" s="513">
        <v>194400000</v>
      </c>
      <c r="C490" s="513" t="s">
        <v>18715</v>
      </c>
      <c r="E490"/>
      <c r="F490"/>
      <c r="H490"/>
      <c r="M490" s="27"/>
      <c r="N490" s="27"/>
      <c r="O490" s="27"/>
      <c r="P490" s="27"/>
      <c r="Q490" s="27"/>
      <c r="R490" s="511"/>
    </row>
    <row r="491" spans="1:18">
      <c r="A491" s="513" t="s">
        <v>18760</v>
      </c>
      <c r="B491" s="513">
        <v>194400000</v>
      </c>
      <c r="C491" s="513" t="s">
        <v>18760</v>
      </c>
      <c r="E491"/>
      <c r="F491"/>
      <c r="H491"/>
      <c r="M491" s="27"/>
      <c r="N491" s="27"/>
      <c r="O491" s="27"/>
      <c r="P491" s="27"/>
      <c r="Q491" s="27"/>
      <c r="R491" s="511"/>
    </row>
    <row r="492" spans="1:18">
      <c r="A492" s="513" t="s">
        <v>17913</v>
      </c>
      <c r="B492" s="513">
        <v>75839705</v>
      </c>
      <c r="C492" s="513" t="s">
        <v>17913</v>
      </c>
      <c r="E492"/>
      <c r="F492"/>
      <c r="H492"/>
      <c r="M492" s="27"/>
      <c r="N492" s="27"/>
      <c r="O492" s="27"/>
      <c r="P492" s="27"/>
      <c r="Q492" s="27"/>
      <c r="R492" s="511"/>
    </row>
    <row r="493" spans="1:18">
      <c r="A493" s="513" t="s">
        <v>17375</v>
      </c>
      <c r="B493" s="513">
        <v>75839705</v>
      </c>
      <c r="C493" s="513" t="s">
        <v>17375</v>
      </c>
      <c r="E493"/>
      <c r="F493"/>
      <c r="H493"/>
      <c r="M493" s="27"/>
      <c r="N493" s="27"/>
      <c r="O493" s="27"/>
      <c r="P493" s="27"/>
      <c r="Q493" s="27"/>
      <c r="R493" s="511"/>
    </row>
    <row r="494" spans="1:18">
      <c r="A494" s="513" t="s">
        <v>14919</v>
      </c>
      <c r="B494" s="513">
        <v>75839705</v>
      </c>
      <c r="C494" s="513" t="s">
        <v>14919</v>
      </c>
      <c r="E494"/>
      <c r="F494"/>
      <c r="H494"/>
      <c r="M494" s="27"/>
      <c r="N494" s="27"/>
      <c r="O494" s="27"/>
      <c r="P494" s="27"/>
      <c r="Q494" s="27"/>
      <c r="R494" s="511"/>
    </row>
    <row r="495" spans="1:18">
      <c r="A495" s="513" t="s">
        <v>17493</v>
      </c>
      <c r="B495" s="513">
        <v>375000</v>
      </c>
      <c r="C495" s="513" t="s">
        <v>17493</v>
      </c>
      <c r="E495"/>
      <c r="F495"/>
      <c r="H495"/>
      <c r="M495" s="27"/>
      <c r="N495" s="27"/>
      <c r="O495" s="27"/>
      <c r="P495" s="27"/>
      <c r="Q495" s="27"/>
      <c r="R495" s="511"/>
    </row>
    <row r="496" spans="1:18">
      <c r="A496" s="513" t="s">
        <v>18201</v>
      </c>
      <c r="B496" s="513">
        <v>375000</v>
      </c>
      <c r="C496" s="513" t="s">
        <v>18201</v>
      </c>
      <c r="E496"/>
      <c r="F496"/>
      <c r="H496"/>
      <c r="M496" s="27"/>
      <c r="N496" s="27"/>
      <c r="O496" s="27"/>
      <c r="P496" s="27"/>
      <c r="Q496" s="27"/>
      <c r="R496" s="511"/>
    </row>
    <row r="497" spans="1:18">
      <c r="A497" s="513" t="s">
        <v>18197</v>
      </c>
      <c r="B497" s="513">
        <v>375000</v>
      </c>
      <c r="C497" s="513" t="s">
        <v>18197</v>
      </c>
      <c r="E497"/>
      <c r="F497"/>
      <c r="H497"/>
      <c r="M497" s="27"/>
      <c r="N497" s="27"/>
      <c r="O497" s="27"/>
      <c r="P497" s="27"/>
      <c r="Q497" s="27"/>
      <c r="R497" s="511"/>
    </row>
    <row r="498" spans="1:18">
      <c r="A498" s="513" t="s">
        <v>18947</v>
      </c>
      <c r="B498" s="513">
        <v>10434115</v>
      </c>
      <c r="C498" s="513" t="s">
        <v>18947</v>
      </c>
      <c r="E498"/>
      <c r="F498"/>
      <c r="H498"/>
      <c r="M498" s="27"/>
      <c r="N498" s="27"/>
      <c r="O498" s="27"/>
      <c r="P498" s="27"/>
      <c r="Q498" s="27"/>
      <c r="R498" s="511"/>
    </row>
    <row r="499" spans="1:18">
      <c r="A499" s="513" t="s">
        <v>18932</v>
      </c>
      <c r="B499" s="513">
        <v>10434115</v>
      </c>
      <c r="C499" s="513" t="s">
        <v>18932</v>
      </c>
      <c r="E499"/>
      <c r="F499"/>
      <c r="H499"/>
      <c r="M499" s="27"/>
      <c r="N499" s="27"/>
      <c r="O499" s="27"/>
      <c r="P499" s="27"/>
      <c r="Q499" s="27"/>
      <c r="R499" s="511"/>
    </row>
    <row r="500" spans="1:18">
      <c r="A500" s="513" t="s">
        <v>18726</v>
      </c>
      <c r="B500" s="513">
        <v>3614723</v>
      </c>
      <c r="C500" s="513" t="s">
        <v>18726</v>
      </c>
      <c r="E500"/>
      <c r="F500"/>
      <c r="H500"/>
      <c r="M500" s="27"/>
      <c r="N500" s="27"/>
      <c r="O500" s="27"/>
      <c r="P500" s="27"/>
      <c r="Q500" s="27"/>
      <c r="R500" s="511"/>
    </row>
    <row r="501" spans="1:18">
      <c r="A501" s="513" t="s">
        <v>18830</v>
      </c>
      <c r="B501" s="513">
        <v>2103956</v>
      </c>
      <c r="C501" s="513" t="s">
        <v>18830</v>
      </c>
      <c r="E501"/>
      <c r="F501"/>
      <c r="H501"/>
      <c r="M501" s="27"/>
      <c r="N501" s="27"/>
      <c r="O501" s="27"/>
      <c r="P501" s="27"/>
      <c r="Q501" s="27"/>
      <c r="R501" s="511"/>
    </row>
    <row r="502" spans="1:18">
      <c r="A502" s="513" t="s">
        <v>18816</v>
      </c>
      <c r="B502" s="513">
        <v>2103956</v>
      </c>
      <c r="C502" s="513" t="s">
        <v>18816</v>
      </c>
      <c r="E502"/>
      <c r="F502"/>
      <c r="H502"/>
      <c r="M502" s="27"/>
      <c r="N502" s="27"/>
      <c r="O502" s="27"/>
      <c r="P502" s="27"/>
      <c r="Q502" s="27"/>
      <c r="R502" s="511"/>
    </row>
    <row r="503" spans="1:18">
      <c r="A503" s="513" t="s">
        <v>17890</v>
      </c>
      <c r="B503" s="513">
        <v>480000</v>
      </c>
      <c r="C503" s="513" t="s">
        <v>17890</v>
      </c>
      <c r="E503"/>
      <c r="F503"/>
      <c r="H503"/>
      <c r="M503" s="27"/>
      <c r="N503" s="27"/>
      <c r="O503" s="27"/>
      <c r="P503" s="27"/>
      <c r="Q503" s="27"/>
      <c r="R503" s="511"/>
    </row>
    <row r="504" spans="1:18">
      <c r="A504" s="513" t="s">
        <v>18123</v>
      </c>
      <c r="B504" s="513">
        <v>480000</v>
      </c>
      <c r="C504" s="513" t="s">
        <v>18123</v>
      </c>
      <c r="E504"/>
      <c r="F504"/>
      <c r="H504"/>
      <c r="M504" s="27"/>
      <c r="N504" s="27"/>
      <c r="O504" s="27"/>
      <c r="P504" s="27"/>
      <c r="Q504" s="27"/>
      <c r="R504" s="511"/>
    </row>
    <row r="505" spans="1:18">
      <c r="A505" s="513" t="s">
        <v>17659</v>
      </c>
      <c r="B505" s="513">
        <v>40392332</v>
      </c>
      <c r="C505" s="513" t="s">
        <v>17659</v>
      </c>
      <c r="E505"/>
      <c r="F505"/>
      <c r="H505"/>
      <c r="M505" s="27"/>
      <c r="N505" s="27"/>
      <c r="O505" s="27"/>
      <c r="P505" s="27"/>
      <c r="Q505" s="27"/>
      <c r="R505" s="511"/>
    </row>
    <row r="506" spans="1:18">
      <c r="A506" s="513" t="s">
        <v>17681</v>
      </c>
      <c r="B506" s="513">
        <v>40392332</v>
      </c>
      <c r="C506" s="513" t="s">
        <v>17681</v>
      </c>
      <c r="E506"/>
      <c r="F506"/>
      <c r="H506"/>
      <c r="M506" s="27"/>
      <c r="N506" s="27"/>
      <c r="O506" s="27"/>
      <c r="P506" s="27"/>
      <c r="Q506" s="27"/>
      <c r="R506" s="511"/>
    </row>
    <row r="507" spans="1:18">
      <c r="A507" s="513" t="s">
        <v>18809</v>
      </c>
      <c r="B507" s="513">
        <v>1510767</v>
      </c>
      <c r="C507" s="513" t="s">
        <v>18809</v>
      </c>
      <c r="E507"/>
      <c r="F507"/>
      <c r="H507"/>
      <c r="M507" s="27"/>
      <c r="N507" s="27"/>
      <c r="O507" s="27"/>
      <c r="P507" s="27"/>
      <c r="Q507" s="27"/>
      <c r="R507" s="511"/>
    </row>
    <row r="508" spans="1:18">
      <c r="A508" s="513" t="s">
        <v>18837</v>
      </c>
      <c r="B508" s="513">
        <v>1510767</v>
      </c>
      <c r="C508" s="513" t="s">
        <v>18837</v>
      </c>
      <c r="E508"/>
      <c r="F508"/>
      <c r="H508"/>
      <c r="M508" s="27"/>
      <c r="N508" s="27"/>
      <c r="O508" s="27"/>
      <c r="P508" s="27"/>
      <c r="Q508" s="27"/>
      <c r="R508" s="511"/>
    </row>
    <row r="509" spans="1:18">
      <c r="A509" s="513" t="s">
        <v>18699</v>
      </c>
      <c r="B509" s="513">
        <v>3726522</v>
      </c>
      <c r="C509" s="513" t="s">
        <v>18699</v>
      </c>
      <c r="E509"/>
      <c r="F509"/>
      <c r="H509"/>
      <c r="M509" s="27"/>
      <c r="N509" s="27"/>
      <c r="O509" s="27"/>
      <c r="P509" s="27"/>
      <c r="Q509" s="27"/>
      <c r="R509" s="511"/>
    </row>
    <row r="510" spans="1:18">
      <c r="A510" s="513" t="s">
        <v>18974</v>
      </c>
      <c r="B510" s="513">
        <v>3726522</v>
      </c>
      <c r="C510" s="513" t="s">
        <v>18974</v>
      </c>
      <c r="E510"/>
      <c r="F510"/>
      <c r="H510"/>
      <c r="M510" s="27"/>
      <c r="N510" s="27"/>
      <c r="O510" s="27"/>
      <c r="P510" s="27"/>
      <c r="Q510" s="27"/>
      <c r="R510" s="511"/>
    </row>
    <row r="511" spans="1:18">
      <c r="A511" s="513" t="s">
        <v>18743</v>
      </c>
      <c r="B511" s="513">
        <v>1055500</v>
      </c>
      <c r="C511" s="513" t="s">
        <v>18743</v>
      </c>
      <c r="E511"/>
      <c r="F511"/>
      <c r="H511"/>
      <c r="M511" s="27"/>
      <c r="N511" s="27"/>
      <c r="O511" s="27"/>
      <c r="P511" s="27"/>
      <c r="Q511" s="27"/>
      <c r="R511" s="511"/>
    </row>
    <row r="512" spans="1:18">
      <c r="A512" s="513" t="s">
        <v>18989</v>
      </c>
      <c r="B512" s="513">
        <v>1055500</v>
      </c>
      <c r="C512" s="513" t="s">
        <v>18989</v>
      </c>
      <c r="E512"/>
      <c r="F512"/>
      <c r="H512"/>
      <c r="M512" s="27"/>
      <c r="N512" s="27"/>
      <c r="O512" s="27"/>
      <c r="P512" s="27"/>
      <c r="Q512" s="27"/>
      <c r="R512" s="511"/>
    </row>
    <row r="513" spans="1:18">
      <c r="A513" s="513" t="s">
        <v>18768</v>
      </c>
      <c r="B513" s="513">
        <v>1844000</v>
      </c>
      <c r="C513" s="513" t="s">
        <v>18768</v>
      </c>
      <c r="E513"/>
      <c r="F513"/>
      <c r="H513"/>
      <c r="M513" s="27"/>
      <c r="N513" s="27"/>
      <c r="O513" s="27"/>
      <c r="P513" s="27"/>
      <c r="Q513" s="27"/>
      <c r="R513" s="511"/>
    </row>
    <row r="514" spans="1:18">
      <c r="A514" s="513" t="s">
        <v>18716</v>
      </c>
      <c r="B514" s="513">
        <v>1844000</v>
      </c>
      <c r="C514" s="513" t="s">
        <v>18716</v>
      </c>
      <c r="E514"/>
      <c r="F514"/>
      <c r="H514"/>
      <c r="M514" s="27"/>
      <c r="N514" s="27"/>
      <c r="O514" s="27"/>
      <c r="P514" s="27"/>
      <c r="Q514" s="27"/>
      <c r="R514" s="511"/>
    </row>
    <row r="515" spans="1:18">
      <c r="A515" s="513" t="s">
        <v>18775</v>
      </c>
      <c r="B515" s="513">
        <v>1844000</v>
      </c>
      <c r="C515" s="513" t="s">
        <v>18775</v>
      </c>
      <c r="E515"/>
      <c r="F515"/>
      <c r="H515"/>
      <c r="M515" s="27"/>
      <c r="N515" s="27"/>
      <c r="O515" s="27"/>
      <c r="P515" s="27"/>
      <c r="Q515" s="27"/>
      <c r="R515" s="511"/>
    </row>
    <row r="516" spans="1:18">
      <c r="A516" s="513" t="s">
        <v>17483</v>
      </c>
      <c r="B516" s="513">
        <v>51342</v>
      </c>
      <c r="C516" s="513" t="s">
        <v>17483</v>
      </c>
      <c r="E516"/>
      <c r="F516"/>
      <c r="H516"/>
      <c r="M516" s="27"/>
      <c r="N516" s="27"/>
      <c r="O516" s="27"/>
      <c r="P516" s="27"/>
      <c r="Q516" s="27"/>
      <c r="R516" s="511"/>
    </row>
    <row r="517" spans="1:18">
      <c r="A517" s="513" t="s">
        <v>18399</v>
      </c>
      <c r="B517" s="513">
        <v>51342</v>
      </c>
      <c r="C517" s="513" t="s">
        <v>18399</v>
      </c>
      <c r="E517"/>
      <c r="F517"/>
      <c r="H517"/>
      <c r="M517" s="27"/>
      <c r="N517" s="27"/>
      <c r="O517" s="27"/>
      <c r="P517" s="27"/>
      <c r="Q517" s="27"/>
      <c r="R517" s="511"/>
    </row>
    <row r="518" spans="1:18">
      <c r="A518" s="513" t="s">
        <v>18847</v>
      </c>
      <c r="B518" s="513">
        <v>25542215</v>
      </c>
      <c r="C518" s="513" t="s">
        <v>18847</v>
      </c>
      <c r="E518"/>
      <c r="F518"/>
      <c r="H518"/>
      <c r="M518" s="27"/>
      <c r="N518" s="27"/>
      <c r="O518" s="27"/>
      <c r="P518" s="27"/>
      <c r="Q518" s="27"/>
      <c r="R518" s="511"/>
    </row>
    <row r="519" spans="1:18">
      <c r="A519" s="513" t="s">
        <v>18859</v>
      </c>
      <c r="B519" s="513">
        <v>25542215</v>
      </c>
      <c r="C519" s="513" t="s">
        <v>18859</v>
      </c>
      <c r="E519"/>
      <c r="F519"/>
      <c r="H519"/>
      <c r="M519" s="27"/>
      <c r="N519" s="27"/>
      <c r="O519" s="27"/>
      <c r="P519" s="27"/>
      <c r="Q519" s="27"/>
      <c r="R519" s="511"/>
    </row>
    <row r="520" spans="1:18">
      <c r="A520" s="513" t="s">
        <v>18544</v>
      </c>
      <c r="B520" s="513">
        <v>814000</v>
      </c>
      <c r="C520" s="513" t="s">
        <v>18544</v>
      </c>
      <c r="E520"/>
      <c r="F520"/>
      <c r="H520"/>
      <c r="M520" s="27"/>
      <c r="N520" s="27"/>
      <c r="O520" s="27"/>
      <c r="P520" s="27"/>
      <c r="Q520" s="27"/>
      <c r="R520" s="511"/>
    </row>
    <row r="521" spans="1:18">
      <c r="A521" s="513" t="s">
        <v>18695</v>
      </c>
      <c r="B521" s="513">
        <v>2318800</v>
      </c>
      <c r="C521" s="513" t="s">
        <v>18695</v>
      </c>
      <c r="E521"/>
      <c r="F521"/>
      <c r="H521"/>
      <c r="M521" s="27"/>
      <c r="N521" s="27"/>
      <c r="O521" s="27"/>
      <c r="P521" s="27"/>
      <c r="Q521" s="27"/>
      <c r="R521" s="511"/>
    </row>
    <row r="522" spans="1:18">
      <c r="A522" s="513" t="s">
        <v>18988</v>
      </c>
      <c r="B522" s="513">
        <v>2318800</v>
      </c>
      <c r="C522" s="513" t="s">
        <v>18988</v>
      </c>
      <c r="E522"/>
      <c r="F522"/>
      <c r="H522"/>
      <c r="M522" s="27"/>
      <c r="N522" s="27"/>
      <c r="O522" s="27"/>
      <c r="P522" s="27"/>
      <c r="Q522" s="27"/>
      <c r="R522" s="511"/>
    </row>
    <row r="523" spans="1:18">
      <c r="A523" s="513" t="s">
        <v>17129</v>
      </c>
      <c r="B523" s="513">
        <v>193733</v>
      </c>
      <c r="C523" s="513" t="s">
        <v>17129</v>
      </c>
      <c r="E523"/>
      <c r="F523"/>
      <c r="H523"/>
      <c r="M523" s="27"/>
      <c r="N523" s="27"/>
      <c r="O523" s="27"/>
      <c r="P523" s="27"/>
      <c r="Q523" s="27"/>
      <c r="R523" s="511"/>
    </row>
    <row r="524" spans="1:18">
      <c r="A524" s="513" t="s">
        <v>17245</v>
      </c>
      <c r="B524" s="513">
        <v>193733</v>
      </c>
      <c r="C524" s="513" t="s">
        <v>17245</v>
      </c>
      <c r="E524"/>
      <c r="F524"/>
      <c r="H524"/>
      <c r="M524" s="27"/>
      <c r="N524" s="27"/>
      <c r="O524" s="27"/>
      <c r="P524" s="27"/>
      <c r="Q524" s="27"/>
      <c r="R524" s="511"/>
    </row>
    <row r="525" spans="1:18">
      <c r="A525" s="513" t="s">
        <v>14916</v>
      </c>
      <c r="B525" s="513">
        <v>193733</v>
      </c>
      <c r="C525" s="513" t="s">
        <v>14916</v>
      </c>
      <c r="E525"/>
      <c r="F525"/>
      <c r="H525"/>
      <c r="M525" s="27"/>
      <c r="N525" s="27"/>
      <c r="O525" s="27"/>
      <c r="P525" s="27"/>
      <c r="Q525" s="27"/>
      <c r="R525" s="511"/>
    </row>
    <row r="526" spans="1:18">
      <c r="A526" s="513" t="s">
        <v>19042</v>
      </c>
      <c r="B526" s="513">
        <v>956848970</v>
      </c>
      <c r="C526" s="513" t="s">
        <v>19042</v>
      </c>
      <c r="E526"/>
      <c r="F526"/>
      <c r="H526"/>
      <c r="M526" s="27"/>
      <c r="N526" s="27"/>
      <c r="O526" s="27"/>
      <c r="P526" s="27"/>
      <c r="Q526" s="27"/>
      <c r="R526" s="511"/>
    </row>
    <row r="527" spans="1:18">
      <c r="A527" s="513" t="s">
        <v>19037</v>
      </c>
      <c r="B527" s="513">
        <v>186577855</v>
      </c>
      <c r="C527" s="513" t="s">
        <v>19037</v>
      </c>
      <c r="E527"/>
      <c r="F527"/>
      <c r="H527"/>
      <c r="M527" s="27"/>
      <c r="N527" s="27"/>
      <c r="O527" s="27"/>
      <c r="P527" s="27"/>
      <c r="Q527" s="27"/>
      <c r="R527" s="511"/>
    </row>
    <row r="528" spans="1:18">
      <c r="A528" s="513" t="s">
        <v>19035</v>
      </c>
      <c r="B528" s="513">
        <v>156473883</v>
      </c>
      <c r="C528" s="513" t="s">
        <v>19035</v>
      </c>
      <c r="E528"/>
      <c r="F528"/>
      <c r="H528"/>
      <c r="M528" s="27"/>
      <c r="N528" s="27"/>
      <c r="O528" s="27"/>
      <c r="P528" s="27"/>
      <c r="Q528" s="27"/>
      <c r="R528" s="511"/>
    </row>
    <row r="529" spans="1:18">
      <c r="A529" s="513" t="s">
        <v>19031</v>
      </c>
      <c r="B529" s="513">
        <v>200999977</v>
      </c>
      <c r="C529" s="513" t="s">
        <v>19031</v>
      </c>
      <c r="E529"/>
      <c r="F529"/>
      <c r="H529"/>
      <c r="M529" s="27"/>
      <c r="N529" s="27"/>
      <c r="O529" s="27"/>
      <c r="P529" s="27"/>
      <c r="Q529" s="27"/>
      <c r="R529" s="511"/>
    </row>
    <row r="530" spans="1:18">
      <c r="A530" s="513" t="s">
        <v>19033</v>
      </c>
      <c r="B530" s="513">
        <v>200999977</v>
      </c>
      <c r="C530" s="513" t="s">
        <v>19033</v>
      </c>
      <c r="E530"/>
      <c r="F530"/>
      <c r="H530"/>
      <c r="M530" s="27"/>
      <c r="N530" s="27"/>
      <c r="O530" s="27"/>
      <c r="P530" s="27"/>
      <c r="Q530" s="27"/>
      <c r="R530" s="511"/>
    </row>
    <row r="531" spans="1:18">
      <c r="A531" s="513" t="s">
        <v>20413</v>
      </c>
      <c r="B531" s="513">
        <v>0</v>
      </c>
      <c r="C531" s="513"/>
      <c r="E531"/>
      <c r="F531"/>
      <c r="H531"/>
      <c r="M531" s="27"/>
      <c r="N531" s="27"/>
      <c r="O531" s="27"/>
      <c r="P531" s="27"/>
      <c r="Q531" s="27"/>
      <c r="R531" s="511"/>
    </row>
    <row r="532" spans="1:18">
      <c r="A532" s="513" t="s">
        <v>20416</v>
      </c>
      <c r="B532" s="513">
        <v>0</v>
      </c>
      <c r="C532" s="513"/>
      <c r="E532"/>
      <c r="F532"/>
      <c r="H532"/>
      <c r="M532" s="27"/>
      <c r="N532" s="27"/>
      <c r="O532" s="27"/>
      <c r="P532" s="27"/>
      <c r="Q532" s="27"/>
      <c r="R532" s="511"/>
    </row>
    <row r="533" spans="1:18">
      <c r="A533" s="513" t="s">
        <v>20418</v>
      </c>
      <c r="B533" s="513">
        <v>0</v>
      </c>
      <c r="C533" s="513"/>
      <c r="E533"/>
      <c r="F533"/>
      <c r="H533"/>
      <c r="M533" s="27"/>
      <c r="N533" s="27"/>
      <c r="O533" s="27"/>
      <c r="P533" s="27"/>
      <c r="Q533" s="27"/>
      <c r="R533" s="511"/>
    </row>
    <row r="534" spans="1:18">
      <c r="A534" s="513" t="s">
        <v>20415</v>
      </c>
      <c r="B534" s="513">
        <v>0</v>
      </c>
      <c r="C534" s="513"/>
      <c r="E534"/>
      <c r="F534"/>
      <c r="H534"/>
      <c r="M534" s="27"/>
      <c r="N534" s="27"/>
      <c r="O534" s="27"/>
      <c r="P534" s="27"/>
      <c r="Q534" s="27"/>
      <c r="R534" s="511"/>
    </row>
    <row r="535" spans="1:18">
      <c r="A535" s="513" t="s">
        <v>20419</v>
      </c>
      <c r="B535" s="513">
        <v>0</v>
      </c>
      <c r="C535" s="513"/>
      <c r="E535"/>
      <c r="F535"/>
      <c r="H535"/>
      <c r="M535" s="27"/>
      <c r="N535" s="27"/>
      <c r="O535" s="27"/>
      <c r="P535" s="27"/>
      <c r="Q535" s="27"/>
      <c r="R535" s="511"/>
    </row>
    <row r="536" spans="1:18">
      <c r="A536" s="513" t="s">
        <v>20414</v>
      </c>
      <c r="B536" s="513">
        <v>0</v>
      </c>
      <c r="C536" s="513"/>
      <c r="E536"/>
      <c r="F536"/>
      <c r="H536"/>
      <c r="M536" s="27"/>
      <c r="N536" s="27"/>
      <c r="O536" s="27"/>
      <c r="P536" s="27"/>
      <c r="Q536" s="27"/>
      <c r="R536" s="511"/>
    </row>
    <row r="537" spans="1:18">
      <c r="A537" s="513" t="s">
        <v>20426</v>
      </c>
      <c r="B537" s="513">
        <v>0</v>
      </c>
      <c r="C537" s="513"/>
      <c r="E537"/>
      <c r="F537"/>
      <c r="H537"/>
      <c r="M537" s="27"/>
      <c r="N537" s="27"/>
      <c r="O537" s="27"/>
      <c r="P537" s="27"/>
      <c r="Q537" s="27"/>
      <c r="R537" s="511"/>
    </row>
    <row r="538" spans="1:18">
      <c r="A538" s="513" t="s">
        <v>20423</v>
      </c>
      <c r="B538" s="513">
        <v>0</v>
      </c>
      <c r="C538" s="513"/>
      <c r="E538"/>
      <c r="F538"/>
      <c r="H538"/>
      <c r="M538" s="27"/>
      <c r="N538" s="27"/>
      <c r="O538" s="27"/>
      <c r="P538" s="27"/>
      <c r="Q538" s="27"/>
      <c r="R538" s="511"/>
    </row>
    <row r="539" spans="1:18">
      <c r="A539" s="513" t="s">
        <v>20420</v>
      </c>
      <c r="B539" s="513">
        <v>0</v>
      </c>
      <c r="C539" s="513"/>
      <c r="E539"/>
      <c r="F539"/>
      <c r="H539"/>
      <c r="M539" s="27"/>
      <c r="N539" s="27"/>
      <c r="O539" s="27"/>
      <c r="P539" s="27"/>
      <c r="Q539" s="27"/>
      <c r="R539" s="511"/>
    </row>
    <row r="540" spans="1:18">
      <c r="A540" s="513" t="s">
        <v>20749</v>
      </c>
      <c r="B540" s="513">
        <v>0</v>
      </c>
      <c r="C540" s="513"/>
      <c r="E540"/>
      <c r="F540"/>
      <c r="H540"/>
      <c r="M540" s="27"/>
      <c r="N540" s="27"/>
      <c r="O540" s="27"/>
      <c r="P540" s="27"/>
      <c r="Q540" s="27"/>
      <c r="R540" s="511"/>
    </row>
    <row r="541" spans="1:18">
      <c r="A541" s="513" t="s">
        <v>20750</v>
      </c>
      <c r="B541" s="513">
        <v>0</v>
      </c>
      <c r="C541" s="513"/>
      <c r="E541"/>
      <c r="F541"/>
      <c r="H541"/>
      <c r="M541" s="27"/>
      <c r="N541" s="27"/>
      <c r="O541" s="27"/>
      <c r="P541" s="27"/>
      <c r="Q541" s="27"/>
      <c r="R541" s="511"/>
    </row>
    <row r="542" spans="1:18">
      <c r="A542" s="513" t="s">
        <v>20422</v>
      </c>
      <c r="B542" s="513">
        <v>0</v>
      </c>
      <c r="C542" s="513"/>
      <c r="E542"/>
      <c r="F542"/>
      <c r="H542"/>
      <c r="M542" s="27"/>
      <c r="N542" s="27"/>
      <c r="O542" s="27"/>
      <c r="P542" s="27"/>
      <c r="Q542" s="27"/>
      <c r="R542" s="511"/>
    </row>
    <row r="543" spans="1:18">
      <c r="A543" s="513" t="s">
        <v>20424</v>
      </c>
      <c r="B543" s="513">
        <v>0</v>
      </c>
      <c r="C543" s="513"/>
      <c r="E543"/>
      <c r="F543"/>
      <c r="H543"/>
      <c r="M543" s="27"/>
      <c r="N543" s="27"/>
      <c r="O543" s="27"/>
      <c r="P543" s="27"/>
      <c r="Q543" s="27"/>
      <c r="R543" s="511"/>
    </row>
    <row r="544" spans="1:18">
      <c r="A544" s="513" t="s">
        <v>20417</v>
      </c>
      <c r="B544" s="513">
        <v>0</v>
      </c>
      <c r="C544" s="513"/>
      <c r="E544"/>
      <c r="F544"/>
      <c r="H544"/>
      <c r="M544" s="27"/>
      <c r="N544" s="27"/>
      <c r="O544" s="27"/>
      <c r="P544" s="27"/>
      <c r="Q544" s="27"/>
      <c r="R544" s="511"/>
    </row>
    <row r="545" spans="1:18">
      <c r="A545" s="513" t="s">
        <v>20068</v>
      </c>
      <c r="B545" s="513">
        <v>165056706</v>
      </c>
      <c r="C545" s="513"/>
      <c r="E545"/>
      <c r="F545"/>
      <c r="H545"/>
      <c r="M545" s="27"/>
      <c r="N545" s="27"/>
      <c r="O545" s="27"/>
      <c r="P545" s="27"/>
      <c r="Q545" s="27"/>
      <c r="R545" s="511"/>
    </row>
    <row r="546" spans="1:18">
      <c r="A546" s="513" t="s">
        <v>19487</v>
      </c>
      <c r="B546" s="513">
        <v>104341150</v>
      </c>
      <c r="C546" s="513"/>
      <c r="E546"/>
      <c r="F546"/>
      <c r="H546"/>
      <c r="M546" s="27"/>
      <c r="N546" s="27"/>
      <c r="O546" s="27"/>
      <c r="P546" s="27"/>
      <c r="Q546" s="27"/>
      <c r="R546" s="511"/>
    </row>
    <row r="547" spans="1:18">
      <c r="A547" s="513" t="s">
        <v>20031</v>
      </c>
      <c r="B547" s="513">
        <v>5741954</v>
      </c>
      <c r="C547" s="513"/>
      <c r="E547"/>
      <c r="F547"/>
      <c r="H547"/>
      <c r="M547" s="27"/>
      <c r="N547" s="27"/>
      <c r="O547" s="27"/>
      <c r="P547" s="27"/>
      <c r="Q547" s="27"/>
      <c r="R547" s="511"/>
    </row>
    <row r="548" spans="1:18">
      <c r="A548" s="513" t="s">
        <v>19488</v>
      </c>
      <c r="B548" s="513">
        <v>-4521005573</v>
      </c>
      <c r="C548" s="513"/>
      <c r="E548"/>
      <c r="F548"/>
      <c r="H548"/>
      <c r="M548" s="27"/>
      <c r="N548" s="27"/>
      <c r="O548" s="27"/>
      <c r="P548" s="27"/>
      <c r="Q548" s="27"/>
      <c r="R548" s="511"/>
    </row>
    <row r="549" spans="1:18">
      <c r="A549" s="513" t="s">
        <v>19489</v>
      </c>
      <c r="B549" s="513">
        <v>200999977</v>
      </c>
      <c r="C549" s="513"/>
      <c r="E549"/>
      <c r="F549"/>
      <c r="H549"/>
      <c r="M549" s="27"/>
      <c r="N549" s="27"/>
      <c r="O549" s="27"/>
      <c r="P549" s="27"/>
      <c r="Q549" s="27"/>
      <c r="R549" s="511"/>
    </row>
    <row r="550" spans="1:18">
      <c r="A550" s="513" t="s">
        <v>19490</v>
      </c>
      <c r="B550" s="513">
        <v>5594300000</v>
      </c>
      <c r="C550" s="513"/>
      <c r="E550"/>
      <c r="F550"/>
      <c r="H550"/>
      <c r="M550" s="27"/>
      <c r="N550" s="27"/>
      <c r="O550" s="27"/>
      <c r="P550" s="27"/>
      <c r="Q550" s="27"/>
      <c r="R550" s="511"/>
    </row>
    <row r="551" spans="1:18">
      <c r="A551" s="513" t="s">
        <v>19491</v>
      </c>
      <c r="B551" s="513">
        <v>30884314</v>
      </c>
      <c r="C551" s="513"/>
      <c r="E551"/>
      <c r="F551"/>
      <c r="H551"/>
      <c r="M551" s="27"/>
      <c r="N551" s="27"/>
      <c r="O551" s="27"/>
      <c r="P551" s="27"/>
      <c r="Q551" s="27"/>
      <c r="R551" s="511"/>
    </row>
    <row r="552" spans="1:18">
      <c r="A552" s="513" t="s">
        <v>19492</v>
      </c>
      <c r="B552" s="513">
        <v>128997000</v>
      </c>
      <c r="C552" s="513"/>
      <c r="E552"/>
      <c r="F552"/>
      <c r="H552"/>
      <c r="M552" s="27"/>
      <c r="N552" s="27"/>
      <c r="O552" s="27"/>
      <c r="P552" s="27"/>
      <c r="Q552" s="27"/>
      <c r="R552" s="511"/>
    </row>
    <row r="553" spans="1:18">
      <c r="A553" s="513" t="s">
        <v>19493</v>
      </c>
      <c r="B553" s="513">
        <v>10174703</v>
      </c>
      <c r="C553" s="513"/>
      <c r="E553"/>
      <c r="F553"/>
      <c r="H553"/>
      <c r="M553" s="27"/>
      <c r="N553" s="27"/>
      <c r="O553" s="27"/>
      <c r="P553" s="27"/>
      <c r="Q553" s="27"/>
      <c r="R553" s="511"/>
    </row>
    <row r="554" spans="1:18">
      <c r="A554" s="513" t="s">
        <v>19494</v>
      </c>
      <c r="B554" s="513">
        <v>47054061</v>
      </c>
      <c r="C554" s="513"/>
      <c r="E554"/>
      <c r="F554"/>
      <c r="H554"/>
      <c r="M554" s="27"/>
      <c r="N554" s="27"/>
      <c r="O554" s="27"/>
      <c r="P554" s="27"/>
      <c r="Q554" s="27"/>
      <c r="R554" s="511"/>
    </row>
    <row r="555" spans="1:18">
      <c r="A555" s="513" t="s">
        <v>19495</v>
      </c>
      <c r="B555" s="513">
        <v>53666641</v>
      </c>
      <c r="C555" s="513"/>
      <c r="E555"/>
      <c r="F555"/>
      <c r="H555"/>
      <c r="M555" s="27"/>
      <c r="N555" s="27"/>
      <c r="O555" s="27"/>
      <c r="P555" s="27"/>
      <c r="Q555" s="27"/>
      <c r="R555" s="511"/>
    </row>
    <row r="556" spans="1:18">
      <c r="A556" s="513" t="s">
        <v>19496</v>
      </c>
      <c r="B556" s="513">
        <v>252944705</v>
      </c>
      <c r="C556" s="513"/>
      <c r="E556"/>
      <c r="F556"/>
      <c r="H556"/>
      <c r="M556" s="27"/>
      <c r="N556" s="27"/>
      <c r="O556" s="27"/>
      <c r="P556" s="27"/>
      <c r="Q556" s="27"/>
      <c r="R556" s="511"/>
    </row>
    <row r="557" spans="1:18">
      <c r="A557" s="513" t="s">
        <v>19497</v>
      </c>
      <c r="B557" s="513">
        <v>285657175</v>
      </c>
      <c r="C557" s="513"/>
      <c r="E557"/>
      <c r="F557"/>
      <c r="H557"/>
      <c r="M557" s="27"/>
      <c r="N557" s="27"/>
      <c r="O557" s="27"/>
      <c r="P557" s="27"/>
      <c r="Q557" s="27"/>
      <c r="R557" s="511"/>
    </row>
    <row r="558" spans="1:18">
      <c r="A558" s="513" t="s">
        <v>19498</v>
      </c>
      <c r="B558" s="513">
        <v>15960000</v>
      </c>
      <c r="C558" s="513"/>
      <c r="E558"/>
      <c r="F558"/>
      <c r="H558"/>
      <c r="M558" s="27"/>
      <c r="N558" s="27"/>
      <c r="O558" s="27"/>
      <c r="P558" s="27"/>
      <c r="Q558" s="27"/>
      <c r="R558" s="511"/>
    </row>
    <row r="559" spans="1:18">
      <c r="A559" s="513" t="s">
        <v>20393</v>
      </c>
      <c r="B559" s="513">
        <v>0</v>
      </c>
      <c r="C559" s="513"/>
      <c r="E559"/>
      <c r="F559"/>
      <c r="H559"/>
      <c r="M559" s="27"/>
      <c r="N559" s="27"/>
      <c r="O559" s="27"/>
      <c r="P559" s="27"/>
      <c r="Q559" s="27"/>
      <c r="R559" s="511"/>
    </row>
    <row r="560" spans="1:18">
      <c r="A560" s="513" t="s">
        <v>19499</v>
      </c>
      <c r="B560" s="513">
        <v>647860666</v>
      </c>
      <c r="C560" s="513"/>
      <c r="E560"/>
      <c r="F560"/>
      <c r="H560"/>
      <c r="M560" s="27"/>
      <c r="N560" s="27"/>
      <c r="O560" s="27"/>
      <c r="P560" s="27"/>
      <c r="Q560" s="27"/>
      <c r="R560" s="511"/>
    </row>
    <row r="561" spans="1:18">
      <c r="A561" s="513" t="s">
        <v>19500</v>
      </c>
      <c r="B561" s="513">
        <v>87539011</v>
      </c>
      <c r="C561" s="513"/>
      <c r="E561"/>
      <c r="F561"/>
      <c r="H561"/>
      <c r="M561" s="27"/>
      <c r="N561" s="27"/>
      <c r="O561" s="27"/>
      <c r="P561" s="27"/>
      <c r="Q561" s="27"/>
      <c r="R561" s="511"/>
    </row>
    <row r="562" spans="1:18">
      <c r="A562" s="513" t="s">
        <v>19501</v>
      </c>
      <c r="B562" s="513">
        <v>500039572</v>
      </c>
      <c r="C562" s="513"/>
      <c r="E562"/>
      <c r="F562"/>
      <c r="H562"/>
      <c r="M562" s="27"/>
      <c r="N562" s="27"/>
      <c r="O562" s="27"/>
      <c r="P562" s="27"/>
      <c r="Q562" s="27"/>
      <c r="R562" s="511"/>
    </row>
    <row r="563" spans="1:18">
      <c r="A563" s="513" t="s">
        <v>19502</v>
      </c>
      <c r="B563" s="513">
        <v>2937147</v>
      </c>
      <c r="C563" s="513"/>
      <c r="E563"/>
      <c r="F563"/>
      <c r="H563"/>
      <c r="M563" s="27"/>
      <c r="N563" s="27"/>
      <c r="O563" s="27"/>
      <c r="P563" s="27"/>
      <c r="Q563" s="27"/>
      <c r="R563" s="511"/>
    </row>
    <row r="564" spans="1:18">
      <c r="A564" s="513" t="s">
        <v>19503</v>
      </c>
      <c r="B564" s="513">
        <v>461293532</v>
      </c>
      <c r="C564" s="513"/>
      <c r="E564"/>
      <c r="F564"/>
      <c r="H564"/>
      <c r="M564" s="27"/>
      <c r="N564" s="27"/>
      <c r="O564" s="27"/>
      <c r="P564" s="27"/>
      <c r="Q564" s="27"/>
      <c r="R564" s="511"/>
    </row>
    <row r="565" spans="1:18">
      <c r="A565" s="513" t="s">
        <v>19504</v>
      </c>
      <c r="B565" s="513">
        <v>152917024</v>
      </c>
      <c r="C565" s="513"/>
      <c r="E565"/>
      <c r="F565"/>
      <c r="H565"/>
      <c r="M565" s="27"/>
      <c r="N565" s="27"/>
      <c r="O565" s="27"/>
      <c r="P565" s="27"/>
      <c r="Q565" s="27"/>
      <c r="R565" s="511"/>
    </row>
    <row r="566" spans="1:18">
      <c r="A566" s="513" t="s">
        <v>20175</v>
      </c>
      <c r="B566" s="513">
        <v>54196094</v>
      </c>
      <c r="C566" s="513"/>
      <c r="E566"/>
      <c r="F566"/>
      <c r="H566"/>
      <c r="M566" s="27"/>
      <c r="N566" s="27"/>
      <c r="O566" s="27"/>
      <c r="P566" s="27"/>
      <c r="Q566" s="27"/>
      <c r="R566" s="511"/>
    </row>
    <row r="567" spans="1:18">
      <c r="A567" s="513" t="s">
        <v>19505</v>
      </c>
      <c r="B567" s="513">
        <v>262091406</v>
      </c>
      <c r="C567" s="513"/>
      <c r="E567"/>
      <c r="F567"/>
      <c r="H567"/>
      <c r="M567" s="27"/>
      <c r="N567" s="27"/>
      <c r="O567" s="27"/>
      <c r="P567" s="27"/>
      <c r="Q567" s="27"/>
      <c r="R567" s="511"/>
    </row>
    <row r="568" spans="1:18">
      <c r="A568" s="513" t="s">
        <v>19506</v>
      </c>
      <c r="B568" s="513">
        <v>69136085</v>
      </c>
      <c r="C568" s="513"/>
      <c r="E568"/>
      <c r="F568"/>
      <c r="H568"/>
      <c r="M568" s="27"/>
      <c r="N568" s="27"/>
      <c r="O568" s="27"/>
      <c r="P568" s="27"/>
      <c r="Q568" s="27"/>
      <c r="R568" s="511"/>
    </row>
    <row r="569" spans="1:18">
      <c r="A569" s="513" t="s">
        <v>20073</v>
      </c>
      <c r="B569" s="513">
        <v>597597760</v>
      </c>
      <c r="C569" s="513"/>
      <c r="E569"/>
      <c r="F569"/>
      <c r="H569"/>
      <c r="M569" s="27"/>
      <c r="N569" s="27"/>
      <c r="O569" s="27"/>
      <c r="P569" s="27"/>
      <c r="Q569" s="27"/>
      <c r="R569" s="511"/>
    </row>
    <row r="570" spans="1:18">
      <c r="A570" s="513" t="s">
        <v>19507</v>
      </c>
      <c r="B570" s="513">
        <v>30884314</v>
      </c>
      <c r="C570" s="513"/>
      <c r="E570"/>
      <c r="F570"/>
      <c r="H570"/>
      <c r="M570" s="27"/>
      <c r="N570" s="27"/>
      <c r="O570" s="27"/>
      <c r="P570" s="27"/>
      <c r="Q570" s="27"/>
      <c r="R570" s="511"/>
    </row>
    <row r="571" spans="1:18">
      <c r="A571" s="513" t="s">
        <v>19508</v>
      </c>
      <c r="B571" s="513">
        <v>5594300000</v>
      </c>
      <c r="C571" s="513"/>
      <c r="E571"/>
      <c r="F571"/>
      <c r="H571"/>
      <c r="M571" s="27"/>
      <c r="N571" s="27"/>
      <c r="O571" s="27"/>
      <c r="P571" s="27"/>
      <c r="Q571" s="27"/>
      <c r="R571" s="511"/>
    </row>
    <row r="572" spans="1:18">
      <c r="A572" s="513" t="s">
        <v>20074</v>
      </c>
      <c r="B572" s="513">
        <v>597597760</v>
      </c>
      <c r="C572" s="513"/>
      <c r="E572"/>
      <c r="F572"/>
      <c r="H572"/>
      <c r="M572" s="27"/>
      <c r="N572" s="27"/>
      <c r="O572" s="27"/>
      <c r="P572" s="27"/>
      <c r="Q572" s="27"/>
      <c r="R572" s="511"/>
    </row>
    <row r="573" spans="1:18">
      <c r="A573" s="513" t="s">
        <v>19509</v>
      </c>
      <c r="B573" s="513">
        <v>-4521005573</v>
      </c>
      <c r="C573" s="513"/>
      <c r="E573"/>
      <c r="F573"/>
      <c r="H573"/>
      <c r="M573" s="27"/>
      <c r="N573" s="27"/>
      <c r="O573" s="27"/>
      <c r="P573" s="27"/>
      <c r="Q573" s="27"/>
      <c r="R573" s="511"/>
    </row>
    <row r="574" spans="1:18">
      <c r="A574" s="513" t="s">
        <v>20069</v>
      </c>
      <c r="B574" s="513">
        <v>283383002</v>
      </c>
      <c r="C574" s="513"/>
      <c r="E574"/>
      <c r="F574"/>
      <c r="H574"/>
      <c r="M574" s="27"/>
      <c r="N574" s="27"/>
      <c r="O574" s="27"/>
      <c r="P574" s="27"/>
      <c r="Q574" s="27"/>
      <c r="R574" s="511"/>
    </row>
    <row r="575" spans="1:18">
      <c r="A575" s="513" t="s">
        <v>19510</v>
      </c>
      <c r="B575" s="513">
        <v>39202382</v>
      </c>
      <c r="C575" s="513"/>
      <c r="E575"/>
      <c r="F575"/>
      <c r="H575"/>
      <c r="M575" s="27"/>
      <c r="N575" s="27"/>
      <c r="O575" s="27"/>
      <c r="P575" s="27"/>
      <c r="Q575" s="27"/>
      <c r="R575" s="511"/>
    </row>
    <row r="576" spans="1:18">
      <c r="A576" s="513" t="s">
        <v>19511</v>
      </c>
      <c r="B576" s="513">
        <v>39202382</v>
      </c>
      <c r="C576" s="513"/>
      <c r="E576"/>
      <c r="F576"/>
      <c r="H576"/>
      <c r="M576" s="27"/>
      <c r="N576" s="27"/>
      <c r="O576" s="27"/>
      <c r="P576" s="27"/>
      <c r="Q576" s="27"/>
      <c r="R576" s="511"/>
    </row>
    <row r="577" spans="1:18">
      <c r="A577" s="513" t="s">
        <v>19512</v>
      </c>
      <c r="B577" s="513">
        <v>5297000</v>
      </c>
      <c r="C577" s="513"/>
      <c r="E577"/>
      <c r="F577"/>
      <c r="H577"/>
      <c r="M577" s="27"/>
      <c r="N577" s="27"/>
      <c r="O577" s="27"/>
      <c r="P577" s="27"/>
      <c r="Q577" s="27"/>
      <c r="R577" s="511"/>
    </row>
    <row r="578" spans="1:18">
      <c r="A578" s="513" t="s">
        <v>20032</v>
      </c>
      <c r="B578" s="513">
        <v>2554679</v>
      </c>
      <c r="C578" s="513"/>
      <c r="E578"/>
      <c r="F578"/>
      <c r="H578"/>
      <c r="M578" s="27"/>
      <c r="N578" s="27"/>
      <c r="O578" s="27"/>
      <c r="P578" s="27"/>
      <c r="Q578" s="27"/>
      <c r="R578" s="511"/>
    </row>
    <row r="579" spans="1:18">
      <c r="A579" s="513" t="s">
        <v>1602</v>
      </c>
      <c r="B579" s="513">
        <v>262091406</v>
      </c>
      <c r="C579" s="513"/>
      <c r="E579"/>
      <c r="F579"/>
      <c r="H579"/>
      <c r="M579" s="27"/>
      <c r="N579" s="27"/>
      <c r="O579" s="27"/>
      <c r="P579" s="27"/>
      <c r="Q579" s="27"/>
      <c r="R579" s="511"/>
    </row>
    <row r="580" spans="1:18">
      <c r="A580" s="513" t="s">
        <v>19514</v>
      </c>
      <c r="B580" s="513">
        <v>177910530</v>
      </c>
      <c r="C580" s="513"/>
      <c r="E580"/>
      <c r="F580"/>
      <c r="H580"/>
      <c r="M580" s="27"/>
      <c r="N580" s="27"/>
      <c r="O580" s="27"/>
      <c r="P580" s="27"/>
      <c r="Q580" s="27"/>
      <c r="R580" s="511"/>
    </row>
    <row r="581" spans="1:18">
      <c r="A581" s="513" t="s">
        <v>19515</v>
      </c>
      <c r="B581" s="513">
        <v>452067667</v>
      </c>
      <c r="C581" s="513"/>
      <c r="E581"/>
      <c r="F581"/>
      <c r="H581"/>
      <c r="M581" s="27"/>
      <c r="N581" s="27"/>
      <c r="O581" s="27"/>
      <c r="P581" s="27"/>
      <c r="Q581" s="27"/>
      <c r="R581" s="511"/>
    </row>
    <row r="582" spans="1:18">
      <c r="A582" s="513" t="s">
        <v>19516</v>
      </c>
      <c r="B582" s="513">
        <v>86081449</v>
      </c>
      <c r="C582" s="513"/>
      <c r="E582"/>
      <c r="F582"/>
      <c r="H582"/>
      <c r="M582" s="27"/>
      <c r="N582" s="27"/>
      <c r="O582" s="27"/>
      <c r="P582" s="27"/>
      <c r="Q582" s="27"/>
      <c r="R582" s="511"/>
    </row>
    <row r="583" spans="1:18">
      <c r="A583" s="513" t="s">
        <v>20070</v>
      </c>
      <c r="B583" s="513">
        <v>61038753</v>
      </c>
      <c r="C583" s="513"/>
      <c r="E583"/>
      <c r="F583"/>
      <c r="H583"/>
      <c r="M583" s="27"/>
      <c r="N583" s="27"/>
      <c r="O583" s="27"/>
      <c r="P583" s="27"/>
      <c r="Q583" s="27"/>
      <c r="R583" s="511"/>
    </row>
    <row r="584" spans="1:18">
      <c r="A584" s="513" t="s">
        <v>20071</v>
      </c>
      <c r="B584" s="513">
        <v>47128464</v>
      </c>
      <c r="C584" s="513"/>
      <c r="E584"/>
      <c r="F584"/>
      <c r="H584"/>
      <c r="M584" s="27"/>
      <c r="N584" s="27"/>
      <c r="O584" s="27"/>
      <c r="P584" s="27"/>
      <c r="Q584" s="27"/>
      <c r="R584" s="511"/>
    </row>
    <row r="585" spans="1:18">
      <c r="A585" s="513" t="s">
        <v>20180</v>
      </c>
      <c r="B585" s="513">
        <v>406336609</v>
      </c>
      <c r="C585" s="513"/>
      <c r="E585"/>
      <c r="F585"/>
      <c r="H585"/>
      <c r="M585" s="27"/>
      <c r="N585" s="27"/>
      <c r="O585" s="27"/>
      <c r="P585" s="27"/>
      <c r="Q585" s="27"/>
      <c r="R585" s="511"/>
    </row>
    <row r="586" spans="1:18">
      <c r="A586" s="513" t="s">
        <v>20751</v>
      </c>
      <c r="B586" s="513">
        <v>0</v>
      </c>
      <c r="C586" s="513"/>
      <c r="E586"/>
      <c r="F586"/>
      <c r="H586"/>
      <c r="M586" s="27"/>
      <c r="N586" s="27"/>
      <c r="O586" s="27"/>
      <c r="P586" s="27"/>
      <c r="Q586" s="27"/>
      <c r="R586" s="511"/>
    </row>
    <row r="587" spans="1:18">
      <c r="A587" s="513" t="s">
        <v>20072</v>
      </c>
      <c r="B587" s="513">
        <v>283383002</v>
      </c>
      <c r="C587" s="513"/>
      <c r="E587"/>
      <c r="F587"/>
      <c r="H587"/>
      <c r="M587" s="27"/>
      <c r="N587" s="27"/>
      <c r="O587" s="27"/>
      <c r="P587" s="27"/>
      <c r="Q587" s="27"/>
      <c r="R587" s="511"/>
    </row>
    <row r="588" spans="1:18">
      <c r="A588" s="513" t="s">
        <v>19517</v>
      </c>
      <c r="B588" s="513">
        <v>700000</v>
      </c>
      <c r="C588" s="513"/>
      <c r="E588"/>
      <c r="F588"/>
      <c r="H588"/>
      <c r="M588" s="27"/>
      <c r="N588" s="27"/>
      <c r="O588" s="27"/>
      <c r="P588" s="27"/>
      <c r="Q588" s="27"/>
      <c r="R588" s="511"/>
    </row>
    <row r="589" spans="1:18">
      <c r="A589" s="513" t="s">
        <v>19518</v>
      </c>
      <c r="B589" s="513">
        <v>145905582</v>
      </c>
      <c r="C589" s="513"/>
      <c r="E589"/>
      <c r="F589"/>
      <c r="H589"/>
      <c r="M589" s="27"/>
      <c r="N589" s="27"/>
      <c r="O589" s="27"/>
      <c r="P589" s="27"/>
      <c r="Q589" s="27"/>
      <c r="R589" s="511"/>
    </row>
    <row r="590" spans="1:18">
      <c r="A590" s="513" t="s">
        <v>19615</v>
      </c>
      <c r="B590" s="513">
        <v>6311442</v>
      </c>
      <c r="C590" s="513"/>
      <c r="E590"/>
      <c r="F590"/>
      <c r="H590"/>
      <c r="M590" s="27"/>
      <c r="N590" s="27"/>
      <c r="O590" s="27"/>
      <c r="P590" s="27"/>
      <c r="Q590" s="27"/>
      <c r="R590" s="511"/>
    </row>
    <row r="591" spans="1:18">
      <c r="A591" s="513" t="s">
        <v>19513</v>
      </c>
      <c r="B591" s="513">
        <v>15960000</v>
      </c>
      <c r="C591" s="513"/>
      <c r="E591"/>
      <c r="F591"/>
      <c r="H591"/>
      <c r="M591" s="27"/>
      <c r="N591" s="27"/>
      <c r="O591" s="27"/>
      <c r="P591" s="27"/>
      <c r="Q591" s="27"/>
      <c r="R591" s="511"/>
    </row>
    <row r="592" spans="1:18">
      <c r="A592" s="513" t="s">
        <v>1594</v>
      </c>
      <c r="B592" s="513">
        <v>87539011</v>
      </c>
      <c r="C592" s="513"/>
      <c r="E592"/>
      <c r="F592"/>
      <c r="H592"/>
      <c r="M592" s="27"/>
      <c r="N592" s="27"/>
      <c r="O592" s="27"/>
      <c r="P592" s="27"/>
      <c r="Q592" s="27"/>
      <c r="R592" s="511"/>
    </row>
    <row r="593" spans="1:18">
      <c r="A593" s="513" t="s">
        <v>20440</v>
      </c>
      <c r="B593" s="513">
        <v>561973195</v>
      </c>
      <c r="C593" s="513"/>
      <c r="E593"/>
      <c r="F593"/>
      <c r="H593"/>
      <c r="M593" s="27"/>
      <c r="N593" s="27"/>
      <c r="O593" s="27"/>
      <c r="P593" s="27"/>
      <c r="Q593" s="27"/>
      <c r="R593" s="511"/>
    </row>
    <row r="594" spans="1:18">
      <c r="A594" s="513" t="s">
        <v>20434</v>
      </c>
      <c r="B594" s="513">
        <v>2470491627</v>
      </c>
      <c r="C594" s="513"/>
      <c r="E594"/>
      <c r="F594"/>
      <c r="H594"/>
      <c r="M594" s="27"/>
      <c r="N594" s="27"/>
      <c r="O594" s="27"/>
      <c r="P594" s="27"/>
      <c r="Q594" s="27"/>
      <c r="R594" s="511"/>
    </row>
    <row r="595" spans="1:18">
      <c r="A595" s="513" t="s">
        <v>20435</v>
      </c>
      <c r="B595" s="513">
        <v>2470491627</v>
      </c>
      <c r="C595" s="513"/>
      <c r="E595"/>
      <c r="F595"/>
      <c r="H595"/>
      <c r="M595" s="27"/>
      <c r="N595" s="27"/>
      <c r="O595" s="27"/>
      <c r="P595" s="27"/>
      <c r="Q595" s="27"/>
      <c r="R595" s="511"/>
    </row>
    <row r="596" spans="1:18">
      <c r="A596" s="513" t="s">
        <v>20441</v>
      </c>
      <c r="B596" s="513">
        <v>561973195</v>
      </c>
      <c r="C596" s="513"/>
      <c r="E596"/>
      <c r="F596"/>
      <c r="H596"/>
      <c r="M596" s="27"/>
      <c r="N596" s="27"/>
      <c r="O596" s="27"/>
      <c r="P596" s="27"/>
      <c r="Q596" s="27"/>
      <c r="R596" s="511"/>
    </row>
    <row r="597" spans="1:18">
      <c r="A597" s="513" t="s">
        <v>20076</v>
      </c>
      <c r="B597" s="513">
        <v>-66655024</v>
      </c>
      <c r="C597" s="513"/>
      <c r="E597"/>
      <c r="F597"/>
      <c r="H597"/>
      <c r="M597" s="27"/>
      <c r="N597" s="27"/>
      <c r="O597" s="27"/>
      <c r="P597" s="27"/>
      <c r="Q597" s="27"/>
      <c r="R597" s="511"/>
    </row>
    <row r="598" spans="1:18">
      <c r="A598" s="513" t="s">
        <v>19519</v>
      </c>
      <c r="B598" s="513">
        <v>-7825586</v>
      </c>
      <c r="C598" s="513"/>
      <c r="E598"/>
      <c r="F598"/>
      <c r="H598"/>
      <c r="M598" s="27"/>
      <c r="N598" s="27"/>
      <c r="O598" s="27"/>
      <c r="P598" s="27"/>
      <c r="Q598" s="27"/>
      <c r="R598" s="511"/>
    </row>
    <row r="599" spans="1:18">
      <c r="A599" s="513" t="s">
        <v>20436</v>
      </c>
      <c r="B599" s="513">
        <v>2470491627</v>
      </c>
      <c r="C599" s="513"/>
      <c r="E599"/>
      <c r="F599"/>
      <c r="H599"/>
      <c r="M599" s="27"/>
      <c r="N599" s="27"/>
      <c r="O599" s="27"/>
      <c r="P599" s="27"/>
      <c r="Q599" s="27"/>
      <c r="R599" s="511"/>
    </row>
    <row r="600" spans="1:18">
      <c r="A600" s="513" t="s">
        <v>20442</v>
      </c>
      <c r="B600" s="513">
        <v>561973195</v>
      </c>
      <c r="C600" s="513"/>
      <c r="E600"/>
      <c r="F600"/>
      <c r="H600"/>
      <c r="M600" s="27"/>
      <c r="N600" s="27"/>
      <c r="O600" s="27"/>
      <c r="P600" s="27"/>
      <c r="Q600" s="27"/>
      <c r="R600" s="511"/>
    </row>
    <row r="601" spans="1:18">
      <c r="A601" s="513" t="s">
        <v>20437</v>
      </c>
      <c r="B601" s="513">
        <v>2470491627</v>
      </c>
      <c r="C601" s="513"/>
      <c r="E601"/>
      <c r="F601"/>
      <c r="H601"/>
      <c r="M601" s="27"/>
      <c r="N601" s="27"/>
      <c r="O601" s="27"/>
      <c r="P601" s="27"/>
      <c r="Q601" s="27"/>
      <c r="R601" s="511"/>
    </row>
    <row r="602" spans="1:18">
      <c r="A602" s="513" t="s">
        <v>20443</v>
      </c>
      <c r="B602" s="513">
        <v>561973195</v>
      </c>
      <c r="C602" s="513"/>
      <c r="E602"/>
      <c r="F602"/>
      <c r="H602"/>
      <c r="M602" s="27"/>
      <c r="N602" s="27"/>
      <c r="O602" s="27"/>
      <c r="P602" s="27"/>
      <c r="Q602" s="27"/>
      <c r="R602" s="511"/>
    </row>
    <row r="603" spans="1:18">
      <c r="A603" s="513" t="s">
        <v>20444</v>
      </c>
      <c r="B603" s="513">
        <v>561973195</v>
      </c>
      <c r="C603" s="513"/>
      <c r="E603"/>
      <c r="F603"/>
      <c r="H603"/>
      <c r="M603" s="27"/>
      <c r="N603" s="27"/>
      <c r="O603" s="27"/>
      <c r="P603" s="27"/>
      <c r="Q603" s="27"/>
      <c r="R603" s="511"/>
    </row>
    <row r="604" spans="1:18">
      <c r="A604" s="513" t="s">
        <v>20438</v>
      </c>
      <c r="B604" s="513">
        <v>2470491627</v>
      </c>
      <c r="C604" s="513"/>
      <c r="E604"/>
      <c r="F604"/>
      <c r="H604"/>
      <c r="M604" s="27"/>
      <c r="N604" s="27"/>
      <c r="O604" s="27"/>
      <c r="P604" s="27"/>
      <c r="Q604" s="27"/>
      <c r="R604" s="511"/>
    </row>
    <row r="605" spans="1:18">
      <c r="A605" s="513" t="s">
        <v>20439</v>
      </c>
      <c r="B605" s="513">
        <v>4940983254</v>
      </c>
      <c r="C605" s="513"/>
      <c r="E605"/>
      <c r="F605"/>
      <c r="H605"/>
      <c r="M605" s="27"/>
      <c r="N605" s="27"/>
      <c r="O605" s="27"/>
      <c r="P605" s="27"/>
      <c r="Q605" s="27"/>
      <c r="R605" s="511"/>
    </row>
    <row r="606" spans="1:18">
      <c r="A606" s="513" t="s">
        <v>20445</v>
      </c>
      <c r="B606" s="513">
        <v>1123946390</v>
      </c>
      <c r="C606" s="513"/>
      <c r="E606"/>
      <c r="F606"/>
      <c r="H606"/>
      <c r="M606" s="27"/>
      <c r="N606" s="27"/>
      <c r="O606" s="27"/>
      <c r="P606" s="27"/>
      <c r="Q606" s="27"/>
      <c r="R606" s="511"/>
    </row>
    <row r="607" spans="1:18">
      <c r="A607" s="513" t="s">
        <v>19520</v>
      </c>
      <c r="B607" s="513">
        <v>4047107</v>
      </c>
      <c r="C607" s="513"/>
      <c r="E607"/>
      <c r="F607"/>
      <c r="H607"/>
      <c r="M607" s="27"/>
      <c r="N607" s="27"/>
      <c r="O607" s="27"/>
      <c r="P607" s="27"/>
      <c r="Q607" s="27"/>
      <c r="R607" s="511"/>
    </row>
    <row r="608" spans="1:18">
      <c r="A608" s="513" t="s">
        <v>20023</v>
      </c>
      <c r="B608" s="513">
        <v>13572912</v>
      </c>
      <c r="C608" s="513"/>
      <c r="E608"/>
      <c r="F608"/>
      <c r="H608"/>
      <c r="M608" s="27"/>
      <c r="N608" s="27"/>
      <c r="O608" s="27"/>
      <c r="P608" s="27"/>
      <c r="Q608" s="27"/>
      <c r="R608" s="511"/>
    </row>
    <row r="609" spans="1:18">
      <c r="A609" s="513" t="s">
        <v>20135</v>
      </c>
      <c r="B609" s="513">
        <v>59846843</v>
      </c>
      <c r="C609" s="513"/>
      <c r="E609"/>
      <c r="F609"/>
      <c r="H609"/>
      <c r="M609" s="27"/>
      <c r="N609" s="27"/>
      <c r="O609" s="27"/>
      <c r="P609" s="27"/>
      <c r="Q609" s="27"/>
      <c r="R609" s="511"/>
    </row>
    <row r="610" spans="1:18">
      <c r="A610" s="513" t="s">
        <v>20124</v>
      </c>
      <c r="B610" s="513">
        <v>59846843</v>
      </c>
      <c r="C610" s="513"/>
      <c r="E610"/>
      <c r="F610"/>
      <c r="H610"/>
      <c r="M610" s="27"/>
      <c r="N610" s="27"/>
      <c r="O610" s="27"/>
      <c r="P610" s="27"/>
      <c r="Q610" s="27"/>
      <c r="R610" s="511"/>
    </row>
    <row r="611" spans="1:18">
      <c r="A611" s="513" t="s">
        <v>20077</v>
      </c>
      <c r="B611" s="513">
        <v>0</v>
      </c>
      <c r="C611" s="513"/>
      <c r="E611"/>
      <c r="F611"/>
      <c r="H611"/>
      <c r="M611" s="27"/>
      <c r="N611" s="27"/>
      <c r="O611" s="27"/>
      <c r="P611" s="27"/>
      <c r="Q611" s="27"/>
      <c r="R611" s="511"/>
    </row>
    <row r="612" spans="1:18">
      <c r="A612" s="513" t="s">
        <v>20427</v>
      </c>
      <c r="B612" s="513">
        <v>0</v>
      </c>
      <c r="C612" s="513"/>
      <c r="E612"/>
      <c r="F612"/>
      <c r="H612"/>
      <c r="M612" s="27"/>
      <c r="N612" s="27"/>
      <c r="O612" s="27"/>
      <c r="P612" s="27"/>
      <c r="Q612" s="27"/>
      <c r="R612" s="511"/>
    </row>
    <row r="613" spans="1:18">
      <c r="A613" s="513" t="s">
        <v>20425</v>
      </c>
      <c r="B613" s="513">
        <v>0</v>
      </c>
      <c r="C613" s="513"/>
      <c r="E613"/>
      <c r="F613"/>
      <c r="H613"/>
      <c r="M613" s="27"/>
      <c r="N613" s="27"/>
      <c r="O613" s="27"/>
      <c r="P613" s="27"/>
      <c r="Q613" s="27"/>
      <c r="R613" s="511"/>
    </row>
    <row r="614" spans="1:18">
      <c r="A614" s="513" t="s">
        <v>19521</v>
      </c>
      <c r="B614" s="513">
        <v>499687000</v>
      </c>
      <c r="C614" s="513"/>
      <c r="E614"/>
      <c r="F614"/>
      <c r="H614"/>
      <c r="M614" s="27"/>
      <c r="N614" s="27"/>
      <c r="O614" s="27"/>
      <c r="P614" s="27"/>
      <c r="Q614" s="27"/>
      <c r="R614" s="511"/>
    </row>
    <row r="615" spans="1:18">
      <c r="A615" s="513" t="s">
        <v>20255</v>
      </c>
      <c r="B615" s="513">
        <v>352572</v>
      </c>
      <c r="C615" s="513"/>
      <c r="E615"/>
      <c r="F615"/>
      <c r="H615"/>
      <c r="M615" s="27"/>
      <c r="N615" s="27"/>
      <c r="O615" s="27"/>
      <c r="P615" s="27"/>
      <c r="Q615" s="27"/>
      <c r="R615" s="511"/>
    </row>
    <row r="616" spans="1:18">
      <c r="A616" s="513" t="s">
        <v>20078</v>
      </c>
      <c r="B616" s="513">
        <v>128997000</v>
      </c>
      <c r="C616" s="513"/>
      <c r="E616"/>
      <c r="F616"/>
      <c r="H616"/>
      <c r="M616" s="27"/>
      <c r="N616" s="27"/>
      <c r="O616" s="27"/>
      <c r="P616" s="27"/>
      <c r="Q616" s="27"/>
      <c r="R616" s="511"/>
    </row>
    <row r="617" spans="1:18">
      <c r="A617" s="513" t="s">
        <v>19522</v>
      </c>
      <c r="B617" s="513">
        <v>0</v>
      </c>
      <c r="C617" s="513"/>
      <c r="E617"/>
      <c r="F617"/>
      <c r="H617"/>
      <c r="M617" s="27"/>
      <c r="N617" s="27"/>
      <c r="O617" s="27"/>
      <c r="P617" s="27"/>
      <c r="Q617" s="27"/>
      <c r="R617" s="511"/>
    </row>
    <row r="618" spans="1:18">
      <c r="A618" s="513" t="s">
        <v>20229</v>
      </c>
      <c r="B618" s="513">
        <v>54196094</v>
      </c>
      <c r="C618" s="513"/>
      <c r="E618"/>
      <c r="F618"/>
      <c r="H618"/>
      <c r="M618" s="27"/>
      <c r="N618" s="27"/>
      <c r="O618" s="27"/>
      <c r="P618" s="27"/>
      <c r="Q618" s="27"/>
      <c r="R618" s="511"/>
    </row>
    <row r="619" spans="1:18">
      <c r="A619" s="513" t="s">
        <v>19523</v>
      </c>
      <c r="B619" s="513">
        <v>252944705</v>
      </c>
      <c r="C619" s="513"/>
      <c r="E619"/>
      <c r="F619"/>
      <c r="H619"/>
      <c r="M619" s="27"/>
      <c r="N619" s="27"/>
      <c r="O619" s="27"/>
      <c r="P619" s="27"/>
      <c r="Q619" s="27"/>
      <c r="R619" s="511"/>
    </row>
    <row r="620" spans="1:18">
      <c r="A620" s="513" t="s">
        <v>19524</v>
      </c>
      <c r="B620" s="513">
        <v>53666641</v>
      </c>
      <c r="C620" s="513"/>
      <c r="E620"/>
      <c r="F620"/>
      <c r="H620"/>
      <c r="M620" s="27"/>
      <c r="N620" s="27"/>
      <c r="O620" s="27"/>
      <c r="P620" s="27"/>
      <c r="Q620" s="27"/>
      <c r="R620" s="511"/>
    </row>
    <row r="621" spans="1:18">
      <c r="A621" s="513" t="s">
        <v>19525</v>
      </c>
      <c r="B621" s="513">
        <v>285657175</v>
      </c>
      <c r="C621" s="513"/>
      <c r="E621"/>
      <c r="F621"/>
      <c r="H621"/>
      <c r="M621" s="27"/>
      <c r="N621" s="27"/>
      <c r="O621" s="27"/>
      <c r="P621" s="27"/>
      <c r="Q621" s="27"/>
      <c r="R621" s="511"/>
    </row>
    <row r="622" spans="1:18">
      <c r="A622" s="513" t="s">
        <v>19526</v>
      </c>
      <c r="B622" s="513">
        <v>2937147</v>
      </c>
      <c r="C622" s="513"/>
      <c r="E622"/>
      <c r="F622"/>
      <c r="H622"/>
      <c r="M622" s="27"/>
      <c r="N622" s="27"/>
      <c r="O622" s="27"/>
      <c r="P622" s="27"/>
      <c r="Q622" s="27"/>
      <c r="R622" s="511"/>
    </row>
    <row r="623" spans="1:18">
      <c r="A623" s="513" t="s">
        <v>19527</v>
      </c>
      <c r="B623" s="513">
        <v>87539011</v>
      </c>
      <c r="C623" s="513"/>
      <c r="E623"/>
      <c r="F623"/>
      <c r="H623"/>
      <c r="M623" s="27"/>
      <c r="N623" s="27"/>
      <c r="O623" s="27"/>
      <c r="P623" s="27"/>
      <c r="Q623" s="27"/>
      <c r="R623" s="511"/>
    </row>
    <row r="624" spans="1:18">
      <c r="A624" s="513" t="s">
        <v>19528</v>
      </c>
      <c r="B624" s="513">
        <v>647860666</v>
      </c>
      <c r="C624" s="513"/>
      <c r="E624"/>
      <c r="F624"/>
      <c r="H624"/>
      <c r="M624" s="27"/>
      <c r="N624" s="27"/>
      <c r="O624" s="27"/>
      <c r="P624" s="27"/>
      <c r="Q624" s="27"/>
      <c r="R624" s="511"/>
    </row>
    <row r="625" spans="1:18">
      <c r="A625" s="513" t="s">
        <v>20405</v>
      </c>
      <c r="B625" s="513">
        <v>0</v>
      </c>
      <c r="C625" s="513"/>
      <c r="E625"/>
      <c r="F625"/>
      <c r="H625"/>
      <c r="M625" s="27"/>
      <c r="N625" s="27"/>
      <c r="O625" s="27"/>
      <c r="P625" s="27"/>
      <c r="Q625" s="27"/>
      <c r="R625" s="511"/>
    </row>
    <row r="626" spans="1:18">
      <c r="A626" s="513" t="s">
        <v>20075</v>
      </c>
      <c r="B626" s="513">
        <v>597597760</v>
      </c>
      <c r="C626" s="513"/>
      <c r="E626"/>
      <c r="F626"/>
      <c r="H626"/>
      <c r="M626" s="27"/>
      <c r="N626" s="27"/>
      <c r="O626" s="27"/>
      <c r="P626" s="27"/>
      <c r="Q626" s="27"/>
      <c r="R626" s="511"/>
    </row>
    <row r="627" spans="1:18">
      <c r="A627" s="513" t="s">
        <v>19530</v>
      </c>
      <c r="B627" s="513">
        <v>-4320005596</v>
      </c>
      <c r="C627" s="513"/>
      <c r="E627"/>
      <c r="F627"/>
      <c r="H627"/>
      <c r="M627" s="27"/>
      <c r="N627" s="27"/>
      <c r="O627" s="27"/>
      <c r="P627" s="27"/>
      <c r="Q627" s="27"/>
      <c r="R627" s="511"/>
    </row>
    <row r="628" spans="1:18">
      <c r="A628" s="513" t="s">
        <v>20033</v>
      </c>
      <c r="B628" s="513">
        <v>5741954</v>
      </c>
      <c r="C628" s="513"/>
      <c r="E628"/>
      <c r="F628"/>
      <c r="H628"/>
      <c r="M628" s="27"/>
      <c r="N628" s="27"/>
      <c r="O628" s="27"/>
      <c r="P628" s="27"/>
      <c r="Q628" s="27"/>
      <c r="R628" s="511"/>
    </row>
    <row r="629" spans="1:18">
      <c r="A629" s="513" t="s">
        <v>19531</v>
      </c>
      <c r="B629" s="513">
        <v>200999977</v>
      </c>
      <c r="C629" s="513"/>
      <c r="E629"/>
      <c r="F629"/>
      <c r="H629"/>
      <c r="M629" s="27"/>
      <c r="N629" s="27"/>
      <c r="O629" s="27"/>
      <c r="P629" s="27"/>
      <c r="Q629" s="27"/>
      <c r="R629" s="511"/>
    </row>
    <row r="630" spans="1:18">
      <c r="A630" s="513" t="s">
        <v>19532</v>
      </c>
      <c r="B630" s="513">
        <v>5594300000</v>
      </c>
      <c r="C630" s="513"/>
      <c r="E630"/>
      <c r="F630"/>
      <c r="H630"/>
      <c r="M630" s="27"/>
      <c r="N630" s="27"/>
      <c r="O630" s="27"/>
      <c r="P630" s="27"/>
      <c r="Q630" s="27"/>
      <c r="R630" s="511"/>
    </row>
    <row r="631" spans="1:18">
      <c r="A631" s="513" t="s">
        <v>19533</v>
      </c>
      <c r="B631" s="513">
        <v>30884314</v>
      </c>
      <c r="C631" s="513"/>
      <c r="E631"/>
      <c r="F631"/>
      <c r="H631"/>
      <c r="M631" s="27"/>
      <c r="N631" s="27"/>
      <c r="O631" s="27"/>
      <c r="P631" s="27"/>
      <c r="Q631" s="27"/>
      <c r="R631" s="511"/>
    </row>
    <row r="632" spans="1:18">
      <c r="A632" s="513" t="s">
        <v>19534</v>
      </c>
      <c r="B632" s="513">
        <v>10174703</v>
      </c>
      <c r="C632" s="513"/>
      <c r="E632"/>
      <c r="F632"/>
      <c r="H632"/>
      <c r="M632" s="27"/>
      <c r="N632" s="27"/>
      <c r="O632" s="27"/>
      <c r="P632" s="27"/>
      <c r="Q632" s="27"/>
      <c r="R632" s="511"/>
    </row>
    <row r="633" spans="1:18">
      <c r="A633" s="513" t="s">
        <v>19535</v>
      </c>
      <c r="B633" s="513">
        <v>110895405</v>
      </c>
      <c r="C633" s="513"/>
      <c r="E633"/>
      <c r="F633"/>
      <c r="H633"/>
      <c r="M633" s="27"/>
      <c r="N633" s="27"/>
      <c r="O633" s="27"/>
      <c r="P633" s="27"/>
      <c r="Q633" s="27"/>
      <c r="R633" s="511"/>
    </row>
    <row r="634" spans="1:18">
      <c r="A634" s="513" t="s">
        <v>19529</v>
      </c>
      <c r="B634" s="513">
        <v>252944705</v>
      </c>
      <c r="C634" s="513"/>
      <c r="E634"/>
      <c r="F634"/>
      <c r="H634"/>
      <c r="M634" s="27"/>
      <c r="N634" s="27"/>
      <c r="O634" s="27"/>
      <c r="P634" s="27"/>
      <c r="Q634" s="27"/>
      <c r="R634" s="511"/>
    </row>
    <row r="635" spans="1:18">
      <c r="A635" s="513" t="s">
        <v>19536</v>
      </c>
      <c r="B635" s="513">
        <v>15960000</v>
      </c>
      <c r="C635" s="513"/>
      <c r="E635"/>
      <c r="F635"/>
      <c r="H635"/>
      <c r="M635" s="27"/>
      <c r="N635" s="27"/>
      <c r="O635" s="27"/>
      <c r="P635" s="27"/>
      <c r="Q635" s="27"/>
      <c r="R635" s="511"/>
    </row>
    <row r="636" spans="1:18">
      <c r="A636" s="513" t="s">
        <v>20266</v>
      </c>
      <c r="B636" s="513">
        <v>54196094</v>
      </c>
      <c r="C636" s="513"/>
      <c r="E636"/>
      <c r="F636"/>
      <c r="H636"/>
      <c r="M636" s="27"/>
      <c r="N636" s="27"/>
      <c r="O636" s="27"/>
      <c r="P636" s="27"/>
      <c r="Q636" s="27"/>
      <c r="R636" s="511"/>
    </row>
    <row r="637" spans="1:18">
      <c r="A637" s="513" t="s">
        <v>19537</v>
      </c>
      <c r="B637" s="513">
        <v>262091406</v>
      </c>
      <c r="C637" s="513"/>
      <c r="E637"/>
      <c r="F637"/>
      <c r="H637"/>
      <c r="M637" s="27"/>
      <c r="N637" s="27"/>
      <c r="O637" s="27"/>
      <c r="P637" s="27"/>
      <c r="Q637" s="27"/>
      <c r="R637" s="511"/>
    </row>
    <row r="638" spans="1:18">
      <c r="A638" s="513" t="s">
        <v>19538</v>
      </c>
      <c r="B638" s="513">
        <v>69136085</v>
      </c>
      <c r="C638" s="513"/>
      <c r="E638"/>
      <c r="F638"/>
      <c r="H638"/>
      <c r="M638" s="27"/>
      <c r="N638" s="27"/>
      <c r="O638" s="27"/>
      <c r="P638" s="27"/>
      <c r="Q638" s="27"/>
      <c r="R638" s="511"/>
    </row>
    <row r="639" spans="1:18">
      <c r="A639" s="513" t="s">
        <v>19539</v>
      </c>
      <c r="B639" s="513">
        <v>128997000</v>
      </c>
      <c r="C639" s="513"/>
      <c r="E639"/>
      <c r="F639"/>
      <c r="H639"/>
      <c r="M639" s="27"/>
      <c r="N639" s="27"/>
      <c r="O639" s="27"/>
      <c r="P639" s="27"/>
      <c r="Q639" s="27"/>
      <c r="R639" s="511"/>
    </row>
    <row r="640" spans="1:18">
      <c r="A640" s="513" t="s">
        <v>19540</v>
      </c>
      <c r="B640" s="513">
        <v>464230679</v>
      </c>
      <c r="C640" s="513"/>
      <c r="E640"/>
      <c r="F640"/>
      <c r="H640"/>
      <c r="M640" s="27"/>
      <c r="N640" s="27"/>
      <c r="O640" s="27"/>
      <c r="P640" s="27"/>
      <c r="Q640" s="27"/>
      <c r="R640" s="511"/>
    </row>
    <row r="641" spans="1:18">
      <c r="A641" s="513" t="s">
        <v>19541</v>
      </c>
      <c r="B641" s="513">
        <v>152917024</v>
      </c>
      <c r="C641" s="513"/>
      <c r="E641"/>
      <c r="F641"/>
      <c r="H641"/>
      <c r="M641" s="27"/>
      <c r="N641" s="27"/>
      <c r="O641" s="27"/>
      <c r="P641" s="27"/>
      <c r="Q641" s="27"/>
      <c r="R641" s="511"/>
    </row>
    <row r="642" spans="1:18">
      <c r="A642" s="513" t="s">
        <v>19542</v>
      </c>
      <c r="B642" s="513">
        <v>500039572</v>
      </c>
      <c r="C642" s="513"/>
      <c r="E642"/>
      <c r="F642"/>
      <c r="H642"/>
      <c r="M642" s="27"/>
      <c r="N642" s="27"/>
      <c r="O642" s="27"/>
      <c r="P642" s="27"/>
      <c r="Q642" s="27"/>
      <c r="R642" s="511"/>
    </row>
    <row r="643" spans="1:18">
      <c r="A643" s="513" t="s">
        <v>1596</v>
      </c>
      <c r="B643" s="513">
        <v>47054061</v>
      </c>
      <c r="C643" s="513"/>
      <c r="E643"/>
      <c r="F643"/>
      <c r="H643"/>
      <c r="M643" s="27"/>
      <c r="N643" s="27"/>
      <c r="O643" s="27"/>
      <c r="P643" s="27"/>
      <c r="Q643" s="27"/>
      <c r="R643" s="511"/>
    </row>
    <row r="644" spans="1:18">
      <c r="A644" s="513" t="s">
        <v>19543</v>
      </c>
      <c r="B644" s="513">
        <v>145406833</v>
      </c>
      <c r="C644" s="513"/>
      <c r="E644"/>
      <c r="F644"/>
      <c r="H644"/>
      <c r="M644" s="27"/>
      <c r="N644" s="27"/>
      <c r="O644" s="27"/>
      <c r="P644" s="27"/>
      <c r="Q644" s="27"/>
      <c r="R644" s="511"/>
    </row>
    <row r="645" spans="1:18">
      <c r="A645" s="513" t="s">
        <v>20024</v>
      </c>
      <c r="B645" s="513">
        <v>940843809</v>
      </c>
      <c r="C645" s="513"/>
      <c r="E645"/>
      <c r="F645"/>
      <c r="H645"/>
      <c r="M645" s="27"/>
      <c r="N645" s="27"/>
      <c r="O645" s="27"/>
      <c r="P645" s="27"/>
      <c r="Q645" s="27"/>
      <c r="R645" s="511"/>
    </row>
    <row r="646" spans="1:18">
      <c r="A646" s="513" t="s">
        <v>19092</v>
      </c>
      <c r="B646" s="513">
        <v>2937147</v>
      </c>
      <c r="C646" s="513"/>
      <c r="E646"/>
      <c r="F646"/>
      <c r="H646"/>
      <c r="M646" s="27"/>
      <c r="N646" s="27"/>
      <c r="O646" s="27"/>
      <c r="P646" s="27"/>
      <c r="Q646" s="27"/>
      <c r="R646" s="511"/>
    </row>
    <row r="647" spans="1:18">
      <c r="A647" s="513" t="s">
        <v>19091</v>
      </c>
      <c r="B647" s="513">
        <v>477253532</v>
      </c>
      <c r="C647" s="513"/>
      <c r="E647"/>
      <c r="F647"/>
      <c r="H647"/>
      <c r="M647" s="27"/>
      <c r="N647" s="27"/>
      <c r="O647" s="27"/>
      <c r="P647" s="27"/>
      <c r="Q647" s="27"/>
      <c r="R647" s="511"/>
    </row>
    <row r="648" spans="1:18">
      <c r="A648" s="513" t="s">
        <v>19090</v>
      </c>
      <c r="B648" s="513">
        <v>152917024</v>
      </c>
      <c r="C648" s="513"/>
      <c r="E648"/>
      <c r="F648"/>
      <c r="H648"/>
      <c r="M648" s="27"/>
      <c r="N648" s="27"/>
      <c r="O648" s="27"/>
      <c r="P648" s="27"/>
      <c r="Q648" s="27"/>
      <c r="R648" s="511"/>
    </row>
    <row r="649" spans="1:18">
      <c r="A649" s="513" t="s">
        <v>19544</v>
      </c>
      <c r="B649" s="513">
        <v>655515</v>
      </c>
      <c r="C649" s="513"/>
      <c r="E649"/>
      <c r="F649"/>
      <c r="H649"/>
      <c r="M649" s="27"/>
      <c r="N649" s="27"/>
      <c r="O649" s="27"/>
      <c r="P649" s="27"/>
      <c r="Q649" s="27"/>
      <c r="R649" s="511"/>
    </row>
    <row r="650" spans="1:18">
      <c r="A650" s="513" t="s">
        <v>19545</v>
      </c>
      <c r="B650" s="513">
        <v>236828975</v>
      </c>
      <c r="C650" s="513"/>
      <c r="E650"/>
      <c r="F650"/>
      <c r="H650"/>
      <c r="M650" s="27"/>
      <c r="N650" s="27"/>
      <c r="O650" s="27"/>
      <c r="P650" s="27"/>
      <c r="Q650" s="27"/>
      <c r="R650" s="511"/>
    </row>
    <row r="651" spans="1:18">
      <c r="A651" s="513" t="s">
        <v>19547</v>
      </c>
      <c r="B651" s="513">
        <v>200999977</v>
      </c>
      <c r="C651" s="513"/>
      <c r="E651"/>
      <c r="F651"/>
      <c r="H651"/>
      <c r="M651" s="27"/>
      <c r="N651" s="27"/>
      <c r="O651" s="27"/>
      <c r="P651" s="27"/>
      <c r="Q651" s="27"/>
      <c r="R651" s="511"/>
    </row>
    <row r="652" spans="1:18">
      <c r="A652" s="513" t="s">
        <v>19548</v>
      </c>
      <c r="B652" s="513">
        <v>12295697</v>
      </c>
      <c r="C652" s="513"/>
      <c r="E652"/>
      <c r="F652"/>
      <c r="H652"/>
      <c r="M652" s="27"/>
      <c r="N652" s="27"/>
      <c r="O652" s="27"/>
      <c r="P652" s="27"/>
      <c r="Q652" s="27"/>
      <c r="R652" s="511"/>
    </row>
    <row r="653" spans="1:18">
      <c r="A653" s="513" t="s">
        <v>19549</v>
      </c>
      <c r="B653" s="513">
        <v>42399669</v>
      </c>
      <c r="C653" s="513"/>
      <c r="E653"/>
      <c r="F653"/>
      <c r="H653"/>
      <c r="M653" s="27"/>
      <c r="N653" s="27"/>
      <c r="O653" s="27"/>
      <c r="P653" s="27"/>
      <c r="Q653" s="27"/>
      <c r="R653" s="511"/>
    </row>
    <row r="654" spans="1:18">
      <c r="A654" s="513" t="s">
        <v>19550</v>
      </c>
      <c r="B654" s="513">
        <v>-44526094</v>
      </c>
      <c r="C654" s="513"/>
      <c r="E654"/>
      <c r="F654"/>
      <c r="H654"/>
      <c r="M654" s="27"/>
      <c r="N654" s="27"/>
      <c r="O654" s="27"/>
      <c r="P654" s="27"/>
      <c r="Q654" s="27"/>
      <c r="R654" s="511"/>
    </row>
    <row r="655" spans="1:18">
      <c r="A655" s="513" t="s">
        <v>19551</v>
      </c>
      <c r="B655" s="513">
        <v>2043324606</v>
      </c>
      <c r="C655" s="513"/>
      <c r="E655"/>
      <c r="F655"/>
      <c r="H655"/>
      <c r="M655" s="27"/>
      <c r="N655" s="27"/>
      <c r="O655" s="27"/>
      <c r="P655" s="27"/>
      <c r="Q655" s="27"/>
      <c r="R655" s="511"/>
    </row>
    <row r="656" spans="1:18">
      <c r="A656" s="513" t="s">
        <v>19552</v>
      </c>
      <c r="B656" s="513">
        <v>1086475636</v>
      </c>
      <c r="C656" s="513"/>
      <c r="E656"/>
      <c r="F656"/>
      <c r="H656"/>
      <c r="M656" s="27"/>
      <c r="N656" s="27"/>
      <c r="O656" s="27"/>
      <c r="P656" s="27"/>
      <c r="Q656" s="27"/>
      <c r="R656" s="511"/>
    </row>
    <row r="657" spans="1:18">
      <c r="A657" s="513" t="s">
        <v>19553</v>
      </c>
      <c r="B657" s="513">
        <v>334621</v>
      </c>
      <c r="C657" s="513"/>
      <c r="E657"/>
      <c r="F657"/>
      <c r="H657"/>
      <c r="M657" s="27"/>
      <c r="N657" s="27"/>
      <c r="O657" s="27"/>
      <c r="P657" s="27"/>
      <c r="Q657" s="27"/>
      <c r="R657" s="511"/>
    </row>
    <row r="658" spans="1:18">
      <c r="A658" s="513" t="s">
        <v>19546</v>
      </c>
      <c r="B658" s="513">
        <v>533121246</v>
      </c>
      <c r="C658" s="513"/>
      <c r="E658"/>
      <c r="F658"/>
      <c r="H658"/>
      <c r="M658" s="27"/>
      <c r="N658" s="27"/>
      <c r="O658" s="27"/>
      <c r="P658" s="27"/>
      <c r="Q658" s="27"/>
      <c r="R658" s="511"/>
    </row>
    <row r="659" spans="1:18">
      <c r="A659" s="513" t="s">
        <v>19555</v>
      </c>
      <c r="B659" s="513">
        <v>655515</v>
      </c>
      <c r="C659" s="513"/>
      <c r="E659"/>
      <c r="F659"/>
      <c r="H659"/>
      <c r="M659" s="27"/>
      <c r="N659" s="27"/>
      <c r="O659" s="27"/>
      <c r="P659" s="27"/>
      <c r="Q659" s="27"/>
      <c r="R659" s="511"/>
    </row>
    <row r="660" spans="1:18">
      <c r="A660" s="513" t="s">
        <v>19556</v>
      </c>
      <c r="B660" s="513">
        <v>2172951272</v>
      </c>
      <c r="C660" s="513"/>
      <c r="E660"/>
      <c r="F660"/>
      <c r="H660"/>
      <c r="M660" s="27"/>
      <c r="N660" s="27"/>
      <c r="O660" s="27"/>
      <c r="P660" s="27"/>
      <c r="Q660" s="27"/>
      <c r="R660" s="511"/>
    </row>
    <row r="661" spans="1:18">
      <c r="A661" s="513" t="s">
        <v>19557</v>
      </c>
      <c r="B661" s="513">
        <v>1551000</v>
      </c>
      <c r="C661" s="513"/>
      <c r="E661"/>
      <c r="F661"/>
      <c r="H661"/>
      <c r="M661" s="27"/>
      <c r="N661" s="27"/>
      <c r="O661" s="27"/>
      <c r="P661" s="27"/>
      <c r="Q661" s="27"/>
      <c r="R661" s="511"/>
    </row>
    <row r="662" spans="1:18">
      <c r="A662" s="513" t="s">
        <v>19558</v>
      </c>
      <c r="B662" s="513">
        <v>42399669</v>
      </c>
      <c r="C662" s="513"/>
      <c r="E662"/>
      <c r="F662"/>
      <c r="H662"/>
      <c r="M662" s="27"/>
      <c r="N662" s="27"/>
      <c r="O662" s="27"/>
      <c r="P662" s="27"/>
      <c r="Q662" s="27"/>
      <c r="R662" s="511"/>
    </row>
    <row r="663" spans="1:18">
      <c r="A663" s="513" t="s">
        <v>19559</v>
      </c>
      <c r="B663" s="513">
        <v>208250</v>
      </c>
      <c r="C663" s="513"/>
      <c r="E663"/>
      <c r="F663"/>
      <c r="H663"/>
      <c r="M663" s="27"/>
      <c r="N663" s="27"/>
      <c r="O663" s="27"/>
      <c r="P663" s="27"/>
      <c r="Q663" s="27"/>
      <c r="R663" s="511"/>
    </row>
    <row r="664" spans="1:18">
      <c r="A664" s="513" t="s">
        <v>19561</v>
      </c>
      <c r="B664" s="513">
        <v>14971709</v>
      </c>
      <c r="C664" s="513"/>
      <c r="E664"/>
      <c r="F664"/>
      <c r="H664"/>
      <c r="M664" s="27"/>
      <c r="N664" s="27"/>
      <c r="O664" s="27"/>
      <c r="P664" s="27"/>
      <c r="Q664" s="27"/>
      <c r="R664" s="511"/>
    </row>
    <row r="665" spans="1:18">
      <c r="A665" s="513" t="s">
        <v>19562</v>
      </c>
      <c r="B665" s="513">
        <v>12295697</v>
      </c>
      <c r="C665" s="513"/>
      <c r="E665"/>
      <c r="F665"/>
      <c r="H665"/>
      <c r="M665" s="27"/>
      <c r="N665" s="27"/>
      <c r="O665" s="27"/>
      <c r="P665" s="27"/>
      <c r="Q665" s="27"/>
      <c r="R665" s="511"/>
    </row>
    <row r="666" spans="1:18">
      <c r="A666" s="513" t="s">
        <v>19563</v>
      </c>
      <c r="B666" s="513">
        <v>2043324606</v>
      </c>
      <c r="C666" s="513"/>
      <c r="E666"/>
      <c r="F666"/>
      <c r="H666"/>
      <c r="M666" s="27"/>
      <c r="N666" s="27"/>
      <c r="O666" s="27"/>
      <c r="P666" s="27"/>
      <c r="Q666" s="27"/>
      <c r="R666" s="511"/>
    </row>
    <row r="667" spans="1:18">
      <c r="A667" s="513" t="s">
        <v>19564</v>
      </c>
      <c r="B667" s="513">
        <v>2043324606</v>
      </c>
      <c r="C667" s="513"/>
      <c r="E667"/>
      <c r="F667"/>
      <c r="H667"/>
      <c r="M667" s="27"/>
      <c r="N667" s="27"/>
      <c r="O667" s="27"/>
      <c r="P667" s="27"/>
      <c r="Q667" s="27"/>
      <c r="R667" s="511"/>
    </row>
    <row r="668" spans="1:18">
      <c r="A668" s="513" t="s">
        <v>20446</v>
      </c>
      <c r="B668" s="513">
        <v>156473883</v>
      </c>
      <c r="C668" s="513"/>
      <c r="E668"/>
      <c r="F668"/>
      <c r="H668"/>
      <c r="M668" s="27"/>
      <c r="N668" s="27"/>
      <c r="O668" s="27"/>
      <c r="P668" s="27"/>
      <c r="Q668" s="27"/>
      <c r="R668" s="511"/>
    </row>
    <row r="669" spans="1:18">
      <c r="A669" s="513" t="s">
        <v>20464</v>
      </c>
      <c r="B669" s="513">
        <v>-44526094</v>
      </c>
      <c r="C669" s="513"/>
      <c r="E669"/>
      <c r="F669"/>
      <c r="H669"/>
      <c r="M669" s="27"/>
      <c r="N669" s="27"/>
      <c r="O669" s="27"/>
      <c r="P669" s="27"/>
      <c r="Q669" s="27"/>
      <c r="R669" s="511"/>
    </row>
    <row r="670" spans="1:18">
      <c r="A670" s="513" t="s">
        <v>20459</v>
      </c>
      <c r="B670" s="513">
        <v>410298220</v>
      </c>
      <c r="C670" s="513"/>
      <c r="E670"/>
      <c r="F670"/>
      <c r="H670"/>
      <c r="M670" s="27"/>
      <c r="N670" s="27"/>
      <c r="O670" s="27"/>
      <c r="P670" s="27"/>
      <c r="Q670" s="27"/>
      <c r="R670" s="511"/>
    </row>
    <row r="671" spans="1:18">
      <c r="A671" s="513" t="s">
        <v>20456</v>
      </c>
      <c r="B671" s="513">
        <v>2043324606</v>
      </c>
      <c r="C671" s="513"/>
      <c r="E671"/>
      <c r="F671"/>
      <c r="H671"/>
      <c r="M671" s="27"/>
      <c r="N671" s="27"/>
      <c r="O671" s="27"/>
      <c r="P671" s="27"/>
      <c r="Q671" s="27"/>
      <c r="R671" s="511"/>
    </row>
    <row r="672" spans="1:18">
      <c r="A672" s="513" t="s">
        <v>20447</v>
      </c>
      <c r="B672" s="513">
        <v>200999977</v>
      </c>
      <c r="C672" s="513"/>
      <c r="E672"/>
      <c r="F672"/>
      <c r="H672"/>
      <c r="M672" s="27"/>
      <c r="N672" s="27"/>
      <c r="O672" s="27"/>
      <c r="P672" s="27"/>
      <c r="Q672" s="27"/>
      <c r="R672" s="511"/>
    </row>
    <row r="673" spans="1:18">
      <c r="A673" s="513" t="s">
        <v>20457</v>
      </c>
      <c r="B673" s="513">
        <v>2043324606</v>
      </c>
      <c r="C673" s="513"/>
      <c r="E673"/>
      <c r="F673"/>
      <c r="H673"/>
      <c r="M673" s="27"/>
      <c r="N673" s="27"/>
      <c r="O673" s="27"/>
      <c r="P673" s="27"/>
      <c r="Q673" s="27"/>
      <c r="R673" s="511"/>
    </row>
    <row r="674" spans="1:18">
      <c r="A674" s="513" t="s">
        <v>20460</v>
      </c>
      <c r="B674" s="513">
        <v>410298220</v>
      </c>
      <c r="C674" s="513"/>
      <c r="E674"/>
      <c r="F674"/>
      <c r="H674"/>
      <c r="M674" s="27"/>
      <c r="N674" s="27"/>
      <c r="O674" s="27"/>
      <c r="P674" s="27"/>
      <c r="Q674" s="27"/>
      <c r="R674" s="511"/>
    </row>
    <row r="675" spans="1:18">
      <c r="A675" s="513" t="s">
        <v>20448</v>
      </c>
      <c r="B675" s="513">
        <v>200999977</v>
      </c>
      <c r="C675" s="513"/>
      <c r="E675"/>
      <c r="F675"/>
      <c r="H675"/>
      <c r="M675" s="27"/>
      <c r="N675" s="27"/>
      <c r="O675" s="27"/>
      <c r="P675" s="27"/>
      <c r="Q675" s="27"/>
      <c r="R675" s="511"/>
    </row>
    <row r="676" spans="1:18">
      <c r="A676" s="513" t="s">
        <v>19612</v>
      </c>
      <c r="B676" s="513">
        <v>10174703</v>
      </c>
      <c r="C676" s="513"/>
      <c r="E676"/>
      <c r="F676"/>
      <c r="H676"/>
      <c r="M676" s="27"/>
      <c r="N676" s="27"/>
      <c r="O676" s="27"/>
      <c r="P676" s="27"/>
      <c r="Q676" s="27"/>
      <c r="R676" s="511"/>
    </row>
    <row r="677" spans="1:18">
      <c r="A677" s="513" t="s">
        <v>19586</v>
      </c>
      <c r="B677" s="513">
        <v>47054061</v>
      </c>
      <c r="C677" s="513"/>
      <c r="E677"/>
      <c r="F677"/>
      <c r="H677"/>
      <c r="M677" s="27"/>
      <c r="N677" s="27"/>
      <c r="O677" s="27"/>
      <c r="P677" s="27"/>
      <c r="Q677" s="27"/>
      <c r="R677" s="511"/>
    </row>
    <row r="678" spans="1:18">
      <c r="A678" s="513" t="s">
        <v>19611</v>
      </c>
      <c r="B678" s="513">
        <v>10174703</v>
      </c>
      <c r="C678" s="513"/>
      <c r="E678"/>
      <c r="F678"/>
      <c r="H678"/>
      <c r="M678" s="27"/>
      <c r="N678" s="27"/>
      <c r="O678" s="27"/>
      <c r="P678" s="27"/>
      <c r="Q678" s="27"/>
      <c r="R678" s="511"/>
    </row>
    <row r="679" spans="1:18">
      <c r="A679" s="513" t="s">
        <v>19587</v>
      </c>
      <c r="B679" s="513">
        <v>152917024</v>
      </c>
      <c r="C679" s="513"/>
      <c r="E679"/>
      <c r="F679"/>
      <c r="H679"/>
      <c r="M679" s="27"/>
      <c r="N679" s="27"/>
      <c r="O679" s="27"/>
      <c r="P679" s="27"/>
      <c r="Q679" s="27"/>
      <c r="R679" s="511"/>
    </row>
    <row r="680" spans="1:18">
      <c r="A680" s="513" t="s">
        <v>19592</v>
      </c>
      <c r="B680" s="513">
        <v>475498624</v>
      </c>
      <c r="C680" s="513"/>
      <c r="E680"/>
      <c r="F680"/>
      <c r="H680"/>
      <c r="M680" s="27"/>
      <c r="N680" s="27"/>
      <c r="O680" s="27"/>
      <c r="P680" s="27"/>
      <c r="Q680" s="27"/>
      <c r="R680" s="511"/>
    </row>
    <row r="681" spans="1:18">
      <c r="A681" s="513" t="s">
        <v>19597</v>
      </c>
      <c r="B681" s="513">
        <v>2937147</v>
      </c>
      <c r="C681" s="513"/>
      <c r="E681"/>
      <c r="F681"/>
      <c r="H681"/>
      <c r="M681" s="27"/>
      <c r="N681" s="27"/>
      <c r="O681" s="27"/>
      <c r="P681" s="27"/>
      <c r="Q681" s="27"/>
      <c r="R681" s="511"/>
    </row>
    <row r="682" spans="1:18">
      <c r="A682" s="513" t="s">
        <v>19603</v>
      </c>
      <c r="B682" s="513">
        <v>500039572</v>
      </c>
      <c r="C682" s="513"/>
      <c r="E682"/>
      <c r="F682"/>
      <c r="H682"/>
      <c r="M682" s="27"/>
      <c r="N682" s="27"/>
      <c r="O682" s="27"/>
      <c r="P682" s="27"/>
      <c r="Q682" s="27"/>
      <c r="R682" s="511"/>
    </row>
    <row r="683" spans="1:18">
      <c r="A683" s="513" t="s">
        <v>19607</v>
      </c>
      <c r="B683" s="513">
        <v>262091406</v>
      </c>
      <c r="C683" s="513"/>
      <c r="E683"/>
      <c r="F683"/>
      <c r="H683"/>
      <c r="M683" s="27"/>
      <c r="N683" s="27"/>
      <c r="O683" s="27"/>
      <c r="P683" s="27"/>
      <c r="Q683" s="27"/>
      <c r="R683" s="511"/>
    </row>
    <row r="684" spans="1:18">
      <c r="A684" s="513" t="s">
        <v>19589</v>
      </c>
      <c r="B684" s="513">
        <v>-47054061</v>
      </c>
      <c r="C684" s="513"/>
      <c r="E684"/>
      <c r="F684"/>
      <c r="H684"/>
      <c r="M684" s="27"/>
      <c r="N684" s="27"/>
      <c r="O684" s="27"/>
      <c r="P684" s="27"/>
      <c r="Q684" s="27"/>
      <c r="R684" s="511"/>
    </row>
    <row r="685" spans="1:18">
      <c r="A685" s="513" t="s">
        <v>19602</v>
      </c>
      <c r="B685" s="513">
        <v>-10174703</v>
      </c>
      <c r="C685" s="513"/>
      <c r="E685"/>
      <c r="F685"/>
      <c r="H685"/>
      <c r="M685" s="27"/>
      <c r="N685" s="27"/>
      <c r="O685" s="27"/>
      <c r="P685" s="27"/>
      <c r="Q685" s="27"/>
      <c r="R685" s="511"/>
    </row>
    <row r="686" spans="1:18">
      <c r="A686" s="513" t="s">
        <v>19606</v>
      </c>
      <c r="B686" s="513">
        <v>-69136085</v>
      </c>
      <c r="C686" s="513"/>
      <c r="E686"/>
      <c r="F686"/>
      <c r="H686"/>
      <c r="M686" s="27"/>
      <c r="N686" s="27"/>
      <c r="O686" s="27"/>
      <c r="P686" s="27"/>
      <c r="Q686" s="27"/>
      <c r="R686" s="511"/>
    </row>
    <row r="687" spans="1:18">
      <c r="A687" s="513" t="s">
        <v>19605</v>
      </c>
      <c r="B687" s="513">
        <v>-128997000</v>
      </c>
      <c r="C687" s="513"/>
      <c r="E687"/>
      <c r="F687"/>
      <c r="H687"/>
      <c r="M687" s="27"/>
      <c r="N687" s="27"/>
      <c r="O687" s="27"/>
      <c r="P687" s="27"/>
      <c r="Q687" s="27"/>
      <c r="R687" s="511"/>
    </row>
    <row r="688" spans="1:18">
      <c r="A688" s="513" t="s">
        <v>19591</v>
      </c>
      <c r="B688" s="513">
        <v>535.5</v>
      </c>
      <c r="C688" s="513"/>
      <c r="E688"/>
      <c r="F688"/>
      <c r="H688"/>
      <c r="M688" s="27"/>
      <c r="N688" s="27"/>
      <c r="O688" s="27"/>
      <c r="P688" s="27"/>
      <c r="Q688" s="27"/>
      <c r="R688" s="511"/>
    </row>
    <row r="689" spans="1:18">
      <c r="A689" s="513" t="s">
        <v>19593</v>
      </c>
      <c r="B689" s="513">
        <v>1754908</v>
      </c>
      <c r="C689" s="513"/>
      <c r="E689"/>
      <c r="F689"/>
      <c r="H689"/>
      <c r="M689" s="27"/>
      <c r="N689" s="27"/>
      <c r="O689" s="27"/>
      <c r="P689" s="27"/>
      <c r="Q689" s="27"/>
      <c r="R689" s="511"/>
    </row>
    <row r="690" spans="1:18">
      <c r="A690" s="513" t="s">
        <v>20222</v>
      </c>
      <c r="B690" s="513">
        <v>262091406</v>
      </c>
      <c r="C690" s="513"/>
      <c r="E690"/>
      <c r="F690"/>
      <c r="H690"/>
      <c r="M690" s="27"/>
      <c r="N690" s="27"/>
      <c r="O690" s="27"/>
      <c r="P690" s="27"/>
      <c r="Q690" s="27"/>
      <c r="R690" s="511"/>
    </row>
    <row r="691" spans="1:18">
      <c r="A691" s="513" t="s">
        <v>19600</v>
      </c>
      <c r="B691" s="513">
        <v>477253532</v>
      </c>
      <c r="C691" s="513"/>
      <c r="E691"/>
      <c r="F691"/>
      <c r="H691"/>
      <c r="M691" s="27"/>
      <c r="N691" s="27"/>
      <c r="O691" s="27"/>
      <c r="P691" s="27"/>
      <c r="Q691" s="27"/>
      <c r="R691" s="511"/>
    </row>
    <row r="692" spans="1:18">
      <c r="A692" s="513" t="s">
        <v>19601</v>
      </c>
      <c r="B692" s="513">
        <v>2937147</v>
      </c>
      <c r="C692" s="513"/>
      <c r="E692"/>
      <c r="F692"/>
      <c r="H692"/>
      <c r="M692" s="27"/>
      <c r="N692" s="27"/>
      <c r="O692" s="27"/>
      <c r="P692" s="27"/>
      <c r="Q692" s="27"/>
      <c r="R692" s="511"/>
    </row>
    <row r="693" spans="1:18">
      <c r="A693" s="513" t="s">
        <v>20184</v>
      </c>
      <c r="B693" s="513">
        <v>1295304</v>
      </c>
      <c r="C693" s="513"/>
      <c r="E693"/>
      <c r="F693"/>
      <c r="H693"/>
      <c r="M693" s="27"/>
      <c r="N693" s="27"/>
      <c r="O693" s="27"/>
      <c r="P693" s="27"/>
      <c r="Q693" s="27"/>
      <c r="R693" s="511"/>
    </row>
    <row r="694" spans="1:18">
      <c r="A694" s="513" t="s">
        <v>20257</v>
      </c>
      <c r="B694" s="513">
        <v>1641843</v>
      </c>
      <c r="C694" s="513"/>
      <c r="E694"/>
      <c r="F694"/>
      <c r="H694"/>
      <c r="M694" s="27"/>
      <c r="N694" s="27"/>
      <c r="O694" s="27"/>
      <c r="P694" s="27"/>
      <c r="Q694" s="27"/>
      <c r="R694" s="511"/>
    </row>
    <row r="695" spans="1:18">
      <c r="A695" s="513" t="s">
        <v>20249</v>
      </c>
      <c r="B695" s="513">
        <v>10174703</v>
      </c>
      <c r="C695" s="513"/>
      <c r="E695"/>
      <c r="F695"/>
      <c r="H695"/>
      <c r="M695" s="27"/>
      <c r="N695" s="27"/>
      <c r="O695" s="27"/>
      <c r="P695" s="27"/>
      <c r="Q695" s="27"/>
      <c r="R695" s="511"/>
    </row>
    <row r="696" spans="1:18">
      <c r="A696" s="513" t="s">
        <v>20185</v>
      </c>
      <c r="B696" s="513">
        <v>14530000</v>
      </c>
      <c r="C696" s="513"/>
      <c r="E696"/>
      <c r="F696"/>
      <c r="H696"/>
      <c r="M696" s="27"/>
      <c r="N696" s="27"/>
      <c r="O696" s="27"/>
      <c r="P696" s="27"/>
      <c r="Q696" s="27"/>
      <c r="R696" s="511"/>
    </row>
    <row r="697" spans="1:18">
      <c r="A697" s="513" t="s">
        <v>20269</v>
      </c>
      <c r="B697" s="513">
        <v>7650000</v>
      </c>
      <c r="C697" s="513"/>
      <c r="E697"/>
      <c r="F697"/>
      <c r="H697"/>
      <c r="M697" s="27"/>
      <c r="N697" s="27"/>
      <c r="O697" s="27"/>
      <c r="P697" s="27"/>
      <c r="Q697" s="27"/>
      <c r="R697" s="511"/>
    </row>
    <row r="698" spans="1:18">
      <c r="A698" s="513" t="s">
        <v>20246</v>
      </c>
      <c r="B698" s="513">
        <v>8000000</v>
      </c>
      <c r="C698" s="513"/>
      <c r="E698"/>
      <c r="F698"/>
      <c r="H698"/>
      <c r="M698" s="27"/>
      <c r="N698" s="27"/>
      <c r="O698" s="27"/>
      <c r="P698" s="27"/>
      <c r="Q698" s="27"/>
      <c r="R698" s="511"/>
    </row>
    <row r="699" spans="1:18">
      <c r="A699" s="513" t="s">
        <v>20234</v>
      </c>
      <c r="B699" s="513">
        <v>140118383</v>
      </c>
      <c r="C699" s="513"/>
      <c r="E699"/>
      <c r="F699"/>
      <c r="H699"/>
      <c r="M699" s="27"/>
      <c r="N699" s="27"/>
      <c r="O699" s="27"/>
      <c r="P699" s="27"/>
      <c r="Q699" s="27"/>
      <c r="R699" s="511"/>
    </row>
    <row r="700" spans="1:18">
      <c r="A700" s="513" t="s">
        <v>19070</v>
      </c>
      <c r="B700" s="513">
        <v>193213382</v>
      </c>
      <c r="C700" s="513"/>
      <c r="E700"/>
      <c r="F700"/>
      <c r="H700"/>
      <c r="M700" s="27"/>
      <c r="N700" s="27"/>
      <c r="O700" s="27"/>
      <c r="P700" s="27"/>
      <c r="Q700" s="27"/>
      <c r="R700" s="511"/>
    </row>
    <row r="701" spans="1:18">
      <c r="A701" s="513" t="s">
        <v>19608</v>
      </c>
      <c r="B701" s="513">
        <v>4049</v>
      </c>
      <c r="C701" s="513"/>
      <c r="E701"/>
      <c r="F701"/>
      <c r="H701"/>
      <c r="M701" s="27"/>
      <c r="N701" s="27"/>
      <c r="O701" s="27"/>
      <c r="P701" s="27"/>
      <c r="Q701" s="27"/>
      <c r="R701" s="511"/>
    </row>
    <row r="702" spans="1:18">
      <c r="A702" s="513" t="s">
        <v>19616</v>
      </c>
      <c r="B702" s="513">
        <v>136839</v>
      </c>
      <c r="C702" s="513"/>
      <c r="E702"/>
      <c r="F702"/>
      <c r="H702"/>
      <c r="M702" s="27"/>
      <c r="N702" s="27"/>
      <c r="O702" s="27"/>
      <c r="P702" s="27"/>
      <c r="Q702" s="27"/>
      <c r="R702" s="511"/>
    </row>
    <row r="703" spans="1:18">
      <c r="A703" s="513" t="s">
        <v>20272</v>
      </c>
      <c r="B703" s="513">
        <v>306323366</v>
      </c>
      <c r="C703" s="513"/>
      <c r="E703"/>
      <c r="F703"/>
      <c r="H703"/>
      <c r="M703" s="27"/>
      <c r="N703" s="27"/>
      <c r="O703" s="27"/>
      <c r="P703" s="27"/>
      <c r="Q703" s="27"/>
      <c r="R703" s="511"/>
    </row>
    <row r="704" spans="1:18">
      <c r="A704" s="513" t="s">
        <v>20271</v>
      </c>
      <c r="B704" s="513">
        <v>1706821240</v>
      </c>
      <c r="C704" s="513"/>
      <c r="E704"/>
      <c r="F704"/>
      <c r="H704"/>
      <c r="M704" s="27"/>
      <c r="N704" s="27"/>
      <c r="O704" s="27"/>
      <c r="P704" s="27"/>
      <c r="Q704" s="27"/>
      <c r="R704" s="511"/>
    </row>
    <row r="705" spans="1:18">
      <c r="A705" s="513" t="s">
        <v>20258</v>
      </c>
      <c r="B705" s="513">
        <v>193733</v>
      </c>
      <c r="C705" s="513"/>
      <c r="E705"/>
      <c r="F705"/>
      <c r="H705"/>
      <c r="M705" s="27"/>
      <c r="N705" s="27"/>
      <c r="O705" s="27"/>
      <c r="P705" s="27"/>
      <c r="Q705" s="27"/>
      <c r="R705" s="511"/>
    </row>
    <row r="706" spans="1:18">
      <c r="A706" s="513" t="s">
        <v>20268</v>
      </c>
      <c r="B706" s="513">
        <v>15650000</v>
      </c>
      <c r="C706" s="513"/>
      <c r="E706"/>
      <c r="F706"/>
      <c r="H706"/>
      <c r="M706" s="27"/>
      <c r="N706" s="27"/>
      <c r="O706" s="27"/>
      <c r="P706" s="27"/>
      <c r="Q706" s="27"/>
      <c r="R706" s="511"/>
    </row>
    <row r="707" spans="1:18">
      <c r="A707" s="513" t="s">
        <v>20259</v>
      </c>
      <c r="B707" s="513">
        <v>14530000</v>
      </c>
      <c r="C707" s="513"/>
      <c r="E707"/>
      <c r="F707"/>
      <c r="H707"/>
      <c r="M707" s="27"/>
      <c r="N707" s="27"/>
      <c r="O707" s="27"/>
      <c r="P707" s="27"/>
      <c r="Q707" s="27"/>
      <c r="R707" s="511"/>
    </row>
    <row r="708" spans="1:18">
      <c r="A708" s="513" t="s">
        <v>20253</v>
      </c>
      <c r="B708" s="513">
        <v>9112944</v>
      </c>
      <c r="C708" s="513"/>
      <c r="E708"/>
      <c r="F708"/>
      <c r="H708"/>
      <c r="M708" s="27"/>
      <c r="N708" s="27"/>
      <c r="O708" s="27"/>
      <c r="P708" s="27"/>
      <c r="Q708" s="27"/>
      <c r="R708" s="511"/>
    </row>
    <row r="709" spans="1:18">
      <c r="A709" s="513" t="s">
        <v>19598</v>
      </c>
      <c r="B709" s="513">
        <v>2004031662</v>
      </c>
      <c r="C709" s="513"/>
      <c r="E709"/>
      <c r="F709"/>
      <c r="H709"/>
      <c r="M709" s="27"/>
      <c r="N709" s="27"/>
      <c r="O709" s="27"/>
      <c r="P709" s="27"/>
      <c r="Q709" s="27"/>
      <c r="R709" s="511"/>
    </row>
    <row r="710" spans="1:18">
      <c r="A710" s="513" t="s">
        <v>20179</v>
      </c>
      <c r="B710" s="513">
        <v>30180000</v>
      </c>
      <c r="C710" s="513"/>
      <c r="E710"/>
      <c r="F710"/>
      <c r="H710"/>
      <c r="M710" s="27"/>
      <c r="N710" s="27"/>
      <c r="O710" s="27"/>
      <c r="P710" s="27"/>
      <c r="Q710" s="27"/>
      <c r="R710" s="511"/>
    </row>
    <row r="711" spans="1:18">
      <c r="A711" s="513" t="s">
        <v>19604</v>
      </c>
      <c r="B711" s="513">
        <v>2013144606</v>
      </c>
      <c r="C711" s="513"/>
      <c r="E711"/>
      <c r="F711"/>
      <c r="H711"/>
      <c r="M711" s="27"/>
      <c r="N711" s="27"/>
      <c r="O711" s="27"/>
      <c r="P711" s="27"/>
      <c r="Q711" s="27"/>
      <c r="R711" s="511"/>
    </row>
    <row r="712" spans="1:18">
      <c r="A712" s="513" t="s">
        <v>20192</v>
      </c>
      <c r="B712" s="513">
        <v>30180000</v>
      </c>
      <c r="C712" s="513"/>
      <c r="E712"/>
      <c r="F712"/>
      <c r="H712"/>
      <c r="M712" s="27"/>
      <c r="N712" s="27"/>
      <c r="O712" s="27"/>
      <c r="P712" s="27"/>
      <c r="Q712" s="27"/>
      <c r="R712" s="511"/>
    </row>
    <row r="713" spans="1:18">
      <c r="A713" s="513" t="s">
        <v>20262</v>
      </c>
      <c r="B713" s="513">
        <v>7650000</v>
      </c>
      <c r="C713" s="513"/>
      <c r="E713"/>
      <c r="F713"/>
      <c r="H713"/>
      <c r="M713" s="27"/>
      <c r="N713" s="27"/>
      <c r="O713" s="27"/>
      <c r="P713" s="27"/>
      <c r="Q713" s="27"/>
      <c r="R713" s="511"/>
    </row>
    <row r="714" spans="1:18">
      <c r="A714" s="513" t="s">
        <v>20261</v>
      </c>
      <c r="B714" s="513">
        <v>8000000</v>
      </c>
      <c r="C714" s="513"/>
      <c r="E714"/>
      <c r="F714"/>
      <c r="H714"/>
      <c r="M714" s="27"/>
      <c r="N714" s="27"/>
      <c r="O714" s="27"/>
      <c r="P714" s="27"/>
      <c r="Q714" s="27"/>
      <c r="R714" s="511"/>
    </row>
    <row r="715" spans="1:18">
      <c r="A715" s="513" t="s">
        <v>20212</v>
      </c>
      <c r="B715" s="513">
        <v>14530000</v>
      </c>
      <c r="C715" s="513"/>
      <c r="E715"/>
      <c r="F715"/>
      <c r="H715"/>
      <c r="M715" s="27"/>
      <c r="N715" s="27"/>
      <c r="O715" s="27"/>
      <c r="P715" s="27"/>
      <c r="Q715" s="27"/>
      <c r="R715" s="511"/>
    </row>
    <row r="716" spans="1:18">
      <c r="A716" s="513" t="s">
        <v>19599</v>
      </c>
      <c r="B716" s="513">
        <v>193733</v>
      </c>
      <c r="C716" s="513"/>
      <c r="E716"/>
      <c r="F716"/>
      <c r="H716"/>
      <c r="M716" s="27"/>
      <c r="N716" s="27"/>
      <c r="O716" s="27"/>
      <c r="P716" s="27"/>
      <c r="Q716" s="27"/>
      <c r="R716" s="511"/>
    </row>
    <row r="717" spans="1:18">
      <c r="A717" s="513" t="s">
        <v>20034</v>
      </c>
      <c r="B717" s="513">
        <v>193733</v>
      </c>
      <c r="C717" s="513"/>
      <c r="E717"/>
      <c r="F717"/>
      <c r="H717"/>
      <c r="M717" s="27"/>
      <c r="N717" s="27"/>
      <c r="O717" s="27"/>
      <c r="P717" s="27"/>
      <c r="Q717" s="27"/>
      <c r="R717" s="511"/>
    </row>
    <row r="718" spans="1:18">
      <c r="A718" s="513" t="s">
        <v>20465</v>
      </c>
      <c r="B718" s="513">
        <v>-44526094</v>
      </c>
      <c r="C718" s="513"/>
      <c r="E718"/>
      <c r="F718"/>
      <c r="H718"/>
      <c r="M718" s="27"/>
      <c r="N718" s="27"/>
      <c r="O718" s="27"/>
      <c r="P718" s="27"/>
      <c r="Q718" s="27"/>
      <c r="R718" s="511"/>
    </row>
    <row r="719" spans="1:18">
      <c r="A719" s="513" t="s">
        <v>20449</v>
      </c>
      <c r="B719" s="513">
        <v>156473883</v>
      </c>
      <c r="C719" s="513"/>
      <c r="E719"/>
      <c r="F719"/>
      <c r="H719"/>
      <c r="M719" s="27"/>
      <c r="N719" s="27"/>
      <c r="O719" s="27"/>
      <c r="P719" s="27"/>
      <c r="Q719" s="27"/>
      <c r="R719" s="511"/>
    </row>
    <row r="720" spans="1:18">
      <c r="A720" s="513" t="s">
        <v>20475</v>
      </c>
      <c r="B720" s="513">
        <v>309028490</v>
      </c>
      <c r="C720" s="513"/>
      <c r="E720"/>
      <c r="F720"/>
      <c r="H720"/>
      <c r="M720" s="27"/>
      <c r="N720" s="27"/>
      <c r="O720" s="27"/>
      <c r="P720" s="27"/>
      <c r="Q720" s="27"/>
      <c r="R720" s="511"/>
    </row>
    <row r="721" spans="1:18">
      <c r="A721" s="513" t="s">
        <v>20476</v>
      </c>
      <c r="B721" s="513">
        <v>309028490</v>
      </c>
      <c r="C721" s="513"/>
      <c r="E721"/>
      <c r="F721"/>
      <c r="H721"/>
      <c r="M721" s="27"/>
      <c r="N721" s="27"/>
      <c r="O721" s="27"/>
      <c r="P721" s="27"/>
      <c r="Q721" s="27"/>
      <c r="R721" s="511"/>
    </row>
    <row r="722" spans="1:18">
      <c r="A722" s="513" t="s">
        <v>20477</v>
      </c>
      <c r="B722" s="513">
        <v>252944705</v>
      </c>
      <c r="C722" s="513"/>
      <c r="E722"/>
      <c r="F722"/>
      <c r="H722"/>
      <c r="M722" s="27"/>
      <c r="N722" s="27"/>
      <c r="O722" s="27"/>
      <c r="P722" s="27"/>
      <c r="Q722" s="27"/>
      <c r="R722" s="511"/>
    </row>
    <row r="723" spans="1:18">
      <c r="A723" s="513" t="s">
        <v>20478</v>
      </c>
      <c r="B723" s="513">
        <v>561973195</v>
      </c>
      <c r="C723" s="513"/>
      <c r="E723"/>
      <c r="F723"/>
      <c r="H723"/>
      <c r="M723" s="27"/>
      <c r="N723" s="27"/>
      <c r="O723" s="27"/>
      <c r="P723" s="27"/>
      <c r="Q723" s="27"/>
      <c r="R723" s="511"/>
    </row>
    <row r="724" spans="1:18">
      <c r="A724" s="513" t="s">
        <v>20479</v>
      </c>
      <c r="B724" s="513">
        <v>1908518432</v>
      </c>
      <c r="C724" s="513"/>
      <c r="E724"/>
      <c r="F724"/>
      <c r="H724"/>
      <c r="M724" s="27"/>
      <c r="N724" s="27"/>
      <c r="O724" s="27"/>
      <c r="P724" s="27"/>
      <c r="Q724" s="27"/>
      <c r="R724" s="511"/>
    </row>
    <row r="725" spans="1:18">
      <c r="A725" s="513" t="s">
        <v>20480</v>
      </c>
      <c r="B725" s="513">
        <v>1908518432</v>
      </c>
      <c r="C725" s="513"/>
      <c r="E725"/>
      <c r="F725"/>
      <c r="H725"/>
      <c r="M725" s="27"/>
      <c r="N725" s="27"/>
      <c r="O725" s="27"/>
      <c r="P725" s="27"/>
      <c r="Q725" s="27"/>
      <c r="R725" s="511"/>
    </row>
    <row r="726" spans="1:18">
      <c r="A726" s="513" t="s">
        <v>20481</v>
      </c>
      <c r="B726" s="513">
        <v>2470491627</v>
      </c>
      <c r="C726" s="513"/>
      <c r="E726"/>
      <c r="F726"/>
      <c r="H726"/>
      <c r="M726" s="27"/>
      <c r="N726" s="27"/>
      <c r="O726" s="27"/>
      <c r="P726" s="27"/>
      <c r="Q726" s="27"/>
      <c r="R726" s="511"/>
    </row>
    <row r="727" spans="1:18">
      <c r="A727" s="513" t="s">
        <v>20470</v>
      </c>
      <c r="B727" s="513">
        <v>1204726286</v>
      </c>
      <c r="C727" s="513"/>
      <c r="E727"/>
      <c r="F727"/>
      <c r="H727"/>
      <c r="M727" s="27"/>
      <c r="N727" s="27"/>
      <c r="O727" s="27"/>
      <c r="P727" s="27"/>
      <c r="Q727" s="27"/>
      <c r="R727" s="511"/>
    </row>
    <row r="728" spans="1:18">
      <c r="A728" s="513" t="s">
        <v>20471</v>
      </c>
      <c r="B728" s="513">
        <v>1204726286</v>
      </c>
      <c r="C728" s="513"/>
      <c r="E728"/>
      <c r="F728"/>
      <c r="H728"/>
      <c r="M728" s="27"/>
      <c r="N728" s="27"/>
      <c r="O728" s="27"/>
      <c r="P728" s="27"/>
      <c r="Q728" s="27"/>
      <c r="R728" s="511"/>
    </row>
    <row r="729" spans="1:18">
      <c r="A729" s="513" t="s">
        <v>20472</v>
      </c>
      <c r="B729" s="513">
        <v>1265765341</v>
      </c>
      <c r="C729" s="513"/>
      <c r="E729"/>
      <c r="F729"/>
      <c r="H729"/>
      <c r="M729" s="27"/>
      <c r="N729" s="27"/>
      <c r="O729" s="27"/>
      <c r="P729" s="27"/>
      <c r="Q729" s="27"/>
      <c r="R729" s="511"/>
    </row>
    <row r="730" spans="1:18">
      <c r="A730" s="513" t="s">
        <v>20473</v>
      </c>
      <c r="B730" s="513">
        <v>2470491627</v>
      </c>
      <c r="C730" s="513"/>
      <c r="E730"/>
      <c r="F730"/>
      <c r="H730"/>
      <c r="M730" s="27"/>
      <c r="N730" s="27"/>
      <c r="O730" s="27"/>
      <c r="P730" s="27"/>
      <c r="Q730" s="27"/>
      <c r="R730" s="511"/>
    </row>
    <row r="731" spans="1:18">
      <c r="A731" s="513" t="s">
        <v>20474</v>
      </c>
      <c r="B731" s="513">
        <v>69136085</v>
      </c>
      <c r="C731" s="513"/>
      <c r="E731"/>
      <c r="F731"/>
      <c r="H731"/>
      <c r="M731" s="27"/>
      <c r="N731" s="27"/>
      <c r="O731" s="27"/>
      <c r="P731" s="27"/>
      <c r="Q731" s="27"/>
      <c r="R731" s="511"/>
    </row>
    <row r="732" spans="1:18">
      <c r="A732" s="513" t="s">
        <v>20485</v>
      </c>
      <c r="B732" s="513">
        <v>200999977</v>
      </c>
      <c r="C732" s="513"/>
      <c r="E732"/>
      <c r="F732"/>
      <c r="H732"/>
      <c r="M732" s="27"/>
      <c r="N732" s="27"/>
      <c r="O732" s="27"/>
      <c r="P732" s="27"/>
      <c r="Q732" s="27"/>
      <c r="R732" s="511"/>
    </row>
    <row r="733" spans="1:18">
      <c r="A733" s="513" t="s">
        <v>20484</v>
      </c>
      <c r="B733" s="513">
        <v>200999977</v>
      </c>
      <c r="C733" s="513"/>
      <c r="E733"/>
      <c r="F733"/>
      <c r="H733"/>
      <c r="M733" s="27"/>
      <c r="N733" s="27"/>
      <c r="O733" s="27"/>
      <c r="P733" s="27"/>
      <c r="Q733" s="27"/>
      <c r="R733" s="511"/>
    </row>
    <row r="734" spans="1:18">
      <c r="A734" s="513" t="s">
        <v>20483</v>
      </c>
      <c r="B734" s="513">
        <v>156473883</v>
      </c>
      <c r="C734" s="513"/>
      <c r="E734"/>
      <c r="F734"/>
      <c r="H734"/>
      <c r="M734" s="27"/>
      <c r="N734" s="27"/>
      <c r="O734" s="27"/>
      <c r="P734" s="27"/>
      <c r="Q734" s="27"/>
      <c r="R734" s="511"/>
    </row>
    <row r="735" spans="1:18">
      <c r="A735" s="513" t="s">
        <v>20482</v>
      </c>
      <c r="B735" s="513">
        <v>186577855</v>
      </c>
      <c r="C735" s="513"/>
      <c r="E735"/>
      <c r="F735"/>
      <c r="H735"/>
      <c r="M735" s="27"/>
      <c r="N735" s="27"/>
      <c r="O735" s="27"/>
      <c r="P735" s="27"/>
      <c r="Q735" s="27"/>
      <c r="R735" s="511"/>
    </row>
    <row r="736" spans="1:18">
      <c r="A736" s="513" t="s">
        <v>20698</v>
      </c>
      <c r="B736" s="513">
        <v>956848970</v>
      </c>
      <c r="C736" s="513"/>
      <c r="E736"/>
      <c r="F736"/>
      <c r="H736"/>
      <c r="M736" s="27"/>
      <c r="N736" s="27"/>
      <c r="O736" s="27"/>
      <c r="P736" s="27"/>
      <c r="Q736" s="27"/>
      <c r="R736" s="511"/>
    </row>
    <row r="737" spans="1:18">
      <c r="A737" s="513" t="s">
        <v>19919</v>
      </c>
      <c r="B737" s="513">
        <v>200999977</v>
      </c>
      <c r="C737" s="513"/>
      <c r="E737"/>
      <c r="F737"/>
      <c r="H737"/>
      <c r="M737" s="27"/>
      <c r="N737" s="27"/>
      <c r="O737" s="27"/>
      <c r="P737" s="27"/>
      <c r="Q737" s="27"/>
      <c r="R737" s="511"/>
    </row>
    <row r="738" spans="1:18">
      <c r="A738" s="513" t="s">
        <v>20486</v>
      </c>
      <c r="B738" s="513">
        <v>200999977</v>
      </c>
      <c r="C738" s="513"/>
      <c r="E738"/>
      <c r="F738"/>
      <c r="H738"/>
      <c r="M738" s="27"/>
      <c r="N738" s="27"/>
      <c r="O738" s="27"/>
      <c r="P738" s="27"/>
      <c r="Q738" s="27"/>
      <c r="R738" s="511"/>
    </row>
    <row r="739" spans="1:18">
      <c r="A739" s="513" t="s">
        <v>20487</v>
      </c>
      <c r="B739" s="513">
        <v>200999977</v>
      </c>
      <c r="C739" s="513"/>
      <c r="E739"/>
      <c r="F739"/>
      <c r="H739"/>
      <c r="M739" s="27"/>
      <c r="N739" s="27"/>
      <c r="O739" s="27"/>
      <c r="P739" s="27"/>
      <c r="Q739" s="27"/>
      <c r="R739" s="511"/>
    </row>
    <row r="740" spans="1:18">
      <c r="A740" s="513" t="s">
        <v>20488</v>
      </c>
      <c r="B740" s="513">
        <v>30884314</v>
      </c>
      <c r="C740" s="513"/>
      <c r="E740"/>
      <c r="F740"/>
      <c r="H740"/>
      <c r="M740" s="27"/>
      <c r="N740" s="27"/>
      <c r="O740" s="27"/>
      <c r="P740" s="27"/>
      <c r="Q740" s="27"/>
      <c r="R740" s="511"/>
    </row>
    <row r="741" spans="1:18">
      <c r="A741" s="513" t="s">
        <v>19857</v>
      </c>
      <c r="B741" s="513">
        <v>30884314</v>
      </c>
      <c r="C741" s="513"/>
      <c r="E741"/>
      <c r="F741"/>
      <c r="H741"/>
      <c r="M741" s="27"/>
      <c r="N741" s="27"/>
      <c r="O741" s="27"/>
      <c r="P741" s="27"/>
      <c r="Q741" s="27"/>
      <c r="R741" s="511"/>
    </row>
    <row r="742" spans="1:18">
      <c r="A742" s="513" t="s">
        <v>20489</v>
      </c>
      <c r="B742" s="513">
        <v>30884314</v>
      </c>
      <c r="C742" s="513"/>
      <c r="E742"/>
      <c r="F742"/>
      <c r="H742"/>
      <c r="M742" s="27"/>
      <c r="N742" s="27"/>
      <c r="O742" s="27"/>
      <c r="P742" s="27"/>
      <c r="Q742" s="27"/>
      <c r="R742" s="511"/>
    </row>
    <row r="743" spans="1:18">
      <c r="A743" s="513" t="s">
        <v>20490</v>
      </c>
      <c r="B743" s="513">
        <v>5594300000</v>
      </c>
      <c r="C743" s="513"/>
      <c r="E743"/>
      <c r="F743"/>
      <c r="H743"/>
      <c r="M743" s="27"/>
      <c r="N743" s="27"/>
      <c r="O743" s="27"/>
      <c r="P743" s="27"/>
      <c r="Q743" s="27"/>
      <c r="R743" s="511"/>
    </row>
    <row r="744" spans="1:18">
      <c r="A744" s="513" t="s">
        <v>19856</v>
      </c>
      <c r="B744" s="513">
        <v>5594300000</v>
      </c>
      <c r="C744" s="513"/>
      <c r="E744"/>
      <c r="F744"/>
      <c r="H744"/>
      <c r="M744" s="27"/>
      <c r="N744" s="27"/>
      <c r="O744" s="27"/>
      <c r="P744" s="27"/>
      <c r="Q744" s="27"/>
      <c r="R744" s="511"/>
    </row>
    <row r="745" spans="1:18">
      <c r="A745" s="513" t="s">
        <v>20491</v>
      </c>
      <c r="B745" s="513">
        <v>5594300000</v>
      </c>
      <c r="C745" s="513"/>
      <c r="E745"/>
      <c r="F745"/>
      <c r="H745"/>
      <c r="M745" s="27"/>
      <c r="N745" s="27"/>
      <c r="O745" s="27"/>
      <c r="P745" s="27"/>
      <c r="Q745" s="27"/>
      <c r="R745" s="511"/>
    </row>
    <row r="746" spans="1:18">
      <c r="A746" s="513" t="s">
        <v>20699</v>
      </c>
      <c r="B746" s="513">
        <v>5741954</v>
      </c>
      <c r="C746" s="513"/>
      <c r="E746"/>
      <c r="F746"/>
      <c r="H746"/>
      <c r="M746" s="27"/>
      <c r="N746" s="27"/>
      <c r="O746" s="27"/>
      <c r="P746" s="27"/>
      <c r="Q746" s="27"/>
      <c r="R746" s="511"/>
    </row>
    <row r="747" spans="1:18">
      <c r="A747" s="513" t="s">
        <v>20028</v>
      </c>
      <c r="B747" s="513">
        <v>5741954</v>
      </c>
      <c r="C747" s="513"/>
      <c r="E747"/>
      <c r="F747"/>
      <c r="H747"/>
      <c r="M747" s="27"/>
      <c r="N747" s="27"/>
      <c r="O747" s="27"/>
      <c r="P747" s="27"/>
      <c r="Q747" s="27"/>
      <c r="R747" s="511"/>
    </row>
    <row r="748" spans="1:18">
      <c r="A748" s="513" t="s">
        <v>20700</v>
      </c>
      <c r="B748" s="513">
        <v>5741954</v>
      </c>
      <c r="C748" s="513"/>
      <c r="E748"/>
      <c r="F748"/>
      <c r="H748"/>
      <c r="M748" s="27"/>
      <c r="N748" s="27"/>
      <c r="O748" s="27"/>
      <c r="P748" s="27"/>
      <c r="Q748" s="27"/>
      <c r="R748" s="511"/>
    </row>
    <row r="749" spans="1:18">
      <c r="A749" s="513" t="s">
        <v>19858</v>
      </c>
      <c r="B749" s="513">
        <v>5741954</v>
      </c>
      <c r="C749" s="513"/>
      <c r="E749"/>
      <c r="F749"/>
      <c r="H749"/>
      <c r="M749" s="27"/>
      <c r="N749" s="27"/>
      <c r="O749" s="27"/>
      <c r="P749" s="27"/>
      <c r="Q749" s="27"/>
      <c r="R749" s="511"/>
    </row>
    <row r="750" spans="1:18">
      <c r="A750" s="513" t="s">
        <v>20492</v>
      </c>
      <c r="B750" s="513">
        <v>5741954</v>
      </c>
      <c r="C750" s="513"/>
      <c r="E750"/>
      <c r="F750"/>
      <c r="H750"/>
      <c r="M750" s="27"/>
      <c r="N750" s="27"/>
      <c r="O750" s="27"/>
      <c r="P750" s="27"/>
      <c r="Q750" s="27"/>
      <c r="R750" s="511"/>
    </row>
    <row r="751" spans="1:18">
      <c r="A751" s="513" t="s">
        <v>19861</v>
      </c>
      <c r="B751" s="513">
        <v>5741954</v>
      </c>
      <c r="C751" s="513"/>
      <c r="E751"/>
      <c r="F751"/>
      <c r="H751"/>
      <c r="M751" s="27"/>
      <c r="N751" s="27"/>
      <c r="O751" s="27"/>
      <c r="P751" s="27"/>
      <c r="Q751" s="27"/>
      <c r="R751" s="511"/>
    </row>
    <row r="752" spans="1:18">
      <c r="A752" s="513" t="s">
        <v>20493</v>
      </c>
      <c r="B752" s="513">
        <v>5741954</v>
      </c>
      <c r="C752" s="513"/>
      <c r="E752"/>
      <c r="F752"/>
      <c r="H752"/>
      <c r="M752" s="27"/>
      <c r="N752" s="27"/>
      <c r="O752" s="27"/>
      <c r="P752" s="27"/>
      <c r="Q752" s="27"/>
      <c r="R752" s="511"/>
    </row>
    <row r="753" spans="1:18">
      <c r="A753" s="513" t="s">
        <v>20752</v>
      </c>
      <c r="B753" s="513">
        <v>597597760</v>
      </c>
      <c r="C753" s="513"/>
      <c r="E753"/>
      <c r="F753"/>
      <c r="H753"/>
      <c r="M753" s="27"/>
      <c r="N753" s="27"/>
      <c r="O753" s="27"/>
      <c r="P753" s="27"/>
      <c r="Q753" s="27"/>
      <c r="R753" s="511"/>
    </row>
    <row r="754" spans="1:18">
      <c r="A754" s="513" t="s">
        <v>20116</v>
      </c>
      <c r="B754" s="513">
        <v>597597760</v>
      </c>
      <c r="C754" s="513"/>
      <c r="E754"/>
      <c r="F754"/>
      <c r="H754"/>
      <c r="M754" s="27"/>
      <c r="N754" s="27"/>
      <c r="O754" s="27"/>
      <c r="P754" s="27"/>
      <c r="Q754" s="27"/>
      <c r="R754" s="511"/>
    </row>
    <row r="755" spans="1:18">
      <c r="A755" s="513" t="s">
        <v>20753</v>
      </c>
      <c r="B755" s="513">
        <v>597597760</v>
      </c>
      <c r="C755" s="513"/>
      <c r="E755"/>
      <c r="F755"/>
      <c r="H755"/>
      <c r="M755" s="27"/>
      <c r="N755" s="27"/>
      <c r="O755" s="27"/>
      <c r="P755" s="27"/>
      <c r="Q755" s="27"/>
      <c r="R755" s="511"/>
    </row>
    <row r="756" spans="1:18">
      <c r="A756" s="513" t="s">
        <v>20496</v>
      </c>
      <c r="B756" s="513">
        <v>-4320005596</v>
      </c>
      <c r="C756" s="513"/>
      <c r="E756"/>
      <c r="F756"/>
      <c r="H756"/>
      <c r="M756" s="27"/>
      <c r="N756" s="27"/>
      <c r="O756" s="27"/>
      <c r="P756" s="27"/>
      <c r="Q756" s="27"/>
      <c r="R756" s="511"/>
    </row>
    <row r="757" spans="1:18">
      <c r="A757" s="513" t="s">
        <v>20495</v>
      </c>
      <c r="B757" s="513">
        <v>200999977</v>
      </c>
      <c r="C757" s="513"/>
      <c r="E757"/>
      <c r="F757"/>
      <c r="H757"/>
      <c r="M757" s="27"/>
      <c r="N757" s="27"/>
      <c r="O757" s="27"/>
      <c r="P757" s="27"/>
      <c r="Q757" s="27"/>
      <c r="R757" s="511"/>
    </row>
    <row r="758" spans="1:18">
      <c r="A758" s="513" t="s">
        <v>20494</v>
      </c>
      <c r="B758" s="513">
        <v>200999977</v>
      </c>
      <c r="C758" s="513"/>
      <c r="E758"/>
      <c r="F758"/>
      <c r="H758"/>
      <c r="M758" s="27"/>
      <c r="N758" s="27"/>
      <c r="O758" s="27"/>
      <c r="P758" s="27"/>
      <c r="Q758" s="27"/>
      <c r="R758" s="511"/>
    </row>
    <row r="759" spans="1:18">
      <c r="A759" s="513" t="s">
        <v>19879</v>
      </c>
      <c r="B759" s="513">
        <v>200999977</v>
      </c>
      <c r="C759" s="513"/>
      <c r="E759"/>
      <c r="F759"/>
      <c r="H759"/>
      <c r="M759" s="27"/>
      <c r="N759" s="27"/>
      <c r="O759" s="27"/>
      <c r="P759" s="27"/>
      <c r="Q759" s="27"/>
      <c r="R759" s="511"/>
    </row>
    <row r="760" spans="1:18">
      <c r="A760" s="513" t="s">
        <v>20499</v>
      </c>
      <c r="B760" s="513">
        <v>-4320005596</v>
      </c>
      <c r="C760" s="513"/>
      <c r="E760"/>
      <c r="F760"/>
      <c r="H760"/>
      <c r="M760" s="27"/>
      <c r="N760" s="27"/>
      <c r="O760" s="27"/>
      <c r="P760" s="27"/>
      <c r="Q760" s="27"/>
      <c r="R760" s="511"/>
    </row>
    <row r="761" spans="1:18">
      <c r="A761" s="513" t="s">
        <v>19853</v>
      </c>
      <c r="B761" s="513">
        <v>-4521005573</v>
      </c>
      <c r="C761" s="513"/>
      <c r="E761"/>
      <c r="F761"/>
      <c r="H761"/>
      <c r="M761" s="27"/>
      <c r="N761" s="27"/>
      <c r="O761" s="27"/>
      <c r="P761" s="27"/>
      <c r="Q761" s="27"/>
      <c r="R761" s="511"/>
    </row>
    <row r="762" spans="1:18">
      <c r="A762" s="513" t="s">
        <v>19877</v>
      </c>
      <c r="B762" s="513">
        <v>200999977</v>
      </c>
      <c r="C762" s="513"/>
      <c r="E762"/>
      <c r="F762"/>
      <c r="H762"/>
      <c r="M762" s="27"/>
      <c r="N762" s="27"/>
      <c r="O762" s="27"/>
      <c r="P762" s="27"/>
      <c r="Q762" s="27"/>
      <c r="R762" s="511"/>
    </row>
    <row r="763" spans="1:18">
      <c r="A763" s="513" t="s">
        <v>20497</v>
      </c>
      <c r="B763" s="513">
        <v>200999977</v>
      </c>
      <c r="C763" s="513"/>
      <c r="E763"/>
      <c r="F763"/>
      <c r="H763"/>
      <c r="M763" s="27"/>
      <c r="N763" s="27"/>
      <c r="O763" s="27"/>
      <c r="P763" s="27"/>
      <c r="Q763" s="27"/>
      <c r="R763" s="511"/>
    </row>
    <row r="764" spans="1:18">
      <c r="A764" s="513" t="s">
        <v>20498</v>
      </c>
      <c r="B764" s="513">
        <v>200999977</v>
      </c>
      <c r="C764" s="513"/>
      <c r="E764"/>
      <c r="F764"/>
      <c r="H764"/>
      <c r="M764" s="27"/>
      <c r="N764" s="27"/>
      <c r="O764" s="27"/>
      <c r="P764" s="27"/>
      <c r="Q764" s="27"/>
      <c r="R764" s="511"/>
    </row>
    <row r="765" spans="1:18">
      <c r="A765" s="513" t="s">
        <v>20502</v>
      </c>
      <c r="B765" s="513">
        <v>1908518432</v>
      </c>
      <c r="C765" s="513"/>
      <c r="E765"/>
      <c r="F765"/>
      <c r="H765"/>
      <c r="M765" s="27"/>
      <c r="N765" s="27"/>
      <c r="O765" s="27"/>
      <c r="P765" s="27"/>
      <c r="Q765" s="27"/>
      <c r="R765" s="511"/>
    </row>
    <row r="766" spans="1:18">
      <c r="A766" s="513" t="s">
        <v>20501</v>
      </c>
      <c r="B766" s="513">
        <v>200999977</v>
      </c>
      <c r="C766" s="513"/>
      <c r="E766"/>
      <c r="F766"/>
      <c r="H766"/>
      <c r="M766" s="27"/>
      <c r="N766" s="27"/>
      <c r="O766" s="27"/>
      <c r="P766" s="27"/>
      <c r="Q766" s="27"/>
      <c r="R766" s="511"/>
    </row>
    <row r="767" spans="1:18">
      <c r="A767" s="513" t="s">
        <v>20500</v>
      </c>
      <c r="B767" s="513">
        <v>200999977</v>
      </c>
      <c r="C767" s="513"/>
      <c r="E767"/>
      <c r="F767"/>
      <c r="H767"/>
      <c r="M767" s="27"/>
      <c r="N767" s="27"/>
      <c r="O767" s="27"/>
      <c r="P767" s="27"/>
      <c r="Q767" s="27"/>
      <c r="R767" s="511"/>
    </row>
    <row r="768" spans="1:18">
      <c r="A768" s="513" t="s">
        <v>19878</v>
      </c>
      <c r="B768" s="513">
        <v>200999977</v>
      </c>
      <c r="C768" s="513"/>
      <c r="E768"/>
      <c r="F768"/>
      <c r="H768"/>
      <c r="M768" s="27"/>
      <c r="N768" s="27"/>
      <c r="O768" s="27"/>
      <c r="P768" s="27"/>
      <c r="Q768" s="27"/>
      <c r="R768" s="511"/>
    </row>
    <row r="769" spans="1:18">
      <c r="A769" s="513" t="s">
        <v>19854</v>
      </c>
      <c r="B769" s="513">
        <v>1707518455</v>
      </c>
      <c r="C769" s="513"/>
      <c r="E769"/>
      <c r="F769"/>
      <c r="H769"/>
      <c r="M769" s="27"/>
      <c r="N769" s="27"/>
      <c r="O769" s="27"/>
      <c r="P769" s="27"/>
      <c r="Q769" s="27"/>
      <c r="R769" s="511"/>
    </row>
    <row r="770" spans="1:18">
      <c r="A770" s="513" t="s">
        <v>19880</v>
      </c>
      <c r="B770" s="513">
        <v>200999977</v>
      </c>
      <c r="C770" s="513"/>
      <c r="E770"/>
      <c r="F770"/>
      <c r="H770"/>
      <c r="M770" s="27"/>
      <c r="N770" s="27"/>
      <c r="O770" s="27"/>
      <c r="P770" s="27"/>
      <c r="Q770" s="27"/>
      <c r="R770" s="511"/>
    </row>
    <row r="771" spans="1:18">
      <c r="A771" s="513" t="s">
        <v>19855</v>
      </c>
      <c r="B771" s="513">
        <v>1707518455</v>
      </c>
      <c r="C771" s="513"/>
      <c r="E771"/>
      <c r="F771"/>
      <c r="H771"/>
      <c r="M771" s="27"/>
      <c r="N771" s="27"/>
      <c r="O771" s="27"/>
      <c r="P771" s="27"/>
      <c r="Q771" s="27"/>
      <c r="R771" s="511"/>
    </row>
    <row r="772" spans="1:18">
      <c r="A772" s="513" t="s">
        <v>20503</v>
      </c>
      <c r="B772" s="513">
        <v>200999977</v>
      </c>
      <c r="C772" s="513"/>
      <c r="E772"/>
      <c r="F772"/>
      <c r="H772"/>
      <c r="M772" s="27"/>
      <c r="N772" s="27"/>
      <c r="O772" s="27"/>
      <c r="P772" s="27"/>
      <c r="Q772" s="27"/>
      <c r="R772" s="511"/>
    </row>
    <row r="773" spans="1:18">
      <c r="A773" s="513" t="s">
        <v>20504</v>
      </c>
      <c r="B773" s="513">
        <v>200999977</v>
      </c>
      <c r="C773" s="513"/>
      <c r="E773"/>
      <c r="F773"/>
      <c r="H773"/>
      <c r="M773" s="27"/>
      <c r="N773" s="27"/>
      <c r="O773" s="27"/>
      <c r="P773" s="27"/>
      <c r="Q773" s="27"/>
      <c r="R773" s="511"/>
    </row>
    <row r="774" spans="1:18">
      <c r="A774" s="513" t="s">
        <v>20505</v>
      </c>
      <c r="B774" s="513">
        <v>1908518432</v>
      </c>
      <c r="C774" s="513"/>
      <c r="E774"/>
      <c r="F774"/>
      <c r="H774"/>
      <c r="M774" s="27"/>
      <c r="N774" s="27"/>
      <c r="O774" s="27"/>
      <c r="P774" s="27"/>
      <c r="Q774" s="27"/>
      <c r="R774" s="511"/>
    </row>
    <row r="775" spans="1:18">
      <c r="A775" s="513" t="s">
        <v>19859</v>
      </c>
      <c r="B775" s="513">
        <v>1707518455</v>
      </c>
      <c r="C775" s="513"/>
      <c r="E775"/>
      <c r="F775"/>
      <c r="H775"/>
      <c r="M775" s="27"/>
      <c r="N775" s="27"/>
      <c r="O775" s="27"/>
      <c r="P775" s="27"/>
      <c r="Q775" s="27"/>
      <c r="R775" s="511"/>
    </row>
    <row r="776" spans="1:18">
      <c r="A776" s="513" t="s">
        <v>19876</v>
      </c>
      <c r="B776" s="513">
        <v>200999977</v>
      </c>
      <c r="C776" s="513"/>
      <c r="E776"/>
      <c r="F776"/>
      <c r="H776"/>
      <c r="M776" s="27"/>
      <c r="N776" s="27"/>
      <c r="O776" s="27"/>
      <c r="P776" s="27"/>
      <c r="Q776" s="27"/>
      <c r="R776" s="511"/>
    </row>
    <row r="777" spans="1:18">
      <c r="A777" s="513" t="s">
        <v>20506</v>
      </c>
      <c r="B777" s="513">
        <v>200999977</v>
      </c>
      <c r="C777" s="513"/>
      <c r="E777"/>
      <c r="F777"/>
      <c r="H777"/>
      <c r="M777" s="27"/>
      <c r="N777" s="27"/>
      <c r="O777" s="27"/>
      <c r="P777" s="27"/>
      <c r="Q777" s="27"/>
      <c r="R777" s="511"/>
    </row>
    <row r="778" spans="1:18">
      <c r="A778" s="513" t="s">
        <v>20507</v>
      </c>
      <c r="B778" s="513">
        <v>200999977</v>
      </c>
      <c r="C778" s="513"/>
      <c r="E778"/>
      <c r="F778"/>
      <c r="H778"/>
      <c r="M778" s="27"/>
      <c r="N778" s="27"/>
      <c r="O778" s="27"/>
      <c r="P778" s="27"/>
      <c r="Q778" s="27"/>
      <c r="R778" s="511"/>
    </row>
    <row r="779" spans="1:18">
      <c r="A779" s="513" t="s">
        <v>20508</v>
      </c>
      <c r="B779" s="513">
        <v>1908518432</v>
      </c>
      <c r="C779" s="513"/>
      <c r="E779"/>
      <c r="F779"/>
      <c r="H779"/>
      <c r="M779" s="27"/>
      <c r="N779" s="27"/>
      <c r="O779" s="27"/>
      <c r="P779" s="27"/>
      <c r="Q779" s="27"/>
      <c r="R779" s="511"/>
    </row>
    <row r="780" spans="1:18">
      <c r="A780" s="513" t="s">
        <v>20511</v>
      </c>
      <c r="B780" s="513">
        <v>1908518432</v>
      </c>
      <c r="C780" s="513"/>
      <c r="E780"/>
      <c r="F780"/>
      <c r="H780"/>
      <c r="M780" s="27"/>
      <c r="N780" s="27"/>
      <c r="O780" s="27"/>
      <c r="P780" s="27"/>
      <c r="Q780" s="27"/>
      <c r="R780" s="511"/>
    </row>
    <row r="781" spans="1:18">
      <c r="A781" s="513" t="s">
        <v>20510</v>
      </c>
      <c r="B781" s="513">
        <v>200999977</v>
      </c>
      <c r="C781" s="513"/>
      <c r="E781"/>
      <c r="F781"/>
      <c r="H781"/>
      <c r="M781" s="27"/>
      <c r="N781" s="27"/>
      <c r="O781" s="27"/>
      <c r="P781" s="27"/>
      <c r="Q781" s="27"/>
      <c r="R781" s="511"/>
    </row>
    <row r="782" spans="1:18">
      <c r="A782" s="513" t="s">
        <v>19860</v>
      </c>
      <c r="B782" s="513">
        <v>1707518455</v>
      </c>
      <c r="C782" s="513"/>
      <c r="E782"/>
      <c r="F782"/>
      <c r="H782"/>
      <c r="M782" s="27"/>
      <c r="N782" s="27"/>
      <c r="O782" s="27"/>
      <c r="P782" s="27"/>
      <c r="Q782" s="27"/>
      <c r="R782" s="511"/>
    </row>
    <row r="783" spans="1:18">
      <c r="A783" s="513" t="s">
        <v>19881</v>
      </c>
      <c r="B783" s="513">
        <v>200999977</v>
      </c>
      <c r="C783" s="513"/>
      <c r="E783"/>
      <c r="F783"/>
      <c r="H783"/>
      <c r="M783" s="27"/>
      <c r="N783" s="27"/>
      <c r="O783" s="27"/>
      <c r="P783" s="27"/>
      <c r="Q783" s="27"/>
      <c r="R783" s="511"/>
    </row>
    <row r="784" spans="1:18">
      <c r="A784" s="513" t="s">
        <v>20509</v>
      </c>
      <c r="B784" s="513">
        <v>200999977</v>
      </c>
      <c r="C784" s="513"/>
      <c r="E784"/>
      <c r="F784"/>
      <c r="H784"/>
      <c r="M784" s="27"/>
      <c r="N784" s="27"/>
      <c r="O784" s="27"/>
      <c r="P784" s="27"/>
      <c r="Q784" s="27"/>
      <c r="R784" s="511"/>
    </row>
    <row r="785" spans="1:18">
      <c r="A785" s="513" t="s">
        <v>20512</v>
      </c>
      <c r="B785" s="513">
        <v>1707518455</v>
      </c>
      <c r="C785" s="513"/>
      <c r="E785"/>
      <c r="F785"/>
      <c r="H785"/>
      <c r="M785" s="27"/>
      <c r="N785" s="27"/>
      <c r="O785" s="27"/>
      <c r="P785" s="27"/>
      <c r="Q785" s="27"/>
      <c r="R785" s="511"/>
    </row>
    <row r="786" spans="1:18">
      <c r="A786" s="513" t="s">
        <v>20513</v>
      </c>
      <c r="B786" s="513">
        <v>1707518455</v>
      </c>
      <c r="C786" s="513"/>
      <c r="E786"/>
      <c r="F786"/>
      <c r="H786"/>
      <c r="M786" s="27"/>
      <c r="N786" s="27"/>
      <c r="O786" s="27"/>
      <c r="P786" s="27"/>
      <c r="Q786" s="27"/>
      <c r="R786" s="511"/>
    </row>
    <row r="787" spans="1:18">
      <c r="A787" s="513" t="s">
        <v>20514</v>
      </c>
      <c r="B787" s="513">
        <v>200999977</v>
      </c>
      <c r="C787" s="513"/>
      <c r="E787"/>
      <c r="F787"/>
      <c r="H787"/>
      <c r="M787" s="27"/>
      <c r="N787" s="27"/>
      <c r="O787" s="27"/>
      <c r="P787" s="27"/>
      <c r="Q787" s="27"/>
      <c r="R787" s="511"/>
    </row>
    <row r="788" spans="1:18">
      <c r="A788" s="513" t="s">
        <v>20515</v>
      </c>
      <c r="B788" s="513">
        <v>200999977</v>
      </c>
      <c r="C788" s="513"/>
      <c r="E788"/>
      <c r="F788"/>
      <c r="H788"/>
      <c r="M788" s="27"/>
      <c r="N788" s="27"/>
      <c r="O788" s="27"/>
      <c r="P788" s="27"/>
      <c r="Q788" s="27"/>
      <c r="R788" s="511"/>
    </row>
    <row r="789" spans="1:18">
      <c r="A789" s="513" t="s">
        <v>20516</v>
      </c>
      <c r="B789" s="513">
        <v>200999977</v>
      </c>
      <c r="C789" s="513"/>
      <c r="E789"/>
      <c r="F789"/>
      <c r="H789"/>
      <c r="M789" s="27"/>
      <c r="N789" s="27"/>
      <c r="O789" s="27"/>
      <c r="P789" s="27"/>
      <c r="Q789" s="27"/>
      <c r="R789" s="511"/>
    </row>
    <row r="790" spans="1:18">
      <c r="A790" s="513" t="s">
        <v>20517</v>
      </c>
      <c r="B790" s="513">
        <v>1908518432</v>
      </c>
      <c r="C790" s="513"/>
      <c r="E790"/>
      <c r="F790"/>
      <c r="H790"/>
      <c r="M790" s="27"/>
      <c r="N790" s="27"/>
      <c r="O790" s="27"/>
      <c r="P790" s="27"/>
      <c r="Q790" s="27"/>
      <c r="R790" s="511"/>
    </row>
    <row r="791" spans="1:18">
      <c r="A791" s="513" t="s">
        <v>20518</v>
      </c>
      <c r="B791" s="513">
        <v>1707518455</v>
      </c>
      <c r="C791" s="513"/>
      <c r="E791"/>
      <c r="F791"/>
      <c r="H791"/>
      <c r="M791" s="27"/>
      <c r="N791" s="27"/>
      <c r="O791" s="27"/>
      <c r="P791" s="27"/>
      <c r="Q791" s="27"/>
      <c r="R791" s="511"/>
    </row>
    <row r="792" spans="1:18">
      <c r="A792" s="513" t="s">
        <v>20519</v>
      </c>
      <c r="B792" s="513">
        <v>1707518455</v>
      </c>
      <c r="C792" s="513"/>
      <c r="E792"/>
      <c r="F792"/>
      <c r="H792"/>
      <c r="M792" s="27"/>
      <c r="N792" s="27"/>
      <c r="O792" s="27"/>
      <c r="P792" s="27"/>
      <c r="Q792" s="27"/>
      <c r="R792" s="511"/>
    </row>
    <row r="793" spans="1:18">
      <c r="A793" s="513" t="s">
        <v>20520</v>
      </c>
      <c r="B793" s="513">
        <v>200999977</v>
      </c>
      <c r="C793" s="513"/>
      <c r="E793"/>
      <c r="F793"/>
      <c r="H793"/>
      <c r="M793" s="27"/>
      <c r="N793" s="27"/>
      <c r="O793" s="27"/>
      <c r="P793" s="27"/>
      <c r="Q793" s="27"/>
      <c r="R793" s="511"/>
    </row>
    <row r="794" spans="1:18">
      <c r="A794" s="513" t="s">
        <v>20521</v>
      </c>
      <c r="B794" s="513">
        <v>200999977</v>
      </c>
      <c r="C794" s="513"/>
      <c r="E794"/>
      <c r="F794"/>
      <c r="H794"/>
      <c r="M794" s="27"/>
      <c r="N794" s="27"/>
      <c r="O794" s="27"/>
      <c r="P794" s="27"/>
      <c r="Q794" s="27"/>
      <c r="R794" s="511"/>
    </row>
    <row r="795" spans="1:18">
      <c r="A795" s="513" t="s">
        <v>20522</v>
      </c>
      <c r="B795" s="513">
        <v>200999977</v>
      </c>
      <c r="C795" s="513"/>
      <c r="E795"/>
      <c r="F795"/>
      <c r="H795"/>
      <c r="M795" s="27"/>
      <c r="N795" s="27"/>
      <c r="O795" s="27"/>
      <c r="P795" s="27"/>
      <c r="Q795" s="27"/>
      <c r="R795" s="511"/>
    </row>
    <row r="796" spans="1:18">
      <c r="A796" s="513" t="s">
        <v>20523</v>
      </c>
      <c r="B796" s="513">
        <v>1908518432</v>
      </c>
      <c r="C796" s="513"/>
      <c r="E796"/>
      <c r="F796"/>
      <c r="H796"/>
      <c r="M796" s="27"/>
      <c r="N796" s="27"/>
      <c r="O796" s="27"/>
      <c r="P796" s="27"/>
      <c r="Q796" s="27"/>
      <c r="R796" s="511"/>
    </row>
    <row r="797" spans="1:18">
      <c r="A797" s="513" t="s">
        <v>20524</v>
      </c>
      <c r="B797" s="513">
        <v>1707518455</v>
      </c>
      <c r="C797" s="513"/>
      <c r="E797"/>
      <c r="F797"/>
      <c r="H797"/>
      <c r="M797" s="27"/>
      <c r="N797" s="27"/>
      <c r="O797" s="27"/>
      <c r="P797" s="27"/>
      <c r="Q797" s="27"/>
      <c r="R797" s="511"/>
    </row>
    <row r="798" spans="1:18">
      <c r="A798" s="513" t="s">
        <v>20525</v>
      </c>
      <c r="B798" s="513">
        <v>1707518455</v>
      </c>
      <c r="C798" s="513"/>
      <c r="E798"/>
      <c r="F798"/>
      <c r="H798"/>
      <c r="M798" s="27"/>
      <c r="N798" s="27"/>
      <c r="O798" s="27"/>
      <c r="P798" s="27"/>
      <c r="Q798" s="27"/>
      <c r="R798" s="511"/>
    </row>
    <row r="799" spans="1:18">
      <c r="A799" s="513" t="s">
        <v>20526</v>
      </c>
      <c r="B799" s="513">
        <v>200999977</v>
      </c>
      <c r="C799" s="513"/>
      <c r="E799"/>
      <c r="F799"/>
      <c r="H799"/>
      <c r="M799" s="27"/>
      <c r="N799" s="27"/>
      <c r="O799" s="27"/>
      <c r="P799" s="27"/>
      <c r="Q799" s="27"/>
      <c r="R799" s="511"/>
    </row>
    <row r="800" spans="1:18">
      <c r="A800" s="513" t="s">
        <v>20527</v>
      </c>
      <c r="B800" s="513">
        <v>200999977</v>
      </c>
      <c r="C800" s="513"/>
      <c r="E800"/>
      <c r="F800"/>
      <c r="H800"/>
      <c r="M800" s="27"/>
      <c r="N800" s="27"/>
      <c r="O800" s="27"/>
      <c r="P800" s="27"/>
      <c r="Q800" s="27"/>
      <c r="R800" s="511"/>
    </row>
    <row r="801" spans="1:18">
      <c r="A801" s="513" t="s">
        <v>20528</v>
      </c>
      <c r="B801" s="513">
        <v>200999977</v>
      </c>
      <c r="C801" s="513"/>
      <c r="E801"/>
      <c r="F801"/>
      <c r="H801"/>
      <c r="M801" s="27"/>
      <c r="N801" s="27"/>
      <c r="O801" s="27"/>
      <c r="P801" s="27"/>
      <c r="Q801" s="27"/>
      <c r="R801" s="511"/>
    </row>
    <row r="802" spans="1:18">
      <c r="A802" s="513" t="s">
        <v>20529</v>
      </c>
      <c r="B802" s="513">
        <v>1908518432</v>
      </c>
      <c r="C802" s="513"/>
      <c r="E802"/>
      <c r="F802"/>
      <c r="H802"/>
      <c r="M802" s="27"/>
      <c r="N802" s="27"/>
      <c r="O802" s="27"/>
      <c r="P802" s="27"/>
      <c r="Q802" s="27"/>
      <c r="R802" s="511"/>
    </row>
    <row r="803" spans="1:18">
      <c r="A803" s="513" t="s">
        <v>20530</v>
      </c>
      <c r="B803" s="513">
        <v>-4521005573</v>
      </c>
      <c r="C803" s="513"/>
      <c r="E803"/>
      <c r="F803"/>
      <c r="H803"/>
      <c r="M803" s="27"/>
      <c r="N803" s="27"/>
      <c r="O803" s="27"/>
      <c r="P803" s="27"/>
      <c r="Q803" s="27"/>
      <c r="R803" s="511"/>
    </row>
    <row r="804" spans="1:18">
      <c r="A804" s="513" t="s">
        <v>20531</v>
      </c>
      <c r="B804" s="513">
        <v>-4521005573</v>
      </c>
      <c r="C804" s="513"/>
      <c r="E804"/>
      <c r="F804"/>
      <c r="H804"/>
      <c r="M804" s="27"/>
      <c r="N804" s="27"/>
      <c r="O804" s="27"/>
      <c r="P804" s="27"/>
      <c r="Q804" s="27"/>
      <c r="R804" s="511"/>
    </row>
    <row r="805" spans="1:18">
      <c r="A805" s="513" t="s">
        <v>20532</v>
      </c>
      <c r="B805" s="513">
        <v>200999977</v>
      </c>
      <c r="C805" s="513"/>
      <c r="E805"/>
      <c r="F805"/>
      <c r="H805"/>
      <c r="M805" s="27"/>
      <c r="N805" s="27"/>
      <c r="O805" s="27"/>
      <c r="P805" s="27"/>
      <c r="Q805" s="27"/>
      <c r="R805" s="511"/>
    </row>
    <row r="806" spans="1:18">
      <c r="A806" s="513" t="s">
        <v>20533</v>
      </c>
      <c r="B806" s="513">
        <v>200999977</v>
      </c>
      <c r="C806" s="513"/>
      <c r="E806"/>
      <c r="F806"/>
      <c r="H806"/>
      <c r="M806" s="27"/>
      <c r="N806" s="27"/>
      <c r="O806" s="27"/>
      <c r="P806" s="27"/>
      <c r="Q806" s="27"/>
      <c r="R806" s="511"/>
    </row>
    <row r="807" spans="1:18">
      <c r="A807" s="513" t="s">
        <v>20534</v>
      </c>
      <c r="B807" s="513">
        <v>200999977</v>
      </c>
      <c r="C807" s="513"/>
      <c r="E807"/>
      <c r="F807"/>
      <c r="H807"/>
      <c r="M807" s="27"/>
      <c r="N807" s="27"/>
      <c r="O807" s="27"/>
      <c r="P807" s="27"/>
      <c r="Q807" s="27"/>
      <c r="R807" s="511"/>
    </row>
    <row r="808" spans="1:18">
      <c r="A808" s="513" t="s">
        <v>20535</v>
      </c>
      <c r="B808" s="513">
        <v>-4320005596</v>
      </c>
      <c r="C808" s="513"/>
      <c r="E808"/>
      <c r="F808"/>
      <c r="H808"/>
      <c r="M808" s="27"/>
      <c r="N808" s="27"/>
      <c r="O808" s="27"/>
      <c r="P808" s="27"/>
      <c r="Q808" s="27"/>
      <c r="R808" s="511"/>
    </row>
    <row r="809" spans="1:18">
      <c r="A809" s="513" t="s">
        <v>20537</v>
      </c>
      <c r="B809" s="513">
        <v>-4521005573</v>
      </c>
      <c r="C809" s="513"/>
      <c r="E809"/>
      <c r="F809"/>
      <c r="H809"/>
      <c r="M809" s="27"/>
      <c r="N809" s="27"/>
      <c r="O809" s="27"/>
      <c r="P809" s="27"/>
      <c r="Q809" s="27"/>
      <c r="R809" s="511"/>
    </row>
    <row r="810" spans="1:18">
      <c r="A810" s="513" t="s">
        <v>20536</v>
      </c>
      <c r="B810" s="513">
        <v>-4521005573</v>
      </c>
      <c r="C810" s="513"/>
      <c r="E810"/>
      <c r="F810"/>
      <c r="H810"/>
      <c r="M810" s="27"/>
      <c r="N810" s="27"/>
      <c r="O810" s="27"/>
      <c r="P810" s="27"/>
      <c r="Q810" s="27"/>
      <c r="R810" s="511"/>
    </row>
    <row r="811" spans="1:18">
      <c r="A811" s="513" t="s">
        <v>20538</v>
      </c>
      <c r="B811" s="513">
        <v>200999977</v>
      </c>
      <c r="C811" s="513"/>
      <c r="E811"/>
      <c r="F811"/>
      <c r="H811"/>
      <c r="M811" s="27"/>
      <c r="N811" s="27"/>
      <c r="O811" s="27"/>
      <c r="P811" s="27"/>
      <c r="Q811" s="27"/>
      <c r="R811" s="511"/>
    </row>
    <row r="812" spans="1:18">
      <c r="A812" s="513" t="s">
        <v>20539</v>
      </c>
      <c r="B812" s="513">
        <v>200999977</v>
      </c>
      <c r="C812" s="513"/>
      <c r="E812"/>
      <c r="F812"/>
      <c r="H812"/>
      <c r="M812" s="27"/>
      <c r="N812" s="27"/>
      <c r="O812" s="27"/>
      <c r="P812" s="27"/>
      <c r="Q812" s="27"/>
      <c r="R812" s="511"/>
    </row>
    <row r="813" spans="1:18">
      <c r="A813" s="513" t="s">
        <v>20540</v>
      </c>
      <c r="B813" s="513">
        <v>200999977</v>
      </c>
      <c r="C813" s="513"/>
      <c r="E813"/>
      <c r="F813"/>
      <c r="H813"/>
      <c r="M813" s="27"/>
      <c r="N813" s="27"/>
      <c r="O813" s="27"/>
      <c r="P813" s="27"/>
      <c r="Q813" s="27"/>
      <c r="R813" s="511"/>
    </row>
    <row r="814" spans="1:18">
      <c r="A814" s="513" t="s">
        <v>20541</v>
      </c>
      <c r="B814" s="513">
        <v>-4320005596</v>
      </c>
      <c r="C814" s="513"/>
      <c r="E814"/>
      <c r="F814"/>
      <c r="H814"/>
      <c r="M814" s="27"/>
      <c r="N814" s="27"/>
      <c r="O814" s="27"/>
      <c r="P814" s="27"/>
      <c r="Q814" s="27"/>
      <c r="R814" s="511"/>
    </row>
    <row r="815" spans="1:18">
      <c r="A815" s="513" t="s">
        <v>20701</v>
      </c>
      <c r="B815" s="513">
        <v>5741954</v>
      </c>
      <c r="C815" s="513"/>
      <c r="E815"/>
      <c r="F815"/>
      <c r="H815"/>
      <c r="M815" s="27"/>
      <c r="N815" s="27"/>
      <c r="O815" s="27"/>
      <c r="P815" s="27"/>
      <c r="Q815" s="27"/>
      <c r="R815" s="511"/>
    </row>
    <row r="816" spans="1:18">
      <c r="A816" s="513" t="s">
        <v>20543</v>
      </c>
      <c r="B816" s="513">
        <v>5741954</v>
      </c>
      <c r="C816" s="513"/>
      <c r="E816"/>
      <c r="F816"/>
      <c r="H816"/>
      <c r="M816" s="27"/>
      <c r="N816" s="27"/>
      <c r="O816" s="27"/>
      <c r="P816" s="27"/>
      <c r="Q816" s="27"/>
      <c r="R816" s="511"/>
    </row>
    <row r="817" spans="1:18">
      <c r="A817" s="513" t="s">
        <v>20542</v>
      </c>
      <c r="B817" s="513">
        <v>5741954</v>
      </c>
      <c r="C817" s="513"/>
      <c r="E817"/>
      <c r="F817"/>
      <c r="H817"/>
      <c r="M817" s="27"/>
      <c r="N817" s="27"/>
      <c r="O817" s="27"/>
      <c r="P817" s="27"/>
      <c r="Q817" s="27"/>
      <c r="R817" s="511"/>
    </row>
    <row r="818" spans="1:18">
      <c r="A818" s="513" t="s">
        <v>20703</v>
      </c>
      <c r="B818" s="513">
        <v>5741954</v>
      </c>
      <c r="C818" s="513"/>
      <c r="E818"/>
      <c r="F818"/>
      <c r="H818"/>
      <c r="M818" s="27"/>
      <c r="N818" s="27"/>
      <c r="O818" s="27"/>
      <c r="P818" s="27"/>
      <c r="Q818" s="27"/>
      <c r="R818" s="511"/>
    </row>
    <row r="819" spans="1:18">
      <c r="A819" s="513" t="s">
        <v>20702</v>
      </c>
      <c r="B819" s="513">
        <v>5741954</v>
      </c>
      <c r="C819" s="513"/>
      <c r="E819"/>
      <c r="F819"/>
      <c r="H819"/>
      <c r="M819" s="27"/>
      <c r="N819" s="27"/>
      <c r="O819" s="27"/>
      <c r="P819" s="27"/>
      <c r="Q819" s="27"/>
      <c r="R819" s="511"/>
    </row>
    <row r="820" spans="1:18">
      <c r="A820" s="513" t="s">
        <v>20055</v>
      </c>
      <c r="B820" s="513">
        <v>5741954</v>
      </c>
      <c r="C820" s="513"/>
      <c r="E820"/>
      <c r="F820"/>
      <c r="H820"/>
      <c r="M820" s="27"/>
      <c r="N820" s="27"/>
      <c r="O820" s="27"/>
      <c r="P820" s="27"/>
      <c r="Q820" s="27"/>
      <c r="R820" s="511"/>
    </row>
    <row r="821" spans="1:18">
      <c r="A821" s="513" t="s">
        <v>20545</v>
      </c>
      <c r="B821" s="513">
        <v>30884314</v>
      </c>
      <c r="C821" s="513"/>
      <c r="E821"/>
      <c r="F821"/>
      <c r="H821"/>
      <c r="M821" s="27"/>
      <c r="N821" s="27"/>
      <c r="O821" s="27"/>
      <c r="P821" s="27"/>
      <c r="Q821" s="27"/>
      <c r="R821" s="511"/>
    </row>
    <row r="822" spans="1:18">
      <c r="A822" s="513" t="s">
        <v>20544</v>
      </c>
      <c r="B822" s="513">
        <v>30884314</v>
      </c>
      <c r="C822" s="513"/>
      <c r="E822"/>
      <c r="F822"/>
      <c r="H822"/>
      <c r="M822" s="27"/>
      <c r="N822" s="27"/>
      <c r="O822" s="27"/>
      <c r="P822" s="27"/>
      <c r="Q822" s="27"/>
      <c r="R822" s="511"/>
    </row>
    <row r="823" spans="1:18">
      <c r="A823" s="513" t="s">
        <v>20053</v>
      </c>
      <c r="B823" s="513">
        <v>30884314</v>
      </c>
      <c r="C823" s="513"/>
      <c r="E823"/>
      <c r="F823"/>
      <c r="H823"/>
      <c r="M823" s="27"/>
      <c r="N823" s="27"/>
      <c r="O823" s="27"/>
      <c r="P823" s="27"/>
      <c r="Q823" s="27"/>
      <c r="R823" s="511"/>
    </row>
    <row r="824" spans="1:18">
      <c r="A824" s="513" t="s">
        <v>20054</v>
      </c>
      <c r="B824" s="513">
        <v>5594300000</v>
      </c>
      <c r="C824" s="513"/>
      <c r="E824"/>
      <c r="F824"/>
      <c r="H824"/>
      <c r="M824" s="27"/>
      <c r="N824" s="27"/>
      <c r="O824" s="27"/>
      <c r="P824" s="27"/>
      <c r="Q824" s="27"/>
      <c r="R824" s="511"/>
    </row>
    <row r="825" spans="1:18">
      <c r="A825" s="513" t="s">
        <v>20546</v>
      </c>
      <c r="B825" s="513">
        <v>5594300000</v>
      </c>
      <c r="C825" s="513"/>
      <c r="E825"/>
      <c r="F825"/>
      <c r="H825"/>
      <c r="M825" s="27"/>
      <c r="N825" s="27"/>
      <c r="O825" s="27"/>
      <c r="P825" s="27"/>
      <c r="Q825" s="27"/>
      <c r="R825" s="511"/>
    </row>
    <row r="826" spans="1:18">
      <c r="A826" s="513" t="s">
        <v>20547</v>
      </c>
      <c r="B826" s="513">
        <v>5594300000</v>
      </c>
      <c r="C826" s="513"/>
      <c r="E826"/>
      <c r="F826"/>
      <c r="H826"/>
      <c r="M826" s="27"/>
      <c r="N826" s="27"/>
      <c r="O826" s="27"/>
      <c r="P826" s="27"/>
      <c r="Q826" s="27"/>
      <c r="R826" s="511"/>
    </row>
    <row r="827" spans="1:18">
      <c r="A827" s="513" t="s">
        <v>20754</v>
      </c>
      <c r="B827" s="513">
        <v>597597760</v>
      </c>
      <c r="C827" s="513"/>
      <c r="E827"/>
      <c r="F827"/>
      <c r="H827"/>
      <c r="M827" s="27"/>
      <c r="N827" s="27"/>
      <c r="O827" s="27"/>
      <c r="P827" s="27"/>
      <c r="Q827" s="27"/>
      <c r="R827" s="511"/>
    </row>
    <row r="828" spans="1:18">
      <c r="A828" s="513" t="s">
        <v>20755</v>
      </c>
      <c r="B828" s="513">
        <v>597597760</v>
      </c>
      <c r="C828" s="513"/>
      <c r="E828"/>
      <c r="F828"/>
      <c r="H828"/>
      <c r="M828" s="27"/>
      <c r="N828" s="27"/>
      <c r="O828" s="27"/>
      <c r="P828" s="27"/>
      <c r="Q828" s="27"/>
      <c r="R828" s="511"/>
    </row>
    <row r="829" spans="1:18">
      <c r="A829" s="513" t="s">
        <v>20174</v>
      </c>
      <c r="B829" s="513">
        <v>597597760</v>
      </c>
      <c r="C829" s="513"/>
      <c r="E829"/>
      <c r="F829"/>
      <c r="H829"/>
      <c r="M829" s="27"/>
      <c r="N829" s="27"/>
      <c r="O829" s="27"/>
      <c r="P829" s="27"/>
      <c r="Q829" s="27"/>
      <c r="R829" s="511"/>
    </row>
    <row r="830" spans="1:18">
      <c r="A830" s="513" t="s">
        <v>20551</v>
      </c>
      <c r="B830" s="513">
        <v>-4320005596</v>
      </c>
      <c r="C830" s="513"/>
      <c r="E830"/>
      <c r="F830"/>
      <c r="H830"/>
      <c r="M830" s="27"/>
      <c r="N830" s="27"/>
      <c r="O830" s="27"/>
      <c r="P830" s="27"/>
      <c r="Q830" s="27"/>
      <c r="R830" s="511"/>
    </row>
    <row r="831" spans="1:18">
      <c r="A831" s="513" t="s">
        <v>20550</v>
      </c>
      <c r="B831" s="513">
        <v>200999977</v>
      </c>
      <c r="C831" s="513"/>
      <c r="E831"/>
      <c r="F831"/>
      <c r="H831"/>
      <c r="M831" s="27"/>
      <c r="N831" s="27"/>
      <c r="O831" s="27"/>
      <c r="P831" s="27"/>
      <c r="Q831" s="27"/>
      <c r="R831" s="511"/>
    </row>
    <row r="832" spans="1:18">
      <c r="A832" s="513" t="s">
        <v>20549</v>
      </c>
      <c r="B832" s="513">
        <v>200999977</v>
      </c>
      <c r="C832" s="513"/>
      <c r="E832"/>
      <c r="F832"/>
      <c r="H832"/>
      <c r="M832" s="27"/>
      <c r="N832" s="27"/>
      <c r="O832" s="27"/>
      <c r="P832" s="27"/>
      <c r="Q832" s="27"/>
      <c r="R832" s="511"/>
    </row>
    <row r="833" spans="1:18">
      <c r="A833" s="513" t="s">
        <v>20057</v>
      </c>
      <c r="B833" s="513">
        <v>200999977</v>
      </c>
      <c r="C833" s="513"/>
      <c r="E833"/>
      <c r="F833"/>
      <c r="H833"/>
      <c r="M833" s="27"/>
      <c r="N833" s="27"/>
      <c r="O833" s="27"/>
      <c r="P833" s="27"/>
      <c r="Q833" s="27"/>
      <c r="R833" s="511"/>
    </row>
    <row r="834" spans="1:18">
      <c r="A834" s="513" t="s">
        <v>20548</v>
      </c>
      <c r="B834" s="513">
        <v>-4521005573</v>
      </c>
      <c r="C834" s="513"/>
      <c r="E834"/>
      <c r="F834"/>
      <c r="H834"/>
      <c r="M834" s="27"/>
      <c r="N834" s="27"/>
      <c r="O834" s="27"/>
      <c r="P834" s="27"/>
      <c r="Q834" s="27"/>
      <c r="R834" s="511"/>
    </row>
    <row r="835" spans="1:18">
      <c r="A835" s="513" t="s">
        <v>20056</v>
      </c>
      <c r="B835" s="513">
        <v>-4521005573</v>
      </c>
      <c r="C835" s="513"/>
      <c r="E835"/>
      <c r="F835"/>
      <c r="H835"/>
      <c r="M835" s="27"/>
      <c r="N835" s="27"/>
      <c r="O835" s="27"/>
      <c r="P835" s="27"/>
      <c r="Q835" s="27"/>
      <c r="R835" s="511"/>
    </row>
    <row r="836" spans="1:18">
      <c r="A836" s="513" t="s">
        <v>20557</v>
      </c>
      <c r="B836" s="513">
        <v>309028490</v>
      </c>
      <c r="C836" s="513"/>
      <c r="E836"/>
      <c r="F836"/>
      <c r="H836"/>
      <c r="M836" s="27"/>
      <c r="N836" s="27"/>
      <c r="O836" s="27"/>
      <c r="P836" s="27"/>
      <c r="Q836" s="27"/>
      <c r="R836" s="511"/>
    </row>
    <row r="837" spans="1:18">
      <c r="A837" s="513" t="s">
        <v>20558</v>
      </c>
      <c r="B837" s="513">
        <v>309028490</v>
      </c>
      <c r="C837" s="513"/>
      <c r="E837"/>
      <c r="F837"/>
      <c r="H837"/>
      <c r="M837" s="27"/>
      <c r="N837" s="27"/>
      <c r="O837" s="27"/>
      <c r="P837" s="27"/>
      <c r="Q837" s="27"/>
      <c r="R837" s="511"/>
    </row>
    <row r="838" spans="1:18">
      <c r="A838" s="513" t="s">
        <v>20559</v>
      </c>
      <c r="B838" s="513">
        <v>252944705</v>
      </c>
      <c r="C838" s="513"/>
      <c r="E838"/>
      <c r="F838"/>
      <c r="H838"/>
      <c r="M838" s="27"/>
      <c r="N838" s="27"/>
      <c r="O838" s="27"/>
      <c r="P838" s="27"/>
      <c r="Q838" s="27"/>
      <c r="R838" s="511"/>
    </row>
    <row r="839" spans="1:18">
      <c r="A839" s="513" t="s">
        <v>20560</v>
      </c>
      <c r="B839" s="513">
        <v>561973195</v>
      </c>
      <c r="C839" s="513"/>
      <c r="E839"/>
      <c r="F839"/>
      <c r="H839"/>
      <c r="M839" s="27"/>
      <c r="N839" s="27"/>
      <c r="O839" s="27"/>
      <c r="P839" s="27"/>
      <c r="Q839" s="27"/>
      <c r="R839" s="511"/>
    </row>
    <row r="840" spans="1:18">
      <c r="A840" s="513" t="s">
        <v>20561</v>
      </c>
      <c r="B840" s="513">
        <v>1908518432</v>
      </c>
      <c r="C840" s="513"/>
      <c r="E840"/>
      <c r="F840"/>
      <c r="H840"/>
      <c r="M840" s="27"/>
      <c r="N840" s="27"/>
      <c r="O840" s="27"/>
      <c r="P840" s="27"/>
      <c r="Q840" s="27"/>
      <c r="R840" s="511"/>
    </row>
    <row r="841" spans="1:18">
      <c r="A841" s="513" t="s">
        <v>20562</v>
      </c>
      <c r="B841" s="513">
        <v>1908518432</v>
      </c>
      <c r="C841" s="513"/>
      <c r="E841"/>
      <c r="F841"/>
      <c r="H841"/>
      <c r="M841" s="27"/>
      <c r="N841" s="27"/>
      <c r="O841" s="27"/>
      <c r="P841" s="27"/>
      <c r="Q841" s="27"/>
      <c r="R841" s="511"/>
    </row>
    <row r="842" spans="1:18">
      <c r="A842" s="513" t="s">
        <v>20563</v>
      </c>
      <c r="B842" s="513">
        <v>2470491627</v>
      </c>
      <c r="C842" s="513"/>
      <c r="E842"/>
      <c r="F842"/>
      <c r="H842"/>
      <c r="M842" s="27"/>
      <c r="N842" s="27"/>
      <c r="O842" s="27"/>
      <c r="P842" s="27"/>
      <c r="Q842" s="27"/>
      <c r="R842" s="511"/>
    </row>
    <row r="843" spans="1:18">
      <c r="A843" s="513" t="s">
        <v>20552</v>
      </c>
      <c r="B843" s="513">
        <v>1204726286</v>
      </c>
      <c r="C843" s="513"/>
      <c r="E843"/>
      <c r="F843"/>
      <c r="H843"/>
      <c r="M843" s="27"/>
      <c r="N843" s="27"/>
      <c r="O843" s="27"/>
      <c r="P843" s="27"/>
      <c r="Q843" s="27"/>
      <c r="R843" s="511"/>
    </row>
    <row r="844" spans="1:18">
      <c r="A844" s="513" t="s">
        <v>20553</v>
      </c>
      <c r="B844" s="513">
        <v>1204726286</v>
      </c>
      <c r="C844" s="513"/>
      <c r="E844"/>
      <c r="F844"/>
      <c r="H844"/>
      <c r="M844" s="27"/>
      <c r="N844" s="27"/>
      <c r="O844" s="27"/>
      <c r="P844" s="27"/>
      <c r="Q844" s="27"/>
      <c r="R844" s="511"/>
    </row>
    <row r="845" spans="1:18">
      <c r="A845" s="513" t="s">
        <v>20554</v>
      </c>
      <c r="B845" s="513">
        <v>1265765341</v>
      </c>
      <c r="C845" s="513"/>
      <c r="E845"/>
      <c r="F845"/>
      <c r="H845"/>
      <c r="M845" s="27"/>
      <c r="N845" s="27"/>
      <c r="O845" s="27"/>
      <c r="P845" s="27"/>
      <c r="Q845" s="27"/>
      <c r="R845" s="511"/>
    </row>
    <row r="846" spans="1:18">
      <c r="A846" s="513" t="s">
        <v>20555</v>
      </c>
      <c r="B846" s="513">
        <v>2470491627</v>
      </c>
      <c r="C846" s="513"/>
      <c r="E846"/>
      <c r="F846"/>
      <c r="H846"/>
      <c r="M846" s="27"/>
      <c r="N846" s="27"/>
      <c r="O846" s="27"/>
      <c r="P846" s="27"/>
      <c r="Q846" s="27"/>
      <c r="R846" s="511"/>
    </row>
    <row r="847" spans="1:18">
      <c r="A847" s="513" t="s">
        <v>20556</v>
      </c>
      <c r="B847" s="513">
        <v>69136085</v>
      </c>
      <c r="C847" s="513"/>
      <c r="E847"/>
      <c r="F847"/>
      <c r="H847"/>
      <c r="M847" s="27"/>
      <c r="N847" s="27"/>
      <c r="O847" s="27"/>
      <c r="P847" s="27"/>
      <c r="Q847" s="27"/>
      <c r="R847" s="511"/>
    </row>
    <row r="848" spans="1:18">
      <c r="A848" s="513" t="s">
        <v>20567</v>
      </c>
      <c r="B848" s="513">
        <v>200999977</v>
      </c>
      <c r="C848" s="513"/>
      <c r="E848"/>
      <c r="F848"/>
      <c r="H848"/>
      <c r="M848" s="27"/>
      <c r="N848" s="27"/>
      <c r="O848" s="27"/>
      <c r="P848" s="27"/>
      <c r="Q848" s="27"/>
      <c r="R848" s="511"/>
    </row>
    <row r="849" spans="1:18">
      <c r="A849" s="513" t="s">
        <v>20566</v>
      </c>
      <c r="B849" s="513">
        <v>200999977</v>
      </c>
      <c r="C849" s="513"/>
      <c r="E849"/>
      <c r="F849"/>
      <c r="H849"/>
      <c r="M849" s="27"/>
      <c r="N849" s="27"/>
      <c r="O849" s="27"/>
      <c r="P849" s="27"/>
      <c r="Q849" s="27"/>
      <c r="R849" s="511"/>
    </row>
    <row r="850" spans="1:18">
      <c r="A850" s="513" t="s">
        <v>20565</v>
      </c>
      <c r="B850" s="513">
        <v>156473883</v>
      </c>
      <c r="C850" s="513"/>
      <c r="E850"/>
      <c r="F850"/>
      <c r="H850"/>
      <c r="M850" s="27"/>
      <c r="N850" s="27"/>
      <c r="O850" s="27"/>
      <c r="P850" s="27"/>
      <c r="Q850" s="27"/>
      <c r="R850" s="511"/>
    </row>
    <row r="851" spans="1:18">
      <c r="A851" s="513" t="s">
        <v>20564</v>
      </c>
      <c r="B851" s="513">
        <v>186577855</v>
      </c>
      <c r="C851" s="513"/>
      <c r="E851"/>
      <c r="F851"/>
      <c r="H851"/>
      <c r="M851" s="27"/>
      <c r="N851" s="27"/>
      <c r="O851" s="27"/>
      <c r="P851" s="27"/>
      <c r="Q851" s="27"/>
      <c r="R851" s="511"/>
    </row>
    <row r="852" spans="1:18">
      <c r="A852" s="513" t="s">
        <v>20756</v>
      </c>
      <c r="B852" s="513">
        <v>956848970</v>
      </c>
      <c r="C852" s="513"/>
      <c r="E852"/>
      <c r="F852"/>
      <c r="H852"/>
      <c r="M852" s="27"/>
      <c r="N852" s="27"/>
      <c r="O852" s="27"/>
      <c r="P852" s="27"/>
      <c r="Q852" s="27"/>
      <c r="R852" s="511"/>
    </row>
    <row r="853" spans="1:18">
      <c r="A853" s="513" t="s">
        <v>19961</v>
      </c>
      <c r="B853" s="513">
        <v>200999977</v>
      </c>
      <c r="C853" s="513"/>
      <c r="E853"/>
      <c r="F853"/>
      <c r="H853"/>
      <c r="M853" s="27"/>
      <c r="N853" s="27"/>
      <c r="O853" s="27"/>
      <c r="P853" s="27"/>
      <c r="Q853" s="27"/>
      <c r="R853" s="511"/>
    </row>
    <row r="854" spans="1:18">
      <c r="A854" s="513" t="s">
        <v>20568</v>
      </c>
      <c r="B854" s="513">
        <v>200999977</v>
      </c>
      <c r="C854" s="513"/>
      <c r="E854"/>
      <c r="F854"/>
      <c r="H854"/>
      <c r="M854" s="27"/>
      <c r="N854" s="27"/>
      <c r="O854" s="27"/>
      <c r="P854" s="27"/>
      <c r="Q854" s="27"/>
      <c r="R854" s="511"/>
    </row>
    <row r="855" spans="1:18">
      <c r="A855" s="513" t="s">
        <v>20569</v>
      </c>
      <c r="B855" s="513">
        <v>200999977</v>
      </c>
      <c r="C855" s="513"/>
      <c r="E855"/>
      <c r="F855"/>
      <c r="H855"/>
      <c r="M855" s="27"/>
      <c r="N855" s="27"/>
      <c r="O855" s="27"/>
      <c r="P855" s="27"/>
      <c r="Q855" s="27"/>
      <c r="R855" s="511"/>
    </row>
    <row r="856" spans="1:18">
      <c r="A856" s="513" t="s">
        <v>19594</v>
      </c>
      <c r="B856" s="513">
        <v>81932822</v>
      </c>
      <c r="C856" s="513"/>
      <c r="E856"/>
      <c r="F856"/>
      <c r="H856"/>
      <c r="M856" s="27"/>
      <c r="N856" s="27"/>
      <c r="O856" s="27"/>
      <c r="P856" s="27"/>
      <c r="Q856" s="27"/>
      <c r="R856" s="511"/>
    </row>
    <row r="857" spans="1:18">
      <c r="A857" s="513" t="s">
        <v>20227</v>
      </c>
      <c r="B857" s="513">
        <v>-193733</v>
      </c>
      <c r="C857" s="513"/>
      <c r="E857"/>
      <c r="F857"/>
      <c r="H857"/>
      <c r="M857" s="27"/>
      <c r="N857" s="27"/>
      <c r="O857" s="27"/>
      <c r="P857" s="27"/>
      <c r="Q857" s="27"/>
      <c r="R857" s="511"/>
    </row>
    <row r="858" spans="1:18">
      <c r="A858" s="513" t="s">
        <v>19596</v>
      </c>
      <c r="B858" s="513">
        <v>27241021</v>
      </c>
      <c r="C858" s="513"/>
      <c r="E858"/>
      <c r="F858"/>
      <c r="H858"/>
      <c r="M858" s="27"/>
      <c r="N858" s="27"/>
      <c r="O858" s="27"/>
      <c r="P858" s="27"/>
      <c r="Q858" s="27"/>
      <c r="R858" s="511"/>
    </row>
    <row r="859" spans="1:18">
      <c r="A859" s="513" t="s">
        <v>20059</v>
      </c>
      <c r="B859" s="513">
        <v>14971709</v>
      </c>
      <c r="C859" s="513"/>
      <c r="E859"/>
      <c r="F859"/>
      <c r="H859"/>
      <c r="M859" s="27"/>
      <c r="N859" s="27"/>
      <c r="O859" s="27"/>
      <c r="P859" s="27"/>
      <c r="Q859" s="27"/>
      <c r="R859" s="511"/>
    </row>
    <row r="860" spans="1:18">
      <c r="A860" s="513" t="s">
        <v>20060</v>
      </c>
      <c r="B860" s="513">
        <v>75839705</v>
      </c>
      <c r="C860" s="513"/>
      <c r="E860"/>
      <c r="F860"/>
      <c r="H860"/>
      <c r="M860" s="27"/>
      <c r="N860" s="27"/>
      <c r="O860" s="27"/>
      <c r="P860" s="27"/>
      <c r="Q860" s="27"/>
      <c r="R860" s="511"/>
    </row>
    <row r="861" spans="1:18">
      <c r="A861" s="513" t="s">
        <v>20064</v>
      </c>
      <c r="B861" s="513">
        <v>252944705</v>
      </c>
      <c r="C861" s="513"/>
      <c r="E861"/>
      <c r="F861"/>
      <c r="H861"/>
      <c r="M861" s="27"/>
      <c r="N861" s="27"/>
      <c r="O861" s="27"/>
      <c r="P861" s="27"/>
      <c r="Q861" s="27"/>
      <c r="R861" s="511"/>
    </row>
    <row r="862" spans="1:18">
      <c r="A862" s="513" t="s">
        <v>20063</v>
      </c>
      <c r="B862" s="513">
        <v>53666641</v>
      </c>
      <c r="C862" s="513"/>
      <c r="E862"/>
      <c r="F862"/>
      <c r="H862"/>
      <c r="M862" s="27"/>
      <c r="N862" s="27"/>
      <c r="O862" s="27"/>
      <c r="P862" s="27"/>
      <c r="Q862" s="27"/>
      <c r="R862" s="511"/>
    </row>
    <row r="863" spans="1:18">
      <c r="A863" s="513" t="s">
        <v>20062</v>
      </c>
      <c r="B863" s="513">
        <v>74819425</v>
      </c>
      <c r="C863" s="513"/>
      <c r="E863"/>
      <c r="F863"/>
      <c r="H863"/>
      <c r="M863" s="27"/>
      <c r="N863" s="27"/>
      <c r="O863" s="27"/>
      <c r="P863" s="27"/>
      <c r="Q863" s="27"/>
      <c r="R863" s="511"/>
    </row>
    <row r="864" spans="1:18">
      <c r="A864" s="513" t="s">
        <v>20061</v>
      </c>
      <c r="B864" s="513">
        <v>360476600</v>
      </c>
      <c r="C864" s="513"/>
      <c r="E864"/>
      <c r="F864"/>
      <c r="H864"/>
      <c r="M864" s="27"/>
      <c r="N864" s="27"/>
      <c r="O864" s="27"/>
      <c r="P864" s="27"/>
      <c r="Q864" s="27"/>
      <c r="R864" s="511"/>
    </row>
    <row r="865" spans="1:18">
      <c r="A865" s="513" t="s">
        <v>19595</v>
      </c>
      <c r="B865" s="513">
        <v>365496229</v>
      </c>
      <c r="C865" s="513"/>
      <c r="E865"/>
      <c r="F865"/>
      <c r="H865"/>
      <c r="M865" s="27"/>
      <c r="N865" s="27"/>
      <c r="O865" s="27"/>
      <c r="P865" s="27"/>
      <c r="Q865" s="27"/>
      <c r="R865" s="511"/>
    </row>
    <row r="866" spans="1:18">
      <c r="A866" s="513" t="s">
        <v>20067</v>
      </c>
      <c r="B866" s="513">
        <v>365496229</v>
      </c>
      <c r="C866" s="513"/>
      <c r="E866"/>
      <c r="F866"/>
      <c r="H866"/>
      <c r="M866" s="27"/>
      <c r="N866" s="27"/>
      <c r="O866" s="27"/>
      <c r="P866" s="27"/>
      <c r="Q866" s="27"/>
      <c r="R866" s="511"/>
    </row>
    <row r="867" spans="1:18">
      <c r="A867" s="513" t="s">
        <v>20066</v>
      </c>
      <c r="B867" s="513">
        <v>10284573</v>
      </c>
      <c r="C867" s="513"/>
      <c r="E867"/>
      <c r="F867"/>
      <c r="H867"/>
      <c r="M867" s="27"/>
      <c r="N867" s="27"/>
      <c r="O867" s="27"/>
      <c r="P867" s="27"/>
      <c r="Q867" s="27"/>
      <c r="R867" s="511"/>
    </row>
    <row r="868" spans="1:18">
      <c r="A868" s="513" t="s">
        <v>20242</v>
      </c>
      <c r="B868" s="513">
        <v>-15304202</v>
      </c>
      <c r="C868" s="513"/>
      <c r="E868"/>
      <c r="F868"/>
      <c r="H868"/>
      <c r="M868" s="27"/>
      <c r="N868" s="27"/>
      <c r="O868" s="27"/>
      <c r="P868" s="27"/>
      <c r="Q868" s="27"/>
      <c r="R868" s="511"/>
    </row>
    <row r="869" spans="1:18">
      <c r="A869" s="513" t="s">
        <v>20570</v>
      </c>
      <c r="B869" s="513">
        <v>360476600</v>
      </c>
      <c r="C869" s="513"/>
      <c r="E869"/>
      <c r="F869"/>
      <c r="H869"/>
      <c r="M869" s="27"/>
      <c r="N869" s="27"/>
      <c r="O869" s="27"/>
      <c r="P869" s="27"/>
      <c r="Q869" s="27"/>
      <c r="R869" s="511"/>
    </row>
    <row r="870" spans="1:18">
      <c r="A870" s="513" t="s">
        <v>20065</v>
      </c>
      <c r="B870" s="513">
        <v>75839705</v>
      </c>
      <c r="C870" s="513"/>
      <c r="E870"/>
      <c r="F870"/>
      <c r="H870"/>
      <c r="M870" s="27"/>
      <c r="N870" s="27"/>
      <c r="O870" s="27"/>
      <c r="P870" s="27"/>
      <c r="Q870" s="27"/>
      <c r="R870" s="511"/>
    </row>
    <row r="871" spans="1:18">
      <c r="A871" s="513" t="s">
        <v>20231</v>
      </c>
      <c r="B871" s="513">
        <v>-1020280</v>
      </c>
      <c r="C871" s="513"/>
      <c r="E871"/>
      <c r="F871"/>
      <c r="H871"/>
      <c r="M871" s="27"/>
      <c r="N871" s="27"/>
      <c r="O871" s="27"/>
      <c r="P871" s="27"/>
      <c r="Q871" s="27"/>
      <c r="R871" s="511"/>
    </row>
    <row r="872" spans="1:18">
      <c r="A872" s="513" t="s">
        <v>20571</v>
      </c>
      <c r="B872" s="513">
        <v>74819425</v>
      </c>
      <c r="C872" s="513"/>
      <c r="E872"/>
      <c r="F872"/>
      <c r="H872"/>
      <c r="M872" s="27"/>
      <c r="N872" s="27"/>
      <c r="O872" s="27"/>
      <c r="P872" s="27"/>
      <c r="Q872" s="27"/>
      <c r="R872" s="511"/>
    </row>
    <row r="873" spans="1:18">
      <c r="A873" s="513" t="s">
        <v>20572</v>
      </c>
      <c r="B873" s="513">
        <v>285657175</v>
      </c>
      <c r="C873" s="513"/>
      <c r="E873"/>
      <c r="F873"/>
      <c r="H873"/>
      <c r="M873" s="27"/>
      <c r="N873" s="27"/>
      <c r="O873" s="27"/>
      <c r="P873" s="27"/>
      <c r="Q873" s="27"/>
      <c r="R873" s="511"/>
    </row>
    <row r="874" spans="1:18">
      <c r="A874" s="513" t="s">
        <v>20461</v>
      </c>
      <c r="B874" s="513">
        <v>410298220</v>
      </c>
      <c r="C874" s="513"/>
      <c r="E874"/>
      <c r="F874"/>
      <c r="H874"/>
      <c r="M874" s="27"/>
      <c r="N874" s="27"/>
      <c r="O874" s="27"/>
      <c r="P874" s="27"/>
      <c r="Q874" s="27"/>
      <c r="R874" s="511"/>
    </row>
    <row r="875" spans="1:18">
      <c r="A875" s="513" t="s">
        <v>1597</v>
      </c>
      <c r="B875" s="513">
        <v>200999977</v>
      </c>
      <c r="C875" s="513"/>
      <c r="E875"/>
      <c r="F875"/>
      <c r="H875"/>
      <c r="M875" s="27"/>
      <c r="N875" s="27"/>
      <c r="O875" s="27"/>
      <c r="P875" s="27"/>
      <c r="Q875" s="27"/>
      <c r="R875" s="511"/>
    </row>
    <row r="876" spans="1:18">
      <c r="A876" s="513" t="s">
        <v>19975</v>
      </c>
      <c r="B876" s="513">
        <v>-44526094</v>
      </c>
      <c r="C876" s="513"/>
      <c r="E876"/>
      <c r="F876"/>
      <c r="H876"/>
      <c r="M876" s="27"/>
      <c r="N876" s="27"/>
      <c r="O876" s="27"/>
      <c r="P876" s="27"/>
      <c r="Q876" s="27"/>
      <c r="R876" s="511"/>
    </row>
    <row r="877" spans="1:18">
      <c r="A877" s="513" t="s">
        <v>19970</v>
      </c>
      <c r="B877" s="513">
        <v>410298220</v>
      </c>
      <c r="C877" s="513"/>
      <c r="E877"/>
      <c r="F877"/>
      <c r="H877"/>
      <c r="M877" s="27"/>
      <c r="N877" s="27"/>
      <c r="O877" s="27"/>
      <c r="P877" s="27"/>
      <c r="Q877" s="27"/>
      <c r="R877" s="511"/>
    </row>
    <row r="878" spans="1:18">
      <c r="A878" s="513" t="s">
        <v>19981</v>
      </c>
      <c r="B878" s="513">
        <v>-96530867</v>
      </c>
      <c r="C878" s="513"/>
      <c r="E878"/>
      <c r="F878"/>
      <c r="H878"/>
      <c r="M878" s="27"/>
      <c r="N878" s="27"/>
      <c r="O878" s="27"/>
      <c r="P878" s="27"/>
      <c r="Q878" s="27"/>
      <c r="R878" s="511"/>
    </row>
    <row r="879" spans="1:18">
      <c r="A879" s="513" t="s">
        <v>19993</v>
      </c>
      <c r="B879" s="513">
        <v>258622</v>
      </c>
      <c r="C879" s="513"/>
      <c r="E879"/>
      <c r="F879"/>
      <c r="H879"/>
      <c r="M879" s="27"/>
      <c r="N879" s="27"/>
      <c r="O879" s="27"/>
      <c r="P879" s="27"/>
      <c r="Q879" s="27"/>
      <c r="R879" s="511"/>
    </row>
    <row r="880" spans="1:18">
      <c r="A880" s="513" t="s">
        <v>20002</v>
      </c>
      <c r="B880" s="513">
        <v>76047955</v>
      </c>
      <c r="C880" s="513"/>
      <c r="E880"/>
      <c r="F880"/>
      <c r="H880"/>
      <c r="M880" s="27"/>
      <c r="N880" s="27"/>
      <c r="O880" s="27"/>
      <c r="P880" s="27"/>
      <c r="Q880" s="27"/>
      <c r="R880" s="511"/>
    </row>
    <row r="881" spans="1:18">
      <c r="A881" s="513" t="s">
        <v>19972</v>
      </c>
      <c r="B881" s="513">
        <v>109931512</v>
      </c>
      <c r="C881" s="513"/>
      <c r="E881"/>
      <c r="F881"/>
      <c r="H881"/>
      <c r="M881" s="27"/>
      <c r="N881" s="27"/>
      <c r="O881" s="27"/>
      <c r="P881" s="27"/>
      <c r="Q881" s="27"/>
      <c r="R881" s="511"/>
    </row>
    <row r="882" spans="1:18">
      <c r="A882" s="513" t="s">
        <v>19966</v>
      </c>
      <c r="B882" s="513">
        <v>-427473320</v>
      </c>
      <c r="C882" s="513"/>
      <c r="E882"/>
      <c r="F882"/>
      <c r="H882"/>
      <c r="M882" s="27"/>
      <c r="N882" s="27"/>
      <c r="O882" s="27"/>
      <c r="P882" s="27"/>
      <c r="Q882" s="27"/>
      <c r="R882" s="511"/>
    </row>
    <row r="883" spans="1:18">
      <c r="A883" s="513" t="s">
        <v>19967</v>
      </c>
      <c r="B883" s="513">
        <v>-28499887</v>
      </c>
      <c r="C883" s="513"/>
      <c r="E883"/>
      <c r="F883"/>
      <c r="H883"/>
      <c r="M883" s="27"/>
      <c r="N883" s="27"/>
      <c r="O883" s="27"/>
      <c r="P883" s="27"/>
      <c r="Q883" s="27"/>
      <c r="R883" s="511"/>
    </row>
    <row r="884" spans="1:18">
      <c r="A884" s="513" t="s">
        <v>19971</v>
      </c>
      <c r="B884" s="513">
        <v>-74523934</v>
      </c>
      <c r="C884" s="513"/>
      <c r="E884"/>
      <c r="F884"/>
      <c r="H884"/>
      <c r="M884" s="27"/>
      <c r="N884" s="27"/>
      <c r="O884" s="27"/>
      <c r="P884" s="27"/>
      <c r="Q884" s="27"/>
      <c r="R884" s="511"/>
    </row>
    <row r="885" spans="1:18">
      <c r="A885" s="513" t="s">
        <v>19999</v>
      </c>
      <c r="B885" s="513">
        <v>-1983000</v>
      </c>
      <c r="C885" s="513"/>
      <c r="E885"/>
      <c r="F885"/>
      <c r="H885"/>
      <c r="M885" s="27"/>
      <c r="N885" s="27"/>
      <c r="O885" s="27"/>
      <c r="P885" s="27"/>
      <c r="Q885" s="27"/>
      <c r="R885" s="511"/>
    </row>
    <row r="886" spans="1:18">
      <c r="A886" s="513" t="s">
        <v>19978</v>
      </c>
      <c r="B886" s="513">
        <v>227303221</v>
      </c>
      <c r="C886" s="513"/>
      <c r="E886"/>
      <c r="F886"/>
      <c r="H886"/>
      <c r="M886" s="27"/>
      <c r="N886" s="27"/>
      <c r="O886" s="27"/>
      <c r="P886" s="27"/>
      <c r="Q886" s="27"/>
      <c r="R886" s="511"/>
    </row>
    <row r="887" spans="1:18">
      <c r="A887" s="513" t="s">
        <v>20020</v>
      </c>
      <c r="B887" s="513">
        <v>82126555</v>
      </c>
      <c r="C887" s="513"/>
      <c r="E887"/>
      <c r="F887"/>
      <c r="H887"/>
      <c r="M887" s="27"/>
      <c r="N887" s="27"/>
      <c r="O887" s="27"/>
      <c r="P887" s="27"/>
      <c r="Q887" s="27"/>
      <c r="R887" s="511"/>
    </row>
    <row r="888" spans="1:18">
      <c r="A888" s="513" t="s">
        <v>19997</v>
      </c>
      <c r="B888" s="513">
        <v>-27241021</v>
      </c>
      <c r="C888" s="513"/>
      <c r="E888"/>
      <c r="F888"/>
      <c r="H888"/>
      <c r="M888" s="27"/>
      <c r="N888" s="27"/>
      <c r="O888" s="27"/>
      <c r="P888" s="27"/>
      <c r="Q888" s="27"/>
      <c r="R888" s="511"/>
    </row>
    <row r="889" spans="1:18">
      <c r="A889" s="513" t="s">
        <v>1599</v>
      </c>
      <c r="B889" s="513">
        <v>311106595</v>
      </c>
      <c r="C889" s="513"/>
      <c r="E889"/>
      <c r="F889"/>
      <c r="H889"/>
      <c r="M889" s="27"/>
      <c r="N889" s="27"/>
      <c r="O889" s="27"/>
      <c r="P889" s="27"/>
      <c r="Q889" s="27"/>
      <c r="R889" s="511"/>
    </row>
    <row r="890" spans="1:18">
      <c r="A890" s="513" t="s">
        <v>19930</v>
      </c>
      <c r="B890" s="513">
        <v>200999977</v>
      </c>
      <c r="C890" s="513"/>
      <c r="E890"/>
      <c r="F890"/>
      <c r="H890"/>
      <c r="M890" s="27"/>
      <c r="N890" s="27"/>
      <c r="O890" s="27"/>
      <c r="P890" s="27"/>
      <c r="Q890" s="27"/>
      <c r="R890" s="511"/>
    </row>
    <row r="891" spans="1:18">
      <c r="A891" s="513" t="s">
        <v>19944</v>
      </c>
      <c r="B891" s="513">
        <v>-44526094</v>
      </c>
      <c r="C891" s="513"/>
      <c r="E891"/>
      <c r="F891"/>
      <c r="H891"/>
      <c r="M891" s="27"/>
      <c r="N891" s="27"/>
      <c r="O891" s="27"/>
      <c r="P891" s="27"/>
      <c r="Q891" s="27"/>
      <c r="R891" s="511"/>
    </row>
    <row r="892" spans="1:18">
      <c r="A892" s="513" t="s">
        <v>19942</v>
      </c>
      <c r="B892" s="513">
        <v>109931512</v>
      </c>
      <c r="C892" s="513"/>
      <c r="E892"/>
      <c r="F892"/>
      <c r="H892"/>
      <c r="M892" s="27"/>
      <c r="N892" s="27"/>
      <c r="O892" s="27"/>
      <c r="P892" s="27"/>
      <c r="Q892" s="27"/>
      <c r="R892" s="511"/>
    </row>
    <row r="893" spans="1:18">
      <c r="A893" s="513" t="s">
        <v>19937</v>
      </c>
      <c r="B893" s="513">
        <v>-427473320</v>
      </c>
      <c r="C893" s="513"/>
      <c r="E893"/>
      <c r="F893"/>
      <c r="H893"/>
      <c r="M893" s="27"/>
      <c r="N893" s="27"/>
      <c r="O893" s="27"/>
      <c r="P893" s="27"/>
      <c r="Q893" s="27"/>
      <c r="R893" s="511"/>
    </row>
    <row r="894" spans="1:18">
      <c r="A894" s="513" t="s">
        <v>19935</v>
      </c>
      <c r="B894" s="513">
        <v>-28499887</v>
      </c>
      <c r="C894" s="513"/>
      <c r="E894"/>
      <c r="F894"/>
      <c r="H894"/>
      <c r="M894" s="27"/>
      <c r="N894" s="27"/>
      <c r="O894" s="27"/>
      <c r="P894" s="27"/>
      <c r="Q894" s="27"/>
      <c r="R894" s="511"/>
    </row>
    <row r="895" spans="1:18">
      <c r="A895" s="513" t="s">
        <v>19939</v>
      </c>
      <c r="B895" s="513">
        <v>-74523934</v>
      </c>
      <c r="C895" s="513"/>
      <c r="E895"/>
      <c r="F895"/>
      <c r="H895"/>
      <c r="M895" s="27"/>
      <c r="N895" s="27"/>
      <c r="O895" s="27"/>
      <c r="P895" s="27"/>
      <c r="Q895" s="27"/>
      <c r="R895" s="511"/>
    </row>
    <row r="896" spans="1:18">
      <c r="A896" s="513" t="s">
        <v>19941</v>
      </c>
      <c r="B896" s="513">
        <v>410298220</v>
      </c>
      <c r="C896" s="513"/>
      <c r="E896"/>
      <c r="F896"/>
      <c r="H896"/>
      <c r="M896" s="27"/>
      <c r="N896" s="27"/>
      <c r="O896" s="27"/>
      <c r="P896" s="27"/>
      <c r="Q896" s="27"/>
      <c r="R896" s="511"/>
    </row>
    <row r="897" spans="1:18">
      <c r="A897" s="513" t="s">
        <v>20019</v>
      </c>
      <c r="B897" s="513">
        <v>75839705</v>
      </c>
      <c r="C897" s="513"/>
      <c r="E897"/>
      <c r="F897"/>
      <c r="H897"/>
      <c r="M897" s="27"/>
      <c r="N897" s="27"/>
      <c r="O897" s="27"/>
      <c r="P897" s="27"/>
      <c r="Q897" s="27"/>
      <c r="R897" s="511"/>
    </row>
    <row r="898" spans="1:18">
      <c r="A898" s="513" t="s">
        <v>19945</v>
      </c>
      <c r="B898" s="513">
        <v>-96530867</v>
      </c>
      <c r="C898" s="513"/>
      <c r="E898"/>
      <c r="F898"/>
      <c r="H898"/>
      <c r="M898" s="27"/>
      <c r="N898" s="27"/>
      <c r="O898" s="27"/>
      <c r="P898" s="27"/>
      <c r="Q898" s="27"/>
      <c r="R898" s="511"/>
    </row>
    <row r="899" spans="1:18">
      <c r="A899" s="513" t="s">
        <v>19959</v>
      </c>
      <c r="B899" s="513">
        <v>258622</v>
      </c>
      <c r="C899" s="513"/>
      <c r="E899"/>
      <c r="F899"/>
      <c r="H899"/>
      <c r="M899" s="27"/>
      <c r="N899" s="27"/>
      <c r="O899" s="27"/>
      <c r="P899" s="27"/>
      <c r="Q899" s="27"/>
      <c r="R899" s="511"/>
    </row>
    <row r="900" spans="1:18">
      <c r="A900" s="513" t="s">
        <v>20223</v>
      </c>
      <c r="B900" s="513">
        <v>208250</v>
      </c>
      <c r="C900" s="513"/>
      <c r="E900"/>
      <c r="F900"/>
      <c r="H900"/>
      <c r="M900" s="27"/>
      <c r="N900" s="27"/>
      <c r="O900" s="27"/>
      <c r="P900" s="27"/>
      <c r="Q900" s="27"/>
      <c r="R900" s="511"/>
    </row>
    <row r="901" spans="1:18">
      <c r="A901" s="513" t="s">
        <v>19951</v>
      </c>
      <c r="B901" s="513">
        <v>-1983000</v>
      </c>
      <c r="C901" s="513"/>
      <c r="E901"/>
      <c r="F901"/>
      <c r="H901"/>
      <c r="M901" s="27"/>
      <c r="N901" s="27"/>
      <c r="O901" s="27"/>
      <c r="P901" s="27"/>
      <c r="Q901" s="27"/>
      <c r="R901" s="511"/>
    </row>
    <row r="902" spans="1:18">
      <c r="A902" s="513" t="s">
        <v>19947</v>
      </c>
      <c r="B902" s="513">
        <v>227303221</v>
      </c>
      <c r="C902" s="513"/>
      <c r="E902"/>
      <c r="F902"/>
      <c r="H902"/>
      <c r="M902" s="27"/>
      <c r="N902" s="27"/>
      <c r="O902" s="27"/>
      <c r="P902" s="27"/>
      <c r="Q902" s="27"/>
      <c r="R902" s="511"/>
    </row>
    <row r="903" spans="1:18">
      <c r="A903" s="513" t="s">
        <v>20421</v>
      </c>
      <c r="B903" s="513">
        <v>82126555</v>
      </c>
      <c r="C903" s="513"/>
      <c r="E903"/>
      <c r="F903"/>
      <c r="H903"/>
      <c r="M903" s="27"/>
      <c r="N903" s="27"/>
      <c r="O903" s="27"/>
      <c r="P903" s="27"/>
      <c r="Q903" s="27"/>
      <c r="R903" s="511"/>
    </row>
    <row r="904" spans="1:18">
      <c r="A904" s="513" t="s">
        <v>20058</v>
      </c>
      <c r="B904" s="513">
        <v>-27241021</v>
      </c>
      <c r="C904" s="513"/>
      <c r="E904"/>
      <c r="F904"/>
      <c r="H904"/>
      <c r="M904" s="27"/>
      <c r="N904" s="27"/>
      <c r="O904" s="27"/>
      <c r="P904" s="27"/>
      <c r="Q904" s="27"/>
      <c r="R904" s="511"/>
    </row>
    <row r="905" spans="1:18">
      <c r="A905" s="513" t="s">
        <v>1593</v>
      </c>
      <c r="B905" s="513">
        <v>311106595</v>
      </c>
      <c r="C905" s="513"/>
      <c r="E905"/>
      <c r="F905"/>
      <c r="H905"/>
      <c r="M905" s="27"/>
      <c r="N905" s="27"/>
      <c r="O905" s="27"/>
      <c r="P905" s="27"/>
      <c r="Q905" s="27"/>
      <c r="R905" s="511"/>
    </row>
    <row r="906" spans="1:18">
      <c r="A906" s="513" t="s">
        <v>20151</v>
      </c>
      <c r="B906" s="513">
        <v>406336609</v>
      </c>
      <c r="C906" s="513"/>
      <c r="E906"/>
      <c r="F906"/>
      <c r="H906"/>
      <c r="M906" s="27"/>
      <c r="N906" s="27"/>
      <c r="O906" s="27"/>
      <c r="P906" s="27"/>
      <c r="Q906" s="27"/>
      <c r="R906" s="511"/>
    </row>
    <row r="907" spans="1:18">
      <c r="A907" s="513" t="s">
        <v>20150</v>
      </c>
      <c r="B907" s="513">
        <v>406336609</v>
      </c>
      <c r="C907" s="513"/>
      <c r="E907"/>
      <c r="F907"/>
      <c r="H907"/>
      <c r="M907" s="27"/>
      <c r="N907" s="27"/>
      <c r="O907" s="27"/>
      <c r="P907" s="27"/>
      <c r="Q907" s="27"/>
      <c r="R907" s="511"/>
    </row>
    <row r="908" spans="1:18">
      <c r="A908" s="513" t="s">
        <v>20142</v>
      </c>
      <c r="B908" s="513">
        <v>406336609</v>
      </c>
      <c r="C908" s="513"/>
      <c r="E908"/>
      <c r="F908"/>
      <c r="H908"/>
      <c r="M908" s="27"/>
      <c r="N908" s="27"/>
      <c r="O908" s="27"/>
      <c r="P908" s="27"/>
      <c r="Q908" s="27"/>
      <c r="R908" s="511"/>
    </row>
    <row r="909" spans="1:18">
      <c r="A909" s="513" t="s">
        <v>20143</v>
      </c>
      <c r="B909" s="513">
        <v>406336609</v>
      </c>
      <c r="C909" s="513"/>
      <c r="E909"/>
      <c r="F909"/>
      <c r="H909"/>
      <c r="M909" s="27"/>
      <c r="N909" s="27"/>
      <c r="O909" s="27"/>
      <c r="P909" s="27"/>
      <c r="Q909" s="27"/>
      <c r="R909" s="511"/>
    </row>
    <row r="910" spans="1:18">
      <c r="A910" s="513" t="s">
        <v>20147</v>
      </c>
      <c r="B910" s="513">
        <v>406336609</v>
      </c>
      <c r="C910" s="513"/>
      <c r="E910"/>
      <c r="F910"/>
      <c r="H910"/>
      <c r="M910" s="27"/>
      <c r="N910" s="27"/>
      <c r="O910" s="27"/>
      <c r="P910" s="27"/>
      <c r="Q910" s="27"/>
      <c r="R910" s="511"/>
    </row>
    <row r="911" spans="1:18">
      <c r="A911" s="513" t="s">
        <v>20153</v>
      </c>
      <c r="B911" s="513">
        <v>406336609</v>
      </c>
      <c r="C911" s="513"/>
      <c r="E911"/>
      <c r="F911"/>
      <c r="H911"/>
      <c r="M911" s="27"/>
      <c r="N911" s="27"/>
      <c r="O911" s="27"/>
      <c r="P911" s="27"/>
      <c r="Q911" s="27"/>
      <c r="R911" s="511"/>
    </row>
    <row r="912" spans="1:18">
      <c r="A912" s="513" t="s">
        <v>20126</v>
      </c>
      <c r="B912" s="513">
        <v>59846843</v>
      </c>
      <c r="C912" s="513"/>
      <c r="E912"/>
      <c r="F912"/>
      <c r="H912"/>
      <c r="M912" s="27"/>
      <c r="N912" s="27"/>
      <c r="O912" s="27"/>
      <c r="P912" s="27"/>
      <c r="Q912" s="27"/>
      <c r="R912" s="511"/>
    </row>
    <row r="913" spans="1:18">
      <c r="A913" s="513" t="s">
        <v>20155</v>
      </c>
      <c r="B913" s="513">
        <v>406336609</v>
      </c>
      <c r="C913" s="513"/>
      <c r="E913"/>
      <c r="F913"/>
      <c r="H913"/>
      <c r="M913" s="27"/>
      <c r="N913" s="27"/>
      <c r="O913" s="27"/>
      <c r="P913" s="27"/>
      <c r="Q913" s="27"/>
      <c r="R913" s="511"/>
    </row>
    <row r="914" spans="1:18">
      <c r="A914" s="513" t="s">
        <v>20198</v>
      </c>
      <c r="B914" s="513">
        <v>-59846843</v>
      </c>
      <c r="C914" s="513"/>
      <c r="E914"/>
      <c r="F914"/>
      <c r="H914"/>
      <c r="M914" s="27"/>
      <c r="N914" s="27"/>
      <c r="O914" s="27"/>
      <c r="P914" s="27"/>
      <c r="Q914" s="27"/>
      <c r="R914" s="511"/>
    </row>
    <row r="915" spans="1:18">
      <c r="A915" s="513" t="s">
        <v>20146</v>
      </c>
      <c r="B915" s="513">
        <v>406336609</v>
      </c>
      <c r="C915" s="513"/>
      <c r="E915"/>
      <c r="F915"/>
      <c r="H915"/>
      <c r="M915" s="27"/>
      <c r="N915" s="27"/>
      <c r="O915" s="27"/>
      <c r="P915" s="27"/>
      <c r="Q915" s="27"/>
      <c r="R915" s="511"/>
    </row>
    <row r="916" spans="1:18">
      <c r="A916" s="513" t="s">
        <v>20086</v>
      </c>
      <c r="B916" s="513">
        <v>47197137</v>
      </c>
      <c r="C916" s="513"/>
      <c r="E916"/>
      <c r="F916"/>
      <c r="H916"/>
      <c r="M916" s="27"/>
      <c r="N916" s="27"/>
      <c r="O916" s="27"/>
      <c r="P916" s="27"/>
      <c r="Q916" s="27"/>
      <c r="R916" s="511"/>
    </row>
    <row r="917" spans="1:18">
      <c r="A917" s="513" t="s">
        <v>20169</v>
      </c>
      <c r="B917" s="513">
        <v>-24885678</v>
      </c>
      <c r="C917" s="513"/>
      <c r="E917"/>
      <c r="F917"/>
      <c r="H917"/>
      <c r="M917" s="27"/>
      <c r="N917" s="27"/>
      <c r="O917" s="27"/>
      <c r="P917" s="27"/>
      <c r="Q917" s="27"/>
      <c r="R917" s="511"/>
    </row>
    <row r="918" spans="1:18">
      <c r="A918" s="513" t="s">
        <v>20139</v>
      </c>
      <c r="B918" s="513">
        <v>-208250</v>
      </c>
      <c r="C918" s="513"/>
      <c r="E918"/>
      <c r="F918"/>
      <c r="H918"/>
      <c r="M918" s="27"/>
      <c r="N918" s="27"/>
      <c r="O918" s="27"/>
      <c r="P918" s="27"/>
      <c r="Q918" s="27"/>
      <c r="R918" s="511"/>
    </row>
    <row r="919" spans="1:18">
      <c r="A919" s="513" t="s">
        <v>20138</v>
      </c>
      <c r="B919" s="513">
        <v>-208250</v>
      </c>
      <c r="C919" s="513"/>
      <c r="E919"/>
      <c r="F919"/>
      <c r="H919"/>
      <c r="M919" s="27"/>
      <c r="N919" s="27"/>
      <c r="O919" s="27"/>
      <c r="P919" s="27"/>
      <c r="Q919" s="27"/>
      <c r="R919" s="511"/>
    </row>
    <row r="920" spans="1:18">
      <c r="A920" s="513" t="s">
        <v>20172</v>
      </c>
      <c r="B920" s="513">
        <v>-24885678</v>
      </c>
      <c r="C920" s="513"/>
      <c r="E920"/>
      <c r="F920"/>
      <c r="H920"/>
      <c r="M920" s="27"/>
      <c r="N920" s="27"/>
      <c r="O920" s="27"/>
      <c r="P920" s="27"/>
      <c r="Q920" s="27"/>
      <c r="R920" s="511"/>
    </row>
    <row r="921" spans="1:18">
      <c r="A921" s="513" t="s">
        <v>20084</v>
      </c>
      <c r="B921" s="513">
        <v>12337674</v>
      </c>
      <c r="C921" s="513"/>
      <c r="E921"/>
      <c r="F921"/>
      <c r="H921"/>
      <c r="M921" s="27"/>
      <c r="N921" s="27"/>
      <c r="O921" s="27"/>
      <c r="P921" s="27"/>
      <c r="Q921" s="27"/>
      <c r="R921" s="511"/>
    </row>
    <row r="922" spans="1:18">
      <c r="A922" s="513" t="s">
        <v>20087</v>
      </c>
      <c r="B922" s="513">
        <v>47197137</v>
      </c>
      <c r="C922" s="513"/>
      <c r="E922"/>
      <c r="F922"/>
      <c r="H922"/>
      <c r="M922" s="27"/>
      <c r="N922" s="27"/>
      <c r="O922" s="27"/>
      <c r="P922" s="27"/>
      <c r="Q922" s="27"/>
      <c r="R922" s="511"/>
    </row>
    <row r="923" spans="1:18">
      <c r="A923" s="513" t="s">
        <v>20083</v>
      </c>
      <c r="B923" s="513">
        <v>98401682</v>
      </c>
      <c r="C923" s="513"/>
      <c r="E923"/>
      <c r="F923"/>
      <c r="H923"/>
      <c r="M923" s="27"/>
      <c r="N923" s="27"/>
      <c r="O923" s="27"/>
      <c r="P923" s="27"/>
      <c r="Q923" s="27"/>
      <c r="R923" s="511"/>
    </row>
    <row r="924" spans="1:18">
      <c r="A924" s="513" t="s">
        <v>19843</v>
      </c>
      <c r="B924" s="513">
        <v>96515564</v>
      </c>
      <c r="C924" s="513"/>
      <c r="E924"/>
      <c r="F924"/>
      <c r="H924"/>
      <c r="M924" s="27"/>
      <c r="N924" s="27"/>
      <c r="O924" s="27"/>
      <c r="P924" s="27"/>
      <c r="Q924" s="27"/>
      <c r="R924" s="511"/>
    </row>
    <row r="925" spans="1:18">
      <c r="A925" s="513" t="s">
        <v>19866</v>
      </c>
      <c r="B925" s="513">
        <v>10434115</v>
      </c>
      <c r="C925" s="513"/>
      <c r="E925"/>
      <c r="F925"/>
      <c r="H925"/>
      <c r="M925" s="27"/>
      <c r="N925" s="27"/>
      <c r="O925" s="27"/>
      <c r="P925" s="27"/>
      <c r="Q925" s="27"/>
      <c r="R925" s="511"/>
    </row>
    <row r="926" spans="1:18">
      <c r="A926" s="513" t="s">
        <v>19847</v>
      </c>
      <c r="B926" s="513">
        <v>104341150</v>
      </c>
      <c r="C926" s="513"/>
      <c r="E926"/>
      <c r="F926"/>
      <c r="H926"/>
      <c r="M926" s="27"/>
      <c r="N926" s="27"/>
      <c r="O926" s="27"/>
      <c r="P926" s="27"/>
      <c r="Q926" s="27"/>
      <c r="R926" s="511"/>
    </row>
    <row r="927" spans="1:18">
      <c r="A927" s="513" t="s">
        <v>19848</v>
      </c>
      <c r="B927" s="513">
        <v>96515564</v>
      </c>
      <c r="C927" s="513"/>
      <c r="E927"/>
      <c r="F927"/>
      <c r="H927"/>
      <c r="M927" s="27"/>
      <c r="N927" s="27"/>
      <c r="O927" s="27"/>
      <c r="P927" s="27"/>
      <c r="Q927" s="27"/>
      <c r="R927" s="511"/>
    </row>
    <row r="928" spans="1:18">
      <c r="A928" s="513" t="s">
        <v>19864</v>
      </c>
      <c r="B928" s="513">
        <v>10434115</v>
      </c>
      <c r="C928" s="513"/>
      <c r="E928"/>
      <c r="F928"/>
      <c r="H928"/>
      <c r="M928" s="27"/>
      <c r="N928" s="27"/>
      <c r="O928" s="27"/>
      <c r="P928" s="27"/>
      <c r="Q928" s="27"/>
      <c r="R928" s="511"/>
    </row>
    <row r="929" spans="1:18">
      <c r="A929" s="513" t="s">
        <v>19849</v>
      </c>
      <c r="B929" s="513">
        <v>4047107</v>
      </c>
      <c r="C929" s="513"/>
      <c r="E929"/>
      <c r="F929"/>
      <c r="H929"/>
      <c r="M929" s="27"/>
      <c r="N929" s="27"/>
      <c r="O929" s="27"/>
      <c r="P929" s="27"/>
      <c r="Q929" s="27"/>
      <c r="R929" s="511"/>
    </row>
    <row r="930" spans="1:18">
      <c r="A930" s="513" t="s">
        <v>20122</v>
      </c>
      <c r="B930" s="513">
        <v>1640000</v>
      </c>
      <c r="C930" s="513"/>
      <c r="E930"/>
      <c r="F930"/>
      <c r="H930"/>
      <c r="M930" s="27"/>
      <c r="N930" s="27"/>
      <c r="O930" s="27"/>
      <c r="P930" s="27"/>
      <c r="Q930" s="27"/>
      <c r="R930" s="511"/>
    </row>
    <row r="931" spans="1:18">
      <c r="A931" s="513" t="s">
        <v>20025</v>
      </c>
      <c r="B931" s="513">
        <v>-7664723</v>
      </c>
      <c r="C931" s="513"/>
      <c r="E931"/>
      <c r="F931"/>
      <c r="H931"/>
      <c r="M931" s="27"/>
      <c r="N931" s="27"/>
      <c r="O931" s="27"/>
      <c r="P931" s="27"/>
      <c r="Q931" s="27"/>
      <c r="R931" s="511"/>
    </row>
    <row r="932" spans="1:18">
      <c r="A932" s="513" t="s">
        <v>20120</v>
      </c>
      <c r="B932" s="513">
        <v>-3521949</v>
      </c>
      <c r="C932" s="513"/>
      <c r="E932"/>
      <c r="F932"/>
      <c r="H932"/>
      <c r="M932" s="27"/>
      <c r="N932" s="27"/>
      <c r="O932" s="27"/>
      <c r="P932" s="27"/>
      <c r="Q932" s="27"/>
      <c r="R932" s="511"/>
    </row>
    <row r="933" spans="1:18">
      <c r="A933" s="513" t="s">
        <v>19863</v>
      </c>
      <c r="B933" s="513">
        <v>14044468</v>
      </c>
      <c r="C933" s="513"/>
      <c r="E933"/>
      <c r="F933"/>
      <c r="H933"/>
      <c r="M933" s="27"/>
      <c r="N933" s="27"/>
      <c r="O933" s="27"/>
      <c r="P933" s="27"/>
      <c r="Q933" s="27"/>
      <c r="R933" s="511"/>
    </row>
    <row r="934" spans="1:18">
      <c r="A934" s="513" t="s">
        <v>19850</v>
      </c>
      <c r="B934" s="513">
        <v>15087220</v>
      </c>
      <c r="C934" s="513"/>
      <c r="E934"/>
      <c r="F934"/>
      <c r="H934"/>
      <c r="M934" s="27"/>
      <c r="N934" s="27"/>
      <c r="O934" s="27"/>
      <c r="P934" s="27"/>
      <c r="Q934" s="27"/>
      <c r="R934" s="511"/>
    </row>
    <row r="935" spans="1:18">
      <c r="A935" s="513" t="s">
        <v>20026</v>
      </c>
      <c r="B935" s="513">
        <v>564830222</v>
      </c>
      <c r="C935" s="513"/>
      <c r="E935"/>
      <c r="F935"/>
      <c r="H935"/>
      <c r="M935" s="27"/>
      <c r="N935" s="27"/>
      <c r="O935" s="27"/>
      <c r="P935" s="27"/>
      <c r="Q935" s="27"/>
      <c r="R935" s="511"/>
    </row>
    <row r="936" spans="1:18">
      <c r="A936" s="513" t="s">
        <v>20030</v>
      </c>
      <c r="B936" s="513">
        <v>178466084</v>
      </c>
      <c r="C936" s="513"/>
      <c r="E936"/>
      <c r="F936"/>
      <c r="H936"/>
      <c r="M936" s="27"/>
      <c r="N936" s="27"/>
      <c r="O936" s="27"/>
      <c r="P936" s="27"/>
      <c r="Q936" s="27"/>
      <c r="R936" s="511"/>
    </row>
    <row r="937" spans="1:18">
      <c r="A937" s="513" t="s">
        <v>20118</v>
      </c>
      <c r="B937" s="513">
        <v>317157069</v>
      </c>
      <c r="C937" s="513"/>
      <c r="E937"/>
      <c r="F937"/>
      <c r="H937"/>
      <c r="M937" s="27"/>
      <c r="N937" s="27"/>
      <c r="O937" s="27"/>
      <c r="P937" s="27"/>
      <c r="Q937" s="27"/>
      <c r="R937" s="511"/>
    </row>
    <row r="938" spans="1:18">
      <c r="A938" s="513" t="s">
        <v>20171</v>
      </c>
      <c r="B938" s="513">
        <v>24885678</v>
      </c>
      <c r="C938" s="513"/>
      <c r="E938"/>
      <c r="F938"/>
      <c r="H938"/>
      <c r="M938" s="27"/>
      <c r="N938" s="27"/>
      <c r="O938" s="27"/>
      <c r="P938" s="27"/>
      <c r="Q938" s="27"/>
      <c r="R938" s="511"/>
    </row>
    <row r="939" spans="1:18">
      <c r="A939" s="513" t="s">
        <v>19870</v>
      </c>
      <c r="B939" s="513">
        <v>227303221</v>
      </c>
      <c r="C939" s="513"/>
      <c r="E939"/>
      <c r="F939"/>
      <c r="H939"/>
      <c r="M939" s="27"/>
      <c r="N939" s="27"/>
      <c r="O939" s="27"/>
      <c r="P939" s="27"/>
      <c r="Q939" s="27"/>
      <c r="R939" s="511"/>
    </row>
    <row r="940" spans="1:18">
      <c r="A940" s="513" t="s">
        <v>20137</v>
      </c>
      <c r="B940" s="513">
        <v>-208250</v>
      </c>
      <c r="C940" s="513"/>
      <c r="E940"/>
      <c r="F940"/>
      <c r="H940"/>
      <c r="M940" s="27"/>
      <c r="N940" s="27"/>
      <c r="O940" s="27"/>
      <c r="P940" s="27"/>
      <c r="Q940" s="27"/>
      <c r="R940" s="511"/>
    </row>
    <row r="941" spans="1:18">
      <c r="A941" s="513" t="s">
        <v>19851</v>
      </c>
      <c r="B941" s="513">
        <v>1373268517</v>
      </c>
      <c r="C941" s="513"/>
      <c r="E941"/>
      <c r="F941"/>
      <c r="H941"/>
      <c r="M941" s="27"/>
      <c r="N941" s="27"/>
      <c r="O941" s="27"/>
      <c r="P941" s="27"/>
      <c r="Q941" s="27"/>
      <c r="R941" s="511"/>
    </row>
    <row r="942" spans="1:18">
      <c r="A942" s="513" t="s">
        <v>20140</v>
      </c>
      <c r="B942" s="513">
        <v>-208250</v>
      </c>
      <c r="C942" s="513"/>
      <c r="E942"/>
      <c r="F942"/>
      <c r="H942"/>
      <c r="M942" s="27"/>
      <c r="N942" s="27"/>
      <c r="O942" s="27"/>
      <c r="P942" s="27"/>
      <c r="Q942" s="27"/>
      <c r="R942" s="511"/>
    </row>
    <row r="943" spans="1:18">
      <c r="A943" s="513" t="s">
        <v>19844</v>
      </c>
      <c r="B943" s="513">
        <v>771217072</v>
      </c>
      <c r="C943" s="513"/>
      <c r="E943"/>
      <c r="F943"/>
      <c r="H943"/>
      <c r="M943" s="27"/>
      <c r="N943" s="27"/>
      <c r="O943" s="27"/>
      <c r="P943" s="27"/>
      <c r="Q943" s="27"/>
      <c r="R943" s="511"/>
    </row>
    <row r="944" spans="1:18">
      <c r="A944" s="513" t="s">
        <v>19872</v>
      </c>
      <c r="B944" s="513">
        <v>227303221</v>
      </c>
      <c r="C944" s="513"/>
      <c r="E944"/>
      <c r="F944"/>
      <c r="H944"/>
      <c r="M944" s="27"/>
      <c r="N944" s="27"/>
      <c r="O944" s="27"/>
      <c r="P944" s="27"/>
      <c r="Q944" s="27"/>
      <c r="R944" s="511"/>
    </row>
    <row r="945" spans="1:18">
      <c r="A945" s="513" t="s">
        <v>19869</v>
      </c>
      <c r="B945" s="513">
        <v>350451377</v>
      </c>
      <c r="C945" s="513"/>
      <c r="E945"/>
      <c r="F945"/>
      <c r="H945"/>
      <c r="M945" s="27"/>
      <c r="N945" s="27"/>
      <c r="O945" s="27"/>
      <c r="P945" s="27"/>
      <c r="Q945" s="27"/>
      <c r="R945" s="511"/>
    </row>
    <row r="946" spans="1:18">
      <c r="A946" s="513" t="s">
        <v>20085</v>
      </c>
      <c r="B946" s="513">
        <v>12337674</v>
      </c>
      <c r="C946" s="513"/>
      <c r="E946"/>
      <c r="F946"/>
      <c r="H946"/>
      <c r="M946" s="27"/>
      <c r="N946" s="27"/>
      <c r="O946" s="27"/>
      <c r="P946" s="27"/>
      <c r="Q946" s="27"/>
      <c r="R946" s="511"/>
    </row>
    <row r="947" spans="1:18">
      <c r="A947" s="513" t="s">
        <v>19865</v>
      </c>
      <c r="B947" s="513">
        <v>10434115</v>
      </c>
      <c r="C947" s="513"/>
      <c r="E947"/>
      <c r="F947"/>
      <c r="H947"/>
      <c r="M947" s="27"/>
      <c r="N947" s="27"/>
      <c r="O947" s="27"/>
      <c r="P947" s="27"/>
      <c r="Q947" s="27"/>
      <c r="R947" s="511"/>
    </row>
    <row r="948" spans="1:18">
      <c r="A948" s="513" t="s">
        <v>19846</v>
      </c>
      <c r="B948" s="513">
        <v>-7825586</v>
      </c>
      <c r="C948" s="513"/>
      <c r="E948"/>
      <c r="F948"/>
      <c r="H948"/>
      <c r="M948" s="27"/>
      <c r="N948" s="27"/>
      <c r="O948" s="27"/>
      <c r="P948" s="27"/>
      <c r="Q948" s="27"/>
      <c r="R948" s="511"/>
    </row>
    <row r="949" spans="1:18">
      <c r="A949" s="513" t="s">
        <v>19867</v>
      </c>
      <c r="B949" s="513">
        <v>10434115</v>
      </c>
      <c r="C949" s="513"/>
      <c r="E949"/>
      <c r="F949"/>
      <c r="H949"/>
      <c r="M949" s="27"/>
      <c r="N949" s="27"/>
      <c r="O949" s="27"/>
      <c r="P949" s="27"/>
      <c r="Q949" s="27"/>
      <c r="R949" s="511"/>
    </row>
    <row r="950" spans="1:18">
      <c r="A950" s="513" t="s">
        <v>20115</v>
      </c>
      <c r="B950" s="513">
        <v>-21237635</v>
      </c>
      <c r="C950" s="513"/>
      <c r="E950"/>
      <c r="F950"/>
      <c r="H950"/>
      <c r="M950" s="27"/>
      <c r="N950" s="27"/>
      <c r="O950" s="27"/>
      <c r="P950" s="27"/>
      <c r="Q950" s="27"/>
      <c r="R950" s="511"/>
    </row>
    <row r="951" spans="1:18">
      <c r="A951" s="513" t="s">
        <v>20119</v>
      </c>
      <c r="B951" s="513">
        <v>-3521949</v>
      </c>
      <c r="C951" s="513"/>
      <c r="E951"/>
      <c r="F951"/>
      <c r="H951"/>
      <c r="M951" s="27"/>
      <c r="N951" s="27"/>
      <c r="O951" s="27"/>
      <c r="P951" s="27"/>
      <c r="Q951" s="27"/>
      <c r="R951" s="511"/>
    </row>
    <row r="952" spans="1:18">
      <c r="A952" s="513" t="s">
        <v>19868</v>
      </c>
      <c r="B952" s="513">
        <v>14044468</v>
      </c>
      <c r="C952" s="513"/>
      <c r="E952"/>
      <c r="F952"/>
      <c r="H952"/>
      <c r="M952" s="27"/>
      <c r="N952" s="27"/>
      <c r="O952" s="27"/>
      <c r="P952" s="27"/>
      <c r="Q952" s="27"/>
      <c r="R952" s="511"/>
    </row>
    <row r="953" spans="1:18">
      <c r="A953" s="513" t="s">
        <v>19845</v>
      </c>
      <c r="B953" s="513">
        <v>-130319613</v>
      </c>
      <c r="C953" s="513"/>
      <c r="E953"/>
      <c r="F953"/>
      <c r="H953"/>
      <c r="M953" s="27"/>
      <c r="N953" s="27"/>
      <c r="O953" s="27"/>
      <c r="P953" s="27"/>
      <c r="Q953" s="27"/>
      <c r="R953" s="511"/>
    </row>
    <row r="954" spans="1:18">
      <c r="A954" s="513" t="s">
        <v>20117</v>
      </c>
      <c r="B954" s="513">
        <v>317157069</v>
      </c>
      <c r="C954" s="513"/>
      <c r="E954"/>
      <c r="F954"/>
      <c r="H954"/>
      <c r="M954" s="27"/>
      <c r="N954" s="27"/>
      <c r="O954" s="27"/>
      <c r="P954" s="27"/>
      <c r="Q954" s="27"/>
      <c r="R954" s="511"/>
    </row>
    <row r="955" spans="1:18">
      <c r="A955" s="513" t="s">
        <v>20114</v>
      </c>
      <c r="B955" s="513">
        <v>-376013587</v>
      </c>
      <c r="C955" s="513"/>
      <c r="E955"/>
      <c r="F955"/>
      <c r="H955"/>
      <c r="M955" s="27"/>
      <c r="N955" s="27"/>
      <c r="O955" s="27"/>
      <c r="P955" s="27"/>
      <c r="Q955" s="27"/>
      <c r="R955" s="511"/>
    </row>
    <row r="956" spans="1:18">
      <c r="A956" s="513" t="s">
        <v>19852</v>
      </c>
      <c r="B956" s="513">
        <v>-602051445</v>
      </c>
      <c r="C956" s="513"/>
      <c r="E956"/>
      <c r="F956"/>
      <c r="H956"/>
      <c r="M956" s="27"/>
      <c r="N956" s="27"/>
      <c r="O956" s="27"/>
      <c r="P956" s="27"/>
      <c r="Q956" s="27"/>
      <c r="R956" s="511"/>
    </row>
    <row r="957" spans="1:18">
      <c r="A957" s="513" t="s">
        <v>19862</v>
      </c>
      <c r="B957" s="513">
        <v>350451377</v>
      </c>
      <c r="C957" s="513"/>
      <c r="E957"/>
      <c r="F957"/>
      <c r="H957"/>
      <c r="M957" s="27"/>
      <c r="N957" s="27"/>
      <c r="O957" s="27"/>
      <c r="P957" s="27"/>
      <c r="Q957" s="27"/>
      <c r="R957" s="511"/>
    </row>
    <row r="958" spans="1:18">
      <c r="A958" s="513" t="s">
        <v>20205</v>
      </c>
      <c r="B958" s="513">
        <v>1422298</v>
      </c>
      <c r="C958" s="513"/>
      <c r="E958"/>
      <c r="F958"/>
      <c r="H958"/>
      <c r="M958" s="27"/>
      <c r="N958" s="27"/>
      <c r="O958" s="27"/>
      <c r="P958" s="27"/>
      <c r="Q958" s="27"/>
      <c r="R958" s="511"/>
    </row>
    <row r="959" spans="1:18">
      <c r="A959" s="513" t="s">
        <v>19980</v>
      </c>
      <c r="B959" s="513">
        <v>17</v>
      </c>
      <c r="C959" s="513"/>
      <c r="E959"/>
      <c r="F959"/>
      <c r="H959"/>
      <c r="M959" s="27"/>
      <c r="N959" s="27"/>
      <c r="O959" s="27"/>
      <c r="P959" s="27"/>
      <c r="Q959" s="27"/>
      <c r="R959" s="511"/>
    </row>
    <row r="960" spans="1:18">
      <c r="A960" s="513" t="s">
        <v>19982</v>
      </c>
      <c r="B960" s="513">
        <v>17</v>
      </c>
      <c r="C960" s="513"/>
      <c r="E960"/>
      <c r="F960"/>
      <c r="H960"/>
      <c r="M960" s="27"/>
      <c r="N960" s="27"/>
      <c r="O960" s="27"/>
      <c r="P960" s="27"/>
      <c r="Q960" s="27"/>
      <c r="R960" s="511"/>
    </row>
    <row r="961" spans="1:18">
      <c r="A961" s="513" t="s">
        <v>20121</v>
      </c>
      <c r="B961" s="513">
        <v>1640000</v>
      </c>
      <c r="C961" s="513"/>
      <c r="E961"/>
      <c r="F961"/>
      <c r="H961"/>
      <c r="M961" s="27"/>
      <c r="N961" s="27"/>
      <c r="O961" s="27"/>
      <c r="P961" s="27"/>
      <c r="Q961" s="27"/>
      <c r="R961" s="511"/>
    </row>
    <row r="962" spans="1:18">
      <c r="A962" s="513" t="s">
        <v>20167</v>
      </c>
      <c r="B962" s="513">
        <v>406336609</v>
      </c>
      <c r="C962" s="513"/>
      <c r="E962"/>
      <c r="F962"/>
      <c r="H962"/>
      <c r="M962" s="27"/>
      <c r="N962" s="27"/>
      <c r="O962" s="27"/>
      <c r="P962" s="27"/>
      <c r="Q962" s="27"/>
      <c r="R962" s="511"/>
    </row>
    <row r="963" spans="1:18">
      <c r="A963" s="513" t="s">
        <v>20209</v>
      </c>
      <c r="B963" s="513">
        <v>-59846843</v>
      </c>
      <c r="C963" s="513"/>
      <c r="E963"/>
      <c r="F963"/>
      <c r="H963"/>
      <c r="M963" s="27"/>
      <c r="N963" s="27"/>
      <c r="O963" s="27"/>
      <c r="P963" s="27"/>
      <c r="Q963" s="27"/>
      <c r="R963" s="511"/>
    </row>
    <row r="964" spans="1:18">
      <c r="A964" s="513" t="s">
        <v>20206</v>
      </c>
      <c r="B964" s="513">
        <v>-59846843</v>
      </c>
      <c r="C964" s="513"/>
      <c r="E964"/>
      <c r="F964"/>
      <c r="H964"/>
      <c r="M964" s="27"/>
      <c r="N964" s="27"/>
      <c r="O964" s="27"/>
      <c r="P964" s="27"/>
      <c r="Q964" s="27"/>
      <c r="R964" s="511"/>
    </row>
    <row r="965" spans="1:18">
      <c r="A965" s="513" t="s">
        <v>20149</v>
      </c>
      <c r="B965" s="513">
        <v>406336609</v>
      </c>
      <c r="C965" s="513"/>
      <c r="E965"/>
      <c r="F965"/>
      <c r="H965"/>
      <c r="M965" s="27"/>
      <c r="N965" s="27"/>
      <c r="O965" s="27"/>
      <c r="P965" s="27"/>
      <c r="Q965" s="27"/>
      <c r="R965" s="511"/>
    </row>
    <row r="966" spans="1:18">
      <c r="A966" s="513" t="s">
        <v>20168</v>
      </c>
      <c r="B966" s="513">
        <v>406336609</v>
      </c>
      <c r="C966" s="513"/>
      <c r="E966"/>
      <c r="F966"/>
      <c r="H966"/>
      <c r="M966" s="27"/>
      <c r="N966" s="27"/>
      <c r="O966" s="27"/>
      <c r="P966" s="27"/>
      <c r="Q966" s="27"/>
      <c r="R966" s="511"/>
    </row>
    <row r="967" spans="1:18">
      <c r="A967" s="513" t="s">
        <v>20131</v>
      </c>
      <c r="B967" s="513">
        <v>59846843</v>
      </c>
      <c r="C967" s="513"/>
      <c r="E967"/>
      <c r="F967"/>
      <c r="H967"/>
      <c r="M967" s="27"/>
      <c r="N967" s="27"/>
      <c r="O967" s="27"/>
      <c r="P967" s="27"/>
      <c r="Q967" s="27"/>
      <c r="R967" s="511"/>
    </row>
    <row r="968" spans="1:18">
      <c r="A968" s="513" t="s">
        <v>20207</v>
      </c>
      <c r="B968" s="513">
        <v>-59846843</v>
      </c>
      <c r="C968" s="513"/>
      <c r="E968"/>
      <c r="F968"/>
      <c r="H968"/>
      <c r="M968" s="27"/>
      <c r="N968" s="27"/>
      <c r="O968" s="27"/>
      <c r="P968" s="27"/>
      <c r="Q968" s="27"/>
      <c r="R968" s="511"/>
    </row>
    <row r="969" spans="1:18">
      <c r="A969" s="513" t="s">
        <v>20163</v>
      </c>
      <c r="B969" s="513">
        <v>406336609</v>
      </c>
      <c r="C969" s="513"/>
      <c r="E969"/>
      <c r="F969"/>
      <c r="H969"/>
      <c r="M969" s="27"/>
      <c r="N969" s="27"/>
      <c r="O969" s="27"/>
      <c r="P969" s="27"/>
      <c r="Q969" s="27"/>
      <c r="R969" s="511"/>
    </row>
    <row r="970" spans="1:18">
      <c r="A970" s="513" t="s">
        <v>20132</v>
      </c>
      <c r="B970" s="513">
        <v>59846843</v>
      </c>
      <c r="C970" s="513"/>
      <c r="E970"/>
      <c r="F970"/>
      <c r="H970"/>
      <c r="M970" s="27"/>
      <c r="N970" s="27"/>
      <c r="O970" s="27"/>
      <c r="P970" s="27"/>
      <c r="Q970" s="27"/>
      <c r="R970" s="511"/>
    </row>
    <row r="971" spans="1:18">
      <c r="A971" s="513" t="s">
        <v>20136</v>
      </c>
      <c r="B971" s="513">
        <v>59846843</v>
      </c>
      <c r="C971" s="513"/>
      <c r="E971"/>
      <c r="F971"/>
      <c r="H971"/>
      <c r="M971" s="27"/>
      <c r="N971" s="27"/>
      <c r="O971" s="27"/>
      <c r="P971" s="27"/>
      <c r="Q971" s="27"/>
      <c r="R971" s="511"/>
    </row>
    <row r="972" spans="1:18">
      <c r="A972" s="513" t="s">
        <v>20166</v>
      </c>
      <c r="B972" s="513">
        <v>406336609</v>
      </c>
      <c r="C972" s="513"/>
      <c r="E972"/>
      <c r="F972"/>
      <c r="H972"/>
      <c r="M972" s="27"/>
      <c r="N972" s="27"/>
      <c r="O972" s="27"/>
      <c r="P972" s="27"/>
      <c r="Q972" s="27"/>
      <c r="R972" s="511"/>
    </row>
    <row r="973" spans="1:18">
      <c r="A973" s="513" t="s">
        <v>20154</v>
      </c>
      <c r="B973" s="513">
        <v>406336609</v>
      </c>
      <c r="C973" s="513"/>
      <c r="E973"/>
      <c r="F973"/>
      <c r="H973"/>
      <c r="M973" s="27"/>
      <c r="N973" s="27"/>
      <c r="O973" s="27"/>
      <c r="P973" s="27"/>
      <c r="Q973" s="27"/>
      <c r="R973" s="511"/>
    </row>
    <row r="974" spans="1:18">
      <c r="A974" s="513" t="s">
        <v>20211</v>
      </c>
      <c r="B974" s="513">
        <v>-59846843</v>
      </c>
      <c r="C974" s="513"/>
      <c r="E974"/>
      <c r="F974"/>
      <c r="H974"/>
      <c r="M974" s="27"/>
      <c r="N974" s="27"/>
      <c r="O974" s="27"/>
      <c r="P974" s="27"/>
      <c r="Q974" s="27"/>
      <c r="R974" s="511"/>
    </row>
    <row r="975" spans="1:18">
      <c r="A975" s="513" t="s">
        <v>20134</v>
      </c>
      <c r="B975" s="513">
        <v>59846843</v>
      </c>
      <c r="C975" s="513"/>
      <c r="E975"/>
      <c r="F975"/>
      <c r="H975"/>
      <c r="M975" s="27"/>
      <c r="N975" s="27"/>
      <c r="O975" s="27"/>
      <c r="P975" s="27"/>
      <c r="Q975" s="27"/>
      <c r="R975" s="511"/>
    </row>
    <row r="976" spans="1:18">
      <c r="A976" s="513" t="s">
        <v>20164</v>
      </c>
      <c r="B976" s="513">
        <v>406336609</v>
      </c>
      <c r="C976" s="513"/>
      <c r="E976"/>
      <c r="F976"/>
      <c r="H976"/>
      <c r="M976" s="27"/>
      <c r="N976" s="27"/>
      <c r="O976" s="27"/>
      <c r="P976" s="27"/>
      <c r="Q976" s="27"/>
      <c r="R976" s="511"/>
    </row>
    <row r="977" spans="1:18">
      <c r="A977" s="513" t="s">
        <v>20208</v>
      </c>
      <c r="B977" s="513">
        <v>-59846843</v>
      </c>
      <c r="C977" s="513"/>
      <c r="E977"/>
      <c r="F977"/>
      <c r="H977"/>
      <c r="M977" s="27"/>
      <c r="N977" s="27"/>
      <c r="O977" s="27"/>
      <c r="P977" s="27"/>
      <c r="Q977" s="27"/>
      <c r="R977" s="511"/>
    </row>
    <row r="978" spans="1:18">
      <c r="A978" s="513" t="s">
        <v>20152</v>
      </c>
      <c r="B978" s="513">
        <v>406336609</v>
      </c>
      <c r="C978" s="513"/>
      <c r="E978"/>
      <c r="F978"/>
      <c r="H978"/>
      <c r="M978" s="27"/>
      <c r="N978" s="27"/>
      <c r="O978" s="27"/>
      <c r="P978" s="27"/>
      <c r="Q978" s="27"/>
      <c r="R978" s="511"/>
    </row>
    <row r="979" spans="1:18">
      <c r="A979" s="513" t="s">
        <v>20133</v>
      </c>
      <c r="B979" s="513">
        <v>59846843</v>
      </c>
      <c r="C979" s="513"/>
      <c r="E979"/>
      <c r="F979"/>
      <c r="H979"/>
      <c r="M979" s="27"/>
      <c r="N979" s="27"/>
      <c r="O979" s="27"/>
      <c r="P979" s="27"/>
      <c r="Q979" s="27"/>
      <c r="R979" s="511"/>
    </row>
    <row r="980" spans="1:18">
      <c r="A980" s="513" t="s">
        <v>20165</v>
      </c>
      <c r="B980" s="513">
        <v>406336609</v>
      </c>
      <c r="C980" s="513"/>
      <c r="E980"/>
      <c r="F980"/>
      <c r="H980"/>
      <c r="M980" s="27"/>
      <c r="N980" s="27"/>
      <c r="O980" s="27"/>
      <c r="P980" s="27"/>
      <c r="Q980" s="27"/>
      <c r="R980" s="511"/>
    </row>
    <row r="981" spans="1:18">
      <c r="A981" s="513" t="s">
        <v>20210</v>
      </c>
      <c r="B981" s="513">
        <v>-59846843</v>
      </c>
      <c r="C981" s="513"/>
      <c r="E981"/>
      <c r="F981"/>
      <c r="H981"/>
      <c r="M981" s="27"/>
      <c r="N981" s="27"/>
      <c r="O981" s="27"/>
      <c r="P981" s="27"/>
      <c r="Q981" s="27"/>
      <c r="R981" s="511"/>
    </row>
    <row r="982" spans="1:18">
      <c r="A982" s="513" t="s">
        <v>20159</v>
      </c>
      <c r="B982" s="513">
        <v>406336609</v>
      </c>
      <c r="C982" s="513"/>
      <c r="E982"/>
      <c r="F982"/>
      <c r="H982"/>
      <c r="M982" s="27"/>
      <c r="N982" s="27"/>
      <c r="O982" s="27"/>
      <c r="P982" s="27"/>
      <c r="Q982" s="27"/>
      <c r="R982" s="511"/>
    </row>
    <row r="983" spans="1:18">
      <c r="A983" s="513" t="s">
        <v>20200</v>
      </c>
      <c r="B983" s="513">
        <v>-59846843</v>
      </c>
      <c r="C983" s="513"/>
      <c r="E983"/>
      <c r="F983"/>
      <c r="H983"/>
      <c r="M983" s="27"/>
      <c r="N983" s="27"/>
      <c r="O983" s="27"/>
      <c r="P983" s="27"/>
      <c r="Q983" s="27"/>
      <c r="R983" s="511"/>
    </row>
    <row r="984" spans="1:18">
      <c r="A984" s="513" t="s">
        <v>20130</v>
      </c>
      <c r="B984" s="513">
        <v>59846843</v>
      </c>
      <c r="C984" s="513"/>
      <c r="E984"/>
      <c r="F984"/>
      <c r="H984"/>
      <c r="M984" s="27"/>
      <c r="N984" s="27"/>
      <c r="O984" s="27"/>
      <c r="P984" s="27"/>
      <c r="Q984" s="27"/>
      <c r="R984" s="511"/>
    </row>
    <row r="985" spans="1:18">
      <c r="A985" s="513" t="s">
        <v>20156</v>
      </c>
      <c r="B985" s="513">
        <v>406336609</v>
      </c>
      <c r="C985" s="513"/>
      <c r="E985"/>
      <c r="F985"/>
      <c r="H985"/>
      <c r="M985" s="27"/>
      <c r="N985" s="27"/>
      <c r="O985" s="27"/>
      <c r="P985" s="27"/>
      <c r="Q985" s="27"/>
      <c r="R985" s="511"/>
    </row>
    <row r="986" spans="1:18">
      <c r="A986" s="513" t="s">
        <v>20144</v>
      </c>
      <c r="B986" s="513">
        <v>406336609</v>
      </c>
      <c r="C986" s="513"/>
      <c r="E986"/>
      <c r="F986"/>
      <c r="H986"/>
      <c r="M986" s="27"/>
      <c r="N986" s="27"/>
      <c r="O986" s="27"/>
      <c r="P986" s="27"/>
      <c r="Q986" s="27"/>
      <c r="R986" s="511"/>
    </row>
    <row r="987" spans="1:18">
      <c r="A987" s="513" t="s">
        <v>20199</v>
      </c>
      <c r="B987" s="513">
        <v>-59846843</v>
      </c>
      <c r="C987" s="513"/>
      <c r="E987"/>
      <c r="F987"/>
      <c r="H987"/>
      <c r="M987" s="27"/>
      <c r="N987" s="27"/>
      <c r="O987" s="27"/>
      <c r="P987" s="27"/>
      <c r="Q987" s="27"/>
      <c r="R987" s="511"/>
    </row>
    <row r="988" spans="1:18">
      <c r="A988" s="513" t="s">
        <v>20127</v>
      </c>
      <c r="B988" s="513">
        <v>59846843</v>
      </c>
      <c r="C988" s="513"/>
      <c r="E988"/>
      <c r="F988"/>
      <c r="H988"/>
      <c r="M988" s="27"/>
      <c r="N988" s="27"/>
      <c r="O988" s="27"/>
      <c r="P988" s="27"/>
      <c r="Q988" s="27"/>
      <c r="R988" s="511"/>
    </row>
    <row r="989" spans="1:18">
      <c r="A989" s="513" t="s">
        <v>20157</v>
      </c>
      <c r="B989" s="513">
        <v>406336609</v>
      </c>
      <c r="C989" s="513"/>
      <c r="E989"/>
      <c r="F989"/>
      <c r="H989"/>
      <c r="M989" s="27"/>
      <c r="N989" s="27"/>
      <c r="O989" s="27"/>
      <c r="P989" s="27"/>
      <c r="Q989" s="27"/>
      <c r="R989" s="511"/>
    </row>
    <row r="990" spans="1:18">
      <c r="A990" s="513" t="s">
        <v>20201</v>
      </c>
      <c r="B990" s="513">
        <v>-59846843</v>
      </c>
      <c r="C990" s="513"/>
      <c r="E990"/>
      <c r="F990"/>
      <c r="H990"/>
      <c r="M990" s="27"/>
      <c r="N990" s="27"/>
      <c r="O990" s="27"/>
      <c r="P990" s="27"/>
      <c r="Q990" s="27"/>
      <c r="R990" s="511"/>
    </row>
    <row r="991" spans="1:18">
      <c r="A991" s="513" t="s">
        <v>20128</v>
      </c>
      <c r="B991" s="513">
        <v>59846843</v>
      </c>
      <c r="C991" s="513"/>
      <c r="E991"/>
      <c r="F991"/>
      <c r="H991"/>
      <c r="M991" s="27"/>
      <c r="N991" s="27"/>
      <c r="O991" s="27"/>
      <c r="P991" s="27"/>
      <c r="Q991" s="27"/>
      <c r="R991" s="511"/>
    </row>
    <row r="992" spans="1:18">
      <c r="A992" s="513" t="s">
        <v>20158</v>
      </c>
      <c r="B992" s="513">
        <v>406336609</v>
      </c>
      <c r="C992" s="513"/>
      <c r="E992"/>
      <c r="F992"/>
      <c r="H992"/>
      <c r="M992" s="27"/>
      <c r="N992" s="27"/>
      <c r="O992" s="27"/>
      <c r="P992" s="27"/>
      <c r="Q992" s="27"/>
      <c r="R992" s="511"/>
    </row>
    <row r="993" spans="1:18">
      <c r="A993" s="513" t="s">
        <v>20148</v>
      </c>
      <c r="B993" s="513">
        <v>406336609</v>
      </c>
      <c r="C993" s="513"/>
      <c r="E993"/>
      <c r="F993"/>
      <c r="H993"/>
      <c r="M993" s="27"/>
      <c r="N993" s="27"/>
      <c r="O993" s="27"/>
      <c r="P993" s="27"/>
      <c r="Q993" s="27"/>
      <c r="R993" s="511"/>
    </row>
    <row r="994" spans="1:18">
      <c r="A994" s="513" t="s">
        <v>20203</v>
      </c>
      <c r="B994" s="513">
        <v>-59846843</v>
      </c>
      <c r="C994" s="513"/>
      <c r="E994"/>
      <c r="F994"/>
      <c r="H994"/>
      <c r="M994" s="27"/>
      <c r="N994" s="27"/>
      <c r="O994" s="27"/>
      <c r="P994" s="27"/>
      <c r="Q994" s="27"/>
      <c r="R994" s="511"/>
    </row>
    <row r="995" spans="1:18">
      <c r="A995" s="513" t="s">
        <v>20125</v>
      </c>
      <c r="B995" s="513">
        <v>59846843</v>
      </c>
      <c r="C995" s="513"/>
      <c r="E995"/>
      <c r="F995"/>
      <c r="H995"/>
      <c r="M995" s="27"/>
      <c r="N995" s="27"/>
      <c r="O995" s="27"/>
      <c r="P995" s="27"/>
      <c r="Q995" s="27"/>
      <c r="R995" s="511"/>
    </row>
    <row r="996" spans="1:18">
      <c r="A996" s="513" t="s">
        <v>20162</v>
      </c>
      <c r="B996" s="513">
        <v>406336609</v>
      </c>
      <c r="C996" s="513"/>
      <c r="E996"/>
      <c r="F996"/>
      <c r="H996"/>
      <c r="M996" s="27"/>
      <c r="N996" s="27"/>
      <c r="O996" s="27"/>
      <c r="P996" s="27"/>
      <c r="Q996" s="27"/>
      <c r="R996" s="511"/>
    </row>
    <row r="997" spans="1:18">
      <c r="A997" s="513" t="s">
        <v>20202</v>
      </c>
      <c r="B997" s="513">
        <v>-59846843</v>
      </c>
      <c r="C997" s="513"/>
      <c r="E997"/>
      <c r="F997"/>
      <c r="H997"/>
      <c r="M997" s="27"/>
      <c r="N997" s="27"/>
      <c r="O997" s="27"/>
      <c r="P997" s="27"/>
      <c r="Q997" s="27"/>
      <c r="R997" s="511"/>
    </row>
    <row r="998" spans="1:18">
      <c r="A998" s="513" t="s">
        <v>20197</v>
      </c>
      <c r="B998" s="513">
        <v>-59846843</v>
      </c>
      <c r="C998" s="513"/>
      <c r="E998"/>
      <c r="F998"/>
      <c r="H998"/>
      <c r="M998" s="27"/>
      <c r="N998" s="27"/>
      <c r="O998" s="27"/>
      <c r="P998" s="27"/>
      <c r="Q998" s="27"/>
      <c r="R998" s="511"/>
    </row>
    <row r="999" spans="1:18">
      <c r="A999" s="513" t="s">
        <v>20129</v>
      </c>
      <c r="B999" s="513">
        <v>59846843</v>
      </c>
      <c r="C999" s="513"/>
      <c r="E999"/>
      <c r="F999"/>
      <c r="H999"/>
      <c r="M999" s="27"/>
      <c r="N999" s="27"/>
      <c r="O999" s="27"/>
      <c r="P999" s="27"/>
      <c r="Q999" s="27"/>
      <c r="R999" s="511"/>
    </row>
    <row r="1000" spans="1:18">
      <c r="A1000" s="513" t="s">
        <v>20161</v>
      </c>
      <c r="B1000" s="513">
        <v>406336609</v>
      </c>
      <c r="C1000" s="513"/>
      <c r="E1000"/>
      <c r="F1000"/>
      <c r="H1000"/>
      <c r="M1000" s="27"/>
      <c r="N1000" s="27"/>
      <c r="O1000" s="27"/>
      <c r="P1000" s="27"/>
      <c r="Q1000" s="27"/>
      <c r="R1000" s="511"/>
    </row>
    <row r="1001" spans="1:18">
      <c r="A1001" s="513" t="s">
        <v>20141</v>
      </c>
      <c r="B1001" s="513">
        <v>406336609</v>
      </c>
      <c r="C1001" s="513"/>
      <c r="E1001"/>
      <c r="F1001"/>
      <c r="H1001"/>
      <c r="M1001" s="27"/>
      <c r="N1001" s="27"/>
      <c r="O1001" s="27"/>
      <c r="P1001" s="27"/>
      <c r="Q1001" s="27"/>
      <c r="R1001" s="511"/>
    </row>
    <row r="1002" spans="1:18">
      <c r="A1002" s="513" t="s">
        <v>20123</v>
      </c>
      <c r="B1002" s="513">
        <v>59846843</v>
      </c>
      <c r="C1002" s="513"/>
      <c r="E1002"/>
      <c r="F1002"/>
      <c r="H1002"/>
      <c r="M1002" s="27"/>
      <c r="N1002" s="27"/>
      <c r="O1002" s="27"/>
      <c r="P1002" s="27"/>
      <c r="Q1002" s="27"/>
      <c r="R1002" s="511"/>
    </row>
    <row r="1003" spans="1:18">
      <c r="A1003" s="513" t="s">
        <v>20160</v>
      </c>
      <c r="B1003" s="513">
        <v>406336609</v>
      </c>
      <c r="C1003" s="513"/>
      <c r="E1003"/>
      <c r="F1003"/>
      <c r="H1003"/>
      <c r="M1003" s="27"/>
      <c r="N1003" s="27"/>
      <c r="O1003" s="27"/>
      <c r="P1003" s="27"/>
      <c r="Q1003" s="27"/>
      <c r="R1003" s="511"/>
    </row>
    <row r="1004" spans="1:18">
      <c r="A1004" s="513" t="s">
        <v>20145</v>
      </c>
      <c r="B1004" s="513">
        <v>406336609</v>
      </c>
      <c r="C1004" s="513"/>
      <c r="E1004"/>
      <c r="F1004"/>
      <c r="H1004"/>
      <c r="M1004" s="27"/>
      <c r="N1004" s="27"/>
      <c r="O1004" s="27"/>
      <c r="P1004" s="27"/>
      <c r="Q1004" s="27"/>
      <c r="R1004" s="511"/>
    </row>
    <row r="1005" spans="1:18">
      <c r="A1005" s="513" t="s">
        <v>20204</v>
      </c>
      <c r="B1005" s="513">
        <v>-59846843</v>
      </c>
      <c r="C1005" s="513"/>
      <c r="E1005"/>
      <c r="F1005"/>
      <c r="H1005"/>
      <c r="M1005" s="27"/>
      <c r="N1005" s="27"/>
      <c r="O1005" s="27"/>
      <c r="P1005" s="27"/>
      <c r="Q1005" s="27"/>
      <c r="R1005" s="511"/>
    </row>
    <row r="1006" spans="1:18">
      <c r="A1006" s="513" t="s">
        <v>20236</v>
      </c>
      <c r="B1006" s="513">
        <v>438295493</v>
      </c>
      <c r="C1006" s="513"/>
      <c r="E1006"/>
      <c r="F1006"/>
      <c r="H1006"/>
      <c r="M1006" s="27"/>
      <c r="N1006" s="27"/>
      <c r="O1006" s="27"/>
      <c r="P1006" s="27"/>
      <c r="Q1006" s="27"/>
      <c r="R1006" s="511"/>
    </row>
    <row r="1007" spans="1:18">
      <c r="A1007" s="513" t="s">
        <v>20232</v>
      </c>
      <c r="B1007" s="513">
        <v>21243131</v>
      </c>
      <c r="C1007" s="513"/>
      <c r="E1007"/>
      <c r="F1007"/>
      <c r="H1007"/>
      <c r="M1007" s="27"/>
      <c r="N1007" s="27"/>
      <c r="O1007" s="27"/>
      <c r="P1007" s="27"/>
      <c r="Q1007" s="27"/>
      <c r="R1007" s="511"/>
    </row>
    <row r="1008" spans="1:18">
      <c r="A1008" s="513" t="s">
        <v>20228</v>
      </c>
      <c r="B1008" s="513">
        <v>2937147</v>
      </c>
      <c r="C1008" s="513"/>
      <c r="E1008"/>
      <c r="F1008"/>
      <c r="H1008"/>
      <c r="M1008" s="27"/>
      <c r="N1008" s="27"/>
      <c r="O1008" s="27"/>
      <c r="P1008" s="27"/>
      <c r="Q1008" s="27"/>
      <c r="R1008" s="511"/>
    </row>
    <row r="1009" spans="1:18">
      <c r="A1009" s="513" t="s">
        <v>20224</v>
      </c>
      <c r="B1009" s="513">
        <v>1754908</v>
      </c>
      <c r="C1009" s="513"/>
      <c r="E1009"/>
      <c r="F1009"/>
      <c r="H1009"/>
      <c r="M1009" s="27"/>
      <c r="N1009" s="27"/>
      <c r="O1009" s="27"/>
      <c r="P1009" s="27"/>
      <c r="Q1009" s="27"/>
      <c r="R1009" s="511"/>
    </row>
    <row r="1010" spans="1:18">
      <c r="A1010" s="513" t="s">
        <v>20233</v>
      </c>
      <c r="B1010" s="513">
        <v>15960000</v>
      </c>
      <c r="C1010" s="513"/>
      <c r="E1010"/>
      <c r="F1010"/>
      <c r="H1010"/>
      <c r="M1010" s="27"/>
      <c r="N1010" s="27"/>
      <c r="O1010" s="27"/>
      <c r="P1010" s="27"/>
      <c r="Q1010" s="27"/>
      <c r="R1010" s="511"/>
    </row>
    <row r="1011" spans="1:18">
      <c r="A1011" s="513" t="s">
        <v>20237</v>
      </c>
      <c r="B1011" s="513">
        <v>18</v>
      </c>
      <c r="C1011" s="513"/>
      <c r="E1011"/>
      <c r="F1011"/>
      <c r="H1011"/>
      <c r="M1011" s="27"/>
      <c r="N1011" s="27"/>
      <c r="O1011" s="27"/>
      <c r="P1011" s="27"/>
      <c r="Q1011" s="27"/>
      <c r="R1011" s="511"/>
    </row>
    <row r="1012" spans="1:18">
      <c r="A1012" s="513" t="s">
        <v>20245</v>
      </c>
      <c r="B1012" s="513">
        <v>21243131</v>
      </c>
      <c r="C1012" s="513"/>
      <c r="E1012"/>
      <c r="F1012"/>
      <c r="H1012"/>
      <c r="M1012" s="27"/>
      <c r="N1012" s="27"/>
      <c r="O1012" s="27"/>
      <c r="P1012" s="27"/>
      <c r="Q1012" s="27"/>
      <c r="R1012" s="511"/>
    </row>
    <row r="1013" spans="1:18">
      <c r="A1013" s="513" t="s">
        <v>20196</v>
      </c>
      <c r="B1013" s="513">
        <v>97871896</v>
      </c>
      <c r="C1013" s="513"/>
      <c r="E1013"/>
      <c r="F1013"/>
      <c r="H1013"/>
      <c r="M1013" s="27"/>
      <c r="N1013" s="27"/>
      <c r="O1013" s="27"/>
      <c r="P1013" s="27"/>
      <c r="Q1013" s="27"/>
      <c r="R1013" s="511"/>
    </row>
    <row r="1014" spans="1:18">
      <c r="A1014" s="513" t="s">
        <v>20225</v>
      </c>
      <c r="B1014" s="513">
        <v>10174703</v>
      </c>
      <c r="C1014" s="513"/>
      <c r="E1014"/>
      <c r="F1014"/>
      <c r="H1014"/>
      <c r="M1014" s="27"/>
      <c r="N1014" s="27"/>
      <c r="O1014" s="27"/>
      <c r="P1014" s="27"/>
      <c r="Q1014" s="27"/>
      <c r="R1014" s="511"/>
    </row>
    <row r="1015" spans="1:18">
      <c r="A1015" s="513" t="s">
        <v>20195</v>
      </c>
      <c r="B1015" s="513">
        <v>2848806</v>
      </c>
      <c r="C1015" s="513"/>
      <c r="E1015"/>
      <c r="F1015"/>
      <c r="H1015"/>
      <c r="M1015" s="27"/>
      <c r="N1015" s="27"/>
      <c r="O1015" s="27"/>
      <c r="P1015" s="27"/>
      <c r="Q1015" s="27"/>
      <c r="R1015" s="511"/>
    </row>
    <row r="1016" spans="1:18">
      <c r="A1016" s="513" t="s">
        <v>20194</v>
      </c>
      <c r="B1016" s="513">
        <v>252944705</v>
      </c>
      <c r="C1016" s="513"/>
      <c r="E1016"/>
      <c r="F1016"/>
      <c r="H1016"/>
      <c r="M1016" s="27"/>
      <c r="N1016" s="27"/>
      <c r="O1016" s="27"/>
      <c r="P1016" s="27"/>
      <c r="Q1016" s="27"/>
      <c r="R1016" s="511"/>
    </row>
    <row r="1017" spans="1:18">
      <c r="A1017" s="513" t="s">
        <v>20112</v>
      </c>
      <c r="B1017" s="513">
        <v>2</v>
      </c>
      <c r="C1017" s="513"/>
      <c r="E1017"/>
      <c r="F1017"/>
      <c r="H1017"/>
      <c r="M1017" s="27"/>
      <c r="N1017" s="27"/>
      <c r="O1017" s="27"/>
      <c r="P1017" s="27"/>
      <c r="Q1017" s="27"/>
      <c r="R1017" s="511"/>
    </row>
    <row r="1018" spans="1:18">
      <c r="A1018" s="513" t="s">
        <v>20193</v>
      </c>
      <c r="B1018" s="513">
        <v>2813701</v>
      </c>
      <c r="C1018" s="513"/>
      <c r="E1018"/>
      <c r="F1018"/>
      <c r="H1018"/>
      <c r="M1018" s="27"/>
      <c r="N1018" s="27"/>
      <c r="O1018" s="27"/>
      <c r="P1018" s="27"/>
      <c r="Q1018" s="27"/>
      <c r="R1018" s="511"/>
    </row>
    <row r="1019" spans="1:18">
      <c r="A1019" s="513" t="s">
        <v>20221</v>
      </c>
      <c r="B1019" s="513">
        <v>98401682</v>
      </c>
      <c r="C1019" s="513"/>
      <c r="E1019"/>
      <c r="F1019"/>
      <c r="H1019"/>
      <c r="M1019" s="27"/>
      <c r="N1019" s="27"/>
      <c r="O1019" s="27"/>
      <c r="P1019" s="27"/>
      <c r="Q1019" s="27"/>
      <c r="R1019" s="511"/>
    </row>
    <row r="1020" spans="1:18">
      <c r="A1020" s="513" t="s">
        <v>20247</v>
      </c>
      <c r="B1020" s="513">
        <v>47197137</v>
      </c>
      <c r="C1020" s="513"/>
      <c r="E1020"/>
      <c r="F1020"/>
      <c r="H1020"/>
      <c r="M1020" s="27"/>
      <c r="N1020" s="27"/>
      <c r="O1020" s="27"/>
      <c r="P1020" s="27"/>
      <c r="Q1020" s="27"/>
      <c r="R1020" s="511"/>
    </row>
    <row r="1021" spans="1:18">
      <c r="A1021" s="513" t="s">
        <v>20248</v>
      </c>
      <c r="B1021" s="513">
        <v>12337674</v>
      </c>
      <c r="C1021" s="513"/>
      <c r="E1021"/>
      <c r="F1021"/>
      <c r="H1021"/>
      <c r="M1021" s="27"/>
      <c r="N1021" s="27"/>
      <c r="O1021" s="27"/>
      <c r="P1021" s="27"/>
      <c r="Q1021" s="27"/>
      <c r="R1021" s="511"/>
    </row>
    <row r="1022" spans="1:18">
      <c r="A1022" s="513" t="s">
        <v>20265</v>
      </c>
      <c r="B1022" s="513">
        <v>-24885678</v>
      </c>
      <c r="C1022" s="513"/>
      <c r="E1022"/>
      <c r="F1022"/>
      <c r="H1022"/>
      <c r="M1022" s="27"/>
      <c r="N1022" s="27"/>
      <c r="O1022" s="27"/>
      <c r="P1022" s="27"/>
      <c r="Q1022" s="27"/>
      <c r="R1022" s="511"/>
    </row>
    <row r="1023" spans="1:18">
      <c r="A1023" s="513" t="s">
        <v>20263</v>
      </c>
      <c r="B1023" s="513">
        <v>-208250</v>
      </c>
      <c r="C1023" s="513"/>
      <c r="E1023"/>
      <c r="F1023"/>
      <c r="H1023"/>
      <c r="M1023" s="27"/>
      <c r="N1023" s="27"/>
      <c r="O1023" s="27"/>
      <c r="P1023" s="27"/>
      <c r="Q1023" s="27"/>
      <c r="R1023" s="511"/>
    </row>
    <row r="1024" spans="1:18">
      <c r="A1024" s="513" t="s">
        <v>20238</v>
      </c>
      <c r="B1024" s="513">
        <v>10434115</v>
      </c>
      <c r="C1024" s="513"/>
      <c r="E1024"/>
      <c r="F1024"/>
      <c r="H1024"/>
      <c r="M1024" s="27"/>
      <c r="N1024" s="27"/>
      <c r="O1024" s="27"/>
      <c r="P1024" s="27"/>
      <c r="Q1024" s="27"/>
      <c r="R1024" s="511"/>
    </row>
    <row r="1025" spans="1:18">
      <c r="A1025" s="513" t="s">
        <v>20217</v>
      </c>
      <c r="B1025" s="513">
        <v>96515564</v>
      </c>
      <c r="C1025" s="513"/>
      <c r="E1025"/>
      <c r="F1025"/>
      <c r="H1025"/>
      <c r="M1025" s="27"/>
      <c r="N1025" s="27"/>
      <c r="O1025" s="27"/>
      <c r="P1025" s="27"/>
      <c r="Q1025" s="27"/>
      <c r="R1025" s="511"/>
    </row>
    <row r="1026" spans="1:18">
      <c r="A1026" s="513" t="s">
        <v>20241</v>
      </c>
      <c r="B1026" s="513">
        <v>1640000</v>
      </c>
      <c r="C1026" s="513"/>
      <c r="E1026"/>
      <c r="F1026"/>
      <c r="H1026"/>
      <c r="M1026" s="27"/>
      <c r="N1026" s="27"/>
      <c r="O1026" s="27"/>
      <c r="P1026" s="27"/>
      <c r="Q1026" s="27"/>
      <c r="R1026" s="511"/>
    </row>
    <row r="1027" spans="1:18">
      <c r="A1027" s="513" t="s">
        <v>20220</v>
      </c>
      <c r="B1027" s="513">
        <v>-3617616</v>
      </c>
      <c r="C1027" s="513"/>
      <c r="E1027"/>
      <c r="F1027"/>
      <c r="H1027"/>
      <c r="M1027" s="27"/>
      <c r="N1027" s="27"/>
      <c r="O1027" s="27"/>
      <c r="P1027" s="27"/>
      <c r="Q1027" s="27"/>
      <c r="R1027" s="511"/>
    </row>
    <row r="1028" spans="1:18">
      <c r="A1028" s="513" t="s">
        <v>20235</v>
      </c>
      <c r="B1028" s="513">
        <v>-3521949</v>
      </c>
      <c r="C1028" s="513"/>
      <c r="E1028"/>
      <c r="F1028"/>
      <c r="H1028"/>
      <c r="M1028" s="27"/>
      <c r="N1028" s="27"/>
      <c r="O1028" s="27"/>
      <c r="P1028" s="27"/>
      <c r="Q1028" s="27"/>
      <c r="R1028" s="511"/>
    </row>
    <row r="1029" spans="1:18">
      <c r="A1029" s="513" t="s">
        <v>20218</v>
      </c>
      <c r="B1029" s="513">
        <v>15087220</v>
      </c>
      <c r="C1029" s="513"/>
      <c r="E1029"/>
      <c r="F1029"/>
      <c r="H1029"/>
      <c r="M1029" s="27"/>
      <c r="N1029" s="27"/>
      <c r="O1029" s="27"/>
      <c r="P1029" s="27"/>
      <c r="Q1029" s="27"/>
      <c r="R1029" s="511"/>
    </row>
    <row r="1030" spans="1:18">
      <c r="A1030" s="513" t="s">
        <v>20226</v>
      </c>
      <c r="B1030" s="513">
        <v>14044468</v>
      </c>
      <c r="C1030" s="513"/>
      <c r="E1030"/>
      <c r="F1030"/>
      <c r="H1030"/>
      <c r="M1030" s="27"/>
      <c r="N1030" s="27"/>
      <c r="O1030" s="27"/>
      <c r="P1030" s="27"/>
      <c r="Q1030" s="27"/>
      <c r="R1030" s="511"/>
    </row>
    <row r="1031" spans="1:18">
      <c r="A1031" s="513" t="s">
        <v>20219</v>
      </c>
      <c r="B1031" s="513">
        <v>564830222</v>
      </c>
      <c r="C1031" s="513"/>
      <c r="E1031"/>
      <c r="F1031"/>
      <c r="H1031"/>
      <c r="M1031" s="27"/>
      <c r="N1031" s="27"/>
      <c r="O1031" s="27"/>
      <c r="P1031" s="27"/>
      <c r="Q1031" s="27"/>
      <c r="R1031" s="511"/>
    </row>
    <row r="1032" spans="1:18">
      <c r="A1032" s="513" t="s">
        <v>20239</v>
      </c>
      <c r="B1032" s="513">
        <v>178466084</v>
      </c>
      <c r="C1032" s="513"/>
      <c r="E1032"/>
      <c r="F1032"/>
      <c r="H1032"/>
      <c r="M1032" s="27"/>
      <c r="N1032" s="27"/>
      <c r="O1032" s="27"/>
      <c r="P1032" s="27"/>
      <c r="Q1032" s="27"/>
      <c r="R1032" s="511"/>
    </row>
    <row r="1033" spans="1:18">
      <c r="A1033" s="513" t="s">
        <v>20230</v>
      </c>
      <c r="B1033" s="513">
        <v>317157069</v>
      </c>
      <c r="C1033" s="513"/>
      <c r="E1033"/>
      <c r="F1033"/>
      <c r="H1033"/>
      <c r="M1033" s="27"/>
      <c r="N1033" s="27"/>
      <c r="O1033" s="27"/>
      <c r="P1033" s="27"/>
      <c r="Q1033" s="27"/>
      <c r="R1033" s="511"/>
    </row>
    <row r="1034" spans="1:18">
      <c r="A1034" s="513" t="s">
        <v>20250</v>
      </c>
      <c r="B1034" s="513">
        <v>24885678</v>
      </c>
      <c r="C1034" s="513"/>
      <c r="E1034"/>
      <c r="F1034"/>
      <c r="H1034"/>
      <c r="M1034" s="27"/>
      <c r="N1034" s="27"/>
      <c r="O1034" s="27"/>
      <c r="P1034" s="27"/>
      <c r="Q1034" s="27"/>
      <c r="R1034" s="511"/>
    </row>
    <row r="1035" spans="1:18">
      <c r="A1035" s="513" t="s">
        <v>20082</v>
      </c>
      <c r="B1035" s="513">
        <v>1</v>
      </c>
      <c r="C1035" s="513"/>
      <c r="E1035"/>
      <c r="F1035"/>
      <c r="H1035"/>
      <c r="M1035" s="27"/>
      <c r="N1035" s="27"/>
      <c r="O1035" s="27"/>
      <c r="P1035" s="27"/>
      <c r="Q1035" s="27"/>
      <c r="R1035" s="511"/>
    </row>
    <row r="1036" spans="1:18">
      <c r="A1036" s="513" t="s">
        <v>20003</v>
      </c>
      <c r="B1036" s="513">
        <v>1</v>
      </c>
      <c r="C1036" s="513"/>
      <c r="E1036"/>
      <c r="F1036"/>
      <c r="H1036"/>
      <c r="M1036" s="27"/>
      <c r="N1036" s="27"/>
      <c r="O1036" s="27"/>
      <c r="P1036" s="27"/>
      <c r="Q1036" s="27"/>
      <c r="R1036" s="511"/>
    </row>
    <row r="1037" spans="1:18">
      <c r="A1037" s="513" t="s">
        <v>19842</v>
      </c>
      <c r="B1037" s="513">
        <v>2</v>
      </c>
      <c r="C1037" s="513"/>
      <c r="E1037"/>
      <c r="F1037"/>
      <c r="H1037"/>
      <c r="M1037" s="27"/>
      <c r="N1037" s="27"/>
      <c r="O1037" s="27"/>
      <c r="P1037" s="27"/>
      <c r="Q1037" s="27"/>
      <c r="R1037" s="511"/>
    </row>
    <row r="1038" spans="1:18">
      <c r="A1038" s="513" t="s">
        <v>19986</v>
      </c>
      <c r="B1038" s="513">
        <v>5</v>
      </c>
      <c r="C1038" s="513"/>
      <c r="E1038"/>
      <c r="F1038"/>
      <c r="H1038"/>
      <c r="M1038" s="27"/>
      <c r="N1038" s="27"/>
      <c r="O1038" s="27"/>
      <c r="P1038" s="27"/>
      <c r="Q1038" s="27"/>
      <c r="R1038" s="511"/>
    </row>
    <row r="1039" spans="1:18">
      <c r="A1039" s="513" t="s">
        <v>20007</v>
      </c>
      <c r="B1039" s="513">
        <v>6</v>
      </c>
      <c r="C1039" s="513"/>
      <c r="E1039"/>
      <c r="F1039"/>
      <c r="H1039"/>
      <c r="M1039" s="27"/>
      <c r="N1039" s="27"/>
      <c r="O1039" s="27"/>
      <c r="P1039" s="27"/>
      <c r="Q1039" s="27"/>
      <c r="R1039" s="511"/>
    </row>
    <row r="1040" spans="1:18">
      <c r="A1040" s="513" t="s">
        <v>20015</v>
      </c>
      <c r="B1040" s="513">
        <v>2</v>
      </c>
      <c r="C1040" s="513"/>
      <c r="E1040"/>
      <c r="F1040"/>
      <c r="H1040"/>
      <c r="M1040" s="27"/>
      <c r="N1040" s="27"/>
      <c r="O1040" s="27"/>
      <c r="P1040" s="27"/>
      <c r="Q1040" s="27"/>
      <c r="R1040" s="511"/>
    </row>
    <row r="1041" spans="1:18">
      <c r="A1041" s="513" t="s">
        <v>20252</v>
      </c>
      <c r="B1041" s="513">
        <v>2043324606</v>
      </c>
      <c r="C1041" s="513"/>
      <c r="E1041"/>
      <c r="F1041"/>
      <c r="H1041"/>
      <c r="M1041" s="27"/>
      <c r="N1041" s="27"/>
      <c r="O1041" s="27"/>
      <c r="P1041" s="27"/>
      <c r="Q1041" s="27"/>
      <c r="R1041" s="511"/>
    </row>
    <row r="1042" spans="1:18">
      <c r="A1042" s="513" t="s">
        <v>20170</v>
      </c>
      <c r="B1042" s="513">
        <v>24885678</v>
      </c>
      <c r="C1042" s="513"/>
      <c r="E1042"/>
      <c r="F1042"/>
      <c r="H1042"/>
      <c r="M1042" s="27"/>
      <c r="N1042" s="27"/>
      <c r="O1042" s="27"/>
      <c r="P1042" s="27"/>
      <c r="Q1042" s="27"/>
      <c r="R1042" s="511"/>
    </row>
    <row r="1043" spans="1:18">
      <c r="A1043" s="513" t="s">
        <v>20029</v>
      </c>
      <c r="B1043" s="513">
        <v>178466084</v>
      </c>
      <c r="C1043" s="513"/>
      <c r="E1043"/>
      <c r="F1043"/>
      <c r="H1043"/>
      <c r="M1043" s="27"/>
      <c r="N1043" s="27"/>
      <c r="O1043" s="27"/>
      <c r="P1043" s="27"/>
      <c r="Q1043" s="27"/>
      <c r="R1043" s="511"/>
    </row>
    <row r="1044" spans="1:18">
      <c r="A1044" s="513" t="s">
        <v>20000</v>
      </c>
      <c r="B1044" s="513">
        <v>4227862</v>
      </c>
      <c r="C1044" s="513"/>
      <c r="E1044"/>
      <c r="F1044"/>
      <c r="H1044"/>
      <c r="M1044" s="27"/>
      <c r="N1044" s="27"/>
      <c r="O1044" s="27"/>
      <c r="P1044" s="27"/>
      <c r="Q1044" s="27"/>
      <c r="R1044" s="511"/>
    </row>
    <row r="1045" spans="1:18">
      <c r="A1045" s="513" t="s">
        <v>20009</v>
      </c>
      <c r="B1045" s="513">
        <v>60369</v>
      </c>
      <c r="C1045" s="513"/>
      <c r="E1045"/>
      <c r="F1045"/>
      <c r="H1045"/>
      <c r="M1045" s="27"/>
      <c r="N1045" s="27"/>
      <c r="O1045" s="27"/>
      <c r="P1045" s="27"/>
      <c r="Q1045" s="27"/>
      <c r="R1045" s="511"/>
    </row>
    <row r="1046" spans="1:18">
      <c r="A1046" s="513" t="s">
        <v>20251</v>
      </c>
      <c r="B1046" s="513">
        <v>193733</v>
      </c>
      <c r="C1046" s="513"/>
      <c r="E1046"/>
      <c r="F1046"/>
      <c r="H1046"/>
      <c r="M1046" s="27"/>
      <c r="N1046" s="27"/>
      <c r="O1046" s="27"/>
      <c r="P1046" s="27"/>
      <c r="Q1046" s="27"/>
      <c r="R1046" s="511"/>
    </row>
    <row r="1047" spans="1:18">
      <c r="A1047" s="513" t="s">
        <v>19987</v>
      </c>
      <c r="B1047" s="513">
        <v>343571</v>
      </c>
      <c r="C1047" s="513"/>
      <c r="E1047"/>
      <c r="F1047"/>
      <c r="H1047"/>
      <c r="M1047" s="27"/>
      <c r="N1047" s="27"/>
      <c r="O1047" s="27"/>
      <c r="P1047" s="27"/>
      <c r="Q1047" s="27"/>
      <c r="R1047" s="511"/>
    </row>
    <row r="1048" spans="1:18">
      <c r="A1048" s="513" t="s">
        <v>20040</v>
      </c>
      <c r="B1048" s="513">
        <v>-81932822</v>
      </c>
      <c r="C1048" s="513"/>
      <c r="E1048"/>
      <c r="F1048"/>
      <c r="H1048"/>
      <c r="M1048" s="27"/>
      <c r="N1048" s="27"/>
      <c r="O1048" s="27"/>
      <c r="P1048" s="27"/>
      <c r="Q1048" s="27"/>
      <c r="R1048" s="511"/>
    </row>
    <row r="1049" spans="1:18">
      <c r="A1049" s="513" t="s">
        <v>20039</v>
      </c>
      <c r="B1049" s="513">
        <v>284500</v>
      </c>
      <c r="C1049" s="513"/>
      <c r="E1049"/>
      <c r="F1049"/>
      <c r="H1049"/>
      <c r="M1049" s="27"/>
      <c r="N1049" s="27"/>
      <c r="O1049" s="27"/>
      <c r="P1049" s="27"/>
      <c r="Q1049" s="27"/>
      <c r="R1049" s="511"/>
    </row>
    <row r="1050" spans="1:18">
      <c r="A1050" s="513" t="s">
        <v>19988</v>
      </c>
      <c r="B1050" s="513">
        <v>180512083</v>
      </c>
      <c r="C1050" s="513"/>
      <c r="E1050"/>
      <c r="F1050"/>
      <c r="H1050"/>
      <c r="M1050" s="27"/>
      <c r="N1050" s="27"/>
      <c r="O1050" s="27"/>
      <c r="P1050" s="27"/>
      <c r="Q1050" s="27"/>
      <c r="R1050" s="511"/>
    </row>
    <row r="1051" spans="1:18">
      <c r="A1051" s="513" t="s">
        <v>20270</v>
      </c>
      <c r="B1051" s="513">
        <v>-26856439</v>
      </c>
      <c r="C1051" s="513"/>
      <c r="E1051"/>
      <c r="F1051"/>
      <c r="H1051"/>
      <c r="M1051" s="27"/>
      <c r="N1051" s="27"/>
      <c r="O1051" s="27"/>
      <c r="P1051" s="27"/>
      <c r="Q1051" s="27"/>
      <c r="R1051" s="511"/>
    </row>
    <row r="1052" spans="1:18">
      <c r="A1052" s="513" t="s">
        <v>20240</v>
      </c>
      <c r="B1052" s="513">
        <v>28792021</v>
      </c>
      <c r="C1052" s="513"/>
      <c r="E1052"/>
      <c r="F1052"/>
      <c r="H1052"/>
      <c r="M1052" s="27"/>
      <c r="N1052" s="27"/>
      <c r="O1052" s="27"/>
      <c r="P1052" s="27"/>
      <c r="Q1052" s="27"/>
      <c r="R1052" s="511"/>
    </row>
    <row r="1053" spans="1:18">
      <c r="A1053" s="513" t="s">
        <v>20037</v>
      </c>
      <c r="B1053" s="513">
        <v>208250</v>
      </c>
      <c r="C1053" s="513"/>
      <c r="E1053"/>
      <c r="F1053"/>
      <c r="H1053"/>
      <c r="M1053" s="27"/>
      <c r="N1053" s="27"/>
      <c r="O1053" s="27"/>
      <c r="P1053" s="27"/>
      <c r="Q1053" s="27"/>
      <c r="R1053" s="511"/>
    </row>
    <row r="1054" spans="1:18">
      <c r="A1054" s="513" t="s">
        <v>20001</v>
      </c>
      <c r="B1054" s="513">
        <v>103694</v>
      </c>
      <c r="C1054" s="513"/>
      <c r="E1054"/>
      <c r="F1054"/>
      <c r="H1054"/>
      <c r="M1054" s="27"/>
      <c r="N1054" s="27"/>
      <c r="O1054" s="27"/>
      <c r="P1054" s="27"/>
      <c r="Q1054" s="27"/>
      <c r="R1054" s="511"/>
    </row>
    <row r="1055" spans="1:18">
      <c r="A1055" s="513" t="s">
        <v>20098</v>
      </c>
      <c r="B1055" s="513">
        <v>262411000</v>
      </c>
      <c r="C1055" s="513"/>
      <c r="E1055"/>
      <c r="F1055"/>
      <c r="H1055"/>
      <c r="M1055" s="27"/>
      <c r="N1055" s="27"/>
      <c r="O1055" s="27"/>
      <c r="P1055" s="27"/>
      <c r="Q1055" s="27"/>
      <c r="R1055" s="511"/>
    </row>
    <row r="1056" spans="1:18">
      <c r="A1056" s="513" t="s">
        <v>20006</v>
      </c>
      <c r="B1056" s="513">
        <v>1789102000</v>
      </c>
      <c r="C1056" s="513"/>
      <c r="E1056"/>
      <c r="F1056"/>
      <c r="H1056"/>
      <c r="M1056" s="27"/>
      <c r="N1056" s="27"/>
      <c r="O1056" s="27"/>
      <c r="P1056" s="27"/>
      <c r="Q1056" s="27"/>
      <c r="R1056" s="511"/>
    </row>
    <row r="1057" spans="1:18">
      <c r="A1057" s="513" t="s">
        <v>20014</v>
      </c>
      <c r="B1057" s="513">
        <v>1.4999999999999999E-2</v>
      </c>
      <c r="C1057" s="513"/>
      <c r="E1057"/>
      <c r="F1057"/>
      <c r="H1057"/>
      <c r="M1057" s="27"/>
      <c r="N1057" s="27"/>
      <c r="O1057" s="27"/>
      <c r="P1057" s="27"/>
      <c r="Q1057" s="27"/>
      <c r="R1057" s="511"/>
    </row>
    <row r="1058" spans="1:18">
      <c r="A1058" s="513" t="s">
        <v>20011</v>
      </c>
      <c r="B1058" s="513">
        <v>26836530</v>
      </c>
      <c r="C1058" s="513"/>
      <c r="E1058"/>
      <c r="F1058"/>
      <c r="H1058"/>
      <c r="M1058" s="27"/>
      <c r="N1058" s="27"/>
      <c r="O1058" s="27"/>
      <c r="P1058" s="27"/>
      <c r="Q1058" s="27"/>
      <c r="R1058" s="511"/>
    </row>
    <row r="1059" spans="1:18">
      <c r="A1059" s="513" t="s">
        <v>20016</v>
      </c>
      <c r="B1059" s="513">
        <v>10626</v>
      </c>
      <c r="C1059" s="513"/>
      <c r="E1059"/>
      <c r="F1059"/>
      <c r="H1059"/>
      <c r="M1059" s="27"/>
      <c r="N1059" s="27"/>
      <c r="O1059" s="27"/>
      <c r="P1059" s="27"/>
      <c r="Q1059" s="27"/>
      <c r="R1059" s="511"/>
    </row>
    <row r="1060" spans="1:18">
      <c r="A1060" s="513" t="s">
        <v>20010</v>
      </c>
      <c r="B1060" s="513">
        <v>93068</v>
      </c>
      <c r="C1060" s="513"/>
      <c r="E1060"/>
      <c r="F1060"/>
      <c r="H1060"/>
      <c r="M1060" s="27"/>
      <c r="N1060" s="27"/>
      <c r="O1060" s="27"/>
      <c r="P1060" s="27"/>
      <c r="Q1060" s="27"/>
      <c r="R1060" s="511"/>
    </row>
    <row r="1061" spans="1:18">
      <c r="A1061" s="513" t="s">
        <v>20097</v>
      </c>
      <c r="B1061" s="513">
        <v>193733</v>
      </c>
      <c r="C1061" s="513"/>
      <c r="E1061"/>
      <c r="F1061"/>
      <c r="H1061"/>
      <c r="M1061" s="27"/>
      <c r="N1061" s="27"/>
      <c r="O1061" s="27"/>
      <c r="P1061" s="27"/>
      <c r="Q1061" s="27"/>
      <c r="R1061" s="511"/>
    </row>
    <row r="1062" spans="1:18">
      <c r="A1062" s="513" t="s">
        <v>20244</v>
      </c>
      <c r="B1062" s="513">
        <v>814000</v>
      </c>
      <c r="C1062" s="513"/>
      <c r="E1062"/>
      <c r="F1062"/>
      <c r="H1062"/>
      <c r="M1062" s="27"/>
      <c r="N1062" s="27"/>
      <c r="O1062" s="27"/>
      <c r="P1062" s="27"/>
      <c r="Q1062" s="27"/>
      <c r="R1062" s="511"/>
    </row>
    <row r="1063" spans="1:18">
      <c r="A1063" s="513" t="s">
        <v>20254</v>
      </c>
      <c r="B1063" s="513">
        <v>8856000</v>
      </c>
      <c r="C1063" s="513"/>
      <c r="E1063"/>
      <c r="F1063"/>
      <c r="H1063"/>
      <c r="M1063" s="27"/>
      <c r="N1063" s="27"/>
      <c r="O1063" s="27"/>
      <c r="P1063" s="27"/>
      <c r="Q1063" s="27"/>
      <c r="R1063" s="511"/>
    </row>
    <row r="1064" spans="1:18">
      <c r="A1064" s="513" t="s">
        <v>20092</v>
      </c>
      <c r="B1064" s="513">
        <v>-54196094</v>
      </c>
      <c r="C1064" s="513"/>
      <c r="E1064"/>
      <c r="F1064"/>
      <c r="H1064"/>
      <c r="M1064" s="27"/>
      <c r="N1064" s="27"/>
      <c r="O1064" s="27"/>
      <c r="P1064" s="27"/>
      <c r="Q1064" s="27"/>
      <c r="R1064" s="511"/>
    </row>
    <row r="1065" spans="1:18">
      <c r="A1065" s="513" t="s">
        <v>20093</v>
      </c>
      <c r="B1065" s="513">
        <v>72601426</v>
      </c>
      <c r="C1065" s="513"/>
      <c r="E1065"/>
      <c r="F1065"/>
      <c r="H1065"/>
      <c r="M1065" s="27"/>
      <c r="N1065" s="27"/>
      <c r="O1065" s="27"/>
      <c r="P1065" s="27"/>
      <c r="Q1065" s="27"/>
      <c r="R1065" s="511"/>
    </row>
    <row r="1066" spans="1:18">
      <c r="A1066" s="513" t="s">
        <v>20264</v>
      </c>
      <c r="B1066" s="513">
        <v>67678280</v>
      </c>
      <c r="C1066" s="513"/>
      <c r="E1066"/>
      <c r="F1066"/>
      <c r="H1066"/>
      <c r="M1066" s="27"/>
      <c r="N1066" s="27"/>
      <c r="O1066" s="27"/>
      <c r="P1066" s="27"/>
      <c r="Q1066" s="27"/>
      <c r="R1066" s="511"/>
    </row>
    <row r="1067" spans="1:18">
      <c r="A1067" s="513" t="s">
        <v>20260</v>
      </c>
      <c r="B1067" s="513">
        <v>91983404</v>
      </c>
      <c r="C1067" s="513"/>
      <c r="E1067"/>
      <c r="F1067"/>
      <c r="H1067"/>
      <c r="M1067" s="27"/>
      <c r="N1067" s="27"/>
      <c r="O1067" s="27"/>
      <c r="P1067" s="27"/>
      <c r="Q1067" s="27"/>
      <c r="R1067" s="511"/>
    </row>
    <row r="1068" spans="1:18">
      <c r="A1068" s="513" t="s">
        <v>20469</v>
      </c>
      <c r="B1068" s="513">
        <v>232263110</v>
      </c>
      <c r="C1068" s="513"/>
      <c r="E1068"/>
      <c r="F1068"/>
      <c r="H1068"/>
      <c r="M1068" s="27"/>
      <c r="N1068" s="27"/>
      <c r="O1068" s="27"/>
      <c r="P1068" s="27"/>
      <c r="Q1068" s="27"/>
      <c r="R1068" s="511"/>
    </row>
    <row r="1069" spans="1:18">
      <c r="A1069" s="513" t="s">
        <v>20005</v>
      </c>
      <c r="B1069" s="513">
        <v>110388736</v>
      </c>
      <c r="C1069" s="513"/>
      <c r="E1069"/>
      <c r="F1069"/>
      <c r="H1069"/>
      <c r="M1069" s="27"/>
      <c r="N1069" s="27"/>
      <c r="O1069" s="27"/>
      <c r="P1069" s="27"/>
      <c r="Q1069" s="27"/>
      <c r="R1069" s="511"/>
    </row>
    <row r="1070" spans="1:18">
      <c r="A1070" s="513" t="s">
        <v>20267</v>
      </c>
      <c r="B1070" s="513">
        <v>67678280</v>
      </c>
      <c r="C1070" s="513"/>
      <c r="E1070"/>
      <c r="F1070"/>
      <c r="H1070"/>
      <c r="M1070" s="27"/>
      <c r="N1070" s="27"/>
      <c r="O1070" s="27"/>
      <c r="P1070" s="27"/>
      <c r="Q1070" s="27"/>
      <c r="R1070" s="511"/>
    </row>
    <row r="1071" spans="1:18">
      <c r="A1071" s="513" t="s">
        <v>20091</v>
      </c>
      <c r="B1071" s="513">
        <v>54196094</v>
      </c>
      <c r="C1071" s="513"/>
      <c r="E1071"/>
      <c r="F1071"/>
      <c r="H1071"/>
      <c r="M1071" s="27"/>
      <c r="N1071" s="27"/>
      <c r="O1071" s="27"/>
      <c r="P1071" s="27"/>
      <c r="Q1071" s="27"/>
      <c r="R1071" s="511"/>
    </row>
    <row r="1072" spans="1:18">
      <c r="A1072" s="513" t="s">
        <v>20190</v>
      </c>
      <c r="B1072" s="513">
        <v>262411000</v>
      </c>
      <c r="C1072" s="513"/>
      <c r="E1072"/>
      <c r="F1072"/>
      <c r="H1072"/>
      <c r="M1072" s="27"/>
      <c r="N1072" s="27"/>
      <c r="O1072" s="27"/>
      <c r="P1072" s="27"/>
      <c r="Q1072" s="27"/>
      <c r="R1072" s="511"/>
    </row>
    <row r="1073" spans="1:18">
      <c r="A1073" s="513" t="s">
        <v>20189</v>
      </c>
      <c r="B1073" s="513">
        <v>-262411000</v>
      </c>
      <c r="C1073" s="513"/>
      <c r="E1073"/>
      <c r="F1073"/>
      <c r="H1073"/>
      <c r="M1073" s="27"/>
      <c r="N1073" s="27"/>
      <c r="O1073" s="27"/>
      <c r="P1073" s="27"/>
      <c r="Q1073" s="27"/>
      <c r="R1073" s="511"/>
    </row>
    <row r="1074" spans="1:18">
      <c r="A1074" s="513" t="s">
        <v>20191</v>
      </c>
      <c r="B1074" s="513">
        <v>-262411000</v>
      </c>
      <c r="C1074" s="513"/>
      <c r="E1074"/>
      <c r="F1074"/>
      <c r="H1074"/>
      <c r="M1074" s="27"/>
      <c r="N1074" s="27"/>
      <c r="O1074" s="27"/>
      <c r="P1074" s="27"/>
      <c r="Q1074" s="27"/>
      <c r="R1074" s="511"/>
    </row>
    <row r="1075" spans="1:18">
      <c r="A1075" s="513" t="s">
        <v>19998</v>
      </c>
      <c r="B1075" s="513">
        <v>8856000</v>
      </c>
      <c r="C1075" s="513"/>
      <c r="E1075"/>
      <c r="F1075"/>
      <c r="H1075"/>
      <c r="M1075" s="27"/>
      <c r="N1075" s="27"/>
      <c r="O1075" s="27"/>
      <c r="P1075" s="27"/>
      <c r="Q1075" s="27"/>
      <c r="R1075" s="511"/>
    </row>
    <row r="1076" spans="1:18">
      <c r="A1076" s="513" t="s">
        <v>20004</v>
      </c>
      <c r="B1076" s="513">
        <v>814000</v>
      </c>
      <c r="C1076" s="513"/>
      <c r="E1076"/>
      <c r="F1076"/>
      <c r="H1076"/>
      <c r="M1076" s="27"/>
      <c r="N1076" s="27"/>
      <c r="O1076" s="27"/>
      <c r="P1076" s="27"/>
      <c r="Q1076" s="27"/>
      <c r="R1076" s="511"/>
    </row>
    <row r="1077" spans="1:18">
      <c r="A1077" s="513" t="s">
        <v>20430</v>
      </c>
      <c r="B1077" s="513">
        <v>2043324606</v>
      </c>
      <c r="C1077" s="513"/>
      <c r="E1077"/>
      <c r="F1077"/>
      <c r="H1077"/>
      <c r="M1077" s="27"/>
      <c r="N1077" s="27"/>
      <c r="O1077" s="27"/>
      <c r="P1077" s="27"/>
      <c r="Q1077" s="27"/>
      <c r="R1077" s="511"/>
    </row>
    <row r="1078" spans="1:18">
      <c r="A1078" s="513" t="s">
        <v>20450</v>
      </c>
      <c r="B1078" s="513">
        <v>200999977</v>
      </c>
      <c r="C1078" s="513"/>
      <c r="E1078"/>
      <c r="F1078"/>
      <c r="H1078"/>
      <c r="M1078" s="27"/>
      <c r="N1078" s="27"/>
      <c r="O1078" s="27"/>
      <c r="P1078" s="27"/>
      <c r="Q1078" s="27"/>
      <c r="R1078" s="511"/>
    </row>
    <row r="1079" spans="1:18">
      <c r="A1079" s="513" t="s">
        <v>20451</v>
      </c>
      <c r="B1079" s="513">
        <v>156473883</v>
      </c>
      <c r="C1079" s="513"/>
      <c r="E1079"/>
      <c r="F1079"/>
      <c r="H1079"/>
      <c r="M1079" s="27"/>
      <c r="N1079" s="27"/>
      <c r="O1079" s="27"/>
      <c r="P1079" s="27"/>
      <c r="Q1079" s="27"/>
      <c r="R1079" s="511"/>
    </row>
    <row r="1080" spans="1:18">
      <c r="A1080" s="513" t="s">
        <v>20466</v>
      </c>
      <c r="B1080" s="513">
        <v>-44526094</v>
      </c>
      <c r="C1080" s="513"/>
      <c r="E1080"/>
      <c r="F1080"/>
      <c r="H1080"/>
      <c r="M1080" s="27"/>
      <c r="N1080" s="27"/>
      <c r="O1080" s="27"/>
      <c r="P1080" s="27"/>
      <c r="Q1080" s="27"/>
      <c r="R1080" s="511"/>
    </row>
    <row r="1081" spans="1:18">
      <c r="A1081" s="513" t="s">
        <v>20452</v>
      </c>
      <c r="B1081" s="513">
        <v>156473883</v>
      </c>
      <c r="C1081" s="513"/>
      <c r="E1081"/>
      <c r="F1081"/>
      <c r="H1081"/>
      <c r="M1081" s="27"/>
      <c r="N1081" s="27"/>
      <c r="O1081" s="27"/>
      <c r="P1081" s="27"/>
      <c r="Q1081" s="27"/>
      <c r="R1081" s="511"/>
    </row>
    <row r="1082" spans="1:18">
      <c r="A1082" s="513" t="s">
        <v>20453</v>
      </c>
      <c r="B1082" s="513">
        <v>200999977</v>
      </c>
      <c r="C1082" s="513"/>
      <c r="E1082"/>
      <c r="F1082"/>
      <c r="H1082"/>
      <c r="M1082" s="27"/>
      <c r="N1082" s="27"/>
      <c r="O1082" s="27"/>
      <c r="P1082" s="27"/>
      <c r="Q1082" s="27"/>
      <c r="R1082" s="511"/>
    </row>
    <row r="1083" spans="1:18">
      <c r="A1083" s="513" t="s">
        <v>20467</v>
      </c>
      <c r="B1083" s="513">
        <v>-44526094</v>
      </c>
      <c r="C1083" s="513"/>
      <c r="E1083"/>
      <c r="F1083"/>
      <c r="H1083"/>
      <c r="M1083" s="27"/>
      <c r="N1083" s="27"/>
      <c r="O1083" s="27"/>
      <c r="P1083" s="27"/>
      <c r="Q1083" s="27"/>
      <c r="R1083" s="511"/>
    </row>
    <row r="1084" spans="1:18">
      <c r="A1084" s="513" t="s">
        <v>20431</v>
      </c>
      <c r="B1084" s="513">
        <v>2043324606</v>
      </c>
      <c r="C1084" s="513"/>
      <c r="E1084"/>
      <c r="F1084"/>
      <c r="H1084"/>
      <c r="M1084" s="27"/>
      <c r="N1084" s="27"/>
      <c r="O1084" s="27"/>
      <c r="P1084" s="27"/>
      <c r="Q1084" s="27"/>
      <c r="R1084" s="511"/>
    </row>
    <row r="1085" spans="1:18">
      <c r="A1085" s="513" t="s">
        <v>20462</v>
      </c>
      <c r="B1085" s="513">
        <v>410298220</v>
      </c>
      <c r="C1085" s="513"/>
      <c r="E1085"/>
      <c r="F1085"/>
      <c r="H1085"/>
      <c r="M1085" s="27"/>
      <c r="N1085" s="27"/>
      <c r="O1085" s="27"/>
      <c r="P1085" s="27"/>
      <c r="Q1085" s="27"/>
      <c r="R1085" s="511"/>
    </row>
    <row r="1086" spans="1:18">
      <c r="A1086" s="513" t="s">
        <v>20463</v>
      </c>
      <c r="B1086" s="513">
        <v>410298220</v>
      </c>
      <c r="C1086" s="513"/>
      <c r="E1086"/>
      <c r="F1086"/>
      <c r="H1086"/>
      <c r="M1086" s="27"/>
      <c r="N1086" s="27"/>
      <c r="O1086" s="27"/>
      <c r="P1086" s="27"/>
      <c r="Q1086" s="27"/>
      <c r="R1086" s="511"/>
    </row>
    <row r="1087" spans="1:18">
      <c r="A1087" s="513" t="s">
        <v>20458</v>
      </c>
      <c r="B1087" s="513">
        <v>2043324606</v>
      </c>
      <c r="C1087" s="513"/>
      <c r="E1087"/>
      <c r="F1087"/>
      <c r="H1087"/>
      <c r="M1087" s="27"/>
      <c r="N1087" s="27"/>
      <c r="O1087" s="27"/>
      <c r="P1087" s="27"/>
      <c r="Q1087" s="27"/>
      <c r="R1087" s="511"/>
    </row>
    <row r="1088" spans="1:18">
      <c r="A1088" s="513" t="s">
        <v>20454</v>
      </c>
      <c r="B1088" s="513">
        <v>156473883</v>
      </c>
      <c r="C1088" s="513"/>
      <c r="E1088"/>
      <c r="F1088"/>
      <c r="H1088"/>
      <c r="M1088" s="27"/>
      <c r="N1088" s="27"/>
      <c r="O1088" s="27"/>
      <c r="P1088" s="27"/>
      <c r="Q1088" s="27"/>
      <c r="R1088" s="511"/>
    </row>
    <row r="1089" spans="1:18">
      <c r="A1089" s="513" t="s">
        <v>20455</v>
      </c>
      <c r="B1089" s="513">
        <v>200999977</v>
      </c>
      <c r="C1089" s="513"/>
      <c r="E1089"/>
      <c r="F1089"/>
      <c r="H1089"/>
      <c r="M1089" s="27"/>
      <c r="N1089" s="27"/>
      <c r="O1089" s="27"/>
      <c r="P1089" s="27"/>
      <c r="Q1089" s="27"/>
      <c r="R1089" s="511"/>
    </row>
    <row r="1090" spans="1:18">
      <c r="A1090" s="513" t="s">
        <v>20468</v>
      </c>
      <c r="B1090" s="513">
        <v>-44526094</v>
      </c>
      <c r="C1090" s="513"/>
      <c r="E1090"/>
      <c r="F1090"/>
      <c r="H1090"/>
      <c r="M1090" s="27"/>
      <c r="N1090" s="27"/>
      <c r="O1090" s="27"/>
      <c r="P1090" s="27"/>
      <c r="Q1090" s="27"/>
      <c r="R1090" s="511"/>
    </row>
    <row r="1091" spans="1:18">
      <c r="A1091" s="513" t="s">
        <v>20432</v>
      </c>
      <c r="B1091" s="513">
        <v>2043324606</v>
      </c>
      <c r="C1091" s="513"/>
      <c r="E1091"/>
      <c r="F1091"/>
      <c r="H1091"/>
      <c r="M1091" s="27"/>
      <c r="N1091" s="27"/>
      <c r="O1091" s="27"/>
      <c r="P1091" s="27"/>
      <c r="Q1091" s="27"/>
      <c r="R1091" s="511"/>
    </row>
    <row r="1092" spans="1:18">
      <c r="A1092" s="513" t="s">
        <v>20433</v>
      </c>
      <c r="B1092" s="513">
        <v>2043324606</v>
      </c>
      <c r="C1092" s="513"/>
      <c r="E1092"/>
      <c r="F1092"/>
      <c r="H1092"/>
      <c r="M1092" s="27"/>
      <c r="N1092" s="27"/>
      <c r="O1092" s="27"/>
      <c r="P1092" s="27"/>
      <c r="Q1092" s="27"/>
      <c r="R1092" s="511"/>
    </row>
    <row r="1093" spans="1:18">
      <c r="A1093" s="513" t="s">
        <v>19565</v>
      </c>
      <c r="B1093" s="513">
        <v>998906</v>
      </c>
      <c r="C1093" s="513"/>
      <c r="E1093"/>
      <c r="F1093"/>
      <c r="H1093"/>
      <c r="M1093" s="27"/>
      <c r="N1093" s="27"/>
      <c r="O1093" s="27"/>
      <c r="P1093" s="27"/>
      <c r="Q1093" s="27"/>
      <c r="R1093" s="511"/>
    </row>
    <row r="1094" spans="1:18">
      <c r="A1094" s="513" t="s">
        <v>19613</v>
      </c>
      <c r="B1094" s="513">
        <v>2334658</v>
      </c>
      <c r="C1094" s="513"/>
      <c r="E1094"/>
      <c r="F1094"/>
      <c r="H1094"/>
      <c r="M1094" s="27"/>
      <c r="N1094" s="27"/>
      <c r="O1094" s="27"/>
      <c r="P1094" s="27"/>
      <c r="Q1094" s="27"/>
      <c r="R1094" s="511"/>
    </row>
    <row r="1095" spans="1:18">
      <c r="A1095" s="513" t="s">
        <v>19566</v>
      </c>
      <c r="B1095" s="513">
        <v>4049</v>
      </c>
      <c r="C1095" s="513"/>
      <c r="E1095"/>
      <c r="F1095"/>
      <c r="H1095"/>
      <c r="M1095" s="27"/>
      <c r="N1095" s="27"/>
      <c r="O1095" s="27"/>
      <c r="P1095" s="27"/>
      <c r="Q1095" s="27"/>
      <c r="R1095" s="511"/>
    </row>
    <row r="1096" spans="1:18">
      <c r="A1096" s="513" t="s">
        <v>19614</v>
      </c>
      <c r="B1096" s="513">
        <v>136839</v>
      </c>
      <c r="C1096" s="513"/>
      <c r="E1096"/>
      <c r="F1096"/>
      <c r="H1096"/>
      <c r="M1096" s="27"/>
      <c r="N1096" s="27"/>
      <c r="O1096" s="27"/>
      <c r="P1096" s="27"/>
      <c r="Q1096" s="27"/>
      <c r="R1096" s="511"/>
    </row>
    <row r="1097" spans="1:18">
      <c r="A1097" s="513" t="s">
        <v>19567</v>
      </c>
      <c r="B1097" s="513">
        <v>2043324606</v>
      </c>
      <c r="C1097" s="513"/>
      <c r="E1097"/>
      <c r="F1097"/>
      <c r="H1097"/>
      <c r="M1097" s="27"/>
      <c r="N1097" s="27"/>
      <c r="O1097" s="27"/>
      <c r="P1097" s="27"/>
      <c r="Q1097" s="27"/>
      <c r="R1097" s="511"/>
    </row>
    <row r="1098" spans="1:18">
      <c r="A1098" s="513" t="s">
        <v>20079</v>
      </c>
      <c r="B1098" s="513">
        <v>193733</v>
      </c>
      <c r="C1098" s="513"/>
      <c r="E1098"/>
      <c r="F1098"/>
      <c r="H1098"/>
      <c r="M1098" s="27"/>
      <c r="N1098" s="27"/>
      <c r="O1098" s="27"/>
      <c r="P1098" s="27"/>
      <c r="Q1098" s="27"/>
      <c r="R1098" s="511"/>
    </row>
    <row r="1099" spans="1:18">
      <c r="A1099" s="513" t="s">
        <v>19570</v>
      </c>
      <c r="B1099" s="513">
        <v>156473883</v>
      </c>
      <c r="C1099" s="513"/>
      <c r="E1099"/>
      <c r="F1099"/>
      <c r="H1099"/>
      <c r="M1099" s="27"/>
      <c r="N1099" s="27"/>
      <c r="O1099" s="27"/>
      <c r="P1099" s="27"/>
      <c r="Q1099" s="27"/>
      <c r="R1099" s="511"/>
    </row>
    <row r="1100" spans="1:18">
      <c r="A1100" s="513" t="s">
        <v>19571</v>
      </c>
      <c r="B1100" s="513">
        <v>42399669</v>
      </c>
      <c r="C1100" s="513"/>
      <c r="E1100"/>
      <c r="F1100"/>
      <c r="H1100"/>
      <c r="M1100" s="27"/>
      <c r="N1100" s="27"/>
      <c r="O1100" s="27"/>
      <c r="P1100" s="27"/>
      <c r="Q1100" s="27"/>
      <c r="R1100" s="511"/>
    </row>
    <row r="1101" spans="1:18">
      <c r="A1101" s="513" t="s">
        <v>19572</v>
      </c>
      <c r="B1101" s="513">
        <v>12295697</v>
      </c>
      <c r="C1101" s="513"/>
      <c r="E1101"/>
      <c r="F1101"/>
      <c r="H1101"/>
      <c r="M1101" s="27"/>
      <c r="N1101" s="27"/>
      <c r="O1101" s="27"/>
      <c r="P1101" s="27"/>
      <c r="Q1101" s="27"/>
      <c r="R1101" s="511"/>
    </row>
    <row r="1102" spans="1:18">
      <c r="A1102" s="513" t="s">
        <v>19573</v>
      </c>
      <c r="B1102" s="513">
        <v>655515</v>
      </c>
      <c r="C1102" s="513"/>
      <c r="E1102"/>
      <c r="F1102"/>
      <c r="H1102"/>
      <c r="M1102" s="27"/>
      <c r="N1102" s="27"/>
      <c r="O1102" s="27"/>
      <c r="P1102" s="27"/>
      <c r="Q1102" s="27"/>
      <c r="R1102" s="511"/>
    </row>
    <row r="1103" spans="1:18">
      <c r="A1103" s="513" t="s">
        <v>19574</v>
      </c>
      <c r="B1103" s="513">
        <v>715740753</v>
      </c>
      <c r="C1103" s="513"/>
      <c r="E1103"/>
      <c r="F1103"/>
      <c r="H1103"/>
      <c r="M1103" s="27"/>
      <c r="N1103" s="27"/>
      <c r="O1103" s="27"/>
      <c r="P1103" s="27"/>
      <c r="Q1103" s="27"/>
      <c r="R1103" s="511"/>
    </row>
    <row r="1104" spans="1:18">
      <c r="A1104" s="513" t="s">
        <v>20080</v>
      </c>
      <c r="B1104" s="513">
        <v>54209468</v>
      </c>
      <c r="C1104" s="513"/>
      <c r="E1104"/>
      <c r="F1104"/>
      <c r="H1104"/>
      <c r="M1104" s="27"/>
      <c r="N1104" s="27"/>
      <c r="O1104" s="27"/>
      <c r="P1104" s="27"/>
      <c r="Q1104" s="27"/>
      <c r="R1104" s="511"/>
    </row>
    <row r="1105" spans="1:18">
      <c r="A1105" s="513" t="s">
        <v>19575</v>
      </c>
      <c r="B1105" s="513">
        <v>2043324606</v>
      </c>
      <c r="C1105" s="513"/>
      <c r="E1105"/>
      <c r="F1105"/>
      <c r="H1105"/>
      <c r="M1105" s="27"/>
      <c r="N1105" s="27"/>
      <c r="O1105" s="27"/>
      <c r="P1105" s="27"/>
      <c r="Q1105" s="27"/>
      <c r="R1105" s="511"/>
    </row>
    <row r="1106" spans="1:18">
      <c r="A1106" s="513" t="s">
        <v>19576</v>
      </c>
      <c r="B1106" s="513">
        <v>-44526094</v>
      </c>
      <c r="C1106" s="513"/>
      <c r="E1106"/>
      <c r="F1106"/>
      <c r="H1106"/>
      <c r="M1106" s="27"/>
      <c r="N1106" s="27"/>
      <c r="O1106" s="27"/>
      <c r="P1106" s="27"/>
      <c r="Q1106" s="27"/>
      <c r="R1106" s="511"/>
    </row>
    <row r="1107" spans="1:18">
      <c r="A1107" s="513" t="s">
        <v>19577</v>
      </c>
      <c r="B1107" s="513">
        <v>1086475636</v>
      </c>
      <c r="C1107" s="513"/>
      <c r="E1107"/>
      <c r="F1107"/>
      <c r="H1107"/>
      <c r="M1107" s="27"/>
      <c r="N1107" s="27"/>
      <c r="O1107" s="27"/>
      <c r="P1107" s="27"/>
      <c r="Q1107" s="27"/>
      <c r="R1107" s="511"/>
    </row>
    <row r="1108" spans="1:18">
      <c r="A1108" s="513" t="s">
        <v>19578</v>
      </c>
      <c r="B1108" s="513">
        <v>334621</v>
      </c>
      <c r="C1108" s="513"/>
      <c r="E1108"/>
      <c r="F1108"/>
      <c r="H1108"/>
      <c r="M1108" s="27"/>
      <c r="N1108" s="27"/>
      <c r="O1108" s="27"/>
      <c r="P1108" s="27"/>
      <c r="Q1108" s="27"/>
      <c r="R1108" s="511"/>
    </row>
    <row r="1109" spans="1:18">
      <c r="A1109" s="513" t="s">
        <v>20047</v>
      </c>
      <c r="B1109" s="513">
        <v>-2334658</v>
      </c>
      <c r="C1109" s="513"/>
      <c r="E1109"/>
      <c r="F1109"/>
      <c r="H1109"/>
      <c r="M1109" s="27"/>
      <c r="N1109" s="27"/>
      <c r="O1109" s="27"/>
      <c r="P1109" s="27"/>
      <c r="Q1109" s="27"/>
      <c r="R1109" s="511"/>
    </row>
    <row r="1110" spans="1:18">
      <c r="A1110" s="513" t="s">
        <v>20046</v>
      </c>
      <c r="B1110" s="513">
        <v>998906</v>
      </c>
      <c r="C1110" s="513"/>
      <c r="E1110"/>
      <c r="F1110"/>
      <c r="H1110"/>
      <c r="M1110" s="27"/>
      <c r="N1110" s="27"/>
      <c r="O1110" s="27"/>
      <c r="P1110" s="27"/>
      <c r="Q1110" s="27"/>
      <c r="R1110" s="511"/>
    </row>
    <row r="1111" spans="1:18">
      <c r="A1111" s="513" t="s">
        <v>20027</v>
      </c>
      <c r="B1111" s="513">
        <v>5741954</v>
      </c>
      <c r="C1111" s="513"/>
      <c r="E1111"/>
      <c r="F1111"/>
      <c r="H1111"/>
      <c r="M1111" s="27"/>
      <c r="N1111" s="27"/>
      <c r="O1111" s="27"/>
      <c r="P1111" s="27"/>
      <c r="Q1111" s="27"/>
      <c r="R1111" s="511"/>
    </row>
    <row r="1112" spans="1:18">
      <c r="A1112" s="513" t="s">
        <v>19580</v>
      </c>
      <c r="B1112" s="513">
        <v>54427162</v>
      </c>
      <c r="C1112" s="513"/>
      <c r="E1112"/>
      <c r="F1112"/>
      <c r="H1112"/>
      <c r="M1112" s="27"/>
      <c r="N1112" s="27"/>
      <c r="O1112" s="27"/>
      <c r="P1112" s="27"/>
      <c r="Q1112" s="27"/>
      <c r="R1112" s="511"/>
    </row>
    <row r="1113" spans="1:18">
      <c r="A1113" s="513" t="s">
        <v>19579</v>
      </c>
      <c r="B1113" s="513">
        <v>54427162</v>
      </c>
      <c r="C1113" s="513"/>
      <c r="E1113"/>
      <c r="F1113"/>
      <c r="H1113"/>
      <c r="M1113" s="27"/>
      <c r="N1113" s="27"/>
      <c r="O1113" s="27"/>
      <c r="P1113" s="27"/>
      <c r="Q1113" s="27"/>
      <c r="R1113" s="511"/>
    </row>
    <row r="1114" spans="1:18">
      <c r="A1114" s="513" t="s">
        <v>19584</v>
      </c>
      <c r="B1114" s="513">
        <v>153797434</v>
      </c>
      <c r="C1114" s="513"/>
      <c r="E1114"/>
      <c r="F1114"/>
      <c r="H1114"/>
      <c r="M1114" s="27"/>
      <c r="N1114" s="27"/>
      <c r="O1114" s="27"/>
      <c r="P1114" s="27"/>
      <c r="Q1114" s="27"/>
      <c r="R1114" s="511"/>
    </row>
    <row r="1115" spans="1:18">
      <c r="A1115" s="513" t="s">
        <v>19585</v>
      </c>
      <c r="B1115" s="513">
        <v>153797434</v>
      </c>
      <c r="C1115" s="513"/>
      <c r="E1115"/>
      <c r="F1115"/>
      <c r="H1115"/>
      <c r="M1115" s="27"/>
      <c r="N1115" s="27"/>
      <c r="O1115" s="27"/>
      <c r="P1115" s="27"/>
      <c r="Q1115" s="27"/>
      <c r="R1115" s="511"/>
    </row>
    <row r="1116" spans="1:18">
      <c r="A1116" s="513" t="s">
        <v>19583</v>
      </c>
      <c r="B1116" s="513">
        <v>28604379</v>
      </c>
      <c r="C1116" s="513"/>
      <c r="E1116"/>
      <c r="F1116"/>
      <c r="H1116"/>
      <c r="M1116" s="27"/>
      <c r="N1116" s="27"/>
      <c r="O1116" s="27"/>
      <c r="P1116" s="27"/>
      <c r="Q1116" s="27"/>
      <c r="R1116" s="511"/>
    </row>
    <row r="1117" spans="1:18">
      <c r="A1117" s="513" t="s">
        <v>19582</v>
      </c>
      <c r="B1117" s="513">
        <v>28604379</v>
      </c>
      <c r="C1117" s="513"/>
      <c r="E1117"/>
      <c r="F1117"/>
      <c r="H1117"/>
      <c r="M1117" s="27"/>
      <c r="N1117" s="27"/>
      <c r="O1117" s="27"/>
      <c r="P1117" s="27"/>
      <c r="Q1117" s="27"/>
      <c r="R1117" s="511"/>
    </row>
    <row r="1118" spans="1:18">
      <c r="A1118" s="513" t="s">
        <v>19581</v>
      </c>
      <c r="B1118" s="513">
        <v>426291082</v>
      </c>
      <c r="C1118" s="513"/>
      <c r="E1118"/>
      <c r="F1118"/>
      <c r="H1118"/>
      <c r="M1118" s="27"/>
      <c r="N1118" s="27"/>
      <c r="O1118" s="27"/>
      <c r="P1118" s="27"/>
      <c r="Q1118" s="27"/>
      <c r="R1118" s="511"/>
    </row>
    <row r="1119" spans="1:18">
      <c r="A1119" s="513" t="s">
        <v>20081</v>
      </c>
      <c r="B1119" s="513">
        <v>1086475636</v>
      </c>
      <c r="C1119" s="513"/>
      <c r="E1119"/>
      <c r="F1119"/>
      <c r="H1119"/>
      <c r="M1119" s="27"/>
      <c r="N1119" s="27"/>
      <c r="O1119" s="27"/>
      <c r="P1119" s="27"/>
      <c r="Q1119" s="27"/>
      <c r="R1119" s="511"/>
    </row>
    <row r="1120" spans="1:18">
      <c r="A1120" s="513" t="s">
        <v>20173</v>
      </c>
      <c r="B1120" s="513">
        <v>59846843</v>
      </c>
      <c r="C1120" s="513"/>
      <c r="E1120"/>
      <c r="F1120"/>
      <c r="H1120"/>
      <c r="M1120" s="27"/>
      <c r="N1120" s="27"/>
      <c r="O1120" s="27"/>
      <c r="P1120" s="27"/>
      <c r="Q1120" s="27"/>
      <c r="R1120" s="511"/>
    </row>
    <row r="1121" spans="5:18">
      <c r="E1121"/>
      <c r="F1121"/>
      <c r="H1121"/>
      <c r="M1121" s="27"/>
      <c r="N1121" s="27"/>
      <c r="O1121" s="27"/>
      <c r="P1121" s="27"/>
      <c r="Q1121" s="27"/>
      <c r="R1121" s="511"/>
    </row>
    <row r="1122" spans="5:18">
      <c r="E1122"/>
      <c r="F1122"/>
      <c r="H1122"/>
      <c r="M1122" s="27"/>
      <c r="N1122" s="27"/>
      <c r="O1122" s="27"/>
      <c r="P1122" s="27"/>
      <c r="Q1122" s="27"/>
      <c r="R1122" s="511"/>
    </row>
    <row r="1123" spans="5:18">
      <c r="E1123"/>
      <c r="F1123"/>
      <c r="H1123"/>
      <c r="M1123" s="27"/>
      <c r="N1123" s="27"/>
      <c r="O1123" s="27"/>
      <c r="P1123" s="27"/>
      <c r="Q1123" s="27"/>
      <c r="R1123" s="511"/>
    </row>
    <row r="1124" spans="5:18">
      <c r="E1124"/>
      <c r="F1124"/>
      <c r="H1124"/>
      <c r="M1124" s="27"/>
      <c r="N1124" s="27"/>
      <c r="O1124" s="27"/>
      <c r="P1124" s="27"/>
      <c r="Q1124" s="27"/>
      <c r="R1124" s="511"/>
    </row>
    <row r="1125" spans="5:18">
      <c r="E1125"/>
      <c r="F1125"/>
      <c r="H1125"/>
      <c r="M1125" s="27"/>
      <c r="N1125" s="27"/>
      <c r="O1125" s="27"/>
      <c r="P1125" s="27"/>
      <c r="Q1125" s="27"/>
      <c r="R1125" s="511"/>
    </row>
    <row r="1126" spans="5:18">
      <c r="E1126"/>
      <c r="F1126"/>
      <c r="H1126"/>
      <c r="M1126" s="27"/>
      <c r="N1126" s="27"/>
      <c r="O1126" s="27"/>
      <c r="P1126" s="27"/>
      <c r="Q1126" s="27"/>
      <c r="R1126" s="511"/>
    </row>
    <row r="1127" spans="5:18">
      <c r="E1127"/>
      <c r="F1127"/>
      <c r="H1127"/>
      <c r="M1127" s="27"/>
      <c r="N1127" s="27"/>
      <c r="O1127" s="27"/>
      <c r="P1127" s="27"/>
      <c r="Q1127" s="27"/>
      <c r="R1127" s="511"/>
    </row>
    <row r="1128" spans="5:18">
      <c r="E1128"/>
      <c r="F1128"/>
      <c r="H1128"/>
      <c r="M1128" s="27"/>
      <c r="N1128" s="27"/>
      <c r="O1128" s="27"/>
      <c r="P1128" s="27"/>
      <c r="Q1128" s="27"/>
      <c r="R1128" s="511"/>
    </row>
    <row r="1129" spans="5:18">
      <c r="E1129"/>
      <c r="F1129"/>
      <c r="H1129"/>
      <c r="M1129" s="27"/>
      <c r="N1129" s="27"/>
      <c r="O1129" s="27"/>
      <c r="P1129" s="27"/>
      <c r="Q1129" s="27"/>
      <c r="R1129" s="511"/>
    </row>
    <row r="1130" spans="5:18">
      <c r="E1130"/>
      <c r="F1130"/>
      <c r="H1130"/>
      <c r="M1130" s="27"/>
      <c r="N1130" s="27"/>
      <c r="O1130" s="27"/>
      <c r="P1130" s="27"/>
      <c r="Q1130" s="27"/>
      <c r="R1130" s="511"/>
    </row>
    <row r="1131" spans="5:18">
      <c r="E1131"/>
      <c r="F1131"/>
      <c r="H1131"/>
      <c r="M1131" s="27"/>
      <c r="N1131" s="27"/>
      <c r="O1131" s="27"/>
      <c r="P1131" s="27"/>
      <c r="Q1131" s="27"/>
      <c r="R1131" s="511"/>
    </row>
    <row r="1132" spans="5:18">
      <c r="E1132"/>
      <c r="F1132"/>
      <c r="H1132"/>
      <c r="M1132" s="27"/>
      <c r="N1132" s="27"/>
      <c r="O1132" s="27"/>
      <c r="P1132" s="27"/>
      <c r="Q1132" s="27"/>
      <c r="R1132" s="511"/>
    </row>
    <row r="1133" spans="5:18">
      <c r="E1133"/>
      <c r="F1133"/>
      <c r="H1133"/>
      <c r="M1133" s="27"/>
      <c r="N1133" s="27"/>
      <c r="O1133" s="27"/>
      <c r="P1133" s="27"/>
      <c r="Q1133" s="27"/>
      <c r="R1133" s="511"/>
    </row>
    <row r="1134" spans="5:18">
      <c r="E1134"/>
      <c r="F1134"/>
      <c r="H1134"/>
      <c r="M1134" s="27"/>
      <c r="N1134" s="27"/>
      <c r="O1134" s="27"/>
      <c r="P1134" s="27"/>
      <c r="Q1134" s="27"/>
      <c r="R1134" s="511"/>
    </row>
    <row r="1135" spans="5:18">
      <c r="E1135"/>
      <c r="F1135"/>
      <c r="H1135"/>
      <c r="M1135" s="27"/>
      <c r="N1135" s="27"/>
      <c r="O1135" s="27"/>
      <c r="P1135" s="27"/>
      <c r="Q1135" s="27"/>
      <c r="R1135" s="511"/>
    </row>
    <row r="1136" spans="5:18">
      <c r="E1136"/>
      <c r="F1136"/>
      <c r="H1136"/>
      <c r="M1136" s="27"/>
      <c r="N1136" s="27"/>
      <c r="O1136" s="27"/>
      <c r="P1136" s="27"/>
      <c r="Q1136" s="27"/>
      <c r="R1136" s="511"/>
    </row>
    <row r="1137" spans="5:18">
      <c r="E1137"/>
      <c r="F1137"/>
      <c r="H1137"/>
      <c r="M1137" s="27"/>
      <c r="N1137" s="27"/>
      <c r="O1137" s="27"/>
      <c r="P1137" s="27"/>
      <c r="Q1137" s="27"/>
      <c r="R1137" s="511"/>
    </row>
    <row r="1138" spans="5:18">
      <c r="E1138"/>
      <c r="F1138"/>
      <c r="H1138"/>
      <c r="M1138" s="27"/>
      <c r="N1138" s="27"/>
      <c r="O1138" s="27"/>
      <c r="P1138" s="27"/>
      <c r="Q1138" s="27"/>
      <c r="R1138" s="511"/>
    </row>
    <row r="1139" spans="5:18">
      <c r="E1139"/>
      <c r="F1139"/>
      <c r="H1139"/>
      <c r="M1139" s="27"/>
      <c r="N1139" s="27"/>
      <c r="O1139" s="27"/>
      <c r="P1139" s="27"/>
      <c r="Q1139" s="27"/>
      <c r="R1139" s="511"/>
    </row>
    <row r="1140" spans="5:18">
      <c r="E1140"/>
      <c r="F1140"/>
      <c r="H1140"/>
      <c r="M1140" s="27"/>
      <c r="N1140" s="27"/>
      <c r="O1140" s="27"/>
      <c r="P1140" s="27"/>
      <c r="Q1140" s="27"/>
      <c r="R1140" s="511"/>
    </row>
    <row r="1141" spans="5:18">
      <c r="E1141"/>
      <c r="F1141"/>
      <c r="H1141"/>
      <c r="M1141" s="27"/>
      <c r="N1141" s="27"/>
      <c r="O1141" s="27"/>
      <c r="P1141" s="27"/>
      <c r="Q1141" s="27"/>
      <c r="R1141" s="511"/>
    </row>
    <row r="1142" spans="5:18">
      <c r="E1142"/>
      <c r="F1142"/>
      <c r="H1142"/>
      <c r="M1142" s="27"/>
      <c r="N1142" s="27"/>
      <c r="O1142" s="27"/>
      <c r="P1142" s="27"/>
      <c r="Q1142" s="27"/>
      <c r="R1142" s="511"/>
    </row>
    <row r="1143" spans="5:18">
      <c r="E1143"/>
      <c r="F1143"/>
      <c r="H1143"/>
      <c r="M1143" s="27"/>
      <c r="N1143" s="27"/>
      <c r="O1143" s="27"/>
      <c r="P1143" s="27"/>
      <c r="Q1143" s="27"/>
      <c r="R1143" s="511"/>
    </row>
    <row r="1144" spans="5:18">
      <c r="E1144"/>
      <c r="F1144"/>
      <c r="H1144"/>
      <c r="M1144" s="27"/>
      <c r="N1144" s="27"/>
      <c r="O1144" s="27"/>
      <c r="P1144" s="27"/>
      <c r="Q1144" s="27"/>
      <c r="R1144" s="511"/>
    </row>
    <row r="1145" spans="5:18">
      <c r="E1145"/>
      <c r="F1145"/>
      <c r="H1145"/>
      <c r="M1145" s="27"/>
      <c r="N1145" s="27"/>
      <c r="O1145" s="27"/>
      <c r="P1145" s="27"/>
      <c r="Q1145" s="27"/>
      <c r="R1145" s="511"/>
    </row>
    <row r="1146" spans="5:18">
      <c r="E1146"/>
      <c r="F1146"/>
      <c r="H1146"/>
      <c r="M1146" s="27"/>
      <c r="N1146" s="27"/>
      <c r="O1146" s="27"/>
      <c r="P1146" s="27"/>
      <c r="Q1146" s="27"/>
      <c r="R1146" s="511"/>
    </row>
    <row r="1147" spans="5:18">
      <c r="E1147"/>
      <c r="F1147"/>
      <c r="H1147"/>
      <c r="M1147" s="27"/>
      <c r="N1147" s="27"/>
      <c r="O1147" s="27"/>
      <c r="P1147" s="27"/>
      <c r="Q1147" s="27"/>
      <c r="R1147" s="511"/>
    </row>
    <row r="1148" spans="5:18">
      <c r="E1148"/>
      <c r="F1148"/>
      <c r="H1148"/>
      <c r="M1148" s="27"/>
      <c r="N1148" s="27"/>
      <c r="O1148" s="27"/>
      <c r="P1148" s="27"/>
      <c r="Q1148" s="27"/>
      <c r="R1148" s="511"/>
    </row>
    <row r="1149" spans="5:18">
      <c r="E1149"/>
      <c r="F1149"/>
      <c r="H1149"/>
      <c r="M1149" s="27"/>
      <c r="N1149" s="27"/>
      <c r="O1149" s="27"/>
      <c r="P1149" s="27"/>
      <c r="Q1149" s="27"/>
      <c r="R1149" s="511"/>
    </row>
    <row r="1150" spans="5:18">
      <c r="E1150"/>
      <c r="F1150"/>
      <c r="H1150"/>
      <c r="M1150" s="27"/>
      <c r="N1150" s="27"/>
      <c r="O1150" s="27"/>
      <c r="P1150" s="27"/>
      <c r="Q1150" s="27"/>
      <c r="R1150" s="511"/>
    </row>
    <row r="1151" spans="5:18">
      <c r="E1151"/>
      <c r="F1151"/>
      <c r="H1151"/>
      <c r="M1151" s="27"/>
      <c r="N1151" s="27"/>
      <c r="O1151" s="27"/>
      <c r="P1151" s="27"/>
      <c r="Q1151" s="27"/>
      <c r="R1151" s="511"/>
    </row>
    <row r="1152" spans="5:18">
      <c r="E1152"/>
      <c r="F1152"/>
      <c r="H1152"/>
      <c r="M1152" s="27"/>
      <c r="N1152" s="27"/>
      <c r="O1152" s="27"/>
      <c r="P1152" s="27"/>
      <c r="Q1152" s="27"/>
      <c r="R1152" s="511"/>
    </row>
    <row r="1153" spans="5:18">
      <c r="E1153"/>
      <c r="F1153"/>
      <c r="H1153"/>
      <c r="M1153" s="27"/>
      <c r="N1153" s="27"/>
      <c r="O1153" s="27"/>
      <c r="P1153" s="27"/>
      <c r="Q1153" s="27"/>
      <c r="R1153" s="511"/>
    </row>
    <row r="1154" spans="5:18">
      <c r="E1154"/>
      <c r="F1154"/>
      <c r="H1154"/>
      <c r="M1154" s="27"/>
      <c r="N1154" s="27"/>
      <c r="O1154" s="27"/>
      <c r="P1154" s="27"/>
      <c r="Q1154" s="27"/>
      <c r="R1154" s="511"/>
    </row>
    <row r="1155" spans="5:18">
      <c r="E1155"/>
      <c r="F1155"/>
      <c r="H1155"/>
      <c r="M1155" s="27"/>
      <c r="N1155" s="27"/>
      <c r="O1155" s="27"/>
      <c r="P1155" s="27"/>
      <c r="Q1155" s="27"/>
      <c r="R1155" s="511"/>
    </row>
    <row r="1156" spans="5:18">
      <c r="E1156"/>
      <c r="F1156"/>
      <c r="H1156"/>
      <c r="M1156" s="27"/>
      <c r="N1156" s="27"/>
      <c r="O1156" s="27"/>
      <c r="P1156" s="27"/>
      <c r="Q1156" s="27"/>
      <c r="R1156" s="511"/>
    </row>
    <row r="1157" spans="5:18">
      <c r="E1157"/>
      <c r="F1157"/>
      <c r="H1157"/>
      <c r="M1157" s="27"/>
      <c r="N1157" s="27"/>
      <c r="O1157" s="27"/>
      <c r="P1157" s="27"/>
      <c r="Q1157" s="27"/>
      <c r="R1157" s="511"/>
    </row>
    <row r="1158" spans="5:18">
      <c r="E1158"/>
      <c r="F1158"/>
      <c r="H1158"/>
      <c r="M1158" s="27"/>
      <c r="N1158" s="27"/>
      <c r="O1158" s="27"/>
      <c r="P1158" s="27"/>
      <c r="Q1158" s="27"/>
      <c r="R1158" s="511"/>
    </row>
    <row r="1159" spans="5:18">
      <c r="E1159"/>
      <c r="F1159"/>
      <c r="H1159"/>
      <c r="M1159" s="27"/>
      <c r="N1159" s="27"/>
      <c r="O1159" s="27"/>
      <c r="P1159" s="27"/>
      <c r="Q1159" s="27"/>
      <c r="R1159" s="511"/>
    </row>
    <row r="1160" spans="5:18">
      <c r="E1160"/>
      <c r="F1160"/>
      <c r="H1160"/>
      <c r="M1160" s="27"/>
      <c r="N1160" s="27"/>
      <c r="O1160" s="27"/>
      <c r="P1160" s="27"/>
      <c r="Q1160" s="27"/>
      <c r="R1160" s="511"/>
    </row>
    <row r="1161" spans="5:18">
      <c r="E1161"/>
      <c r="F1161"/>
      <c r="H1161"/>
      <c r="M1161" s="27"/>
      <c r="N1161" s="27"/>
      <c r="O1161" s="27"/>
      <c r="P1161" s="27"/>
      <c r="Q1161" s="27"/>
      <c r="R1161" s="511"/>
    </row>
    <row r="1162" spans="5:18">
      <c r="E1162"/>
      <c r="F1162"/>
      <c r="H1162"/>
      <c r="M1162" s="27"/>
      <c r="N1162" s="27"/>
      <c r="O1162" s="27"/>
      <c r="P1162" s="27"/>
      <c r="Q1162" s="27"/>
      <c r="R1162" s="511"/>
    </row>
    <row r="1163" spans="5:18">
      <c r="E1163"/>
      <c r="F1163"/>
      <c r="H1163"/>
      <c r="M1163" s="27"/>
      <c r="N1163" s="27"/>
      <c r="O1163" s="27"/>
      <c r="P1163" s="27"/>
      <c r="Q1163" s="27"/>
      <c r="R1163" s="511"/>
    </row>
    <row r="1164" spans="5:18">
      <c r="E1164"/>
      <c r="F1164"/>
      <c r="H1164"/>
      <c r="M1164" s="27"/>
      <c r="N1164" s="27"/>
      <c r="O1164" s="27"/>
      <c r="P1164" s="27"/>
      <c r="Q1164" s="27"/>
      <c r="R1164" s="511"/>
    </row>
    <row r="1165" spans="5:18">
      <c r="E1165"/>
      <c r="F1165"/>
      <c r="H1165"/>
      <c r="M1165" s="27"/>
      <c r="N1165" s="27"/>
      <c r="O1165" s="27"/>
      <c r="P1165" s="27"/>
      <c r="Q1165" s="27"/>
      <c r="R1165" s="511"/>
    </row>
    <row r="1166" spans="5:18">
      <c r="E1166"/>
      <c r="F1166"/>
      <c r="H1166"/>
      <c r="M1166" s="27"/>
      <c r="N1166" s="27"/>
      <c r="O1166" s="27"/>
      <c r="P1166" s="27"/>
      <c r="Q1166" s="27"/>
      <c r="R1166" s="511"/>
    </row>
    <row r="1167" spans="5:18">
      <c r="E1167"/>
      <c r="F1167"/>
      <c r="H1167"/>
      <c r="M1167" s="27"/>
      <c r="N1167" s="27"/>
      <c r="O1167" s="27"/>
      <c r="P1167" s="27"/>
      <c r="Q1167" s="27"/>
      <c r="R1167" s="511"/>
    </row>
    <row r="1168" spans="5:18">
      <c r="E1168"/>
      <c r="F1168"/>
      <c r="H1168"/>
      <c r="M1168" s="27"/>
      <c r="N1168" s="27"/>
      <c r="O1168" s="27"/>
      <c r="P1168" s="27"/>
      <c r="Q1168" s="27"/>
      <c r="R1168" s="511"/>
    </row>
    <row r="1169" spans="5:18">
      <c r="E1169"/>
      <c r="F1169"/>
      <c r="H1169"/>
      <c r="M1169" s="27"/>
      <c r="N1169" s="27"/>
      <c r="O1169" s="27"/>
      <c r="P1169" s="27"/>
      <c r="Q1169" s="27"/>
      <c r="R1169" s="511"/>
    </row>
    <row r="1170" spans="5:18">
      <c r="E1170"/>
      <c r="F1170"/>
      <c r="H1170"/>
      <c r="M1170" s="27"/>
      <c r="N1170" s="27"/>
      <c r="O1170" s="27"/>
      <c r="P1170" s="27"/>
      <c r="Q1170" s="27"/>
      <c r="R1170" s="511"/>
    </row>
    <row r="1171" spans="5:18">
      <c r="E1171"/>
      <c r="F1171"/>
      <c r="H1171"/>
      <c r="M1171" s="27"/>
      <c r="N1171" s="27"/>
      <c r="O1171" s="27"/>
      <c r="P1171" s="27"/>
      <c r="Q1171" s="27"/>
      <c r="R1171" s="511"/>
    </row>
    <row r="1172" spans="5:18">
      <c r="E1172"/>
      <c r="F1172"/>
      <c r="H1172"/>
      <c r="M1172" s="27"/>
      <c r="N1172" s="27"/>
      <c r="O1172" s="27"/>
      <c r="P1172" s="27"/>
      <c r="Q1172" s="27"/>
      <c r="R1172" s="511"/>
    </row>
    <row r="1173" spans="5:18">
      <c r="E1173"/>
      <c r="F1173"/>
      <c r="H1173"/>
      <c r="M1173" s="27"/>
      <c r="N1173" s="27"/>
      <c r="O1173" s="27"/>
      <c r="P1173" s="27"/>
      <c r="Q1173" s="27"/>
      <c r="R1173" s="511"/>
    </row>
    <row r="1174" spans="5:18">
      <c r="E1174"/>
      <c r="F1174"/>
      <c r="H1174"/>
      <c r="M1174" s="27"/>
      <c r="N1174" s="27"/>
      <c r="O1174" s="27"/>
      <c r="P1174" s="27"/>
      <c r="Q1174" s="27"/>
      <c r="R1174" s="511"/>
    </row>
    <row r="1175" spans="5:18">
      <c r="E1175"/>
      <c r="F1175"/>
      <c r="H1175"/>
      <c r="M1175" s="27"/>
      <c r="N1175" s="27"/>
      <c r="O1175" s="27"/>
      <c r="P1175" s="27"/>
      <c r="Q1175" s="27"/>
      <c r="R1175" s="511"/>
    </row>
    <row r="1176" spans="5:18">
      <c r="E1176"/>
      <c r="F1176"/>
      <c r="H1176"/>
      <c r="M1176" s="27"/>
      <c r="N1176" s="27"/>
      <c r="O1176" s="27"/>
      <c r="P1176" s="27"/>
      <c r="Q1176" s="27"/>
      <c r="R1176" s="511"/>
    </row>
    <row r="1177" spans="5:18">
      <c r="E1177"/>
      <c r="F1177"/>
      <c r="H1177"/>
      <c r="M1177" s="27"/>
      <c r="N1177" s="27"/>
      <c r="O1177" s="27"/>
      <c r="P1177" s="27"/>
      <c r="Q1177" s="27"/>
      <c r="R1177" s="511"/>
    </row>
    <row r="1178" spans="5:18">
      <c r="E1178"/>
      <c r="F1178"/>
      <c r="H1178"/>
      <c r="M1178" s="27"/>
      <c r="N1178" s="27"/>
      <c r="O1178" s="27"/>
      <c r="P1178" s="27"/>
      <c r="Q1178" s="27"/>
      <c r="R1178" s="511"/>
    </row>
    <row r="1179" spans="5:18">
      <c r="E1179"/>
      <c r="F1179"/>
      <c r="H1179"/>
      <c r="M1179" s="27"/>
      <c r="N1179" s="27"/>
      <c r="O1179" s="27"/>
      <c r="P1179" s="27"/>
      <c r="Q1179" s="27"/>
      <c r="R1179" s="511"/>
    </row>
    <row r="1180" spans="5:18">
      <c r="E1180"/>
      <c r="F1180"/>
      <c r="H1180"/>
      <c r="M1180" s="27"/>
      <c r="N1180" s="27"/>
      <c r="O1180" s="27"/>
      <c r="P1180" s="27"/>
      <c r="Q1180" s="27"/>
      <c r="R1180" s="511"/>
    </row>
    <row r="1181" spans="5:18">
      <c r="E1181"/>
      <c r="F1181"/>
      <c r="H1181"/>
      <c r="M1181" s="27"/>
      <c r="N1181" s="27"/>
      <c r="O1181" s="27"/>
      <c r="P1181" s="27"/>
      <c r="Q1181" s="27"/>
      <c r="R1181" s="511"/>
    </row>
    <row r="1182" spans="5:18">
      <c r="E1182"/>
      <c r="F1182"/>
      <c r="H1182"/>
      <c r="M1182" s="27"/>
      <c r="N1182" s="27"/>
      <c r="O1182" s="27"/>
      <c r="P1182" s="27"/>
      <c r="Q1182" s="27"/>
      <c r="R1182" s="511"/>
    </row>
    <row r="1183" spans="5:18">
      <c r="E1183"/>
      <c r="F1183"/>
      <c r="H1183"/>
      <c r="M1183" s="27"/>
      <c r="N1183" s="27"/>
      <c r="O1183" s="27"/>
      <c r="P1183" s="27"/>
      <c r="Q1183" s="27"/>
      <c r="R1183" s="511"/>
    </row>
    <row r="1184" spans="5:18">
      <c r="E1184"/>
      <c r="F1184"/>
      <c r="H1184"/>
      <c r="M1184" s="27"/>
      <c r="N1184" s="27"/>
      <c r="O1184" s="27"/>
      <c r="P1184" s="27"/>
      <c r="Q1184" s="27"/>
      <c r="R1184" s="511"/>
    </row>
    <row r="1185" spans="5:18">
      <c r="E1185"/>
      <c r="F1185"/>
      <c r="H1185"/>
      <c r="M1185" s="27"/>
      <c r="N1185" s="27"/>
      <c r="O1185" s="27"/>
      <c r="P1185" s="27"/>
      <c r="Q1185" s="27"/>
      <c r="R1185" s="511"/>
    </row>
    <row r="1186" spans="5:18">
      <c r="E1186"/>
      <c r="F1186"/>
      <c r="H1186"/>
      <c r="M1186" s="27"/>
      <c r="N1186" s="27"/>
      <c r="O1186" s="27"/>
      <c r="P1186" s="27"/>
      <c r="Q1186" s="27"/>
      <c r="R1186" s="511"/>
    </row>
    <row r="1187" spans="5:18">
      <c r="E1187"/>
      <c r="F1187"/>
      <c r="H1187"/>
      <c r="M1187" s="27"/>
      <c r="N1187" s="27"/>
      <c r="O1187" s="27"/>
      <c r="P1187" s="27"/>
      <c r="Q1187" s="27"/>
      <c r="R1187" s="511"/>
    </row>
    <row r="1188" spans="5:18">
      <c r="E1188"/>
      <c r="F1188"/>
      <c r="H1188"/>
      <c r="M1188" s="27"/>
      <c r="N1188" s="27"/>
      <c r="O1188" s="27"/>
      <c r="P1188" s="27"/>
      <c r="Q1188" s="27"/>
      <c r="R1188" s="511"/>
    </row>
    <row r="1189" spans="5:18">
      <c r="E1189"/>
      <c r="F1189"/>
      <c r="H1189"/>
      <c r="M1189" s="27"/>
      <c r="N1189" s="27"/>
      <c r="O1189" s="27"/>
      <c r="P1189" s="27"/>
      <c r="Q1189" s="27"/>
      <c r="R1189" s="511"/>
    </row>
    <row r="1190" spans="5:18">
      <c r="E1190"/>
      <c r="F1190"/>
      <c r="H1190"/>
      <c r="M1190" s="27"/>
      <c r="N1190" s="27"/>
      <c r="O1190" s="27"/>
      <c r="P1190" s="27"/>
      <c r="Q1190" s="27"/>
      <c r="R1190" s="511"/>
    </row>
    <row r="1191" spans="5:18">
      <c r="E1191"/>
      <c r="F1191"/>
      <c r="H1191"/>
      <c r="M1191" s="27"/>
      <c r="N1191" s="27"/>
      <c r="O1191" s="27"/>
      <c r="P1191" s="27"/>
      <c r="Q1191" s="27"/>
      <c r="R1191" s="511"/>
    </row>
    <row r="1192" spans="5:18">
      <c r="E1192"/>
      <c r="F1192"/>
      <c r="H1192"/>
      <c r="M1192" s="27"/>
      <c r="N1192" s="27"/>
      <c r="O1192" s="27"/>
      <c r="P1192" s="27"/>
      <c r="Q1192" s="27"/>
      <c r="R1192" s="511"/>
    </row>
    <row r="1193" spans="5:18">
      <c r="E1193"/>
      <c r="F1193"/>
      <c r="H1193"/>
      <c r="M1193" s="27"/>
      <c r="N1193" s="27"/>
      <c r="O1193" s="27"/>
      <c r="P1193" s="27"/>
      <c r="Q1193" s="27"/>
      <c r="R1193" s="511"/>
    </row>
    <row r="1194" spans="5:18">
      <c r="E1194"/>
      <c r="F1194"/>
      <c r="H1194"/>
      <c r="M1194" s="27"/>
      <c r="N1194" s="27"/>
      <c r="O1194" s="27"/>
      <c r="P1194" s="27"/>
      <c r="Q1194" s="27"/>
      <c r="R1194" s="511"/>
    </row>
    <row r="1195" spans="5:18">
      <c r="E1195"/>
      <c r="F1195"/>
      <c r="H1195"/>
      <c r="M1195" s="27"/>
      <c r="N1195" s="27"/>
      <c r="O1195" s="27"/>
      <c r="P1195" s="27"/>
      <c r="Q1195" s="27"/>
      <c r="R1195" s="511"/>
    </row>
    <row r="1196" spans="5:18">
      <c r="E1196"/>
      <c r="F1196"/>
      <c r="H1196"/>
      <c r="M1196" s="27"/>
      <c r="N1196" s="27"/>
      <c r="O1196" s="27"/>
      <c r="P1196" s="27"/>
      <c r="Q1196" s="27"/>
      <c r="R1196" s="511"/>
    </row>
    <row r="1197" spans="5:18">
      <c r="E1197"/>
      <c r="F1197"/>
      <c r="H1197"/>
      <c r="M1197" s="27"/>
      <c r="N1197" s="27"/>
      <c r="O1197" s="27"/>
      <c r="P1197" s="27"/>
      <c r="Q1197" s="27"/>
      <c r="R1197" s="511"/>
    </row>
    <row r="1198" spans="5:18">
      <c r="E1198"/>
      <c r="F1198"/>
      <c r="H1198"/>
      <c r="M1198" s="27"/>
      <c r="N1198" s="27"/>
      <c r="O1198" s="27"/>
      <c r="P1198" s="27"/>
      <c r="Q1198" s="27"/>
      <c r="R1198" s="511"/>
    </row>
    <row r="1199" spans="5:18">
      <c r="E1199"/>
      <c r="F1199"/>
      <c r="H1199"/>
      <c r="M1199" s="27"/>
      <c r="N1199" s="27"/>
      <c r="O1199" s="27"/>
      <c r="P1199" s="27"/>
      <c r="Q1199" s="27"/>
      <c r="R1199" s="511"/>
    </row>
    <row r="1200" spans="5:18">
      <c r="E1200"/>
      <c r="F1200"/>
      <c r="H1200"/>
      <c r="M1200" s="27"/>
      <c r="N1200" s="27"/>
      <c r="O1200" s="27"/>
      <c r="P1200" s="27"/>
      <c r="Q1200" s="27"/>
      <c r="R1200" s="511"/>
    </row>
    <row r="1201" spans="5:18">
      <c r="E1201"/>
      <c r="F1201"/>
      <c r="H1201"/>
      <c r="M1201" s="27"/>
      <c r="N1201" s="27"/>
      <c r="O1201" s="27"/>
      <c r="P1201" s="27"/>
      <c r="Q1201" s="27"/>
      <c r="R1201" s="511"/>
    </row>
    <row r="1202" spans="5:18">
      <c r="E1202"/>
      <c r="F1202"/>
      <c r="H1202"/>
      <c r="M1202" s="27"/>
      <c r="N1202" s="27"/>
      <c r="O1202" s="27"/>
      <c r="P1202" s="27"/>
      <c r="Q1202" s="27"/>
      <c r="R1202" s="511"/>
    </row>
    <row r="1203" spans="5:18">
      <c r="E1203"/>
      <c r="F1203"/>
      <c r="H1203"/>
      <c r="M1203" s="27"/>
      <c r="N1203" s="27"/>
      <c r="O1203" s="27"/>
      <c r="P1203" s="27"/>
      <c r="Q1203" s="27"/>
      <c r="R1203" s="511"/>
    </row>
    <row r="1204" spans="5:18">
      <c r="E1204"/>
      <c r="F1204"/>
      <c r="H1204"/>
      <c r="M1204" s="27"/>
      <c r="N1204" s="27"/>
      <c r="O1204" s="27"/>
      <c r="P1204" s="27"/>
      <c r="Q1204" s="27"/>
      <c r="R1204" s="511"/>
    </row>
    <row r="1205" spans="5:18">
      <c r="E1205"/>
      <c r="F1205"/>
      <c r="H1205"/>
      <c r="M1205" s="27"/>
      <c r="N1205" s="27"/>
      <c r="O1205" s="27"/>
      <c r="P1205" s="27"/>
      <c r="Q1205" s="27"/>
      <c r="R1205" s="511"/>
    </row>
    <row r="1206" spans="5:18">
      <c r="E1206"/>
      <c r="F1206"/>
      <c r="H1206"/>
      <c r="M1206" s="27"/>
      <c r="N1206" s="27"/>
      <c r="O1206" s="27"/>
      <c r="P1206" s="27"/>
      <c r="Q1206" s="27"/>
      <c r="R1206" s="511"/>
    </row>
    <row r="1207" spans="5:18">
      <c r="E1207"/>
      <c r="F1207"/>
      <c r="H1207"/>
      <c r="M1207" s="27"/>
      <c r="N1207" s="27"/>
      <c r="O1207" s="27"/>
      <c r="P1207" s="27"/>
      <c r="Q1207" s="27"/>
      <c r="R1207" s="511"/>
    </row>
    <row r="1208" spans="5:18">
      <c r="E1208"/>
      <c r="F1208"/>
      <c r="H1208"/>
      <c r="M1208" s="27"/>
      <c r="N1208" s="27"/>
      <c r="O1208" s="27"/>
      <c r="P1208" s="27"/>
      <c r="Q1208" s="27"/>
      <c r="R1208" s="511"/>
    </row>
    <row r="1209" spans="5:18">
      <c r="E1209"/>
      <c r="F1209"/>
      <c r="H1209"/>
      <c r="M1209" s="27"/>
      <c r="N1209" s="27"/>
      <c r="O1209" s="27"/>
      <c r="P1209" s="27"/>
      <c r="Q1209" s="27"/>
      <c r="R1209" s="511"/>
    </row>
    <row r="1210" spans="5:18">
      <c r="E1210"/>
      <c r="F1210"/>
      <c r="H1210"/>
      <c r="M1210" s="27"/>
      <c r="N1210" s="27"/>
      <c r="O1210" s="27"/>
      <c r="P1210" s="27"/>
      <c r="Q1210" s="27"/>
      <c r="R1210" s="511"/>
    </row>
    <row r="1211" spans="5:18">
      <c r="E1211"/>
      <c r="F1211"/>
      <c r="H1211"/>
      <c r="M1211" s="27"/>
      <c r="N1211" s="27"/>
      <c r="O1211" s="27"/>
      <c r="P1211" s="27"/>
      <c r="Q1211" s="27"/>
      <c r="R1211" s="511"/>
    </row>
    <row r="1212" spans="5:18">
      <c r="E1212"/>
      <c r="F1212"/>
      <c r="H1212"/>
      <c r="M1212" s="27"/>
      <c r="N1212" s="27"/>
      <c r="O1212" s="27"/>
      <c r="P1212" s="27"/>
      <c r="Q1212" s="27"/>
      <c r="R1212" s="511"/>
    </row>
    <row r="1213" spans="5:18">
      <c r="E1213"/>
      <c r="F1213"/>
      <c r="H1213"/>
      <c r="M1213" s="27"/>
      <c r="N1213" s="27"/>
      <c r="O1213" s="27"/>
      <c r="P1213" s="27"/>
      <c r="Q1213" s="27"/>
      <c r="R1213" s="511"/>
    </row>
    <row r="1214" spans="5:18">
      <c r="E1214"/>
      <c r="F1214"/>
      <c r="H1214"/>
      <c r="M1214" s="27"/>
      <c r="N1214" s="27"/>
      <c r="O1214" s="27"/>
      <c r="P1214" s="27"/>
      <c r="Q1214" s="27"/>
      <c r="R1214" s="511"/>
    </row>
    <row r="1215" spans="5:18">
      <c r="E1215"/>
      <c r="F1215"/>
      <c r="H1215"/>
      <c r="M1215" s="27"/>
      <c r="N1215" s="27"/>
      <c r="O1215" s="27"/>
      <c r="P1215" s="27"/>
      <c r="Q1215" s="27"/>
      <c r="R1215" s="511"/>
    </row>
    <row r="1216" spans="5:18">
      <c r="E1216"/>
      <c r="F1216"/>
      <c r="H1216"/>
      <c r="M1216" s="27"/>
      <c r="N1216" s="27"/>
      <c r="O1216" s="27"/>
      <c r="P1216" s="27"/>
      <c r="Q1216" s="27"/>
      <c r="R1216" s="511"/>
    </row>
    <row r="1217" spans="5:18">
      <c r="E1217"/>
      <c r="F1217"/>
      <c r="H1217"/>
      <c r="M1217" s="27"/>
      <c r="N1217" s="27"/>
      <c r="O1217" s="27"/>
      <c r="P1217" s="27"/>
      <c r="Q1217" s="27"/>
      <c r="R1217" s="511"/>
    </row>
    <row r="1218" spans="5:18">
      <c r="E1218"/>
      <c r="F1218"/>
      <c r="H1218"/>
      <c r="M1218" s="27"/>
      <c r="N1218" s="27"/>
      <c r="O1218" s="27"/>
      <c r="P1218" s="27"/>
      <c r="Q1218" s="27"/>
      <c r="R1218" s="511"/>
    </row>
    <row r="1219" spans="5:18">
      <c r="E1219"/>
      <c r="F1219"/>
      <c r="H1219"/>
      <c r="M1219" s="27"/>
      <c r="N1219" s="27"/>
      <c r="O1219" s="27"/>
      <c r="P1219" s="27"/>
      <c r="Q1219" s="27"/>
      <c r="R1219" s="511"/>
    </row>
    <row r="1220" spans="5:18">
      <c r="E1220"/>
      <c r="F1220"/>
      <c r="H1220"/>
      <c r="M1220" s="27"/>
      <c r="N1220" s="27"/>
      <c r="O1220" s="27"/>
      <c r="P1220" s="27"/>
      <c r="Q1220" s="27"/>
      <c r="R1220" s="511"/>
    </row>
    <row r="1221" spans="5:18">
      <c r="E1221"/>
      <c r="F1221"/>
      <c r="H1221"/>
      <c r="M1221" s="27"/>
      <c r="N1221" s="27"/>
      <c r="O1221" s="27"/>
      <c r="P1221" s="27"/>
      <c r="Q1221" s="27"/>
      <c r="R1221" s="511"/>
    </row>
    <row r="1222" spans="5:18">
      <c r="E1222"/>
      <c r="F1222"/>
      <c r="H1222"/>
      <c r="M1222" s="27"/>
      <c r="N1222" s="27"/>
      <c r="O1222" s="27"/>
      <c r="P1222" s="27"/>
      <c r="Q1222" s="27"/>
      <c r="R1222" s="511"/>
    </row>
    <row r="1223" spans="5:18">
      <c r="E1223"/>
      <c r="F1223"/>
      <c r="H1223"/>
      <c r="M1223" s="27"/>
      <c r="N1223" s="27"/>
      <c r="O1223" s="27"/>
      <c r="P1223" s="27"/>
      <c r="Q1223" s="27"/>
      <c r="R1223" s="511"/>
    </row>
    <row r="1224" spans="5:18">
      <c r="E1224"/>
      <c r="F1224"/>
      <c r="H1224"/>
      <c r="M1224" s="27"/>
      <c r="N1224" s="27"/>
      <c r="O1224" s="27"/>
      <c r="P1224" s="27"/>
      <c r="Q1224" s="27"/>
      <c r="R1224" s="511"/>
    </row>
    <row r="1225" spans="5:18">
      <c r="E1225"/>
      <c r="F1225"/>
      <c r="H1225"/>
      <c r="M1225" s="27"/>
      <c r="N1225" s="27"/>
      <c r="O1225" s="27"/>
      <c r="P1225" s="27"/>
      <c r="Q1225" s="27"/>
      <c r="R1225" s="511"/>
    </row>
    <row r="1226" spans="5:18">
      <c r="E1226"/>
      <c r="F1226"/>
      <c r="H1226"/>
      <c r="M1226" s="27"/>
      <c r="N1226" s="27"/>
      <c r="O1226" s="27"/>
      <c r="P1226" s="27"/>
      <c r="Q1226" s="27"/>
      <c r="R1226" s="511"/>
    </row>
    <row r="1227" spans="5:18">
      <c r="E1227"/>
      <c r="F1227"/>
      <c r="H1227"/>
      <c r="M1227" s="27"/>
      <c r="N1227" s="27"/>
      <c r="O1227" s="27"/>
      <c r="P1227" s="27"/>
      <c r="Q1227" s="27"/>
      <c r="R1227" s="511"/>
    </row>
    <row r="1228" spans="5:18">
      <c r="E1228"/>
      <c r="F1228"/>
      <c r="H1228"/>
      <c r="M1228" s="27"/>
      <c r="N1228" s="27"/>
      <c r="O1228" s="27"/>
      <c r="P1228" s="27"/>
      <c r="Q1228" s="27"/>
      <c r="R1228" s="511"/>
    </row>
    <row r="1229" spans="5:18">
      <c r="E1229"/>
      <c r="F1229"/>
      <c r="H1229"/>
      <c r="M1229" s="27"/>
      <c r="N1229" s="27"/>
      <c r="O1229" s="27"/>
      <c r="P1229" s="27"/>
      <c r="Q1229" s="27"/>
      <c r="R1229" s="511"/>
    </row>
    <row r="1230" spans="5:18">
      <c r="E1230"/>
      <c r="F1230"/>
      <c r="H1230"/>
      <c r="M1230" s="27"/>
      <c r="N1230" s="27"/>
      <c r="O1230" s="27"/>
      <c r="P1230" s="27"/>
      <c r="Q1230" s="27"/>
      <c r="R1230" s="511"/>
    </row>
    <row r="1231" spans="5:18">
      <c r="E1231"/>
      <c r="F1231"/>
      <c r="H1231"/>
      <c r="M1231" s="27"/>
      <c r="N1231" s="27"/>
      <c r="O1231" s="27"/>
      <c r="P1231" s="27"/>
      <c r="Q1231" s="27"/>
      <c r="R1231" s="511"/>
    </row>
    <row r="1232" spans="5:18">
      <c r="E1232"/>
      <c r="F1232"/>
      <c r="H1232"/>
      <c r="M1232" s="27"/>
      <c r="N1232" s="27"/>
      <c r="O1232" s="27"/>
      <c r="P1232" s="27"/>
      <c r="Q1232" s="27"/>
      <c r="R1232" s="511"/>
    </row>
    <row r="1233" spans="5:18">
      <c r="E1233"/>
      <c r="F1233"/>
      <c r="H1233"/>
      <c r="M1233" s="27"/>
      <c r="N1233" s="27"/>
      <c r="O1233" s="27"/>
      <c r="P1233" s="27"/>
      <c r="Q1233" s="27"/>
      <c r="R1233" s="511"/>
    </row>
    <row r="1234" spans="5:18">
      <c r="E1234"/>
      <c r="F1234"/>
      <c r="H1234"/>
      <c r="M1234" s="27"/>
      <c r="N1234" s="27"/>
      <c r="O1234" s="27"/>
      <c r="P1234" s="27"/>
      <c r="Q1234" s="27"/>
      <c r="R1234" s="511"/>
    </row>
    <row r="1235" spans="5:18">
      <c r="E1235"/>
      <c r="F1235"/>
      <c r="H1235"/>
      <c r="M1235" s="27"/>
      <c r="N1235" s="27"/>
      <c r="O1235" s="27"/>
      <c r="P1235" s="27"/>
      <c r="Q1235" s="27"/>
      <c r="R1235" s="511"/>
    </row>
    <row r="1236" spans="5:18">
      <c r="E1236"/>
      <c r="F1236"/>
      <c r="H1236"/>
      <c r="M1236" s="27"/>
      <c r="N1236" s="27"/>
      <c r="O1236" s="27"/>
      <c r="P1236" s="27"/>
      <c r="Q1236" s="27"/>
      <c r="R1236" s="511"/>
    </row>
    <row r="1237" spans="5:18">
      <c r="E1237"/>
      <c r="F1237"/>
      <c r="H1237"/>
      <c r="M1237" s="27"/>
      <c r="N1237" s="27"/>
      <c r="O1237" s="27"/>
      <c r="P1237" s="27"/>
      <c r="Q1237" s="27"/>
      <c r="R1237" s="511"/>
    </row>
    <row r="1238" spans="5:18">
      <c r="E1238"/>
      <c r="F1238"/>
      <c r="H1238"/>
      <c r="M1238" s="27"/>
      <c r="N1238" s="27"/>
      <c r="O1238" s="27"/>
      <c r="P1238" s="27"/>
      <c r="Q1238" s="27"/>
      <c r="R1238" s="511"/>
    </row>
    <row r="1239" spans="5:18">
      <c r="E1239"/>
      <c r="F1239"/>
      <c r="H1239"/>
      <c r="M1239" s="27"/>
      <c r="N1239" s="27"/>
      <c r="O1239" s="27"/>
      <c r="P1239" s="27"/>
      <c r="Q1239" s="27"/>
      <c r="R1239" s="511"/>
    </row>
    <row r="1240" spans="5:18">
      <c r="E1240"/>
      <c r="F1240"/>
      <c r="H1240"/>
      <c r="M1240" s="27"/>
      <c r="N1240" s="27"/>
      <c r="O1240" s="27"/>
      <c r="P1240" s="27"/>
      <c r="Q1240" s="27"/>
      <c r="R1240" s="511"/>
    </row>
    <row r="1241" spans="5:18">
      <c r="E1241"/>
      <c r="F1241"/>
      <c r="H1241"/>
      <c r="M1241" s="27"/>
      <c r="N1241" s="27"/>
      <c r="O1241" s="27"/>
      <c r="P1241" s="27"/>
      <c r="Q1241" s="27"/>
      <c r="R1241" s="511"/>
    </row>
    <row r="1242" spans="5:18">
      <c r="E1242"/>
      <c r="F1242"/>
      <c r="H1242"/>
      <c r="M1242" s="27"/>
      <c r="N1242" s="27"/>
      <c r="O1242" s="27"/>
      <c r="P1242" s="27"/>
      <c r="Q1242" s="27"/>
      <c r="R1242" s="511"/>
    </row>
    <row r="1243" spans="5:18">
      <c r="E1243"/>
      <c r="F1243"/>
      <c r="H1243"/>
      <c r="M1243" s="27"/>
      <c r="N1243" s="27"/>
      <c r="O1243" s="27"/>
      <c r="P1243" s="27"/>
      <c r="Q1243" s="27"/>
      <c r="R1243" s="511"/>
    </row>
    <row r="1244" spans="5:18">
      <c r="E1244"/>
      <c r="F1244"/>
      <c r="H1244"/>
      <c r="M1244" s="27"/>
      <c r="N1244" s="27"/>
      <c r="O1244" s="27"/>
      <c r="P1244" s="27"/>
      <c r="Q1244" s="27"/>
      <c r="R1244" s="511"/>
    </row>
    <row r="1245" spans="5:18">
      <c r="E1245"/>
      <c r="F1245"/>
      <c r="H1245"/>
      <c r="M1245" s="27"/>
      <c r="N1245" s="27"/>
      <c r="O1245" s="27"/>
      <c r="P1245" s="27"/>
      <c r="Q1245" s="27"/>
      <c r="R1245" s="511"/>
    </row>
    <row r="1246" spans="5:18">
      <c r="E1246"/>
      <c r="F1246"/>
      <c r="H1246"/>
      <c r="M1246" s="27"/>
      <c r="N1246" s="27"/>
      <c r="O1246" s="27"/>
      <c r="P1246" s="27"/>
      <c r="Q1246" s="27"/>
      <c r="R1246" s="511"/>
    </row>
    <row r="1247" spans="5:18">
      <c r="E1247"/>
      <c r="F1247"/>
      <c r="H1247"/>
      <c r="M1247" s="27"/>
      <c r="N1247" s="27"/>
      <c r="O1247" s="27"/>
      <c r="P1247" s="27"/>
      <c r="Q1247" s="27"/>
      <c r="R1247" s="511"/>
    </row>
    <row r="1248" spans="5:18">
      <c r="E1248"/>
      <c r="F1248"/>
      <c r="H1248"/>
      <c r="M1248" s="27"/>
      <c r="N1248" s="27"/>
      <c r="O1248" s="27"/>
      <c r="P1248" s="27"/>
      <c r="Q1248" s="27"/>
      <c r="R1248" s="511"/>
    </row>
    <row r="1249" spans="5:18">
      <c r="E1249"/>
      <c r="F1249"/>
      <c r="H1249"/>
      <c r="M1249" s="27"/>
      <c r="N1249" s="27"/>
      <c r="O1249" s="27"/>
      <c r="P1249" s="27"/>
      <c r="Q1249" s="27"/>
      <c r="R1249" s="511"/>
    </row>
    <row r="1250" spans="5:18">
      <c r="E1250"/>
      <c r="F1250"/>
      <c r="H1250"/>
      <c r="M1250" s="27"/>
      <c r="N1250" s="27"/>
      <c r="O1250" s="27"/>
      <c r="P1250" s="27"/>
      <c r="Q1250" s="27"/>
      <c r="R1250" s="511"/>
    </row>
    <row r="1251" spans="5:18">
      <c r="E1251"/>
      <c r="F1251"/>
      <c r="H1251"/>
      <c r="M1251" s="27"/>
      <c r="N1251" s="27"/>
      <c r="O1251" s="27"/>
      <c r="P1251" s="27"/>
      <c r="Q1251" s="27"/>
      <c r="R1251" s="511"/>
    </row>
    <row r="1252" spans="5:18">
      <c r="E1252"/>
      <c r="F1252"/>
      <c r="H1252"/>
      <c r="M1252" s="27"/>
      <c r="N1252" s="27"/>
      <c r="O1252" s="27"/>
      <c r="P1252" s="27"/>
      <c r="Q1252" s="27"/>
      <c r="R1252" s="511"/>
    </row>
    <row r="1253" spans="5:18">
      <c r="E1253"/>
      <c r="F1253"/>
      <c r="H1253"/>
      <c r="M1253" s="27"/>
      <c r="N1253" s="27"/>
      <c r="O1253" s="27"/>
      <c r="P1253" s="27"/>
      <c r="Q1253" s="27"/>
      <c r="R1253" s="511"/>
    </row>
    <row r="1254" spans="5:18">
      <c r="E1254"/>
      <c r="F1254"/>
      <c r="H1254"/>
      <c r="M1254" s="27"/>
      <c r="N1254" s="27"/>
      <c r="O1254" s="27"/>
      <c r="P1254" s="27"/>
      <c r="Q1254" s="27"/>
      <c r="R1254" s="511"/>
    </row>
    <row r="1255" spans="5:18">
      <c r="E1255"/>
      <c r="F1255"/>
      <c r="H1255"/>
      <c r="M1255" s="27"/>
      <c r="N1255" s="27"/>
      <c r="O1255" s="27"/>
      <c r="P1255" s="27"/>
      <c r="Q1255" s="27"/>
      <c r="R1255" s="511"/>
    </row>
    <row r="1256" spans="5:18">
      <c r="E1256"/>
      <c r="F1256"/>
      <c r="H1256"/>
      <c r="M1256" s="27"/>
      <c r="N1256" s="27"/>
      <c r="O1256" s="27"/>
      <c r="P1256" s="27"/>
      <c r="Q1256" s="27"/>
      <c r="R1256" s="511"/>
    </row>
    <row r="1257" spans="5:18">
      <c r="E1257"/>
      <c r="F1257"/>
      <c r="H1257"/>
      <c r="M1257" s="27"/>
      <c r="N1257" s="27"/>
      <c r="O1257" s="27"/>
      <c r="P1257" s="27"/>
      <c r="Q1257" s="27"/>
      <c r="R1257" s="511"/>
    </row>
    <row r="1258" spans="5:18">
      <c r="E1258"/>
      <c r="F1258"/>
      <c r="H1258"/>
      <c r="M1258" s="27"/>
      <c r="N1258" s="27"/>
      <c r="O1258" s="27"/>
      <c r="P1258" s="27"/>
      <c r="Q1258" s="27"/>
      <c r="R1258" s="511"/>
    </row>
    <row r="1259" spans="5:18">
      <c r="E1259"/>
      <c r="F1259"/>
      <c r="H1259"/>
      <c r="M1259" s="27"/>
      <c r="N1259" s="27"/>
      <c r="O1259" s="27"/>
      <c r="P1259" s="27"/>
      <c r="Q1259" s="27"/>
      <c r="R1259" s="511"/>
    </row>
    <row r="1260" spans="5:18">
      <c r="E1260"/>
      <c r="F1260"/>
      <c r="H1260"/>
      <c r="M1260" s="27"/>
      <c r="N1260" s="27"/>
      <c r="O1260" s="27"/>
      <c r="P1260" s="27"/>
      <c r="Q1260" s="27"/>
      <c r="R1260" s="511"/>
    </row>
    <row r="1261" spans="5:18">
      <c r="E1261"/>
      <c r="F1261"/>
      <c r="H1261"/>
      <c r="M1261" s="27"/>
      <c r="N1261" s="27"/>
      <c r="O1261" s="27"/>
      <c r="P1261" s="27"/>
      <c r="Q1261" s="27"/>
      <c r="R1261" s="511"/>
    </row>
    <row r="1262" spans="5:18">
      <c r="E1262"/>
      <c r="F1262"/>
      <c r="H1262"/>
      <c r="M1262" s="27"/>
      <c r="N1262" s="27"/>
      <c r="O1262" s="27"/>
      <c r="P1262" s="27"/>
      <c r="Q1262" s="27"/>
      <c r="R1262" s="511"/>
    </row>
    <row r="1263" spans="5:18">
      <c r="E1263"/>
      <c r="F1263"/>
      <c r="H1263"/>
      <c r="M1263" s="27"/>
      <c r="N1263" s="27"/>
      <c r="O1263" s="27"/>
      <c r="P1263" s="27"/>
      <c r="Q1263" s="27"/>
      <c r="R1263" s="511"/>
    </row>
    <row r="1264" spans="5:18">
      <c r="E1264"/>
      <c r="F1264"/>
      <c r="H1264"/>
      <c r="M1264" s="27"/>
      <c r="N1264" s="27"/>
      <c r="O1264" s="27"/>
      <c r="P1264" s="27"/>
      <c r="Q1264" s="27"/>
      <c r="R1264" s="511"/>
    </row>
    <row r="1265" spans="5:18">
      <c r="E1265"/>
      <c r="F1265"/>
      <c r="H1265"/>
      <c r="M1265" s="27"/>
      <c r="N1265" s="27"/>
      <c r="O1265" s="27"/>
      <c r="P1265" s="27"/>
      <c r="Q1265" s="27"/>
      <c r="R1265" s="511"/>
    </row>
    <row r="1266" spans="5:18">
      <c r="E1266"/>
      <c r="F1266"/>
      <c r="H1266"/>
      <c r="M1266" s="27"/>
      <c r="N1266" s="27"/>
      <c r="O1266" s="27"/>
      <c r="P1266" s="27"/>
      <c r="Q1266" s="27"/>
      <c r="R1266" s="511"/>
    </row>
    <row r="1267" spans="5:18">
      <c r="E1267"/>
      <c r="F1267"/>
      <c r="H1267"/>
      <c r="M1267" s="27"/>
      <c r="N1267" s="27"/>
      <c r="O1267" s="27"/>
      <c r="P1267" s="27"/>
      <c r="Q1267" s="27"/>
      <c r="R1267" s="511"/>
    </row>
    <row r="1268" spans="5:18">
      <c r="E1268"/>
      <c r="F1268"/>
      <c r="H1268"/>
      <c r="M1268" s="27"/>
      <c r="N1268" s="27"/>
      <c r="O1268" s="27"/>
      <c r="P1268" s="27"/>
      <c r="Q1268" s="27"/>
      <c r="R1268" s="511"/>
    </row>
    <row r="1269" spans="5:18">
      <c r="E1269"/>
      <c r="F1269"/>
      <c r="H1269"/>
      <c r="M1269" s="27"/>
      <c r="N1269" s="27"/>
      <c r="O1269" s="27"/>
      <c r="P1269" s="27"/>
      <c r="Q1269" s="27"/>
      <c r="R1269" s="511"/>
    </row>
    <row r="1270" spans="5:18">
      <c r="E1270"/>
      <c r="F1270"/>
      <c r="H1270"/>
      <c r="M1270" s="27"/>
      <c r="N1270" s="27"/>
      <c r="O1270" s="27"/>
      <c r="P1270" s="27"/>
      <c r="Q1270" s="27"/>
      <c r="R1270" s="511"/>
    </row>
    <row r="1271" spans="5:18">
      <c r="E1271"/>
      <c r="F1271"/>
      <c r="H1271"/>
      <c r="M1271" s="27"/>
      <c r="N1271" s="27"/>
      <c r="O1271" s="27"/>
      <c r="P1271" s="27"/>
      <c r="Q1271" s="27"/>
      <c r="R1271" s="511"/>
    </row>
    <row r="1272" spans="5:18">
      <c r="E1272"/>
      <c r="F1272"/>
      <c r="H1272"/>
      <c r="M1272" s="27"/>
      <c r="N1272" s="27"/>
      <c r="O1272" s="27"/>
      <c r="P1272" s="27"/>
      <c r="Q1272" s="27"/>
      <c r="R1272" s="511"/>
    </row>
    <row r="1273" spans="5:18">
      <c r="E1273"/>
      <c r="F1273"/>
      <c r="H1273"/>
      <c r="M1273" s="27"/>
      <c r="N1273" s="27"/>
      <c r="O1273" s="27"/>
      <c r="P1273" s="27"/>
      <c r="Q1273" s="27"/>
      <c r="R1273" s="511"/>
    </row>
    <row r="1274" spans="5:18">
      <c r="E1274"/>
      <c r="F1274"/>
      <c r="H1274"/>
      <c r="M1274" s="27"/>
      <c r="N1274" s="27"/>
      <c r="O1274" s="27"/>
      <c r="P1274" s="27"/>
      <c r="Q1274" s="27"/>
      <c r="R1274" s="511"/>
    </row>
    <row r="1275" spans="5:18">
      <c r="E1275"/>
      <c r="F1275"/>
      <c r="H1275"/>
      <c r="M1275" s="27"/>
      <c r="N1275" s="27"/>
      <c r="O1275" s="27"/>
      <c r="P1275" s="27"/>
      <c r="Q1275" s="27"/>
      <c r="R1275" s="511"/>
    </row>
    <row r="1276" spans="5:18">
      <c r="E1276"/>
      <c r="F1276"/>
      <c r="H1276"/>
      <c r="M1276" s="27"/>
      <c r="N1276" s="27"/>
      <c r="O1276" s="27"/>
      <c r="P1276" s="27"/>
      <c r="Q1276" s="27"/>
      <c r="R1276" s="511"/>
    </row>
    <row r="1277" spans="5:18">
      <c r="E1277"/>
      <c r="F1277"/>
      <c r="H1277"/>
      <c r="M1277" s="27"/>
      <c r="N1277" s="27"/>
      <c r="O1277" s="27"/>
      <c r="P1277" s="27"/>
      <c r="Q1277" s="27"/>
      <c r="R1277" s="511"/>
    </row>
    <row r="1278" spans="5:18">
      <c r="E1278"/>
      <c r="F1278"/>
      <c r="H1278"/>
      <c r="M1278" s="27"/>
      <c r="N1278" s="27"/>
      <c r="O1278" s="27"/>
      <c r="P1278" s="27"/>
      <c r="Q1278" s="27"/>
      <c r="R1278" s="511"/>
    </row>
    <row r="1279" spans="5:18">
      <c r="E1279"/>
      <c r="F1279"/>
      <c r="H1279"/>
      <c r="M1279" s="27"/>
      <c r="N1279" s="27"/>
      <c r="O1279" s="27"/>
      <c r="P1279" s="27"/>
      <c r="Q1279" s="27"/>
      <c r="R1279" s="511"/>
    </row>
    <row r="1280" spans="5:18">
      <c r="E1280"/>
      <c r="F1280"/>
      <c r="H1280"/>
      <c r="M1280" s="27"/>
      <c r="N1280" s="27"/>
      <c r="O1280" s="27"/>
      <c r="P1280" s="27"/>
      <c r="Q1280" s="27"/>
      <c r="R1280" s="511"/>
    </row>
    <row r="1281" spans="5:18">
      <c r="E1281"/>
      <c r="F1281"/>
      <c r="H1281"/>
      <c r="M1281" s="27"/>
      <c r="N1281" s="27"/>
      <c r="O1281" s="27"/>
      <c r="P1281" s="27"/>
      <c r="Q1281" s="27"/>
      <c r="R1281" s="511"/>
    </row>
    <row r="1282" spans="5:18">
      <c r="E1282"/>
      <c r="F1282"/>
      <c r="H1282"/>
      <c r="M1282" s="27"/>
      <c r="N1282" s="27"/>
      <c r="O1282" s="27"/>
      <c r="P1282" s="27"/>
      <c r="Q1282" s="27"/>
      <c r="R1282" s="511"/>
    </row>
    <row r="1283" spans="5:18">
      <c r="E1283"/>
      <c r="F1283"/>
      <c r="H1283"/>
      <c r="M1283" s="27"/>
      <c r="N1283" s="27"/>
      <c r="O1283" s="27"/>
      <c r="P1283" s="27"/>
      <c r="Q1283" s="27"/>
      <c r="R1283" s="511"/>
    </row>
    <row r="1284" spans="5:18">
      <c r="E1284"/>
      <c r="F1284"/>
      <c r="H1284"/>
      <c r="M1284" s="27"/>
      <c r="N1284" s="27"/>
      <c r="O1284" s="27"/>
      <c r="P1284" s="27"/>
      <c r="Q1284" s="27"/>
      <c r="R1284" s="511"/>
    </row>
    <row r="1285" spans="5:18">
      <c r="E1285"/>
      <c r="F1285"/>
      <c r="H1285"/>
      <c r="M1285" s="27"/>
      <c r="N1285" s="27"/>
      <c r="O1285" s="27"/>
      <c r="P1285" s="27"/>
      <c r="Q1285" s="27"/>
      <c r="R1285" s="511"/>
    </row>
    <row r="1286" spans="5:18">
      <c r="E1286"/>
      <c r="F1286"/>
      <c r="H1286"/>
      <c r="M1286" s="27"/>
      <c r="N1286" s="27"/>
      <c r="O1286" s="27"/>
      <c r="P1286" s="27"/>
      <c r="Q1286" s="27"/>
      <c r="R1286" s="511"/>
    </row>
    <row r="1287" spans="5:18">
      <c r="E1287"/>
      <c r="F1287"/>
      <c r="H1287"/>
      <c r="M1287" s="27"/>
      <c r="N1287" s="27"/>
      <c r="O1287" s="27"/>
      <c r="P1287" s="27"/>
      <c r="Q1287" s="27"/>
      <c r="R1287" s="511"/>
    </row>
    <row r="1288" spans="5:18">
      <c r="E1288"/>
      <c r="F1288"/>
      <c r="H1288"/>
      <c r="M1288" s="27"/>
      <c r="N1288" s="27"/>
      <c r="O1288" s="27"/>
      <c r="P1288" s="27"/>
      <c r="Q1288" s="27"/>
      <c r="R1288" s="511"/>
    </row>
    <row r="1289" spans="5:18">
      <c r="E1289"/>
      <c r="F1289"/>
      <c r="H1289"/>
      <c r="M1289" s="27"/>
      <c r="N1289" s="27"/>
      <c r="O1289" s="27"/>
      <c r="P1289" s="27"/>
      <c r="Q1289" s="27"/>
      <c r="R1289" s="511"/>
    </row>
    <row r="1290" spans="5:18">
      <c r="E1290"/>
      <c r="F1290"/>
      <c r="H1290"/>
      <c r="M1290" s="27"/>
      <c r="N1290" s="27"/>
      <c r="O1290" s="27"/>
      <c r="P1290" s="27"/>
      <c r="Q1290" s="27"/>
      <c r="R1290" s="511"/>
    </row>
    <row r="1291" spans="5:18">
      <c r="E1291"/>
      <c r="F1291"/>
      <c r="H1291"/>
      <c r="M1291" s="27"/>
      <c r="N1291" s="27"/>
      <c r="O1291" s="27"/>
      <c r="P1291" s="27"/>
      <c r="Q1291" s="27"/>
      <c r="R1291" s="511"/>
    </row>
    <row r="1292" spans="5:18">
      <c r="E1292"/>
      <c r="F1292"/>
      <c r="H1292"/>
      <c r="M1292" s="27"/>
      <c r="N1292" s="27"/>
      <c r="O1292" s="27"/>
      <c r="P1292" s="27"/>
      <c r="Q1292" s="27"/>
      <c r="R1292" s="511"/>
    </row>
    <row r="1293" spans="5:18">
      <c r="E1293"/>
      <c r="F1293"/>
      <c r="H1293"/>
      <c r="M1293" s="27"/>
      <c r="N1293" s="27"/>
      <c r="O1293" s="27"/>
      <c r="P1293" s="27"/>
      <c r="Q1293" s="27"/>
      <c r="R1293" s="511"/>
    </row>
    <row r="1294" spans="5:18">
      <c r="E1294"/>
      <c r="F1294"/>
      <c r="H1294"/>
      <c r="M1294" s="27"/>
      <c r="N1294" s="27"/>
      <c r="O1294" s="27"/>
      <c r="P1294" s="27"/>
      <c r="Q1294" s="27"/>
      <c r="R1294" s="511"/>
    </row>
    <row r="1295" spans="5:18">
      <c r="E1295"/>
      <c r="F1295"/>
      <c r="H1295"/>
      <c r="M1295" s="27"/>
      <c r="N1295" s="27"/>
      <c r="O1295" s="27"/>
      <c r="P1295" s="27"/>
      <c r="Q1295" s="27"/>
      <c r="R1295" s="511"/>
    </row>
    <row r="1296" spans="5:18">
      <c r="E1296"/>
      <c r="F1296"/>
      <c r="H1296"/>
      <c r="M1296" s="27"/>
      <c r="N1296" s="27"/>
      <c r="O1296" s="27"/>
      <c r="P1296" s="27"/>
      <c r="Q1296" s="27"/>
      <c r="R1296" s="511"/>
    </row>
    <row r="1297" spans="5:18">
      <c r="E1297"/>
      <c r="F1297"/>
      <c r="H1297"/>
      <c r="M1297" s="27"/>
      <c r="N1297" s="27"/>
      <c r="O1297" s="27"/>
      <c r="P1297" s="27"/>
      <c r="Q1297" s="27"/>
      <c r="R1297" s="511"/>
    </row>
    <row r="1298" spans="5:18">
      <c r="E1298"/>
      <c r="F1298"/>
      <c r="H1298"/>
      <c r="M1298" s="27"/>
      <c r="N1298" s="27"/>
      <c r="O1298" s="27"/>
      <c r="P1298" s="27"/>
      <c r="Q1298" s="27"/>
      <c r="R1298" s="511"/>
    </row>
    <row r="1299" spans="5:18">
      <c r="E1299"/>
      <c r="F1299"/>
      <c r="H1299"/>
      <c r="M1299" s="27"/>
      <c r="N1299" s="27"/>
      <c r="O1299" s="27"/>
      <c r="P1299" s="27"/>
      <c r="Q1299" s="27"/>
      <c r="R1299" s="511"/>
    </row>
    <row r="1300" spans="5:18">
      <c r="E1300"/>
      <c r="F1300"/>
      <c r="H1300"/>
      <c r="M1300" s="27"/>
      <c r="N1300" s="27"/>
      <c r="O1300" s="27"/>
      <c r="P1300" s="27"/>
      <c r="Q1300" s="27"/>
      <c r="R1300" s="511"/>
    </row>
    <row r="1301" spans="5:18">
      <c r="E1301"/>
      <c r="F1301"/>
      <c r="H1301"/>
      <c r="M1301" s="27"/>
      <c r="N1301" s="27"/>
      <c r="O1301" s="27"/>
      <c r="P1301" s="27"/>
      <c r="Q1301" s="27"/>
      <c r="R1301" s="511"/>
    </row>
    <row r="1302" spans="5:18">
      <c r="E1302"/>
      <c r="F1302"/>
      <c r="H1302"/>
      <c r="M1302" s="27"/>
      <c r="N1302" s="27"/>
      <c r="O1302" s="27"/>
      <c r="P1302" s="27"/>
      <c r="Q1302" s="27"/>
      <c r="R1302" s="511"/>
    </row>
    <row r="1303" spans="5:18">
      <c r="E1303"/>
      <c r="F1303"/>
      <c r="H1303"/>
      <c r="M1303" s="27"/>
      <c r="N1303" s="27"/>
      <c r="O1303" s="27"/>
      <c r="P1303" s="27"/>
      <c r="Q1303" s="27"/>
      <c r="R1303" s="511"/>
    </row>
    <row r="1304" spans="5:18">
      <c r="E1304"/>
      <c r="F1304"/>
      <c r="H1304"/>
      <c r="M1304" s="27"/>
      <c r="N1304" s="27"/>
      <c r="O1304" s="27"/>
      <c r="P1304" s="27"/>
      <c r="Q1304" s="27"/>
      <c r="R1304" s="511"/>
    </row>
    <row r="1305" spans="5:18">
      <c r="E1305"/>
      <c r="F1305"/>
      <c r="H1305"/>
      <c r="M1305" s="27"/>
      <c r="N1305" s="27"/>
      <c r="O1305" s="27"/>
      <c r="P1305" s="27"/>
      <c r="Q1305" s="27"/>
      <c r="R1305" s="511"/>
    </row>
    <row r="1306" spans="5:18">
      <c r="E1306"/>
      <c r="F1306"/>
      <c r="H1306"/>
      <c r="M1306" s="27"/>
      <c r="N1306" s="27"/>
      <c r="O1306" s="27"/>
      <c r="P1306" s="27"/>
      <c r="Q1306" s="27"/>
      <c r="R1306" s="511"/>
    </row>
    <row r="1307" spans="5:18">
      <c r="E1307"/>
      <c r="F1307"/>
      <c r="H1307"/>
      <c r="M1307" s="27"/>
      <c r="N1307" s="27"/>
      <c r="O1307" s="27"/>
      <c r="P1307" s="27"/>
      <c r="Q1307" s="27"/>
      <c r="R1307" s="511"/>
    </row>
    <row r="1308" spans="5:18">
      <c r="E1308"/>
      <c r="F1308"/>
      <c r="H1308"/>
      <c r="M1308" s="27"/>
      <c r="N1308" s="27"/>
      <c r="O1308" s="27"/>
      <c r="P1308" s="27"/>
      <c r="Q1308" s="27"/>
      <c r="R1308" s="511"/>
    </row>
    <row r="1309" spans="5:18">
      <c r="E1309"/>
      <c r="F1309"/>
      <c r="H1309"/>
      <c r="M1309" s="27"/>
      <c r="N1309" s="27"/>
      <c r="O1309" s="27"/>
      <c r="P1309" s="27"/>
      <c r="Q1309" s="27"/>
      <c r="R1309" s="511"/>
    </row>
    <row r="1310" spans="5:18">
      <c r="E1310"/>
      <c r="F1310"/>
      <c r="H1310"/>
      <c r="M1310" s="27"/>
      <c r="N1310" s="27"/>
      <c r="O1310" s="27"/>
      <c r="P1310" s="27"/>
      <c r="Q1310" s="27"/>
      <c r="R1310" s="511"/>
    </row>
    <row r="1311" spans="5:18">
      <c r="E1311"/>
      <c r="F1311"/>
      <c r="H1311"/>
      <c r="M1311" s="27"/>
      <c r="N1311" s="27"/>
      <c r="O1311" s="27"/>
      <c r="P1311" s="27"/>
      <c r="Q1311" s="27"/>
      <c r="R1311" s="511"/>
    </row>
    <row r="1312" spans="5:18">
      <c r="E1312"/>
      <c r="F1312"/>
      <c r="H1312"/>
      <c r="M1312" s="27"/>
      <c r="N1312" s="27"/>
      <c r="O1312" s="27"/>
      <c r="P1312" s="27"/>
      <c r="Q1312" s="27"/>
      <c r="R1312" s="511"/>
    </row>
    <row r="1313" spans="5:18">
      <c r="E1313"/>
      <c r="F1313"/>
      <c r="H1313"/>
      <c r="M1313" s="27"/>
      <c r="N1313" s="27"/>
      <c r="O1313" s="27"/>
      <c r="P1313" s="27"/>
      <c r="Q1313" s="27"/>
      <c r="R1313" s="511"/>
    </row>
    <row r="1314" spans="5:18">
      <c r="E1314"/>
      <c r="F1314"/>
      <c r="H1314"/>
      <c r="M1314" s="27"/>
      <c r="N1314" s="27"/>
      <c r="O1314" s="27"/>
      <c r="P1314" s="27"/>
      <c r="Q1314" s="27"/>
      <c r="R1314" s="511"/>
    </row>
    <row r="1315" spans="5:18">
      <c r="E1315"/>
      <c r="F1315"/>
      <c r="H1315"/>
      <c r="M1315" s="27"/>
      <c r="N1315" s="27"/>
      <c r="O1315" s="27"/>
      <c r="P1315" s="27"/>
      <c r="Q1315" s="27"/>
      <c r="R1315" s="511"/>
    </row>
    <row r="1316" spans="5:18">
      <c r="E1316"/>
      <c r="F1316"/>
      <c r="H1316"/>
      <c r="M1316" s="27"/>
      <c r="N1316" s="27"/>
      <c r="O1316" s="27"/>
      <c r="P1316" s="27"/>
      <c r="Q1316" s="27"/>
      <c r="R1316" s="511"/>
    </row>
    <row r="1317" spans="5:18">
      <c r="E1317"/>
      <c r="F1317"/>
      <c r="H1317"/>
      <c r="M1317" s="27"/>
      <c r="N1317" s="27"/>
      <c r="O1317" s="27"/>
      <c r="P1317" s="27"/>
      <c r="Q1317" s="27"/>
      <c r="R1317" s="511"/>
    </row>
    <row r="1318" spans="5:18">
      <c r="E1318"/>
      <c r="F1318"/>
      <c r="H1318"/>
      <c r="M1318" s="27"/>
      <c r="N1318" s="27"/>
      <c r="O1318" s="27"/>
      <c r="P1318" s="27"/>
      <c r="Q1318" s="27"/>
      <c r="R1318" s="511"/>
    </row>
    <row r="1319" spans="5:18">
      <c r="E1319"/>
      <c r="F1319"/>
      <c r="H1319"/>
      <c r="M1319" s="27"/>
      <c r="N1319" s="27"/>
      <c r="O1319" s="27"/>
      <c r="P1319" s="27"/>
      <c r="Q1319" s="27"/>
      <c r="R1319" s="511"/>
    </row>
    <row r="1320" spans="5:18">
      <c r="E1320"/>
      <c r="F1320"/>
      <c r="H1320"/>
      <c r="M1320" s="27"/>
      <c r="N1320" s="27"/>
      <c r="O1320" s="27"/>
      <c r="P1320" s="27"/>
      <c r="Q1320" s="27"/>
      <c r="R1320" s="511"/>
    </row>
    <row r="1321" spans="5:18">
      <c r="E1321"/>
      <c r="F1321"/>
      <c r="H1321"/>
      <c r="M1321" s="27"/>
      <c r="N1321" s="27"/>
      <c r="O1321" s="27"/>
      <c r="P1321" s="27"/>
      <c r="Q1321" s="27"/>
      <c r="R1321" s="511"/>
    </row>
    <row r="1322" spans="5:18">
      <c r="E1322"/>
      <c r="F1322"/>
      <c r="H1322"/>
      <c r="M1322" s="27"/>
      <c r="N1322" s="27"/>
      <c r="O1322" s="27"/>
      <c r="P1322" s="27"/>
      <c r="Q1322" s="27"/>
      <c r="R1322" s="511"/>
    </row>
    <row r="1323" spans="5:18">
      <c r="E1323"/>
      <c r="F1323"/>
      <c r="H1323"/>
      <c r="M1323" s="27"/>
      <c r="N1323" s="27"/>
      <c r="O1323" s="27"/>
      <c r="P1323" s="27"/>
      <c r="Q1323" s="27"/>
      <c r="R1323" s="511"/>
    </row>
    <row r="1324" spans="5:18">
      <c r="E1324"/>
      <c r="F1324"/>
      <c r="H1324"/>
      <c r="M1324" s="27"/>
      <c r="N1324" s="27"/>
      <c r="O1324" s="27"/>
      <c r="P1324" s="27"/>
      <c r="Q1324" s="27"/>
      <c r="R1324" s="511"/>
    </row>
    <row r="1325" spans="5:18">
      <c r="E1325"/>
      <c r="F1325"/>
      <c r="H1325"/>
      <c r="M1325" s="27"/>
      <c r="N1325" s="27"/>
      <c r="O1325" s="27"/>
      <c r="P1325" s="27"/>
      <c r="Q1325" s="27"/>
      <c r="R1325" s="511"/>
    </row>
    <row r="1326" spans="5:18">
      <c r="E1326"/>
      <c r="F1326"/>
      <c r="H1326"/>
      <c r="M1326" s="27"/>
      <c r="N1326" s="27"/>
      <c r="O1326" s="27"/>
      <c r="P1326" s="27"/>
      <c r="Q1326" s="27"/>
      <c r="R1326" s="511"/>
    </row>
    <row r="1327" spans="5:18">
      <c r="E1327"/>
      <c r="F1327"/>
      <c r="H1327"/>
      <c r="M1327" s="27"/>
      <c r="N1327" s="27"/>
      <c r="O1327" s="27"/>
      <c r="P1327" s="27"/>
      <c r="Q1327" s="27"/>
      <c r="R1327" s="511"/>
    </row>
    <row r="1328" spans="5:18">
      <c r="E1328"/>
      <c r="F1328"/>
      <c r="H1328"/>
      <c r="M1328" s="27"/>
      <c r="N1328" s="27"/>
      <c r="O1328" s="27"/>
      <c r="P1328" s="27"/>
      <c r="Q1328" s="27"/>
      <c r="R1328" s="511"/>
    </row>
    <row r="1329" spans="5:18">
      <c r="E1329"/>
      <c r="F1329"/>
      <c r="H1329"/>
      <c r="M1329" s="27"/>
      <c r="N1329" s="27"/>
      <c r="O1329" s="27"/>
      <c r="P1329" s="27"/>
      <c r="Q1329" s="27"/>
      <c r="R1329" s="511"/>
    </row>
    <row r="1330" spans="5:18">
      <c r="E1330"/>
      <c r="F1330"/>
      <c r="H1330"/>
      <c r="M1330" s="27"/>
      <c r="N1330" s="27"/>
      <c r="O1330" s="27"/>
      <c r="P1330" s="27"/>
      <c r="Q1330" s="27"/>
      <c r="R1330" s="511"/>
    </row>
    <row r="1331" spans="5:18">
      <c r="E1331"/>
      <c r="F1331"/>
      <c r="H1331"/>
      <c r="M1331" s="27"/>
      <c r="N1331" s="27"/>
      <c r="O1331" s="27"/>
      <c r="P1331" s="27"/>
      <c r="Q1331" s="27"/>
      <c r="R1331" s="511"/>
    </row>
    <row r="1332" spans="5:18">
      <c r="E1332"/>
      <c r="F1332"/>
      <c r="H1332"/>
      <c r="M1332" s="27"/>
      <c r="N1332" s="27"/>
      <c r="O1332" s="27"/>
      <c r="P1332" s="27"/>
      <c r="Q1332" s="27"/>
      <c r="R1332" s="511"/>
    </row>
    <row r="1333" spans="5:18">
      <c r="E1333"/>
      <c r="F1333"/>
      <c r="H1333"/>
      <c r="M1333" s="27"/>
      <c r="N1333" s="27"/>
      <c r="O1333" s="27"/>
      <c r="P1333" s="27"/>
      <c r="Q1333" s="27"/>
      <c r="R1333" s="511"/>
    </row>
    <row r="1334" spans="5:18">
      <c r="E1334"/>
      <c r="F1334"/>
      <c r="H1334"/>
      <c r="M1334" s="27"/>
      <c r="N1334" s="27"/>
      <c r="O1334" s="27"/>
      <c r="P1334" s="27"/>
      <c r="Q1334" s="27"/>
      <c r="R1334" s="511"/>
    </row>
    <row r="1335" spans="5:18">
      <c r="E1335"/>
      <c r="F1335"/>
      <c r="H1335"/>
      <c r="M1335" s="27"/>
      <c r="N1335" s="27"/>
      <c r="O1335" s="27"/>
      <c r="P1335" s="27"/>
      <c r="Q1335" s="27"/>
      <c r="R1335" s="511"/>
    </row>
    <row r="1336" spans="5:18">
      <c r="E1336"/>
      <c r="F1336"/>
      <c r="H1336"/>
      <c r="M1336" s="27"/>
      <c r="N1336" s="27"/>
      <c r="O1336" s="27"/>
      <c r="P1336" s="27"/>
      <c r="Q1336" s="27"/>
      <c r="R1336" s="511"/>
    </row>
    <row r="1337" spans="5:18">
      <c r="E1337"/>
      <c r="F1337"/>
      <c r="H1337"/>
      <c r="M1337" s="27"/>
      <c r="N1337" s="27"/>
      <c r="O1337" s="27"/>
      <c r="P1337" s="27"/>
      <c r="Q1337" s="27"/>
      <c r="R1337" s="511"/>
    </row>
    <row r="1338" spans="5:18">
      <c r="E1338"/>
      <c r="F1338"/>
      <c r="H1338"/>
      <c r="M1338" s="27"/>
      <c r="N1338" s="27"/>
      <c r="O1338" s="27"/>
      <c r="P1338" s="27"/>
      <c r="Q1338" s="27"/>
      <c r="R1338" s="511"/>
    </row>
    <row r="1339" spans="5:18">
      <c r="E1339"/>
      <c r="F1339"/>
      <c r="H1339"/>
      <c r="M1339" s="27"/>
      <c r="N1339" s="27"/>
      <c r="O1339" s="27"/>
      <c r="P1339" s="27"/>
      <c r="Q1339" s="27"/>
      <c r="R1339" s="511"/>
    </row>
    <row r="1340" spans="5:18">
      <c r="E1340"/>
      <c r="F1340"/>
      <c r="H1340"/>
      <c r="M1340" s="27"/>
      <c r="N1340" s="27"/>
      <c r="O1340" s="27"/>
      <c r="P1340" s="27"/>
      <c r="Q1340" s="27"/>
      <c r="R1340" s="511"/>
    </row>
    <row r="1341" spans="5:18">
      <c r="E1341"/>
      <c r="F1341"/>
      <c r="H1341"/>
      <c r="M1341" s="27"/>
      <c r="N1341" s="27"/>
      <c r="O1341" s="27"/>
      <c r="P1341" s="27"/>
      <c r="Q1341" s="27"/>
      <c r="R1341" s="511"/>
    </row>
    <row r="1342" spans="5:18">
      <c r="E1342"/>
      <c r="F1342"/>
      <c r="H1342"/>
      <c r="M1342" s="27"/>
      <c r="N1342" s="27"/>
      <c r="O1342" s="27"/>
      <c r="P1342" s="27"/>
      <c r="Q1342" s="27"/>
      <c r="R1342" s="511"/>
    </row>
    <row r="1343" spans="5:18">
      <c r="E1343"/>
      <c r="F1343"/>
      <c r="H1343"/>
      <c r="M1343" s="27"/>
      <c r="N1343" s="27"/>
      <c r="O1343" s="27"/>
      <c r="P1343" s="27"/>
      <c r="Q1343" s="27"/>
      <c r="R1343" s="511"/>
    </row>
    <row r="1344" spans="5:18">
      <c r="E1344"/>
      <c r="F1344"/>
      <c r="H1344"/>
      <c r="M1344" s="27"/>
      <c r="N1344" s="27"/>
      <c r="O1344" s="27"/>
      <c r="P1344" s="27"/>
      <c r="Q1344" s="27"/>
      <c r="R1344" s="511"/>
    </row>
    <row r="1345" spans="5:18">
      <c r="E1345"/>
      <c r="F1345"/>
      <c r="H1345"/>
      <c r="M1345" s="27"/>
      <c r="N1345" s="27"/>
      <c r="O1345" s="27"/>
      <c r="P1345" s="27"/>
      <c r="Q1345" s="27"/>
      <c r="R1345" s="511"/>
    </row>
    <row r="1346" spans="5:18">
      <c r="E1346"/>
      <c r="F1346"/>
      <c r="H1346"/>
      <c r="M1346" s="27"/>
      <c r="N1346" s="27"/>
      <c r="O1346" s="27"/>
      <c r="P1346" s="27"/>
      <c r="Q1346" s="27"/>
      <c r="R1346" s="511"/>
    </row>
    <row r="1347" spans="5:18">
      <c r="E1347"/>
      <c r="F1347"/>
      <c r="H1347"/>
      <c r="M1347" s="27"/>
      <c r="N1347" s="27"/>
      <c r="O1347" s="27"/>
      <c r="P1347" s="27"/>
      <c r="Q1347" s="27"/>
      <c r="R1347" s="511"/>
    </row>
    <row r="1348" spans="5:18">
      <c r="E1348"/>
      <c r="F1348"/>
      <c r="H1348"/>
      <c r="M1348" s="27"/>
      <c r="N1348" s="27"/>
      <c r="O1348" s="27"/>
      <c r="P1348" s="27"/>
      <c r="Q1348" s="27"/>
      <c r="R1348" s="511"/>
    </row>
    <row r="1349" spans="5:18">
      <c r="E1349"/>
      <c r="F1349"/>
      <c r="H1349"/>
      <c r="M1349" s="27"/>
      <c r="N1349" s="27"/>
      <c r="O1349" s="27"/>
      <c r="P1349" s="27"/>
      <c r="Q1349" s="27"/>
      <c r="R1349" s="511"/>
    </row>
    <row r="1350" spans="5:18">
      <c r="E1350"/>
      <c r="F1350"/>
      <c r="H1350"/>
      <c r="M1350" s="27"/>
      <c r="N1350" s="27"/>
      <c r="O1350" s="27"/>
      <c r="P1350" s="27"/>
      <c r="Q1350" s="27"/>
      <c r="R1350" s="511"/>
    </row>
    <row r="1351" spans="5:18">
      <c r="E1351"/>
      <c r="F1351"/>
      <c r="H1351"/>
      <c r="M1351" s="27"/>
      <c r="N1351" s="27"/>
      <c r="O1351" s="27"/>
      <c r="P1351" s="27"/>
      <c r="Q1351" s="27"/>
      <c r="R1351" s="511"/>
    </row>
    <row r="1352" spans="5:18">
      <c r="E1352"/>
      <c r="F1352"/>
      <c r="H1352"/>
      <c r="M1352" s="27"/>
      <c r="N1352" s="27"/>
      <c r="O1352" s="27"/>
      <c r="P1352" s="27"/>
      <c r="Q1352" s="27"/>
      <c r="R1352" s="511"/>
    </row>
    <row r="1353" spans="5:18">
      <c r="E1353"/>
      <c r="F1353"/>
      <c r="H1353"/>
      <c r="M1353" s="27"/>
      <c r="N1353" s="27"/>
      <c r="O1353" s="27"/>
      <c r="P1353" s="27"/>
      <c r="Q1353" s="27"/>
      <c r="R1353" s="511"/>
    </row>
    <row r="1354" spans="5:18">
      <c r="E1354"/>
      <c r="F1354"/>
      <c r="H1354"/>
      <c r="M1354" s="27"/>
      <c r="N1354" s="27"/>
      <c r="O1354" s="27"/>
      <c r="P1354" s="27"/>
      <c r="Q1354" s="27"/>
      <c r="R1354" s="511"/>
    </row>
    <row r="1355" spans="5:18">
      <c r="E1355"/>
      <c r="F1355"/>
      <c r="H1355"/>
      <c r="M1355" s="27"/>
      <c r="N1355" s="27"/>
      <c r="O1355" s="27"/>
      <c r="P1355" s="27"/>
      <c r="Q1355" s="27"/>
      <c r="R1355" s="511"/>
    </row>
    <row r="1356" spans="5:18">
      <c r="E1356"/>
      <c r="F1356"/>
      <c r="H1356"/>
      <c r="M1356" s="27"/>
      <c r="N1356" s="27"/>
      <c r="O1356" s="27"/>
      <c r="P1356" s="27"/>
      <c r="Q1356" s="27"/>
      <c r="R1356" s="511"/>
    </row>
    <row r="1357" spans="5:18">
      <c r="E1357"/>
      <c r="F1357"/>
      <c r="H1357"/>
      <c r="M1357" s="27"/>
      <c r="N1357" s="27"/>
      <c r="O1357" s="27"/>
      <c r="P1357" s="27"/>
      <c r="Q1357" s="27"/>
      <c r="R1357" s="511"/>
    </row>
    <row r="1358" spans="5:18">
      <c r="E1358"/>
      <c r="F1358"/>
      <c r="H1358"/>
      <c r="M1358" s="27"/>
      <c r="N1358" s="27"/>
      <c r="O1358" s="27"/>
      <c r="P1358" s="27"/>
      <c r="Q1358" s="27"/>
      <c r="R1358" s="511"/>
    </row>
    <row r="1359" spans="5:18">
      <c r="E1359"/>
      <c r="F1359"/>
      <c r="H1359"/>
      <c r="M1359" s="27"/>
      <c r="N1359" s="27"/>
      <c r="O1359" s="27"/>
      <c r="P1359" s="27"/>
      <c r="Q1359" s="27"/>
      <c r="R1359" s="511"/>
    </row>
    <row r="1360" spans="5:18">
      <c r="E1360"/>
      <c r="F1360"/>
      <c r="H1360"/>
      <c r="M1360" s="27"/>
      <c r="N1360" s="27"/>
      <c r="O1360" s="27"/>
      <c r="P1360" s="27"/>
      <c r="Q1360" s="27"/>
      <c r="R1360" s="511"/>
    </row>
    <row r="1361" spans="5:18">
      <c r="E1361"/>
      <c r="F1361"/>
      <c r="H1361"/>
      <c r="M1361" s="27"/>
      <c r="N1361" s="27"/>
      <c r="O1361" s="27"/>
      <c r="P1361" s="27"/>
      <c r="Q1361" s="27"/>
      <c r="R1361" s="511"/>
    </row>
    <row r="1362" spans="5:18">
      <c r="E1362"/>
      <c r="F1362"/>
      <c r="H1362"/>
      <c r="M1362" s="27"/>
      <c r="N1362" s="27"/>
      <c r="O1362" s="27"/>
      <c r="P1362" s="27"/>
      <c r="Q1362" s="27"/>
      <c r="R1362" s="511"/>
    </row>
    <row r="1363" spans="5:18">
      <c r="E1363"/>
      <c r="F1363"/>
      <c r="H1363"/>
      <c r="M1363" s="27"/>
      <c r="N1363" s="27"/>
      <c r="O1363" s="27"/>
      <c r="P1363" s="27"/>
      <c r="Q1363" s="27"/>
      <c r="R1363" s="511"/>
    </row>
    <row r="1364" spans="5:18">
      <c r="E1364"/>
      <c r="F1364"/>
      <c r="H1364"/>
      <c r="M1364" s="27"/>
      <c r="N1364" s="27"/>
      <c r="O1364" s="27"/>
      <c r="P1364" s="27"/>
      <c r="Q1364" s="27"/>
      <c r="R1364" s="511"/>
    </row>
    <row r="1365" spans="5:18">
      <c r="E1365"/>
      <c r="F1365"/>
      <c r="H1365"/>
      <c r="M1365" s="27"/>
      <c r="N1365" s="27"/>
      <c r="O1365" s="27"/>
      <c r="P1365" s="27"/>
      <c r="Q1365" s="27"/>
      <c r="R1365" s="511"/>
    </row>
    <row r="1366" spans="5:18">
      <c r="E1366"/>
      <c r="F1366"/>
      <c r="H1366"/>
      <c r="M1366" s="27"/>
      <c r="N1366" s="27"/>
      <c r="O1366" s="27"/>
      <c r="P1366" s="27"/>
      <c r="Q1366" s="27"/>
      <c r="R1366" s="511"/>
    </row>
    <row r="1367" spans="5:18">
      <c r="E1367"/>
      <c r="F1367"/>
      <c r="H1367"/>
      <c r="M1367" s="27"/>
      <c r="N1367" s="27"/>
      <c r="O1367" s="27"/>
      <c r="P1367" s="27"/>
      <c r="Q1367" s="27"/>
      <c r="R1367" s="511"/>
    </row>
    <row r="1368" spans="5:18">
      <c r="E1368"/>
      <c r="F1368"/>
      <c r="H1368"/>
      <c r="M1368" s="27"/>
      <c r="N1368" s="27"/>
      <c r="O1368" s="27"/>
      <c r="P1368" s="27"/>
      <c r="Q1368" s="27"/>
      <c r="R1368" s="511"/>
    </row>
    <row r="1369" spans="5:18">
      <c r="E1369"/>
      <c r="F1369"/>
      <c r="H1369"/>
      <c r="M1369" s="27"/>
      <c r="N1369" s="27"/>
      <c r="O1369" s="27"/>
      <c r="P1369" s="27"/>
      <c r="Q1369" s="27"/>
      <c r="R1369" s="511"/>
    </row>
    <row r="1370" spans="5:18">
      <c r="E1370"/>
      <c r="F1370"/>
      <c r="H1370"/>
      <c r="M1370" s="27"/>
      <c r="N1370" s="27"/>
      <c r="O1370" s="27"/>
      <c r="P1370" s="27"/>
      <c r="Q1370" s="27"/>
      <c r="R1370" s="511"/>
    </row>
    <row r="1371" spans="5:18">
      <c r="E1371"/>
      <c r="F1371"/>
      <c r="H1371"/>
      <c r="M1371" s="27"/>
      <c r="N1371" s="27"/>
      <c r="O1371" s="27"/>
      <c r="P1371" s="27"/>
      <c r="Q1371" s="27"/>
      <c r="R1371" s="511"/>
    </row>
    <row r="1372" spans="5:18">
      <c r="E1372"/>
      <c r="F1372"/>
      <c r="H1372"/>
      <c r="M1372" s="27"/>
      <c r="N1372" s="27"/>
      <c r="O1372" s="27"/>
      <c r="P1372" s="27"/>
      <c r="Q1372" s="27"/>
      <c r="R1372" s="511"/>
    </row>
    <row r="1373" spans="5:18">
      <c r="E1373"/>
      <c r="F1373"/>
      <c r="H1373"/>
      <c r="M1373" s="27"/>
      <c r="N1373" s="27"/>
      <c r="O1373" s="27"/>
      <c r="P1373" s="27"/>
      <c r="Q1373" s="27"/>
      <c r="R1373" s="511"/>
    </row>
    <row r="1374" spans="5:18">
      <c r="E1374"/>
      <c r="F1374"/>
      <c r="H1374"/>
      <c r="M1374" s="27"/>
      <c r="N1374" s="27"/>
      <c r="O1374" s="27"/>
      <c r="P1374" s="27"/>
      <c r="Q1374" s="27"/>
      <c r="R1374" s="511"/>
    </row>
    <row r="1375" spans="5:18">
      <c r="E1375"/>
      <c r="F1375"/>
      <c r="H1375"/>
      <c r="M1375" s="27"/>
      <c r="N1375" s="27"/>
      <c r="O1375" s="27"/>
      <c r="P1375" s="27"/>
      <c r="Q1375" s="27"/>
      <c r="R1375" s="511"/>
    </row>
    <row r="1376" spans="5:18">
      <c r="E1376"/>
      <c r="F1376"/>
      <c r="H1376"/>
      <c r="M1376" s="27"/>
      <c r="N1376" s="27"/>
      <c r="O1376" s="27"/>
      <c r="P1376" s="27"/>
      <c r="Q1376" s="27"/>
      <c r="R1376" s="511"/>
    </row>
    <row r="1377" spans="5:18">
      <c r="E1377"/>
      <c r="F1377"/>
      <c r="H1377"/>
      <c r="M1377" s="27"/>
      <c r="N1377" s="27"/>
      <c r="O1377" s="27"/>
      <c r="P1377" s="27"/>
      <c r="Q1377" s="27"/>
      <c r="R1377" s="511"/>
    </row>
    <row r="1378" spans="5:18">
      <c r="E1378"/>
      <c r="F1378"/>
      <c r="H1378"/>
      <c r="M1378" s="27"/>
      <c r="N1378" s="27"/>
      <c r="O1378" s="27"/>
      <c r="P1378" s="27"/>
      <c r="Q1378" s="27"/>
      <c r="R1378" s="511"/>
    </row>
    <row r="1379" spans="5:18">
      <c r="E1379"/>
      <c r="F1379"/>
      <c r="H1379"/>
      <c r="M1379" s="27"/>
      <c r="N1379" s="27"/>
      <c r="O1379" s="27"/>
      <c r="P1379" s="27"/>
      <c r="Q1379" s="27"/>
      <c r="R1379" s="511"/>
    </row>
    <row r="1380" spans="5:18">
      <c r="E1380"/>
      <c r="F1380"/>
      <c r="H1380"/>
      <c r="M1380" s="27"/>
      <c r="N1380" s="27"/>
      <c r="O1380" s="27"/>
      <c r="P1380" s="27"/>
      <c r="Q1380" s="27"/>
      <c r="R1380" s="511"/>
    </row>
    <row r="1381" spans="5:18">
      <c r="E1381"/>
      <c r="F1381"/>
      <c r="H1381"/>
      <c r="M1381" s="27"/>
      <c r="N1381" s="27"/>
      <c r="O1381" s="27"/>
      <c r="P1381" s="27"/>
      <c r="Q1381" s="27"/>
      <c r="R1381" s="511"/>
    </row>
    <row r="1382" spans="5:18">
      <c r="E1382"/>
      <c r="F1382"/>
      <c r="H1382"/>
      <c r="M1382" s="27"/>
      <c r="N1382" s="27"/>
      <c r="O1382" s="27"/>
      <c r="P1382" s="27"/>
      <c r="Q1382" s="27"/>
      <c r="R1382" s="511"/>
    </row>
    <row r="1383" spans="5:18">
      <c r="E1383"/>
      <c r="F1383"/>
      <c r="H1383"/>
      <c r="M1383" s="27"/>
      <c r="N1383" s="27"/>
      <c r="O1383" s="27"/>
      <c r="P1383" s="27"/>
      <c r="Q1383" s="27"/>
      <c r="R1383" s="511"/>
    </row>
    <row r="1384" spans="5:18">
      <c r="E1384"/>
      <c r="F1384"/>
      <c r="H1384"/>
      <c r="M1384" s="27"/>
      <c r="N1384" s="27"/>
      <c r="O1384" s="27"/>
      <c r="P1384" s="27"/>
      <c r="Q1384" s="27"/>
      <c r="R1384" s="511"/>
    </row>
    <row r="1385" spans="5:18">
      <c r="E1385"/>
      <c r="F1385"/>
      <c r="H1385"/>
      <c r="M1385" s="27"/>
      <c r="N1385" s="27"/>
      <c r="O1385" s="27"/>
      <c r="P1385" s="27"/>
      <c r="Q1385" s="27"/>
      <c r="R1385" s="511"/>
    </row>
    <row r="1386" spans="5:18">
      <c r="E1386"/>
      <c r="F1386"/>
      <c r="H1386"/>
      <c r="M1386" s="27"/>
      <c r="N1386" s="27"/>
      <c r="O1386" s="27"/>
      <c r="P1386" s="27"/>
      <c r="Q1386" s="27"/>
      <c r="R1386" s="511"/>
    </row>
    <row r="1387" spans="5:18">
      <c r="E1387"/>
      <c r="F1387"/>
      <c r="H1387"/>
      <c r="M1387" s="27"/>
      <c r="N1387" s="27"/>
      <c r="O1387" s="27"/>
      <c r="P1387" s="27"/>
      <c r="Q1387" s="27"/>
      <c r="R1387" s="511"/>
    </row>
    <row r="1388" spans="5:18">
      <c r="E1388"/>
      <c r="F1388"/>
      <c r="H1388"/>
      <c r="M1388" s="27"/>
      <c r="N1388" s="27"/>
      <c r="O1388" s="27"/>
      <c r="P1388" s="27"/>
      <c r="Q1388" s="27"/>
      <c r="R1388" s="511"/>
    </row>
    <row r="1389" spans="5:18">
      <c r="E1389"/>
      <c r="F1389"/>
      <c r="H1389"/>
      <c r="M1389" s="27"/>
      <c r="N1389" s="27"/>
      <c r="O1389" s="27"/>
      <c r="P1389" s="27"/>
      <c r="Q1389" s="27"/>
      <c r="R1389" s="511"/>
    </row>
    <row r="1390" spans="5:18">
      <c r="E1390"/>
      <c r="F1390"/>
      <c r="H1390"/>
      <c r="M1390" s="27"/>
      <c r="N1390" s="27"/>
      <c r="O1390" s="27"/>
      <c r="P1390" s="27"/>
      <c r="Q1390" s="27"/>
      <c r="R1390" s="511"/>
    </row>
    <row r="1391" spans="5:18">
      <c r="E1391"/>
      <c r="F1391"/>
      <c r="H1391"/>
      <c r="M1391" s="27"/>
      <c r="N1391" s="27"/>
      <c r="O1391" s="27"/>
      <c r="P1391" s="27"/>
      <c r="Q1391" s="27"/>
      <c r="R1391" s="511"/>
    </row>
    <row r="1392" spans="5:18">
      <c r="E1392"/>
      <c r="F1392"/>
      <c r="H1392"/>
      <c r="M1392" s="27"/>
      <c r="N1392" s="27"/>
      <c r="O1392" s="27"/>
      <c r="P1392" s="27"/>
      <c r="Q1392" s="27"/>
      <c r="R1392" s="511"/>
    </row>
    <row r="1393" spans="5:18">
      <c r="E1393"/>
      <c r="F1393"/>
      <c r="H1393"/>
      <c r="M1393" s="27"/>
      <c r="N1393" s="27"/>
      <c r="O1393" s="27"/>
      <c r="P1393" s="27"/>
      <c r="Q1393" s="27"/>
      <c r="R1393" s="511"/>
    </row>
    <row r="1394" spans="5:18">
      <c r="E1394"/>
      <c r="F1394"/>
      <c r="H1394"/>
      <c r="M1394" s="27"/>
      <c r="N1394" s="27"/>
      <c r="O1394" s="27"/>
      <c r="P1394" s="27"/>
      <c r="Q1394" s="27"/>
      <c r="R1394" s="511"/>
    </row>
    <row r="1395" spans="5:18">
      <c r="E1395"/>
      <c r="F1395"/>
      <c r="H1395"/>
      <c r="M1395" s="27"/>
      <c r="N1395" s="27"/>
      <c r="O1395" s="27"/>
      <c r="P1395" s="27"/>
      <c r="Q1395" s="27"/>
      <c r="R1395" s="511"/>
    </row>
    <row r="1396" spans="5:18">
      <c r="E1396"/>
      <c r="F1396"/>
      <c r="H1396"/>
      <c r="M1396" s="27"/>
      <c r="N1396" s="27"/>
      <c r="O1396" s="27"/>
      <c r="P1396" s="27"/>
      <c r="Q1396" s="27"/>
      <c r="R1396" s="511"/>
    </row>
    <row r="1397" spans="5:18">
      <c r="E1397"/>
      <c r="F1397"/>
      <c r="H1397"/>
      <c r="M1397" s="27"/>
      <c r="N1397" s="27"/>
      <c r="O1397" s="27"/>
      <c r="P1397" s="27"/>
      <c r="Q1397" s="27"/>
      <c r="R1397" s="511"/>
    </row>
    <row r="1398" spans="5:18">
      <c r="E1398"/>
      <c r="F1398"/>
      <c r="H1398"/>
      <c r="M1398" s="27"/>
      <c r="N1398" s="27"/>
      <c r="O1398" s="27"/>
      <c r="P1398" s="27"/>
      <c r="Q1398" s="27"/>
      <c r="R1398" s="511"/>
    </row>
    <row r="1399" spans="5:18">
      <c r="E1399"/>
      <c r="F1399"/>
      <c r="H1399"/>
      <c r="M1399" s="27"/>
      <c r="N1399" s="27"/>
      <c r="O1399" s="27"/>
      <c r="P1399" s="27"/>
      <c r="Q1399" s="27"/>
      <c r="R1399" s="511"/>
    </row>
    <row r="1400" spans="5:18">
      <c r="E1400"/>
      <c r="F1400"/>
      <c r="H1400"/>
      <c r="M1400" s="27"/>
      <c r="N1400" s="27"/>
      <c r="O1400" s="27"/>
      <c r="P1400" s="27"/>
      <c r="Q1400" s="27"/>
      <c r="R1400" s="511"/>
    </row>
    <row r="1401" spans="5:18">
      <c r="E1401"/>
      <c r="F1401"/>
      <c r="H1401"/>
      <c r="M1401" s="27"/>
      <c r="N1401" s="27"/>
      <c r="O1401" s="27"/>
      <c r="P1401" s="27"/>
      <c r="Q1401" s="27"/>
      <c r="R1401" s="511"/>
    </row>
    <row r="1402" spans="5:18">
      <c r="E1402"/>
      <c r="F1402"/>
      <c r="H1402"/>
      <c r="M1402" s="27"/>
      <c r="N1402" s="27"/>
      <c r="O1402" s="27"/>
      <c r="P1402" s="27"/>
      <c r="Q1402" s="27"/>
      <c r="R1402" s="511"/>
    </row>
    <row r="1403" spans="5:18">
      <c r="E1403"/>
      <c r="F1403"/>
      <c r="H1403"/>
      <c r="M1403" s="27"/>
      <c r="N1403" s="27"/>
      <c r="O1403" s="27"/>
      <c r="P1403" s="27"/>
      <c r="Q1403" s="27"/>
      <c r="R1403" s="511"/>
    </row>
    <row r="1404" spans="5:18">
      <c r="E1404"/>
      <c r="F1404"/>
      <c r="H1404"/>
      <c r="M1404" s="27"/>
      <c r="N1404" s="27"/>
      <c r="O1404" s="27"/>
      <c r="P1404" s="27"/>
      <c r="Q1404" s="27"/>
      <c r="R1404" s="511"/>
    </row>
    <row r="1405" spans="5:18">
      <c r="E1405"/>
      <c r="F1405"/>
      <c r="H1405"/>
      <c r="M1405" s="27"/>
      <c r="N1405" s="27"/>
      <c r="O1405" s="27"/>
      <c r="P1405" s="27"/>
      <c r="Q1405" s="27"/>
      <c r="R1405" s="511"/>
    </row>
    <row r="1406" spans="5:18">
      <c r="E1406"/>
      <c r="F1406"/>
      <c r="H1406"/>
      <c r="M1406" s="27"/>
      <c r="N1406" s="27"/>
      <c r="O1406" s="27"/>
      <c r="P1406" s="27"/>
      <c r="Q1406" s="27"/>
      <c r="R1406" s="511"/>
    </row>
    <row r="1407" spans="5:18">
      <c r="E1407"/>
      <c r="F1407"/>
      <c r="H1407"/>
      <c r="M1407" s="27"/>
      <c r="N1407" s="27"/>
      <c r="O1407" s="27"/>
      <c r="P1407" s="27"/>
      <c r="Q1407" s="27"/>
      <c r="R1407" s="511"/>
    </row>
    <row r="1408" spans="5:18">
      <c r="E1408"/>
      <c r="F1408"/>
      <c r="H1408"/>
      <c r="M1408" s="27"/>
      <c r="N1408" s="27"/>
      <c r="O1408" s="27"/>
      <c r="P1408" s="27"/>
      <c r="Q1408" s="27"/>
      <c r="R1408" s="511"/>
    </row>
    <row r="1409" spans="5:18">
      <c r="E1409"/>
      <c r="F1409"/>
      <c r="H1409"/>
      <c r="M1409" s="27"/>
      <c r="N1409" s="27"/>
      <c r="O1409" s="27"/>
      <c r="P1409" s="27"/>
      <c r="Q1409" s="27"/>
      <c r="R1409" s="511"/>
    </row>
    <row r="1410" spans="5:18">
      <c r="E1410"/>
      <c r="F1410"/>
      <c r="H1410"/>
      <c r="M1410" s="27"/>
      <c r="N1410" s="27"/>
      <c r="O1410" s="27"/>
      <c r="P1410" s="27"/>
      <c r="Q1410" s="27"/>
      <c r="R1410" s="511"/>
    </row>
    <row r="1411" spans="5:18">
      <c r="E1411"/>
      <c r="F1411"/>
      <c r="H1411"/>
      <c r="M1411" s="27"/>
      <c r="N1411" s="27"/>
      <c r="O1411" s="27"/>
      <c r="P1411" s="27"/>
      <c r="Q1411" s="27"/>
      <c r="R1411" s="511"/>
    </row>
    <row r="1412" spans="5:18">
      <c r="E1412"/>
      <c r="F1412"/>
      <c r="H1412"/>
      <c r="M1412" s="27"/>
      <c r="N1412" s="27"/>
      <c r="O1412" s="27"/>
      <c r="P1412" s="27"/>
      <c r="Q1412" s="27"/>
      <c r="R1412" s="511"/>
    </row>
    <row r="1413" spans="5:18">
      <c r="E1413"/>
      <c r="F1413"/>
      <c r="H1413"/>
      <c r="M1413" s="27"/>
      <c r="N1413" s="27"/>
      <c r="O1413" s="27"/>
      <c r="P1413" s="27"/>
      <c r="Q1413" s="27"/>
      <c r="R1413" s="511"/>
    </row>
    <row r="1414" spans="5:18">
      <c r="E1414"/>
      <c r="F1414"/>
      <c r="H1414"/>
      <c r="M1414" s="27"/>
      <c r="N1414" s="27"/>
      <c r="O1414" s="27"/>
      <c r="P1414" s="27"/>
      <c r="Q1414" s="27"/>
      <c r="R1414" s="511"/>
    </row>
    <row r="1415" spans="5:18">
      <c r="E1415"/>
      <c r="F1415"/>
      <c r="H1415"/>
      <c r="M1415" s="27"/>
      <c r="N1415" s="27"/>
      <c r="O1415" s="27"/>
      <c r="P1415" s="27"/>
      <c r="Q1415" s="27"/>
      <c r="R1415" s="511"/>
    </row>
    <row r="1416" spans="5:18">
      <c r="E1416"/>
      <c r="F1416"/>
      <c r="H1416"/>
      <c r="M1416" s="27"/>
      <c r="N1416" s="27"/>
      <c r="O1416" s="27"/>
      <c r="P1416" s="27"/>
      <c r="Q1416" s="27"/>
      <c r="R1416" s="511"/>
    </row>
    <row r="1417" spans="5:18">
      <c r="E1417"/>
      <c r="F1417"/>
      <c r="H1417"/>
      <c r="M1417" s="27"/>
      <c r="N1417" s="27"/>
      <c r="O1417" s="27"/>
      <c r="P1417" s="27"/>
      <c r="Q1417" s="27"/>
      <c r="R1417" s="511"/>
    </row>
    <row r="1418" spans="5:18">
      <c r="E1418"/>
      <c r="F1418"/>
      <c r="H1418"/>
      <c r="M1418" s="27"/>
      <c r="N1418" s="27"/>
      <c r="O1418" s="27"/>
      <c r="P1418" s="27"/>
      <c r="Q1418" s="27"/>
      <c r="R1418" s="511"/>
    </row>
    <row r="1419" spans="5:18">
      <c r="E1419"/>
      <c r="F1419"/>
      <c r="H1419"/>
      <c r="M1419" s="27"/>
      <c r="N1419" s="27"/>
      <c r="O1419" s="27"/>
      <c r="P1419" s="27"/>
      <c r="Q1419" s="27"/>
      <c r="R1419" s="511"/>
    </row>
    <row r="1420" spans="5:18">
      <c r="E1420"/>
      <c r="F1420"/>
      <c r="H1420"/>
      <c r="M1420" s="27"/>
      <c r="N1420" s="27"/>
      <c r="O1420" s="27"/>
      <c r="P1420" s="27"/>
      <c r="Q1420" s="27"/>
      <c r="R1420" s="511"/>
    </row>
    <row r="1421" spans="5:18">
      <c r="E1421"/>
      <c r="F1421"/>
      <c r="H1421"/>
      <c r="M1421" s="27"/>
      <c r="N1421" s="27"/>
      <c r="O1421" s="27"/>
      <c r="P1421" s="27"/>
      <c r="Q1421" s="27"/>
      <c r="R1421" s="511"/>
    </row>
    <row r="1422" spans="5:18">
      <c r="E1422"/>
      <c r="F1422"/>
      <c r="H1422"/>
      <c r="M1422" s="27"/>
      <c r="N1422" s="27"/>
      <c r="O1422" s="27"/>
      <c r="P1422" s="27"/>
      <c r="Q1422" s="27"/>
      <c r="R1422" s="511"/>
    </row>
    <row r="1423" spans="5:18">
      <c r="E1423"/>
      <c r="F1423"/>
      <c r="H1423"/>
      <c r="M1423" s="27"/>
      <c r="N1423" s="27"/>
      <c r="O1423" s="27"/>
      <c r="P1423" s="27"/>
      <c r="Q1423" s="27"/>
      <c r="R1423" s="511"/>
    </row>
    <row r="1424" spans="5:18">
      <c r="E1424"/>
      <c r="F1424"/>
      <c r="H1424"/>
      <c r="M1424" s="27"/>
      <c r="N1424" s="27"/>
      <c r="O1424" s="27"/>
      <c r="P1424" s="27"/>
      <c r="Q1424" s="27"/>
      <c r="R1424" s="511"/>
    </row>
    <row r="1425" spans="5:18">
      <c r="E1425"/>
      <c r="F1425"/>
      <c r="H1425"/>
      <c r="M1425" s="27"/>
      <c r="N1425" s="27"/>
      <c r="O1425" s="27"/>
      <c r="P1425" s="27"/>
      <c r="Q1425" s="27"/>
      <c r="R1425" s="511"/>
    </row>
    <row r="1426" spans="5:18">
      <c r="E1426"/>
      <c r="F1426"/>
      <c r="H1426"/>
      <c r="M1426" s="27"/>
      <c r="N1426" s="27"/>
      <c r="O1426" s="27"/>
      <c r="P1426" s="27"/>
      <c r="Q1426" s="27"/>
      <c r="R1426" s="511"/>
    </row>
    <row r="1427" spans="5:18">
      <c r="E1427"/>
      <c r="F1427"/>
      <c r="H1427"/>
      <c r="M1427" s="27"/>
      <c r="N1427" s="27"/>
      <c r="O1427" s="27"/>
      <c r="P1427" s="27"/>
      <c r="Q1427" s="27"/>
      <c r="R1427" s="511"/>
    </row>
    <row r="1428" spans="5:18">
      <c r="E1428"/>
      <c r="F1428"/>
      <c r="H1428"/>
      <c r="M1428" s="27"/>
      <c r="N1428" s="27"/>
      <c r="O1428" s="27"/>
      <c r="P1428" s="27"/>
      <c r="Q1428" s="27"/>
      <c r="R1428" s="511"/>
    </row>
    <row r="1429" spans="5:18">
      <c r="E1429"/>
      <c r="F1429"/>
      <c r="H1429"/>
      <c r="M1429" s="27"/>
      <c r="N1429" s="27"/>
      <c r="O1429" s="27"/>
      <c r="P1429" s="27"/>
      <c r="Q1429" s="27"/>
      <c r="R1429" s="511"/>
    </row>
    <row r="1430" spans="5:18">
      <c r="E1430"/>
      <c r="F1430"/>
      <c r="H1430"/>
      <c r="M1430" s="27"/>
      <c r="N1430" s="27"/>
      <c r="O1430" s="27"/>
      <c r="P1430" s="27"/>
      <c r="Q1430" s="27"/>
      <c r="R1430" s="511"/>
    </row>
    <row r="1431" spans="5:18">
      <c r="E1431"/>
      <c r="F1431"/>
      <c r="H1431"/>
      <c r="M1431" s="27"/>
      <c r="N1431" s="27"/>
      <c r="O1431" s="27"/>
      <c r="P1431" s="27"/>
      <c r="Q1431" s="27"/>
      <c r="R1431" s="511"/>
    </row>
    <row r="1432" spans="5:18">
      <c r="E1432"/>
      <c r="F1432"/>
      <c r="H1432"/>
      <c r="M1432" s="27"/>
      <c r="N1432" s="27"/>
      <c r="O1432" s="27"/>
      <c r="P1432" s="27"/>
      <c r="Q1432" s="27"/>
      <c r="R1432" s="511"/>
    </row>
    <row r="1433" spans="5:18">
      <c r="E1433"/>
      <c r="F1433"/>
      <c r="H1433"/>
      <c r="M1433" s="27"/>
      <c r="N1433" s="27"/>
      <c r="O1433" s="27"/>
      <c r="P1433" s="27"/>
      <c r="Q1433" s="27"/>
      <c r="R1433" s="511"/>
    </row>
    <row r="1434" spans="5:18">
      <c r="E1434"/>
      <c r="F1434"/>
      <c r="H1434"/>
      <c r="M1434" s="27"/>
      <c r="N1434" s="27"/>
      <c r="O1434" s="27"/>
      <c r="P1434" s="27"/>
      <c r="Q1434" s="27"/>
      <c r="R1434" s="511"/>
    </row>
    <row r="1435" spans="5:18">
      <c r="E1435"/>
      <c r="F1435"/>
      <c r="H1435"/>
      <c r="M1435" s="27"/>
      <c r="N1435" s="27"/>
      <c r="O1435" s="27"/>
      <c r="P1435" s="27"/>
      <c r="Q1435" s="27"/>
      <c r="R1435" s="511"/>
    </row>
    <row r="1436" spans="5:18">
      <c r="E1436"/>
      <c r="F1436"/>
      <c r="H1436"/>
      <c r="M1436" s="27"/>
      <c r="N1436" s="27"/>
      <c r="O1436" s="27"/>
      <c r="P1436" s="27"/>
      <c r="Q1436" s="27"/>
      <c r="R1436" s="511"/>
    </row>
    <row r="1437" spans="5:18">
      <c r="E1437"/>
      <c r="F1437"/>
      <c r="H1437"/>
      <c r="M1437" s="27"/>
      <c r="N1437" s="27"/>
      <c r="O1437" s="27"/>
      <c r="P1437" s="27"/>
      <c r="Q1437" s="27"/>
      <c r="R1437" s="511"/>
    </row>
    <row r="1438" spans="5:18">
      <c r="E1438"/>
      <c r="F1438"/>
      <c r="H1438"/>
      <c r="M1438" s="27"/>
      <c r="N1438" s="27"/>
      <c r="O1438" s="27"/>
      <c r="P1438" s="27"/>
      <c r="Q1438" s="27"/>
      <c r="R1438" s="511"/>
    </row>
    <row r="1439" spans="5:18">
      <c r="E1439"/>
      <c r="F1439"/>
      <c r="H1439"/>
      <c r="M1439" s="27"/>
      <c r="N1439" s="27"/>
      <c r="O1439" s="27"/>
      <c r="P1439" s="27"/>
      <c r="Q1439" s="27"/>
      <c r="R1439" s="511"/>
    </row>
    <row r="1440" spans="5:18">
      <c r="E1440"/>
      <c r="F1440"/>
      <c r="H1440"/>
      <c r="M1440" s="27"/>
      <c r="N1440" s="27"/>
      <c r="O1440" s="27"/>
      <c r="P1440" s="27"/>
      <c r="Q1440" s="27"/>
      <c r="R1440" s="511"/>
    </row>
    <row r="1441" spans="5:18">
      <c r="E1441"/>
      <c r="F1441"/>
      <c r="H1441"/>
      <c r="M1441" s="27"/>
      <c r="N1441" s="27"/>
      <c r="O1441" s="27"/>
      <c r="P1441" s="27"/>
      <c r="Q1441" s="27"/>
      <c r="R1441" s="511"/>
    </row>
    <row r="1442" spans="5:18">
      <c r="E1442"/>
      <c r="F1442"/>
      <c r="H1442"/>
      <c r="M1442" s="27"/>
      <c r="N1442" s="27"/>
      <c r="O1442" s="27"/>
      <c r="P1442" s="27"/>
      <c r="Q1442" s="27"/>
      <c r="R1442" s="511"/>
    </row>
    <row r="1443" spans="5:18">
      <c r="E1443"/>
      <c r="F1443"/>
      <c r="H1443"/>
      <c r="M1443" s="27"/>
      <c r="N1443" s="27"/>
      <c r="O1443" s="27"/>
      <c r="P1443" s="27"/>
      <c r="Q1443" s="27"/>
      <c r="R1443" s="511"/>
    </row>
    <row r="1444" spans="5:18">
      <c r="E1444"/>
      <c r="F1444"/>
      <c r="H1444"/>
      <c r="M1444" s="27"/>
      <c r="N1444" s="27"/>
      <c r="O1444" s="27"/>
      <c r="P1444" s="27"/>
      <c r="Q1444" s="27"/>
      <c r="R1444" s="511"/>
    </row>
    <row r="1445" spans="5:18">
      <c r="E1445"/>
      <c r="F1445"/>
      <c r="H1445"/>
      <c r="M1445" s="27"/>
      <c r="N1445" s="27"/>
      <c r="O1445" s="27"/>
      <c r="P1445" s="27"/>
      <c r="Q1445" s="27"/>
      <c r="R1445" s="511"/>
    </row>
    <row r="1446" spans="5:18">
      <c r="E1446"/>
      <c r="F1446"/>
      <c r="H1446"/>
      <c r="M1446" s="27"/>
      <c r="N1446" s="27"/>
      <c r="O1446" s="27"/>
      <c r="P1446" s="27"/>
      <c r="Q1446" s="27"/>
      <c r="R1446" s="511"/>
    </row>
    <row r="1447" spans="5:18">
      <c r="E1447"/>
      <c r="F1447"/>
      <c r="H1447"/>
      <c r="M1447" s="27"/>
      <c r="N1447" s="27"/>
      <c r="O1447" s="27"/>
      <c r="P1447" s="27"/>
      <c r="Q1447" s="27"/>
      <c r="R1447" s="511"/>
    </row>
    <row r="1448" spans="5:18">
      <c r="E1448"/>
      <c r="F1448"/>
      <c r="H1448"/>
      <c r="M1448" s="27"/>
      <c r="N1448" s="27"/>
      <c r="O1448" s="27"/>
      <c r="P1448" s="27"/>
      <c r="Q1448" s="27"/>
      <c r="R1448" s="511"/>
    </row>
    <row r="1449" spans="5:18">
      <c r="E1449"/>
      <c r="F1449"/>
      <c r="H1449"/>
      <c r="M1449" s="27"/>
      <c r="N1449" s="27"/>
      <c r="O1449" s="27"/>
      <c r="P1449" s="27"/>
      <c r="Q1449" s="27"/>
      <c r="R1449" s="511"/>
    </row>
    <row r="1450" spans="5:18">
      <c r="E1450"/>
      <c r="F1450"/>
      <c r="H1450"/>
      <c r="M1450" s="27"/>
      <c r="N1450" s="27"/>
      <c r="O1450" s="27"/>
      <c r="P1450" s="27"/>
      <c r="Q1450" s="27"/>
      <c r="R1450" s="511"/>
    </row>
    <row r="1451" spans="5:18">
      <c r="E1451"/>
      <c r="F1451"/>
      <c r="H1451"/>
      <c r="M1451" s="27"/>
      <c r="N1451" s="27"/>
      <c r="O1451" s="27"/>
      <c r="P1451" s="27"/>
      <c r="Q1451" s="27"/>
      <c r="R1451" s="511"/>
    </row>
    <row r="1452" spans="5:18">
      <c r="E1452"/>
      <c r="F1452"/>
      <c r="H1452"/>
      <c r="M1452" s="27"/>
      <c r="N1452" s="27"/>
      <c r="O1452" s="27"/>
      <c r="P1452" s="27"/>
      <c r="Q1452" s="27"/>
      <c r="R1452" s="511"/>
    </row>
    <row r="1453" spans="5:18">
      <c r="E1453"/>
      <c r="F1453"/>
      <c r="H1453"/>
      <c r="M1453" s="27"/>
      <c r="N1453" s="27"/>
      <c r="O1453" s="27"/>
      <c r="P1453" s="27"/>
      <c r="Q1453" s="27"/>
      <c r="R1453" s="511"/>
    </row>
    <row r="1454" spans="5:18">
      <c r="E1454"/>
      <c r="F1454"/>
      <c r="H1454"/>
      <c r="M1454" s="27"/>
      <c r="N1454" s="27"/>
      <c r="O1454" s="27"/>
      <c r="P1454" s="27"/>
      <c r="Q1454" s="27"/>
      <c r="R1454" s="511"/>
    </row>
    <row r="1455" spans="5:18">
      <c r="E1455"/>
      <c r="F1455"/>
      <c r="H1455"/>
      <c r="M1455" s="27"/>
      <c r="N1455" s="27"/>
      <c r="O1455" s="27"/>
      <c r="P1455" s="27"/>
      <c r="Q1455" s="27"/>
      <c r="R1455" s="511"/>
    </row>
    <row r="1456" spans="5:18">
      <c r="E1456"/>
      <c r="F1456"/>
      <c r="H1456"/>
      <c r="M1456" s="27"/>
      <c r="N1456" s="27"/>
      <c r="O1456" s="27"/>
      <c r="P1456" s="27"/>
      <c r="Q1456" s="27"/>
      <c r="R1456" s="511"/>
    </row>
    <row r="1457" spans="5:18">
      <c r="E1457"/>
      <c r="F1457"/>
      <c r="H1457"/>
      <c r="M1457" s="27"/>
      <c r="N1457" s="27"/>
      <c r="O1457" s="27"/>
      <c r="P1457" s="27"/>
      <c r="Q1457" s="27"/>
      <c r="R1457" s="511"/>
    </row>
    <row r="1458" spans="5:18">
      <c r="E1458"/>
      <c r="F1458"/>
      <c r="H1458"/>
      <c r="M1458" s="27"/>
      <c r="N1458" s="27"/>
      <c r="O1458" s="27"/>
      <c r="P1458" s="27"/>
      <c r="Q1458" s="27"/>
      <c r="R1458" s="511"/>
    </row>
    <row r="1459" spans="5:18">
      <c r="E1459"/>
      <c r="F1459"/>
      <c r="H1459"/>
      <c r="M1459" s="27"/>
      <c r="N1459" s="27"/>
      <c r="O1459" s="27"/>
      <c r="P1459" s="27"/>
      <c r="Q1459" s="27"/>
      <c r="R1459" s="511"/>
    </row>
    <row r="1460" spans="5:18">
      <c r="E1460"/>
      <c r="F1460"/>
      <c r="H1460"/>
      <c r="M1460" s="27"/>
      <c r="N1460" s="27"/>
      <c r="O1460" s="27"/>
      <c r="P1460" s="27"/>
      <c r="Q1460" s="27"/>
      <c r="R1460" s="511"/>
    </row>
    <row r="1461" spans="5:18">
      <c r="E1461"/>
      <c r="F1461"/>
      <c r="H1461"/>
      <c r="M1461" s="27"/>
      <c r="N1461" s="27"/>
      <c r="O1461" s="27"/>
      <c r="P1461" s="27"/>
      <c r="Q1461" s="27"/>
      <c r="R1461" s="511"/>
    </row>
    <row r="1462" spans="5:18">
      <c r="E1462"/>
      <c r="F1462"/>
      <c r="H1462"/>
      <c r="M1462" s="27"/>
      <c r="N1462" s="27"/>
      <c r="O1462" s="27"/>
      <c r="P1462" s="27"/>
      <c r="Q1462" s="27"/>
      <c r="R1462" s="511"/>
    </row>
    <row r="1463" spans="5:18">
      <c r="E1463"/>
      <c r="F1463"/>
      <c r="H1463"/>
      <c r="M1463" s="27"/>
      <c r="N1463" s="27"/>
      <c r="O1463" s="27"/>
      <c r="P1463" s="27"/>
      <c r="Q1463" s="27"/>
      <c r="R1463" s="511"/>
    </row>
    <row r="1464" spans="5:18">
      <c r="E1464"/>
      <c r="F1464"/>
      <c r="H1464"/>
      <c r="M1464" s="27"/>
      <c r="N1464" s="27"/>
      <c r="O1464" s="27"/>
      <c r="P1464" s="27"/>
      <c r="Q1464" s="27"/>
      <c r="R1464" s="511"/>
    </row>
    <row r="1465" spans="5:18">
      <c r="E1465"/>
      <c r="F1465"/>
      <c r="H1465"/>
      <c r="M1465" s="27"/>
      <c r="N1465" s="27"/>
      <c r="O1465" s="27"/>
      <c r="P1465" s="27"/>
      <c r="Q1465" s="27"/>
      <c r="R1465" s="511"/>
    </row>
    <row r="1466" spans="5:18">
      <c r="E1466"/>
      <c r="F1466"/>
      <c r="H1466"/>
      <c r="M1466" s="27"/>
      <c r="N1466" s="27"/>
      <c r="O1466" s="27"/>
      <c r="P1466" s="27"/>
      <c r="Q1466" s="27"/>
      <c r="R1466" s="511"/>
    </row>
    <row r="1467" spans="5:18">
      <c r="E1467"/>
      <c r="F1467"/>
      <c r="H1467"/>
      <c r="M1467" s="27"/>
      <c r="N1467" s="27"/>
      <c r="O1467" s="27"/>
      <c r="P1467" s="27"/>
      <c r="Q1467" s="27"/>
      <c r="R1467" s="511"/>
    </row>
    <row r="1468" spans="5:18">
      <c r="E1468"/>
      <c r="F1468"/>
      <c r="H1468"/>
      <c r="M1468" s="27"/>
      <c r="N1468" s="27"/>
      <c r="O1468" s="27"/>
      <c r="P1468" s="27"/>
      <c r="Q1468" s="27"/>
      <c r="R1468" s="511"/>
    </row>
    <row r="1469" spans="5:18">
      <c r="E1469"/>
      <c r="F1469"/>
      <c r="H1469"/>
      <c r="M1469" s="27"/>
      <c r="N1469" s="27"/>
      <c r="O1469" s="27"/>
      <c r="P1469" s="27"/>
      <c r="Q1469" s="27"/>
      <c r="R1469" s="511"/>
    </row>
    <row r="1470" spans="5:18">
      <c r="E1470"/>
      <c r="F1470"/>
      <c r="H1470"/>
      <c r="M1470" s="27"/>
      <c r="N1470" s="27"/>
      <c r="O1470" s="27"/>
      <c r="P1470" s="27"/>
      <c r="Q1470" s="27"/>
      <c r="R1470" s="511"/>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C1124"/>
  <sheetViews>
    <sheetView workbookViewId="0">
      <selection activeCell="A2" sqref="A2"/>
    </sheetView>
  </sheetViews>
  <sheetFormatPr baseColWidth="10" defaultRowHeight="15"/>
  <cols>
    <col min="1" max="1" width="17.42578125" style="27" customWidth="1"/>
    <col min="2" max="2" width="11.7109375" customWidth="1"/>
    <col min="3" max="3" width="11.28515625" style="27" customWidth="1"/>
    <col min="4" max="4" width="9.28515625" bestFit="1" customWidth="1"/>
  </cols>
  <sheetData>
    <row r="1" spans="1:3">
      <c r="A1" s="513" t="s">
        <v>1590</v>
      </c>
      <c r="B1" s="512" t="s">
        <v>701</v>
      </c>
      <c r="C1" s="512" t="s">
        <v>14867</v>
      </c>
    </row>
    <row r="2" spans="1:3">
      <c r="A2" s="513" t="s">
        <v>1896</v>
      </c>
      <c r="B2" s="512">
        <v>0</v>
      </c>
      <c r="C2" s="512" t="s">
        <v>1896</v>
      </c>
    </row>
    <row r="3" spans="1:3">
      <c r="A3" s="513" t="s">
        <v>16292</v>
      </c>
      <c r="B3" s="513">
        <v>0</v>
      </c>
      <c r="C3" s="513" t="s">
        <v>16292</v>
      </c>
    </row>
    <row r="4" spans="1:3">
      <c r="A4" s="513" t="s">
        <v>15091</v>
      </c>
      <c r="B4" s="513">
        <v>0</v>
      </c>
      <c r="C4" s="513" t="s">
        <v>15091</v>
      </c>
    </row>
    <row r="5" spans="1:3">
      <c r="A5" s="513" t="s">
        <v>15558</v>
      </c>
      <c r="B5" s="513">
        <v>0</v>
      </c>
      <c r="C5" s="513" t="s">
        <v>15558</v>
      </c>
    </row>
    <row r="6" spans="1:3">
      <c r="A6" s="513" t="s">
        <v>1865</v>
      </c>
      <c r="B6" s="513">
        <v>0</v>
      </c>
      <c r="C6" s="513" t="s">
        <v>1865</v>
      </c>
    </row>
    <row r="7" spans="1:3">
      <c r="A7" s="513" t="s">
        <v>16265</v>
      </c>
      <c r="B7" s="513">
        <v>0</v>
      </c>
      <c r="C7" s="513" t="s">
        <v>16265</v>
      </c>
    </row>
    <row r="8" spans="1:3">
      <c r="A8" s="513" t="s">
        <v>16710</v>
      </c>
      <c r="B8" s="513">
        <v>0</v>
      </c>
      <c r="C8" s="513" t="s">
        <v>16710</v>
      </c>
    </row>
    <row r="9" spans="1:3">
      <c r="A9" s="513" t="s">
        <v>1875</v>
      </c>
      <c r="B9" s="513">
        <v>0</v>
      </c>
      <c r="C9" s="513" t="s">
        <v>1875</v>
      </c>
    </row>
    <row r="10" spans="1:3">
      <c r="A10" s="513" t="s">
        <v>16268</v>
      </c>
      <c r="B10" s="513">
        <v>0</v>
      </c>
      <c r="C10" s="513" t="s">
        <v>16268</v>
      </c>
    </row>
    <row r="11" spans="1:3">
      <c r="A11" s="513" t="s">
        <v>1868</v>
      </c>
      <c r="B11" s="513">
        <v>0</v>
      </c>
      <c r="C11" s="513" t="s">
        <v>1868</v>
      </c>
    </row>
    <row r="12" spans="1:3">
      <c r="A12" s="513" t="s">
        <v>16708</v>
      </c>
      <c r="B12" s="513">
        <v>0</v>
      </c>
      <c r="C12" s="513" t="s">
        <v>16708</v>
      </c>
    </row>
    <row r="13" spans="1:3">
      <c r="A13" s="513" t="s">
        <v>1874</v>
      </c>
      <c r="B13" s="513">
        <v>0</v>
      </c>
      <c r="C13" s="513" t="s">
        <v>1874</v>
      </c>
    </row>
    <row r="14" spans="1:3">
      <c r="A14" s="513" t="s">
        <v>15090</v>
      </c>
      <c r="B14" s="513">
        <v>0</v>
      </c>
      <c r="C14" s="513" t="s">
        <v>15090</v>
      </c>
    </row>
    <row r="15" spans="1:3">
      <c r="A15" s="513" t="s">
        <v>15554</v>
      </c>
      <c r="B15" s="513">
        <v>0</v>
      </c>
      <c r="C15" s="513" t="s">
        <v>15554</v>
      </c>
    </row>
    <row r="16" spans="1:3">
      <c r="A16" s="513" t="s">
        <v>1873</v>
      </c>
      <c r="B16" s="513">
        <v>0</v>
      </c>
      <c r="C16" s="513" t="s">
        <v>1873</v>
      </c>
    </row>
    <row r="17" spans="1:3">
      <c r="A17" s="513" t="s">
        <v>16698</v>
      </c>
      <c r="B17" s="513">
        <v>0</v>
      </c>
      <c r="C17" s="513" t="s">
        <v>16698</v>
      </c>
    </row>
    <row r="18" spans="1:3">
      <c r="A18" s="513" t="s">
        <v>15147</v>
      </c>
      <c r="B18" s="513">
        <v>0</v>
      </c>
      <c r="C18" s="513" t="s">
        <v>15147</v>
      </c>
    </row>
    <row r="19" spans="1:3">
      <c r="A19" s="513" t="s">
        <v>16691</v>
      </c>
      <c r="B19" s="513">
        <v>0</v>
      </c>
      <c r="C19" s="513" t="s">
        <v>16691</v>
      </c>
    </row>
    <row r="20" spans="1:3">
      <c r="A20" s="513" t="s">
        <v>1869</v>
      </c>
      <c r="B20" s="513">
        <v>0</v>
      </c>
      <c r="C20" s="513" t="s">
        <v>1869</v>
      </c>
    </row>
    <row r="21" spans="1:3">
      <c r="A21" s="513" t="s">
        <v>1990</v>
      </c>
      <c r="B21" s="513">
        <v>0</v>
      </c>
      <c r="C21" s="513" t="s">
        <v>1990</v>
      </c>
    </row>
    <row r="22" spans="1:3">
      <c r="A22" s="513" t="s">
        <v>1991</v>
      </c>
      <c r="B22" s="513">
        <v>0</v>
      </c>
      <c r="C22" s="513" t="s">
        <v>1991</v>
      </c>
    </row>
    <row r="23" spans="1:3">
      <c r="A23" s="513" t="s">
        <v>15896</v>
      </c>
      <c r="B23" s="513">
        <v>0</v>
      </c>
      <c r="C23" s="513" t="s">
        <v>15896</v>
      </c>
    </row>
    <row r="24" spans="1:3">
      <c r="A24" s="513" t="s">
        <v>15079</v>
      </c>
      <c r="B24" s="513">
        <v>0</v>
      </c>
      <c r="C24" s="513" t="s">
        <v>15079</v>
      </c>
    </row>
    <row r="25" spans="1:3">
      <c r="A25" s="513" t="s">
        <v>15080</v>
      </c>
      <c r="B25" s="513">
        <v>0</v>
      </c>
      <c r="C25" s="513" t="s">
        <v>15080</v>
      </c>
    </row>
    <row r="26" spans="1:3">
      <c r="A26" s="513" t="s">
        <v>16267</v>
      </c>
      <c r="B26" s="513">
        <v>0</v>
      </c>
      <c r="C26" s="513" t="s">
        <v>16267</v>
      </c>
    </row>
    <row r="27" spans="1:3">
      <c r="A27" s="513" t="s">
        <v>1867</v>
      </c>
      <c r="B27" s="513">
        <v>0</v>
      </c>
      <c r="C27" s="513" t="s">
        <v>1867</v>
      </c>
    </row>
    <row r="28" spans="1:3">
      <c r="A28" s="513" t="s">
        <v>1942</v>
      </c>
      <c r="B28" s="513">
        <v>0</v>
      </c>
      <c r="C28" s="513" t="s">
        <v>1942</v>
      </c>
    </row>
    <row r="29" spans="1:3">
      <c r="A29" s="513" t="s">
        <v>2032</v>
      </c>
      <c r="B29" s="513">
        <v>0</v>
      </c>
      <c r="C29" s="513" t="s">
        <v>2032</v>
      </c>
    </row>
    <row r="30" spans="1:3">
      <c r="A30" s="513" t="s">
        <v>1652</v>
      </c>
      <c r="B30" s="513">
        <v>0</v>
      </c>
      <c r="C30" s="513" t="s">
        <v>1652</v>
      </c>
    </row>
    <row r="31" spans="1:3">
      <c r="A31" s="513" t="s">
        <v>1654</v>
      </c>
      <c r="B31" s="513">
        <v>0</v>
      </c>
      <c r="C31" s="513" t="s">
        <v>1654</v>
      </c>
    </row>
    <row r="32" spans="1:3">
      <c r="A32" s="513" t="s">
        <v>1655</v>
      </c>
      <c r="B32" s="513">
        <v>0</v>
      </c>
      <c r="C32" s="513" t="s">
        <v>1655</v>
      </c>
    </row>
    <row r="33" spans="1:3">
      <c r="A33" s="513" t="s">
        <v>1653</v>
      </c>
      <c r="B33" s="513">
        <v>0</v>
      </c>
      <c r="C33" s="513" t="s">
        <v>1653</v>
      </c>
    </row>
    <row r="34" spans="1:3">
      <c r="A34" s="513" t="s">
        <v>1881</v>
      </c>
      <c r="B34" s="513">
        <v>0</v>
      </c>
      <c r="C34" s="513" t="s">
        <v>1881</v>
      </c>
    </row>
    <row r="35" spans="1:3">
      <c r="A35" s="513" t="s">
        <v>16277</v>
      </c>
      <c r="B35" s="513">
        <v>0</v>
      </c>
      <c r="C35" s="513" t="s">
        <v>16277</v>
      </c>
    </row>
    <row r="36" spans="1:3">
      <c r="A36" s="513" t="s">
        <v>16273</v>
      </c>
      <c r="B36" s="513">
        <v>0</v>
      </c>
      <c r="C36" s="513" t="s">
        <v>16273</v>
      </c>
    </row>
    <row r="37" spans="1:3">
      <c r="A37" s="513" t="s">
        <v>1877</v>
      </c>
      <c r="B37" s="513">
        <v>0</v>
      </c>
      <c r="C37" s="513" t="s">
        <v>1877</v>
      </c>
    </row>
    <row r="38" spans="1:3">
      <c r="A38" s="513" t="s">
        <v>1878</v>
      </c>
      <c r="B38" s="513">
        <v>0</v>
      </c>
      <c r="C38" s="513" t="s">
        <v>1878</v>
      </c>
    </row>
    <row r="39" spans="1:3">
      <c r="A39" s="513" t="s">
        <v>1871</v>
      </c>
      <c r="B39" s="513">
        <v>0</v>
      </c>
      <c r="C39" s="513" t="s">
        <v>1871</v>
      </c>
    </row>
    <row r="40" spans="1:3">
      <c r="A40" s="513" t="s">
        <v>16693</v>
      </c>
      <c r="B40" s="513">
        <v>0</v>
      </c>
      <c r="C40" s="513" t="s">
        <v>16693</v>
      </c>
    </row>
    <row r="41" spans="1:3">
      <c r="A41" s="513" t="s">
        <v>16891</v>
      </c>
      <c r="B41" s="513">
        <v>0</v>
      </c>
      <c r="C41" s="513" t="s">
        <v>16891</v>
      </c>
    </row>
    <row r="42" spans="1:3">
      <c r="A42" s="513" t="s">
        <v>16925</v>
      </c>
      <c r="B42" s="513">
        <v>0</v>
      </c>
      <c r="C42" s="513" t="s">
        <v>16925</v>
      </c>
    </row>
    <row r="43" spans="1:3">
      <c r="A43" s="513" t="s">
        <v>16867</v>
      </c>
      <c r="B43" s="513">
        <v>0</v>
      </c>
      <c r="C43" s="513" t="s">
        <v>16867</v>
      </c>
    </row>
    <row r="44" spans="1:3">
      <c r="A44" s="513" t="s">
        <v>16882</v>
      </c>
      <c r="B44" s="513">
        <v>0</v>
      </c>
      <c r="C44" s="513" t="s">
        <v>16882</v>
      </c>
    </row>
    <row r="45" spans="1:3">
      <c r="A45" s="513" t="s">
        <v>17716</v>
      </c>
      <c r="B45" s="513">
        <v>0</v>
      </c>
      <c r="C45" s="513" t="s">
        <v>17716</v>
      </c>
    </row>
    <row r="46" spans="1:3">
      <c r="A46" s="513" t="s">
        <v>17697</v>
      </c>
      <c r="B46" s="513">
        <v>0</v>
      </c>
      <c r="C46" s="513" t="s">
        <v>17697</v>
      </c>
    </row>
    <row r="47" spans="1:3">
      <c r="A47" s="513" t="s">
        <v>18761</v>
      </c>
      <c r="B47" s="513">
        <v>0</v>
      </c>
      <c r="C47" s="513" t="s">
        <v>18761</v>
      </c>
    </row>
    <row r="48" spans="1:3">
      <c r="A48" s="513" t="s">
        <v>18596</v>
      </c>
      <c r="B48" s="513">
        <v>0</v>
      </c>
      <c r="C48" s="513" t="s">
        <v>18596</v>
      </c>
    </row>
    <row r="49" spans="1:3">
      <c r="A49" s="513" t="s">
        <v>18573</v>
      </c>
      <c r="B49" s="513">
        <v>0</v>
      </c>
      <c r="C49" s="513" t="s">
        <v>18573</v>
      </c>
    </row>
    <row r="50" spans="1:3">
      <c r="A50" s="513" t="s">
        <v>18753</v>
      </c>
      <c r="B50" s="513">
        <v>0</v>
      </c>
      <c r="C50" s="513" t="s">
        <v>18753</v>
      </c>
    </row>
    <row r="51" spans="1:3">
      <c r="A51" s="513" t="s">
        <v>18715</v>
      </c>
      <c r="B51" s="513">
        <v>0</v>
      </c>
      <c r="C51" s="513" t="s">
        <v>18715</v>
      </c>
    </row>
    <row r="52" spans="1:3">
      <c r="A52" s="513" t="s">
        <v>18873</v>
      </c>
      <c r="B52" s="513">
        <v>0</v>
      </c>
      <c r="C52" s="513" t="s">
        <v>18873</v>
      </c>
    </row>
    <row r="53" spans="1:3">
      <c r="A53" s="513" t="s">
        <v>18692</v>
      </c>
      <c r="B53" s="513">
        <v>0</v>
      </c>
      <c r="C53" s="513" t="s">
        <v>18692</v>
      </c>
    </row>
    <row r="54" spans="1:3">
      <c r="A54" s="513" t="s">
        <v>18852</v>
      </c>
      <c r="B54" s="513">
        <v>0</v>
      </c>
      <c r="C54" s="513" t="s">
        <v>18852</v>
      </c>
    </row>
    <row r="55" spans="1:3">
      <c r="A55" s="513" t="s">
        <v>17052</v>
      </c>
      <c r="B55" s="513">
        <v>0</v>
      </c>
      <c r="C55" s="513" t="s">
        <v>17052</v>
      </c>
    </row>
    <row r="56" spans="1:3">
      <c r="A56" s="513" t="s">
        <v>17067</v>
      </c>
      <c r="B56" s="513">
        <v>0</v>
      </c>
      <c r="C56" s="513" t="s">
        <v>17067</v>
      </c>
    </row>
    <row r="57" spans="1:3">
      <c r="A57" s="513" t="s">
        <v>17282</v>
      </c>
      <c r="B57" s="513">
        <v>0</v>
      </c>
      <c r="C57" s="513" t="s">
        <v>17282</v>
      </c>
    </row>
    <row r="58" spans="1:3">
      <c r="A58" s="513" t="s">
        <v>17083</v>
      </c>
      <c r="B58" s="513">
        <v>0</v>
      </c>
      <c r="C58" s="513" t="s">
        <v>17083</v>
      </c>
    </row>
    <row r="59" spans="1:3">
      <c r="A59" s="513" t="s">
        <v>17281</v>
      </c>
      <c r="B59" s="513">
        <v>0</v>
      </c>
      <c r="C59" s="513" t="s">
        <v>17281</v>
      </c>
    </row>
    <row r="60" spans="1:3">
      <c r="A60" s="513" t="s">
        <v>17071</v>
      </c>
      <c r="B60" s="513">
        <v>0</v>
      </c>
      <c r="C60" s="513" t="s">
        <v>17071</v>
      </c>
    </row>
    <row r="61" spans="1:3">
      <c r="A61" s="513" t="s">
        <v>18049</v>
      </c>
      <c r="B61" s="513">
        <v>0</v>
      </c>
      <c r="C61" s="513" t="s">
        <v>18049</v>
      </c>
    </row>
    <row r="62" spans="1:3">
      <c r="A62" s="513" t="s">
        <v>14951</v>
      </c>
      <c r="B62" s="513">
        <v>0</v>
      </c>
      <c r="C62" s="513" t="s">
        <v>14951</v>
      </c>
    </row>
    <row r="63" spans="1:3">
      <c r="A63" s="513" t="s">
        <v>17380</v>
      </c>
      <c r="B63" s="513">
        <v>0</v>
      </c>
      <c r="C63" s="513" t="s">
        <v>17380</v>
      </c>
    </row>
    <row r="64" spans="1:3">
      <c r="A64" s="513" t="s">
        <v>17792</v>
      </c>
      <c r="B64" s="513">
        <v>0</v>
      </c>
      <c r="C64" s="513" t="s">
        <v>17792</v>
      </c>
    </row>
    <row r="65" spans="1:3">
      <c r="A65" s="513" t="s">
        <v>17780</v>
      </c>
      <c r="B65" s="513">
        <v>0</v>
      </c>
      <c r="C65" s="513" t="s">
        <v>17780</v>
      </c>
    </row>
    <row r="66" spans="1:3">
      <c r="A66" s="513" t="s">
        <v>1620</v>
      </c>
      <c r="B66" s="513">
        <v>981060541</v>
      </c>
      <c r="C66" s="513" t="s">
        <v>1620</v>
      </c>
    </row>
    <row r="67" spans="1:3">
      <c r="A67" s="513" t="s">
        <v>1618</v>
      </c>
      <c r="B67" s="513">
        <v>1986909528</v>
      </c>
      <c r="C67" s="513" t="s">
        <v>1618</v>
      </c>
    </row>
    <row r="68" spans="1:3">
      <c r="A68" s="513" t="s">
        <v>1619</v>
      </c>
      <c r="B68" s="513">
        <v>981060541</v>
      </c>
      <c r="C68" s="513" t="s">
        <v>1619</v>
      </c>
    </row>
    <row r="69" spans="1:3">
      <c r="A69" s="513" t="s">
        <v>1626</v>
      </c>
      <c r="B69" s="513">
        <v>120230960</v>
      </c>
      <c r="C69" s="513" t="s">
        <v>1626</v>
      </c>
    </row>
    <row r="70" spans="1:3">
      <c r="A70" s="513" t="s">
        <v>15382</v>
      </c>
      <c r="B70" s="513">
        <v>120230960</v>
      </c>
      <c r="C70" s="513" t="s">
        <v>15382</v>
      </c>
    </row>
    <row r="71" spans="1:3">
      <c r="A71" s="513" t="s">
        <v>1627</v>
      </c>
      <c r="B71" s="513">
        <v>120230960</v>
      </c>
      <c r="C71" s="513" t="s">
        <v>1627</v>
      </c>
    </row>
    <row r="72" spans="1:3">
      <c r="A72" s="513" t="s">
        <v>1922</v>
      </c>
      <c r="B72" s="513">
        <v>1707518455</v>
      </c>
      <c r="C72" s="513" t="s">
        <v>1922</v>
      </c>
    </row>
    <row r="73" spans="1:3">
      <c r="A73" s="513" t="s">
        <v>1995</v>
      </c>
      <c r="B73" s="513">
        <v>-4882286864</v>
      </c>
      <c r="C73" s="513" t="s">
        <v>1995</v>
      </c>
    </row>
    <row r="74" spans="1:3">
      <c r="A74" s="513" t="s">
        <v>1638</v>
      </c>
      <c r="B74" s="513">
        <v>1005848987</v>
      </c>
      <c r="C74" s="513" t="s">
        <v>1638</v>
      </c>
    </row>
    <row r="75" spans="1:3">
      <c r="A75" s="513" t="s">
        <v>1672</v>
      </c>
      <c r="B75" s="513">
        <v>771217072</v>
      </c>
      <c r="C75" s="513" t="s">
        <v>1672</v>
      </c>
    </row>
    <row r="76" spans="1:3">
      <c r="A76" s="513" t="s">
        <v>1673</v>
      </c>
      <c r="B76" s="513">
        <v>1373268517</v>
      </c>
      <c r="C76" s="513" t="s">
        <v>1673</v>
      </c>
    </row>
    <row r="77" spans="1:3">
      <c r="A77" s="513" t="s">
        <v>1797</v>
      </c>
      <c r="B77" s="513">
        <v>279391073</v>
      </c>
      <c r="C77" s="513" t="s">
        <v>1797</v>
      </c>
    </row>
    <row r="78" spans="1:3">
      <c r="A78" s="513" t="s">
        <v>1798</v>
      </c>
      <c r="B78" s="513">
        <v>279391073</v>
      </c>
      <c r="C78" s="513" t="s">
        <v>1798</v>
      </c>
    </row>
    <row r="79" spans="1:3">
      <c r="A79" s="513" t="s">
        <v>1799</v>
      </c>
      <c r="B79" s="513">
        <v>279391073</v>
      </c>
      <c r="C79" s="513" t="s">
        <v>1799</v>
      </c>
    </row>
    <row r="80" spans="1:3">
      <c r="A80" s="513" t="s">
        <v>1932</v>
      </c>
      <c r="B80" s="513">
        <v>1000000000</v>
      </c>
      <c r="C80" s="513" t="s">
        <v>1932</v>
      </c>
    </row>
    <row r="81" spans="1:3">
      <c r="A81" s="513" t="s">
        <v>1933</v>
      </c>
      <c r="B81" s="513">
        <v>1000000000</v>
      </c>
      <c r="C81" s="513" t="s">
        <v>1933</v>
      </c>
    </row>
    <row r="82" spans="1:3">
      <c r="A82" s="513" t="s">
        <v>1940</v>
      </c>
      <c r="B82" s="513">
        <v>5594300000</v>
      </c>
      <c r="C82" s="513" t="s">
        <v>1940</v>
      </c>
    </row>
    <row r="83" spans="1:3">
      <c r="A83" s="513" t="s">
        <v>2031</v>
      </c>
      <c r="B83" s="513">
        <v>1986909528</v>
      </c>
      <c r="C83" s="513" t="s">
        <v>2031</v>
      </c>
    </row>
    <row r="84" spans="1:3">
      <c r="A84" s="513" t="s">
        <v>19041</v>
      </c>
      <c r="B84" s="513">
        <v>681922043</v>
      </c>
      <c r="C84" s="513" t="s">
        <v>19041</v>
      </c>
    </row>
    <row r="85" spans="1:3">
      <c r="A85" s="513" t="s">
        <v>17297</v>
      </c>
      <c r="B85" s="513">
        <v>649628159</v>
      </c>
      <c r="C85" s="513" t="s">
        <v>17297</v>
      </c>
    </row>
    <row r="86" spans="1:3">
      <c r="A86" s="513" t="s">
        <v>19044</v>
      </c>
      <c r="B86" s="513">
        <v>595740</v>
      </c>
      <c r="C86" s="513" t="s">
        <v>19044</v>
      </c>
    </row>
    <row r="87" spans="1:3">
      <c r="A87" s="513" t="s">
        <v>17447</v>
      </c>
      <c r="B87" s="513">
        <v>330517197</v>
      </c>
      <c r="C87" s="513" t="s">
        <v>17447</v>
      </c>
    </row>
    <row r="88" spans="1:3">
      <c r="A88" s="513" t="s">
        <v>19036</v>
      </c>
      <c r="B88" s="513">
        <v>7287196</v>
      </c>
      <c r="C88" s="513" t="s">
        <v>19036</v>
      </c>
    </row>
    <row r="89" spans="1:3">
      <c r="A89" s="513" t="s">
        <v>19039</v>
      </c>
      <c r="B89" s="513">
        <v>74194076</v>
      </c>
      <c r="C89" s="513" t="s">
        <v>19039</v>
      </c>
    </row>
    <row r="90" spans="1:3">
      <c r="A90" s="513" t="s">
        <v>14945</v>
      </c>
      <c r="B90" s="513">
        <v>19536957</v>
      </c>
      <c r="C90" s="513" t="s">
        <v>14945</v>
      </c>
    </row>
    <row r="91" spans="1:3">
      <c r="A91" s="513" t="s">
        <v>17446</v>
      </c>
      <c r="B91" s="513">
        <v>15396759</v>
      </c>
      <c r="C91" s="513" t="s">
        <v>17446</v>
      </c>
    </row>
    <row r="92" spans="1:3">
      <c r="A92" s="513" t="s">
        <v>14946</v>
      </c>
      <c r="B92" s="513">
        <v>2231413365</v>
      </c>
      <c r="C92" s="513" t="s">
        <v>14946</v>
      </c>
    </row>
    <row r="93" spans="1:3">
      <c r="A93" s="513" t="s">
        <v>19042</v>
      </c>
      <c r="B93" s="513">
        <v>1510359844</v>
      </c>
      <c r="C93" s="513" t="s">
        <v>19042</v>
      </c>
    </row>
    <row r="94" spans="1:3">
      <c r="A94" s="513" t="s">
        <v>19037</v>
      </c>
      <c r="B94" s="513">
        <v>615617366</v>
      </c>
      <c r="C94" s="513" t="s">
        <v>19037</v>
      </c>
    </row>
    <row r="95" spans="1:3">
      <c r="A95" s="513" t="s">
        <v>19035</v>
      </c>
      <c r="B95" s="513">
        <v>548710486</v>
      </c>
      <c r="C95" s="513" t="s">
        <v>19035</v>
      </c>
    </row>
    <row r="96" spans="1:3">
      <c r="A96" s="513" t="s">
        <v>19031</v>
      </c>
      <c r="B96" s="513">
        <v>548710486</v>
      </c>
      <c r="C96" s="513" t="s">
        <v>19031</v>
      </c>
    </row>
    <row r="97" spans="1:3">
      <c r="A97" s="513" t="s">
        <v>19033</v>
      </c>
      <c r="B97" s="513">
        <v>548710486</v>
      </c>
      <c r="C97" s="513" t="s">
        <v>19033</v>
      </c>
    </row>
    <row r="98" spans="1:3">
      <c r="A98" s="513" t="s">
        <v>1624</v>
      </c>
      <c r="B98" s="513">
        <v>700000</v>
      </c>
      <c r="C98" s="513" t="s">
        <v>1624</v>
      </c>
    </row>
    <row r="99" spans="1:3">
      <c r="A99" s="513" t="s">
        <v>1622</v>
      </c>
      <c r="B99" s="513">
        <v>700000</v>
      </c>
      <c r="C99" s="513" t="s">
        <v>1622</v>
      </c>
    </row>
    <row r="100" spans="1:3">
      <c r="A100" s="513" t="s">
        <v>15717</v>
      </c>
      <c r="B100" s="513">
        <v>700000</v>
      </c>
      <c r="C100" s="513" t="s">
        <v>15717</v>
      </c>
    </row>
    <row r="101" spans="1:3">
      <c r="A101" s="513" t="s">
        <v>1738</v>
      </c>
      <c r="B101" s="513">
        <v>145406833</v>
      </c>
      <c r="C101" s="513" t="s">
        <v>1738</v>
      </c>
    </row>
    <row r="102" spans="1:3">
      <c r="A102" s="513" t="s">
        <v>1857</v>
      </c>
      <c r="B102" s="513">
        <v>5657610</v>
      </c>
      <c r="C102" s="513" t="s">
        <v>1857</v>
      </c>
    </row>
    <row r="103" spans="1:3">
      <c r="A103" s="513" t="s">
        <v>16252</v>
      </c>
      <c r="B103" s="513">
        <v>5657610</v>
      </c>
      <c r="C103" s="513" t="s">
        <v>16252</v>
      </c>
    </row>
    <row r="104" spans="1:3">
      <c r="A104" s="513" t="s">
        <v>1843</v>
      </c>
      <c r="B104" s="513">
        <v>46535611</v>
      </c>
      <c r="C104" s="513" t="s">
        <v>1843</v>
      </c>
    </row>
    <row r="105" spans="1:3">
      <c r="A105" s="513" t="s">
        <v>1751</v>
      </c>
      <c r="B105" s="513">
        <v>-602051445</v>
      </c>
      <c r="C105" s="513" t="s">
        <v>1751</v>
      </c>
    </row>
    <row r="106" spans="1:3">
      <c r="A106" s="513" t="s">
        <v>1765</v>
      </c>
      <c r="B106" s="513">
        <v>-506333200</v>
      </c>
      <c r="C106" s="513" t="s">
        <v>1765</v>
      </c>
    </row>
    <row r="107" spans="1:3">
      <c r="A107" s="513" t="s">
        <v>1901</v>
      </c>
      <c r="B107" s="513">
        <v>16453889</v>
      </c>
      <c r="C107" s="513" t="s">
        <v>1901</v>
      </c>
    </row>
    <row r="108" spans="1:3">
      <c r="A108" s="513" t="s">
        <v>16333</v>
      </c>
      <c r="B108" s="513">
        <v>16453889</v>
      </c>
      <c r="C108" s="513" t="s">
        <v>16333</v>
      </c>
    </row>
    <row r="109" spans="1:3">
      <c r="A109" s="513" t="s">
        <v>1883</v>
      </c>
      <c r="B109" s="513">
        <v>51193440</v>
      </c>
      <c r="C109" s="513" t="s">
        <v>1883</v>
      </c>
    </row>
    <row r="110" spans="1:3">
      <c r="A110" s="513" t="s">
        <v>16531</v>
      </c>
      <c r="B110" s="513">
        <v>16453889</v>
      </c>
      <c r="C110" s="513" t="s">
        <v>16531</v>
      </c>
    </row>
    <row r="111" spans="1:3">
      <c r="A111" s="513" t="s">
        <v>1763</v>
      </c>
      <c r="B111" s="513">
        <v>-21237635</v>
      </c>
      <c r="C111" s="513" t="s">
        <v>1763</v>
      </c>
    </row>
    <row r="112" spans="1:3">
      <c r="A112" s="513" t="s">
        <v>1733</v>
      </c>
      <c r="B112" s="513">
        <v>4047107</v>
      </c>
      <c r="C112" s="513" t="s">
        <v>1733</v>
      </c>
    </row>
    <row r="113" spans="1:3">
      <c r="A113" s="513" t="s">
        <v>1849</v>
      </c>
      <c r="B113" s="513">
        <v>34782874</v>
      </c>
      <c r="C113" s="513" t="s">
        <v>1849</v>
      </c>
    </row>
    <row r="114" spans="1:3">
      <c r="A114" s="513" t="s">
        <v>16215</v>
      </c>
      <c r="B114" s="513">
        <v>34782874</v>
      </c>
      <c r="C114" s="513" t="s">
        <v>16215</v>
      </c>
    </row>
    <row r="115" spans="1:3">
      <c r="A115" s="513" t="s">
        <v>1895</v>
      </c>
      <c r="B115" s="513">
        <v>1983000</v>
      </c>
      <c r="C115" s="513" t="s">
        <v>1895</v>
      </c>
    </row>
    <row r="116" spans="1:3">
      <c r="A116" s="513" t="s">
        <v>1677</v>
      </c>
      <c r="B116" s="513">
        <v>272529966</v>
      </c>
      <c r="C116" s="513" t="s">
        <v>1677</v>
      </c>
    </row>
    <row r="117" spans="1:3">
      <c r="A117" s="513" t="s">
        <v>15840</v>
      </c>
      <c r="B117" s="513">
        <v>261342966</v>
      </c>
      <c r="C117" s="513" t="s">
        <v>15840</v>
      </c>
    </row>
    <row r="118" spans="1:3">
      <c r="A118" s="513" t="s">
        <v>1680</v>
      </c>
      <c r="B118" s="513">
        <v>261342966</v>
      </c>
      <c r="C118" s="513" t="s">
        <v>1680</v>
      </c>
    </row>
    <row r="119" spans="1:3">
      <c r="A119" s="513" t="s">
        <v>1776</v>
      </c>
      <c r="B119" s="513">
        <v>2205704</v>
      </c>
      <c r="C119" s="513" t="s">
        <v>1776</v>
      </c>
    </row>
    <row r="120" spans="1:3">
      <c r="A120" s="513" t="s">
        <v>1778</v>
      </c>
      <c r="B120" s="513">
        <v>650575</v>
      </c>
      <c r="C120" s="513" t="s">
        <v>1778</v>
      </c>
    </row>
    <row r="121" spans="1:3">
      <c r="A121" s="513" t="s">
        <v>15626</v>
      </c>
      <c r="B121" s="513">
        <v>650575</v>
      </c>
      <c r="C121" s="513" t="s">
        <v>15626</v>
      </c>
    </row>
    <row r="122" spans="1:3">
      <c r="A122" s="513" t="s">
        <v>1777</v>
      </c>
      <c r="B122" s="513">
        <v>2205704</v>
      </c>
      <c r="C122" s="513" t="s">
        <v>1777</v>
      </c>
    </row>
    <row r="123" spans="1:3">
      <c r="A123" s="513" t="s">
        <v>15559</v>
      </c>
      <c r="B123" s="513">
        <v>11187000</v>
      </c>
      <c r="C123" s="513" t="s">
        <v>15559</v>
      </c>
    </row>
    <row r="124" spans="1:3">
      <c r="A124" s="513" t="s">
        <v>1681</v>
      </c>
      <c r="B124" s="513">
        <v>11187000</v>
      </c>
      <c r="C124" s="513" t="s">
        <v>1681</v>
      </c>
    </row>
    <row r="125" spans="1:3">
      <c r="A125" s="513" t="s">
        <v>15580</v>
      </c>
      <c r="B125" s="513">
        <v>1393000</v>
      </c>
      <c r="C125" s="513" t="s">
        <v>15580</v>
      </c>
    </row>
    <row r="126" spans="1:3">
      <c r="A126" s="513" t="s">
        <v>1697</v>
      </c>
      <c r="B126" s="513">
        <v>1393000</v>
      </c>
      <c r="C126" s="513" t="s">
        <v>1697</v>
      </c>
    </row>
    <row r="127" spans="1:3">
      <c r="A127" s="513" t="s">
        <v>1698</v>
      </c>
      <c r="B127" s="513">
        <v>1393000</v>
      </c>
      <c r="C127" s="513" t="s">
        <v>1698</v>
      </c>
    </row>
    <row r="128" spans="1:3">
      <c r="A128" s="513" t="s">
        <v>1899</v>
      </c>
      <c r="B128" s="513">
        <v>3434695</v>
      </c>
      <c r="C128" s="513" t="s">
        <v>1899</v>
      </c>
    </row>
    <row r="129" spans="1:3">
      <c r="A129" s="513" t="s">
        <v>16329</v>
      </c>
      <c r="B129" s="513">
        <v>3434695</v>
      </c>
      <c r="C129" s="513" t="s">
        <v>16329</v>
      </c>
    </row>
    <row r="130" spans="1:3">
      <c r="A130" s="513" t="s">
        <v>16529</v>
      </c>
      <c r="B130" s="513">
        <v>3434695</v>
      </c>
      <c r="C130" s="513" t="s">
        <v>16529</v>
      </c>
    </row>
    <row r="131" spans="1:3">
      <c r="A131" s="513" t="s">
        <v>1952</v>
      </c>
      <c r="B131" s="513">
        <v>5741954</v>
      </c>
      <c r="C131" s="513" t="s">
        <v>1952</v>
      </c>
    </row>
    <row r="132" spans="1:3">
      <c r="A132" s="513" t="s">
        <v>1951</v>
      </c>
      <c r="B132" s="513">
        <v>5741954</v>
      </c>
      <c r="C132" s="513" t="s">
        <v>1951</v>
      </c>
    </row>
    <row r="133" spans="1:3">
      <c r="A133" s="513" t="s">
        <v>1953</v>
      </c>
      <c r="B133" s="513">
        <v>5741954</v>
      </c>
      <c r="C133" s="513" t="s">
        <v>1953</v>
      </c>
    </row>
    <row r="134" spans="1:3">
      <c r="A134" s="513" t="s">
        <v>1898</v>
      </c>
      <c r="B134" s="513">
        <v>30615837</v>
      </c>
      <c r="C134" s="513" t="s">
        <v>1898</v>
      </c>
    </row>
    <row r="135" spans="1:3">
      <c r="A135" s="513" t="s">
        <v>16744</v>
      </c>
      <c r="B135" s="513">
        <v>30615837</v>
      </c>
      <c r="C135" s="513" t="s">
        <v>16744</v>
      </c>
    </row>
    <row r="136" spans="1:3">
      <c r="A136" s="513" t="s">
        <v>17929</v>
      </c>
      <c r="B136" s="513">
        <v>30615837</v>
      </c>
      <c r="C136" s="513" t="s">
        <v>17929</v>
      </c>
    </row>
    <row r="137" spans="1:3">
      <c r="A137" s="513" t="s">
        <v>1974</v>
      </c>
      <c r="B137" s="513">
        <v>548710486</v>
      </c>
      <c r="C137" s="513" t="s">
        <v>1974</v>
      </c>
    </row>
    <row r="138" spans="1:3">
      <c r="A138" s="513" t="s">
        <v>1975</v>
      </c>
      <c r="B138" s="513">
        <v>548710486</v>
      </c>
      <c r="C138" s="513" t="s">
        <v>1975</v>
      </c>
    </row>
    <row r="139" spans="1:3">
      <c r="A139" s="513" t="s">
        <v>1973</v>
      </c>
      <c r="B139" s="513">
        <v>548710486</v>
      </c>
      <c r="C139" s="513" t="s">
        <v>1973</v>
      </c>
    </row>
    <row r="140" spans="1:3">
      <c r="A140" s="513" t="s">
        <v>15095</v>
      </c>
      <c r="B140" s="513">
        <v>126121162</v>
      </c>
      <c r="C140" s="513" t="s">
        <v>15095</v>
      </c>
    </row>
    <row r="141" spans="1:3">
      <c r="A141" s="513" t="s">
        <v>15990</v>
      </c>
      <c r="B141" s="513">
        <v>126121162</v>
      </c>
      <c r="C141" s="513" t="s">
        <v>15990</v>
      </c>
    </row>
    <row r="142" spans="1:3">
      <c r="A142" s="513" t="s">
        <v>15100</v>
      </c>
      <c r="B142" s="513">
        <v>-66655024</v>
      </c>
      <c r="C142" s="513" t="s">
        <v>15100</v>
      </c>
    </row>
    <row r="143" spans="1:3">
      <c r="A143" s="513" t="s">
        <v>15072</v>
      </c>
      <c r="B143" s="513">
        <v>174109631</v>
      </c>
      <c r="C143" s="513" t="s">
        <v>15072</v>
      </c>
    </row>
    <row r="144" spans="1:3">
      <c r="A144" s="513" t="s">
        <v>15405</v>
      </c>
      <c r="B144" s="513">
        <v>166452570</v>
      </c>
      <c r="C144" s="513" t="s">
        <v>15405</v>
      </c>
    </row>
    <row r="145" spans="1:3">
      <c r="A145" s="513" t="s">
        <v>15073</v>
      </c>
      <c r="B145" s="513">
        <v>166452570</v>
      </c>
      <c r="C145" s="513" t="s">
        <v>15073</v>
      </c>
    </row>
    <row r="146" spans="1:3">
      <c r="A146" s="513" t="s">
        <v>1894</v>
      </c>
      <c r="B146" s="513">
        <v>149828000</v>
      </c>
      <c r="C146" s="513" t="s">
        <v>1894</v>
      </c>
    </row>
    <row r="147" spans="1:3">
      <c r="A147" s="513" t="s">
        <v>16289</v>
      </c>
      <c r="B147" s="513">
        <v>149828000</v>
      </c>
      <c r="C147" s="513" t="s">
        <v>16289</v>
      </c>
    </row>
    <row r="148" spans="1:3">
      <c r="A148" s="513" t="s">
        <v>1893</v>
      </c>
      <c r="B148" s="513">
        <v>149828000</v>
      </c>
      <c r="C148" s="513" t="s">
        <v>1893</v>
      </c>
    </row>
    <row r="149" spans="1:3">
      <c r="A149" s="513" t="s">
        <v>1876</v>
      </c>
      <c r="B149" s="513">
        <v>3155000</v>
      </c>
      <c r="C149" s="513" t="s">
        <v>1876</v>
      </c>
    </row>
    <row r="150" spans="1:3">
      <c r="A150" s="513" t="s">
        <v>1864</v>
      </c>
      <c r="B150" s="513">
        <v>3155000</v>
      </c>
      <c r="C150" s="513" t="s">
        <v>1864</v>
      </c>
    </row>
    <row r="151" spans="1:3">
      <c r="A151" s="513" t="s">
        <v>16712</v>
      </c>
      <c r="B151" s="513">
        <v>3155000</v>
      </c>
      <c r="C151" s="513" t="s">
        <v>16712</v>
      </c>
    </row>
    <row r="152" spans="1:3">
      <c r="A152" s="513" t="s">
        <v>1885</v>
      </c>
      <c r="B152" s="513">
        <v>102146</v>
      </c>
      <c r="C152" s="513" t="s">
        <v>1885</v>
      </c>
    </row>
    <row r="153" spans="1:3">
      <c r="A153" s="513" t="s">
        <v>16718</v>
      </c>
      <c r="B153" s="513">
        <v>51073</v>
      </c>
      <c r="C153" s="513" t="s">
        <v>16718</v>
      </c>
    </row>
    <row r="154" spans="1:3">
      <c r="A154" s="513" t="s">
        <v>16764</v>
      </c>
      <c r="B154" s="513">
        <v>51073</v>
      </c>
      <c r="C154" s="513" t="s">
        <v>16764</v>
      </c>
    </row>
    <row r="155" spans="1:3">
      <c r="A155" s="513" t="s">
        <v>1886</v>
      </c>
      <c r="B155" s="513">
        <v>1630000</v>
      </c>
      <c r="C155" s="513" t="s">
        <v>1886</v>
      </c>
    </row>
    <row r="156" spans="1:3">
      <c r="A156" s="513" t="s">
        <v>1887</v>
      </c>
      <c r="B156" s="513">
        <v>1630000</v>
      </c>
      <c r="C156" s="513" t="s">
        <v>1887</v>
      </c>
    </row>
    <row r="157" spans="1:3">
      <c r="A157" s="513" t="s">
        <v>16283</v>
      </c>
      <c r="B157" s="513">
        <v>1630000</v>
      </c>
      <c r="C157" s="513" t="s">
        <v>16283</v>
      </c>
    </row>
    <row r="158" spans="1:3">
      <c r="A158" s="513" t="s">
        <v>16716</v>
      </c>
      <c r="B158" s="513">
        <v>332000</v>
      </c>
      <c r="C158" s="513" t="s">
        <v>16716</v>
      </c>
    </row>
    <row r="159" spans="1:3">
      <c r="A159" s="513" t="s">
        <v>1882</v>
      </c>
      <c r="B159" s="513">
        <v>332000</v>
      </c>
      <c r="C159" s="513" t="s">
        <v>1882</v>
      </c>
    </row>
    <row r="160" spans="1:3">
      <c r="A160" s="513" t="s">
        <v>1880</v>
      </c>
      <c r="B160" s="513">
        <v>332000</v>
      </c>
      <c r="C160" s="513" t="s">
        <v>1880</v>
      </c>
    </row>
    <row r="161" spans="1:3">
      <c r="A161" s="513" t="s">
        <v>16234</v>
      </c>
      <c r="B161" s="513">
        <v>96250</v>
      </c>
      <c r="C161" s="513" t="s">
        <v>16234</v>
      </c>
    </row>
    <row r="162" spans="1:3">
      <c r="A162" s="513" t="s">
        <v>1851</v>
      </c>
      <c r="B162" s="513">
        <v>96250</v>
      </c>
      <c r="C162" s="513" t="s">
        <v>1851</v>
      </c>
    </row>
    <row r="163" spans="1:3">
      <c r="A163" s="513" t="s">
        <v>16788</v>
      </c>
      <c r="B163" s="513">
        <v>51073</v>
      </c>
      <c r="C163" s="513" t="s">
        <v>16788</v>
      </c>
    </row>
    <row r="164" spans="1:3">
      <c r="A164" s="513" t="s">
        <v>16730</v>
      </c>
      <c r="B164" s="513">
        <v>51073</v>
      </c>
      <c r="C164" s="513" t="s">
        <v>16730</v>
      </c>
    </row>
    <row r="165" spans="1:3">
      <c r="A165" s="513" t="s">
        <v>1767</v>
      </c>
      <c r="B165" s="513">
        <v>-7825586</v>
      </c>
      <c r="C165" s="513" t="s">
        <v>1767</v>
      </c>
    </row>
    <row r="166" spans="1:3">
      <c r="A166" s="513" t="s">
        <v>1693</v>
      </c>
      <c r="B166" s="513">
        <v>123333</v>
      </c>
      <c r="C166" s="513" t="s">
        <v>1693</v>
      </c>
    </row>
    <row r="167" spans="1:3">
      <c r="A167" s="513" t="s">
        <v>15571</v>
      </c>
      <c r="B167" s="513">
        <v>123333</v>
      </c>
      <c r="C167" s="513" t="s">
        <v>15571</v>
      </c>
    </row>
    <row r="168" spans="1:3">
      <c r="A168" s="513" t="s">
        <v>1685</v>
      </c>
      <c r="B168" s="513">
        <v>123333</v>
      </c>
      <c r="C168" s="513" t="s">
        <v>1685</v>
      </c>
    </row>
    <row r="169" spans="1:3">
      <c r="A169" s="513" t="s">
        <v>16227</v>
      </c>
      <c r="B169" s="513">
        <v>4100494</v>
      </c>
      <c r="C169" s="513" t="s">
        <v>16227</v>
      </c>
    </row>
    <row r="170" spans="1:3">
      <c r="A170" s="513" t="s">
        <v>15133</v>
      </c>
      <c r="B170" s="513">
        <v>4100494</v>
      </c>
      <c r="C170" s="513" t="s">
        <v>15133</v>
      </c>
    </row>
    <row r="171" spans="1:3">
      <c r="A171" s="513" t="s">
        <v>16001</v>
      </c>
      <c r="B171" s="513">
        <v>971464089</v>
      </c>
      <c r="C171" s="513" t="s">
        <v>16001</v>
      </c>
    </row>
    <row r="172" spans="1:3">
      <c r="A172" s="513" t="s">
        <v>15199</v>
      </c>
      <c r="B172" s="513">
        <v>939697809</v>
      </c>
      <c r="C172" s="513" t="s">
        <v>15199</v>
      </c>
    </row>
    <row r="173" spans="1:3">
      <c r="A173" s="513" t="s">
        <v>1844</v>
      </c>
      <c r="B173" s="513">
        <v>66798</v>
      </c>
      <c r="C173" s="513" t="s">
        <v>1844</v>
      </c>
    </row>
    <row r="174" spans="1:3">
      <c r="A174" s="513" t="s">
        <v>16204</v>
      </c>
      <c r="B174" s="513">
        <v>66798</v>
      </c>
      <c r="C174" s="513" t="s">
        <v>16204</v>
      </c>
    </row>
    <row r="175" spans="1:3">
      <c r="A175" s="513" t="s">
        <v>15134</v>
      </c>
      <c r="B175" s="513">
        <v>1403655</v>
      </c>
      <c r="C175" s="513" t="s">
        <v>15134</v>
      </c>
    </row>
    <row r="176" spans="1:3">
      <c r="A176" s="513" t="s">
        <v>16231</v>
      </c>
      <c r="B176" s="513">
        <v>1403655</v>
      </c>
      <c r="C176" s="513" t="s">
        <v>16231</v>
      </c>
    </row>
    <row r="177" spans="1:3">
      <c r="A177" s="513" t="s">
        <v>16325</v>
      </c>
      <c r="B177" s="513">
        <v>586873</v>
      </c>
      <c r="C177" s="513" t="s">
        <v>16325</v>
      </c>
    </row>
    <row r="178" spans="1:3">
      <c r="A178" s="513" t="s">
        <v>15121</v>
      </c>
      <c r="B178" s="513">
        <v>586873</v>
      </c>
      <c r="C178" s="513" t="s">
        <v>15121</v>
      </c>
    </row>
    <row r="179" spans="1:3">
      <c r="A179" s="513" t="s">
        <v>16527</v>
      </c>
      <c r="B179" s="513">
        <v>586873</v>
      </c>
      <c r="C179" s="513" t="s">
        <v>16527</v>
      </c>
    </row>
    <row r="180" spans="1:3">
      <c r="A180" s="513" t="s">
        <v>1734</v>
      </c>
      <c r="B180" s="513">
        <v>13572912</v>
      </c>
      <c r="C180" s="513" t="s">
        <v>1734</v>
      </c>
    </row>
    <row r="181" spans="1:3">
      <c r="A181" s="513" t="s">
        <v>15998</v>
      </c>
      <c r="B181" s="513">
        <v>13572912</v>
      </c>
      <c r="C181" s="513" t="s">
        <v>15998</v>
      </c>
    </row>
    <row r="182" spans="1:3">
      <c r="A182" s="513" t="s">
        <v>16237</v>
      </c>
      <c r="B182" s="513">
        <v>427930</v>
      </c>
      <c r="C182" s="513" t="s">
        <v>16237</v>
      </c>
    </row>
    <row r="183" spans="1:3">
      <c r="A183" s="513" t="s">
        <v>1853</v>
      </c>
      <c r="B183" s="513">
        <v>427930</v>
      </c>
      <c r="C183" s="513" t="s">
        <v>1853</v>
      </c>
    </row>
    <row r="184" spans="1:3">
      <c r="A184" s="513" t="s">
        <v>16009</v>
      </c>
      <c r="B184" s="513">
        <v>104341150</v>
      </c>
      <c r="C184" s="513" t="s">
        <v>16009</v>
      </c>
    </row>
    <row r="185" spans="1:3">
      <c r="A185" s="513" t="s">
        <v>1742</v>
      </c>
      <c r="B185" s="513">
        <v>104341150</v>
      </c>
      <c r="C185" s="513" t="s">
        <v>1742</v>
      </c>
    </row>
    <row r="186" spans="1:3">
      <c r="A186" s="513" t="s">
        <v>15131</v>
      </c>
      <c r="B186" s="513">
        <v>2887403</v>
      </c>
      <c r="C186" s="513" t="s">
        <v>15131</v>
      </c>
    </row>
    <row r="187" spans="1:3">
      <c r="A187" s="513" t="s">
        <v>16197</v>
      </c>
      <c r="B187" s="513">
        <v>2887403</v>
      </c>
      <c r="C187" s="513" t="s">
        <v>16197</v>
      </c>
    </row>
    <row r="188" spans="1:3">
      <c r="A188" s="513" t="s">
        <v>15130</v>
      </c>
      <c r="B188" s="513">
        <v>2887403</v>
      </c>
      <c r="C188" s="513" t="s">
        <v>15130</v>
      </c>
    </row>
    <row r="189" spans="1:3">
      <c r="A189" s="513" t="s">
        <v>16294</v>
      </c>
      <c r="B189" s="513">
        <v>1983000</v>
      </c>
      <c r="C189" s="513" t="s">
        <v>16294</v>
      </c>
    </row>
    <row r="190" spans="1:3">
      <c r="A190" s="513" t="s">
        <v>1897</v>
      </c>
      <c r="B190" s="513">
        <v>1983000</v>
      </c>
      <c r="C190" s="513" t="s">
        <v>1897</v>
      </c>
    </row>
    <row r="191" spans="1:3">
      <c r="A191" s="513" t="s">
        <v>15143</v>
      </c>
      <c r="B191" s="513">
        <v>-187429195</v>
      </c>
      <c r="C191" s="513" t="s">
        <v>15143</v>
      </c>
    </row>
    <row r="192" spans="1:3">
      <c r="A192" s="513" t="s">
        <v>1998</v>
      </c>
      <c r="B192" s="513">
        <v>-187429195</v>
      </c>
      <c r="C192" s="513" t="s">
        <v>1998</v>
      </c>
    </row>
    <row r="193" spans="1:3">
      <c r="A193" s="513" t="s">
        <v>1788</v>
      </c>
      <c r="B193" s="513">
        <v>59846843</v>
      </c>
      <c r="C193" s="513" t="s">
        <v>1788</v>
      </c>
    </row>
    <row r="194" spans="1:3">
      <c r="A194" s="513" t="s">
        <v>1769</v>
      </c>
      <c r="B194" s="513">
        <v>59846843</v>
      </c>
      <c r="C194" s="513" t="s">
        <v>1769</v>
      </c>
    </row>
    <row r="195" spans="1:3">
      <c r="A195" s="513" t="s">
        <v>1770</v>
      </c>
      <c r="B195" s="513">
        <v>59846843</v>
      </c>
      <c r="C195" s="513" t="s">
        <v>1770</v>
      </c>
    </row>
    <row r="196" spans="1:3">
      <c r="A196" s="513" t="s">
        <v>15180</v>
      </c>
      <c r="B196" s="513">
        <v>1555129</v>
      </c>
      <c r="C196" s="513" t="s">
        <v>15180</v>
      </c>
    </row>
    <row r="197" spans="1:3">
      <c r="A197" s="513" t="s">
        <v>15635</v>
      </c>
      <c r="B197" s="513">
        <v>1555129</v>
      </c>
      <c r="C197" s="513" t="s">
        <v>15635</v>
      </c>
    </row>
    <row r="198" spans="1:3">
      <c r="A198" s="513" t="s">
        <v>15074</v>
      </c>
      <c r="B198" s="513">
        <v>7657061</v>
      </c>
      <c r="C198" s="513" t="s">
        <v>15074</v>
      </c>
    </row>
    <row r="199" spans="1:3">
      <c r="A199" s="513" t="s">
        <v>15408</v>
      </c>
      <c r="B199" s="513">
        <v>7657061</v>
      </c>
      <c r="C199" s="513" t="s">
        <v>15408</v>
      </c>
    </row>
    <row r="200" spans="1:3">
      <c r="A200" s="513" t="s">
        <v>15721</v>
      </c>
      <c r="B200" s="513">
        <v>190175635</v>
      </c>
      <c r="C200" s="513" t="s">
        <v>15721</v>
      </c>
    </row>
    <row r="201" spans="1:3">
      <c r="A201" s="513" t="s">
        <v>1631</v>
      </c>
      <c r="B201" s="513">
        <v>190175635</v>
      </c>
      <c r="C201" s="513" t="s">
        <v>1631</v>
      </c>
    </row>
    <row r="202" spans="1:3">
      <c r="A202" s="513" t="s">
        <v>1632</v>
      </c>
      <c r="B202" s="513">
        <v>190175635</v>
      </c>
      <c r="C202" s="513" t="s">
        <v>1632</v>
      </c>
    </row>
    <row r="203" spans="1:3">
      <c r="A203" s="513" t="s">
        <v>15149</v>
      </c>
      <c r="B203" s="513">
        <v>1350151</v>
      </c>
      <c r="C203" s="513" t="s">
        <v>15149</v>
      </c>
    </row>
    <row r="204" spans="1:3">
      <c r="A204" s="513" t="s">
        <v>15505</v>
      </c>
      <c r="B204" s="513">
        <v>1350151</v>
      </c>
      <c r="C204" s="513" t="s">
        <v>15505</v>
      </c>
    </row>
    <row r="205" spans="1:3">
      <c r="A205" s="513" t="s">
        <v>15150</v>
      </c>
      <c r="B205" s="513">
        <v>-1350151</v>
      </c>
      <c r="C205" s="513" t="s">
        <v>15150</v>
      </c>
    </row>
    <row r="206" spans="1:3">
      <c r="A206" s="513" t="s">
        <v>15510</v>
      </c>
      <c r="B206" s="513">
        <v>-1350151</v>
      </c>
      <c r="C206" s="513" t="s">
        <v>15510</v>
      </c>
    </row>
    <row r="207" spans="1:3">
      <c r="A207" s="513" t="s">
        <v>15191</v>
      </c>
      <c r="B207" s="513">
        <v>1268460</v>
      </c>
      <c r="C207" s="513" t="s">
        <v>15191</v>
      </c>
    </row>
    <row r="208" spans="1:3">
      <c r="A208" s="513" t="s">
        <v>15934</v>
      </c>
      <c r="B208" s="513">
        <v>1268460</v>
      </c>
      <c r="C208" s="513" t="s">
        <v>15934</v>
      </c>
    </row>
    <row r="209" spans="1:3">
      <c r="A209" s="513" t="s">
        <v>15152</v>
      </c>
      <c r="B209" s="513">
        <v>218349238</v>
      </c>
      <c r="C209" s="513" t="s">
        <v>15152</v>
      </c>
    </row>
    <row r="210" spans="1:3">
      <c r="A210" s="513" t="s">
        <v>15543</v>
      </c>
      <c r="B210" s="513">
        <v>218349238</v>
      </c>
      <c r="C210" s="513" t="s">
        <v>15543</v>
      </c>
    </row>
    <row r="211" spans="1:3">
      <c r="A211" s="513" t="s">
        <v>15151</v>
      </c>
      <c r="B211" s="513">
        <v>218349238</v>
      </c>
      <c r="C211" s="513" t="s">
        <v>15151</v>
      </c>
    </row>
    <row r="212" spans="1:3">
      <c r="A212" s="513" t="s">
        <v>16006</v>
      </c>
      <c r="B212" s="513">
        <v>1146000</v>
      </c>
      <c r="C212" s="513" t="s">
        <v>16006</v>
      </c>
    </row>
    <row r="213" spans="1:3">
      <c r="A213" s="513" t="s">
        <v>15200</v>
      </c>
      <c r="B213" s="513">
        <v>1146000</v>
      </c>
      <c r="C213" s="513" t="s">
        <v>15200</v>
      </c>
    </row>
    <row r="214" spans="1:3">
      <c r="A214" s="513" t="s">
        <v>15936</v>
      </c>
      <c r="B214" s="513">
        <v>37667084</v>
      </c>
      <c r="C214" s="513" t="s">
        <v>15936</v>
      </c>
    </row>
    <row r="215" spans="1:3">
      <c r="A215" s="513" t="s">
        <v>15193</v>
      </c>
      <c r="B215" s="513">
        <v>37667084</v>
      </c>
      <c r="C215" s="513" t="s">
        <v>15193</v>
      </c>
    </row>
    <row r="216" spans="1:3">
      <c r="A216" s="513" t="s">
        <v>15247</v>
      </c>
      <c r="B216" s="513">
        <v>15960000</v>
      </c>
      <c r="C216" s="513" t="s">
        <v>15247</v>
      </c>
    </row>
    <row r="217" spans="1:3">
      <c r="A217" s="513" t="s">
        <v>15246</v>
      </c>
      <c r="B217" s="513">
        <v>15960000</v>
      </c>
      <c r="C217" s="513" t="s">
        <v>15246</v>
      </c>
    </row>
    <row r="218" spans="1:3">
      <c r="A218" s="513" t="s">
        <v>15248</v>
      </c>
      <c r="B218" s="513">
        <v>15960000</v>
      </c>
      <c r="C218" s="513" t="s">
        <v>15248</v>
      </c>
    </row>
    <row r="219" spans="1:3">
      <c r="A219" s="513" t="s">
        <v>15260</v>
      </c>
      <c r="B219" s="513">
        <v>158825072</v>
      </c>
      <c r="C219" s="513" t="s">
        <v>15260</v>
      </c>
    </row>
    <row r="220" spans="1:3">
      <c r="A220" s="513" t="s">
        <v>15259</v>
      </c>
      <c r="B220" s="513">
        <v>158825072</v>
      </c>
      <c r="C220" s="513" t="s">
        <v>15259</v>
      </c>
    </row>
    <row r="221" spans="1:3">
      <c r="A221" s="513" t="s">
        <v>16004</v>
      </c>
      <c r="B221" s="513">
        <v>-31766280</v>
      </c>
      <c r="C221" s="513" t="s">
        <v>16004</v>
      </c>
    </row>
    <row r="222" spans="1:3">
      <c r="A222" s="513" t="s">
        <v>15743</v>
      </c>
      <c r="B222" s="513">
        <v>1243074</v>
      </c>
      <c r="C222" s="513" t="s">
        <v>15743</v>
      </c>
    </row>
    <row r="223" spans="1:3">
      <c r="A223" s="513" t="s">
        <v>1666</v>
      </c>
      <c r="B223" s="513">
        <v>1243074</v>
      </c>
      <c r="C223" s="513" t="s">
        <v>1666</v>
      </c>
    </row>
    <row r="224" spans="1:3">
      <c r="A224" s="513" t="s">
        <v>1838</v>
      </c>
      <c r="B224" s="513">
        <v>21846619</v>
      </c>
      <c r="C224" s="513" t="s">
        <v>1838</v>
      </c>
    </row>
    <row r="225" spans="1:3">
      <c r="A225" s="513" t="s">
        <v>1839</v>
      </c>
      <c r="B225" s="513">
        <v>21846619</v>
      </c>
      <c r="C225" s="513" t="s">
        <v>1839</v>
      </c>
    </row>
    <row r="226" spans="1:3">
      <c r="A226" s="513" t="s">
        <v>16199</v>
      </c>
      <c r="B226" s="513">
        <v>21846619</v>
      </c>
      <c r="C226" s="513" t="s">
        <v>16199</v>
      </c>
    </row>
    <row r="227" spans="1:3">
      <c r="A227" s="513" t="s">
        <v>1941</v>
      </c>
      <c r="B227" s="513">
        <v>5594300000</v>
      </c>
      <c r="C227" s="513" t="s">
        <v>1941</v>
      </c>
    </row>
    <row r="228" spans="1:3">
      <c r="A228" s="513" t="s">
        <v>1934</v>
      </c>
      <c r="B228" s="513">
        <v>-969115686</v>
      </c>
      <c r="C228" s="513" t="s">
        <v>1934</v>
      </c>
    </row>
    <row r="229" spans="1:3">
      <c r="A229" s="513" t="s">
        <v>1935</v>
      </c>
      <c r="B229" s="513">
        <v>-969115686</v>
      </c>
      <c r="C229" s="513" t="s">
        <v>1935</v>
      </c>
    </row>
    <row r="230" spans="1:3">
      <c r="A230" s="513" t="s">
        <v>1946</v>
      </c>
      <c r="B230" s="513">
        <v>597597760</v>
      </c>
      <c r="C230" s="513" t="s">
        <v>1946</v>
      </c>
    </row>
    <row r="231" spans="1:3">
      <c r="A231" s="513" t="s">
        <v>1947</v>
      </c>
      <c r="B231" s="513">
        <v>597597760</v>
      </c>
      <c r="C231" s="513" t="s">
        <v>1947</v>
      </c>
    </row>
    <row r="232" spans="1:3">
      <c r="A232" s="513" t="s">
        <v>18267</v>
      </c>
      <c r="B232" s="513">
        <v>1000000</v>
      </c>
      <c r="C232" s="513" t="s">
        <v>18267</v>
      </c>
    </row>
    <row r="233" spans="1:3">
      <c r="A233" s="513" t="s">
        <v>18253</v>
      </c>
      <c r="B233" s="513">
        <v>1000000</v>
      </c>
      <c r="C233" s="513" t="s">
        <v>18253</v>
      </c>
    </row>
    <row r="234" spans="1:3">
      <c r="A234" s="513" t="s">
        <v>17490</v>
      </c>
      <c r="B234" s="513">
        <v>2670500</v>
      </c>
      <c r="C234" s="513" t="s">
        <v>17490</v>
      </c>
    </row>
    <row r="235" spans="1:3">
      <c r="A235" s="513" t="s">
        <v>17295</v>
      </c>
      <c r="B235" s="513">
        <v>32293884</v>
      </c>
      <c r="C235" s="513" t="s">
        <v>17295</v>
      </c>
    </row>
    <row r="236" spans="1:3">
      <c r="A236" s="513" t="s">
        <v>18063</v>
      </c>
      <c r="B236" s="513">
        <v>50000</v>
      </c>
      <c r="C236" s="513" t="s">
        <v>18063</v>
      </c>
    </row>
    <row r="237" spans="1:3">
      <c r="A237" s="513" t="s">
        <v>17422</v>
      </c>
      <c r="B237" s="513">
        <v>50000</v>
      </c>
      <c r="C237" s="513" t="s">
        <v>17422</v>
      </c>
    </row>
    <row r="238" spans="1:3">
      <c r="A238" s="513" t="s">
        <v>18542</v>
      </c>
      <c r="B238" s="513">
        <v>14007</v>
      </c>
      <c r="C238" s="513" t="s">
        <v>18542</v>
      </c>
    </row>
    <row r="239" spans="1:3">
      <c r="A239" s="513" t="s">
        <v>18426</v>
      </c>
      <c r="B239" s="513">
        <v>14007</v>
      </c>
      <c r="C239" s="513" t="s">
        <v>18426</v>
      </c>
    </row>
    <row r="240" spans="1:3">
      <c r="A240" s="513" t="s">
        <v>17498</v>
      </c>
      <c r="B240" s="513">
        <v>14621751</v>
      </c>
      <c r="C240" s="513" t="s">
        <v>17498</v>
      </c>
    </row>
    <row r="241" spans="1:3">
      <c r="A241" s="513" t="s">
        <v>17352</v>
      </c>
      <c r="B241" s="513">
        <v>14621751</v>
      </c>
      <c r="C241" s="513" t="s">
        <v>17352</v>
      </c>
    </row>
    <row r="242" spans="1:3">
      <c r="A242" s="513" t="s">
        <v>16964</v>
      </c>
      <c r="B242" s="513">
        <v>5381785</v>
      </c>
      <c r="C242" s="513" t="s">
        <v>16964</v>
      </c>
    </row>
    <row r="243" spans="1:3">
      <c r="A243" s="513" t="s">
        <v>16971</v>
      </c>
      <c r="B243" s="513">
        <v>5381785</v>
      </c>
      <c r="C243" s="513" t="s">
        <v>16971</v>
      </c>
    </row>
    <row r="244" spans="1:3">
      <c r="A244" s="513" t="s">
        <v>18062</v>
      </c>
      <c r="B244" s="513">
        <v>143083</v>
      </c>
      <c r="C244" s="513" t="s">
        <v>18062</v>
      </c>
    </row>
    <row r="245" spans="1:3">
      <c r="A245" s="513" t="s">
        <v>17424</v>
      </c>
      <c r="B245" s="513">
        <v>143083</v>
      </c>
      <c r="C245" s="513" t="s">
        <v>17424</v>
      </c>
    </row>
    <row r="246" spans="1:3">
      <c r="A246" s="513" t="s">
        <v>18460</v>
      </c>
      <c r="B246" s="513">
        <v>7312009</v>
      </c>
      <c r="C246" s="513" t="s">
        <v>18460</v>
      </c>
    </row>
    <row r="247" spans="1:3">
      <c r="A247" s="513" t="s">
        <v>18566</v>
      </c>
      <c r="B247" s="513">
        <v>7312009</v>
      </c>
      <c r="C247" s="513" t="s">
        <v>18566</v>
      </c>
    </row>
    <row r="248" spans="1:3">
      <c r="A248" s="513" t="s">
        <v>17249</v>
      </c>
      <c r="B248" s="513">
        <v>10722</v>
      </c>
      <c r="C248" s="513" t="s">
        <v>17249</v>
      </c>
    </row>
    <row r="249" spans="1:3">
      <c r="A249" s="513" t="s">
        <v>17232</v>
      </c>
      <c r="B249" s="513">
        <v>10722</v>
      </c>
      <c r="C249" s="513" t="s">
        <v>17232</v>
      </c>
    </row>
    <row r="250" spans="1:3">
      <c r="A250" s="513" t="s">
        <v>18450</v>
      </c>
      <c r="B250" s="513">
        <v>961747</v>
      </c>
      <c r="C250" s="513" t="s">
        <v>18450</v>
      </c>
    </row>
    <row r="251" spans="1:3">
      <c r="A251" s="513" t="s">
        <v>18555</v>
      </c>
      <c r="B251" s="513">
        <v>961747</v>
      </c>
      <c r="C251" s="513" t="s">
        <v>18555</v>
      </c>
    </row>
    <row r="252" spans="1:3">
      <c r="A252" s="513" t="s">
        <v>17742</v>
      </c>
      <c r="B252" s="513">
        <v>6401100</v>
      </c>
      <c r="C252" s="513" t="s">
        <v>17742</v>
      </c>
    </row>
    <row r="253" spans="1:3">
      <c r="A253" s="513" t="s">
        <v>17382</v>
      </c>
      <c r="B253" s="513">
        <v>6401100</v>
      </c>
      <c r="C253" s="513" t="s">
        <v>17382</v>
      </c>
    </row>
    <row r="254" spans="1:3">
      <c r="A254" s="513" t="s">
        <v>17719</v>
      </c>
      <c r="B254" s="513">
        <v>6401100</v>
      </c>
      <c r="C254" s="513" t="s">
        <v>17719</v>
      </c>
    </row>
    <row r="255" spans="1:3">
      <c r="A255" s="513" t="s">
        <v>18415</v>
      </c>
      <c r="B255" s="513">
        <v>5159081</v>
      </c>
      <c r="C255" s="513" t="s">
        <v>18415</v>
      </c>
    </row>
    <row r="256" spans="1:3">
      <c r="A256" s="513" t="s">
        <v>18553</v>
      </c>
      <c r="B256" s="513">
        <v>5159081</v>
      </c>
      <c r="C256" s="513" t="s">
        <v>18553</v>
      </c>
    </row>
    <row r="257" spans="1:3">
      <c r="A257" s="513" t="s">
        <v>17817</v>
      </c>
      <c r="B257" s="513">
        <v>136093489</v>
      </c>
      <c r="C257" s="513" t="s">
        <v>17817</v>
      </c>
    </row>
    <row r="258" spans="1:3">
      <c r="A258" s="513" t="s">
        <v>19040</v>
      </c>
      <c r="B258" s="513">
        <v>231761652</v>
      </c>
      <c r="C258" s="513" t="s">
        <v>19040</v>
      </c>
    </row>
    <row r="259" spans="1:3">
      <c r="A259" s="513" t="s">
        <v>17238</v>
      </c>
      <c r="B259" s="513">
        <v>136093489</v>
      </c>
      <c r="C259" s="513" t="s">
        <v>17238</v>
      </c>
    </row>
    <row r="260" spans="1:3">
      <c r="A260" s="513" t="s">
        <v>17785</v>
      </c>
      <c r="B260" s="513">
        <v>197349550</v>
      </c>
      <c r="C260" s="513" t="s">
        <v>17785</v>
      </c>
    </row>
    <row r="261" spans="1:3">
      <c r="A261" s="513" t="s">
        <v>17328</v>
      </c>
      <c r="B261" s="513">
        <v>16959317</v>
      </c>
      <c r="C261" s="513" t="s">
        <v>17328</v>
      </c>
    </row>
    <row r="262" spans="1:3">
      <c r="A262" s="513" t="s">
        <v>17843</v>
      </c>
      <c r="B262" s="513">
        <v>16959317</v>
      </c>
      <c r="C262" s="513" t="s">
        <v>17843</v>
      </c>
    </row>
    <row r="263" spans="1:3">
      <c r="A263" s="513" t="s">
        <v>17358</v>
      </c>
      <c r="B263" s="513">
        <v>429167</v>
      </c>
      <c r="C263" s="513" t="s">
        <v>17358</v>
      </c>
    </row>
    <row r="264" spans="1:3">
      <c r="A264" s="513" t="s">
        <v>17512</v>
      </c>
      <c r="B264" s="513">
        <v>429167</v>
      </c>
      <c r="C264" s="513" t="s">
        <v>17512</v>
      </c>
    </row>
    <row r="265" spans="1:3">
      <c r="A265" s="513" t="s">
        <v>17827</v>
      </c>
      <c r="B265" s="513">
        <v>8125725</v>
      </c>
      <c r="C265" s="513" t="s">
        <v>17827</v>
      </c>
    </row>
    <row r="266" spans="1:3">
      <c r="A266" s="513" t="s">
        <v>17306</v>
      </c>
      <c r="B266" s="513">
        <v>8125725</v>
      </c>
      <c r="C266" s="513" t="s">
        <v>17306</v>
      </c>
    </row>
    <row r="267" spans="1:3">
      <c r="A267" s="513" t="s">
        <v>17675</v>
      </c>
      <c r="B267" s="513">
        <v>2941077</v>
      </c>
      <c r="C267" s="513" t="s">
        <v>17675</v>
      </c>
    </row>
    <row r="268" spans="1:3">
      <c r="A268" s="513" t="s">
        <v>17700</v>
      </c>
      <c r="B268" s="513">
        <v>2941077</v>
      </c>
      <c r="C268" s="513" t="s">
        <v>17700</v>
      </c>
    </row>
    <row r="269" spans="1:3">
      <c r="A269" s="513" t="s">
        <v>17442</v>
      </c>
      <c r="B269" s="513">
        <v>39833983</v>
      </c>
      <c r="C269" s="513" t="s">
        <v>17442</v>
      </c>
    </row>
    <row r="270" spans="1:3">
      <c r="A270" s="513" t="s">
        <v>17377</v>
      </c>
      <c r="B270" s="513">
        <v>109797796</v>
      </c>
      <c r="C270" s="513" t="s">
        <v>17377</v>
      </c>
    </row>
    <row r="271" spans="1:3">
      <c r="A271" s="513" t="s">
        <v>17900</v>
      </c>
      <c r="B271" s="513">
        <v>2404133</v>
      </c>
      <c r="C271" s="513" t="s">
        <v>17900</v>
      </c>
    </row>
    <row r="272" spans="1:3">
      <c r="A272" s="513" t="s">
        <v>17919</v>
      </c>
      <c r="B272" s="513">
        <v>2404133</v>
      </c>
      <c r="C272" s="513" t="s">
        <v>17919</v>
      </c>
    </row>
    <row r="273" spans="1:3">
      <c r="A273" s="513" t="s">
        <v>18451</v>
      </c>
      <c r="B273" s="513">
        <v>60169177</v>
      </c>
      <c r="C273" s="513" t="s">
        <v>18451</v>
      </c>
    </row>
    <row r="274" spans="1:3">
      <c r="A274" s="513" t="s">
        <v>18557</v>
      </c>
      <c r="B274" s="513">
        <v>60169177</v>
      </c>
      <c r="C274" s="513" t="s">
        <v>18557</v>
      </c>
    </row>
    <row r="275" spans="1:3">
      <c r="A275" s="513" t="s">
        <v>17902</v>
      </c>
      <c r="B275" s="513">
        <v>95161958</v>
      </c>
      <c r="C275" s="513" t="s">
        <v>17902</v>
      </c>
    </row>
    <row r="276" spans="1:3">
      <c r="A276" s="513" t="s">
        <v>17920</v>
      </c>
      <c r="B276" s="513">
        <v>95161958</v>
      </c>
      <c r="C276" s="513" t="s">
        <v>17920</v>
      </c>
    </row>
    <row r="277" spans="1:3">
      <c r="A277" s="513" t="s">
        <v>17842</v>
      </c>
      <c r="B277" s="513">
        <v>462415</v>
      </c>
      <c r="C277" s="513" t="s">
        <v>17842</v>
      </c>
    </row>
    <row r="278" spans="1:3">
      <c r="A278" s="513" t="s">
        <v>17326</v>
      </c>
      <c r="B278" s="513">
        <v>462415</v>
      </c>
      <c r="C278" s="513" t="s">
        <v>17326</v>
      </c>
    </row>
    <row r="279" spans="1:3">
      <c r="A279" s="513" t="s">
        <v>18065</v>
      </c>
      <c r="B279" s="513">
        <v>259302</v>
      </c>
      <c r="C279" s="513" t="s">
        <v>18065</v>
      </c>
    </row>
    <row r="280" spans="1:3">
      <c r="A280" s="513" t="s">
        <v>17418</v>
      </c>
      <c r="B280" s="513">
        <v>259302</v>
      </c>
      <c r="C280" s="513" t="s">
        <v>17418</v>
      </c>
    </row>
    <row r="281" spans="1:3">
      <c r="A281" s="513" t="s">
        <v>17530</v>
      </c>
      <c r="B281" s="513">
        <v>15396759</v>
      </c>
      <c r="C281" s="513" t="s">
        <v>17530</v>
      </c>
    </row>
    <row r="282" spans="1:3">
      <c r="A282" s="513" t="s">
        <v>17520</v>
      </c>
      <c r="B282" s="513">
        <v>15396759</v>
      </c>
      <c r="C282" s="513" t="s">
        <v>17520</v>
      </c>
    </row>
    <row r="283" spans="1:3">
      <c r="A283" s="513" t="s">
        <v>17823</v>
      </c>
      <c r="B283" s="513">
        <v>11987685</v>
      </c>
      <c r="C283" s="513" t="s">
        <v>17823</v>
      </c>
    </row>
    <row r="284" spans="1:3">
      <c r="A284" s="513" t="s">
        <v>17302</v>
      </c>
      <c r="B284" s="513">
        <v>11987685</v>
      </c>
      <c r="C284" s="513" t="s">
        <v>17302</v>
      </c>
    </row>
    <row r="285" spans="1:3">
      <c r="A285" s="513" t="s">
        <v>17305</v>
      </c>
      <c r="B285" s="513">
        <v>11785010</v>
      </c>
      <c r="C285" s="513" t="s">
        <v>17305</v>
      </c>
    </row>
    <row r="286" spans="1:3">
      <c r="A286" s="513" t="s">
        <v>17826</v>
      </c>
      <c r="B286" s="513">
        <v>11785010</v>
      </c>
      <c r="C286" s="513" t="s">
        <v>17826</v>
      </c>
    </row>
    <row r="287" spans="1:3">
      <c r="A287" s="513" t="s">
        <v>17330</v>
      </c>
      <c r="B287" s="513">
        <v>6934478</v>
      </c>
      <c r="C287" s="513" t="s">
        <v>17330</v>
      </c>
    </row>
    <row r="288" spans="1:3">
      <c r="A288" s="513" t="s">
        <v>17845</v>
      </c>
      <c r="B288" s="513">
        <v>6934478</v>
      </c>
      <c r="C288" s="513" t="s">
        <v>17845</v>
      </c>
    </row>
    <row r="289" spans="1:3">
      <c r="A289" s="513" t="s">
        <v>17824</v>
      </c>
      <c r="B289" s="513">
        <v>1227124</v>
      </c>
      <c r="C289" s="513" t="s">
        <v>17824</v>
      </c>
    </row>
    <row r="290" spans="1:3">
      <c r="A290" s="513" t="s">
        <v>17304</v>
      </c>
      <c r="B290" s="513">
        <v>1227124</v>
      </c>
      <c r="C290" s="513" t="s">
        <v>17304</v>
      </c>
    </row>
    <row r="291" spans="1:3">
      <c r="A291" s="513" t="s">
        <v>17325</v>
      </c>
      <c r="B291" s="513">
        <v>1915546</v>
      </c>
      <c r="C291" s="513" t="s">
        <v>17325</v>
      </c>
    </row>
    <row r="292" spans="1:3">
      <c r="A292" s="513" t="s">
        <v>17841</v>
      </c>
      <c r="B292" s="513">
        <v>1915546</v>
      </c>
      <c r="C292" s="513" t="s">
        <v>17841</v>
      </c>
    </row>
    <row r="293" spans="1:3">
      <c r="A293" s="513" t="s">
        <v>16885</v>
      </c>
      <c r="B293" s="513">
        <v>2231413365</v>
      </c>
      <c r="C293" s="513" t="s">
        <v>16885</v>
      </c>
    </row>
    <row r="294" spans="1:3">
      <c r="A294" s="513" t="s">
        <v>16873</v>
      </c>
      <c r="B294" s="513">
        <v>2231413365</v>
      </c>
      <c r="C294" s="513" t="s">
        <v>16873</v>
      </c>
    </row>
    <row r="295" spans="1:3">
      <c r="A295" s="513" t="s">
        <v>18582</v>
      </c>
      <c r="B295" s="513">
        <v>721053521</v>
      </c>
      <c r="C295" s="513" t="s">
        <v>18582</v>
      </c>
    </row>
    <row r="296" spans="1:3">
      <c r="A296" s="513" t="s">
        <v>18588</v>
      </c>
      <c r="B296" s="513">
        <v>721053521</v>
      </c>
      <c r="C296" s="513" t="s">
        <v>18588</v>
      </c>
    </row>
    <row r="297" spans="1:3">
      <c r="A297" s="513" t="s">
        <v>18571</v>
      </c>
      <c r="B297" s="513">
        <v>721053521</v>
      </c>
      <c r="C297" s="513" t="s">
        <v>18571</v>
      </c>
    </row>
    <row r="298" spans="1:3">
      <c r="A298" s="513" t="s">
        <v>19045</v>
      </c>
      <c r="B298" s="513">
        <v>721053521</v>
      </c>
      <c r="C298" s="513" t="s">
        <v>19045</v>
      </c>
    </row>
    <row r="299" spans="1:3">
      <c r="A299" s="513" t="s">
        <v>17706</v>
      </c>
      <c r="B299" s="513">
        <v>4600</v>
      </c>
      <c r="C299" s="513" t="s">
        <v>17706</v>
      </c>
    </row>
    <row r="300" spans="1:3">
      <c r="A300" s="513" t="s">
        <v>17667</v>
      </c>
      <c r="B300" s="513">
        <v>4600</v>
      </c>
      <c r="C300" s="513" t="s">
        <v>17667</v>
      </c>
    </row>
    <row r="301" spans="1:3">
      <c r="A301" s="513" t="s">
        <v>17822</v>
      </c>
      <c r="B301" s="513">
        <v>523385</v>
      </c>
      <c r="C301" s="513" t="s">
        <v>17822</v>
      </c>
    </row>
    <row r="302" spans="1:3">
      <c r="A302" s="513" t="s">
        <v>17300</v>
      </c>
      <c r="B302" s="513">
        <v>523385</v>
      </c>
      <c r="C302" s="513" t="s">
        <v>17300</v>
      </c>
    </row>
    <row r="303" spans="1:3">
      <c r="A303" s="513" t="s">
        <v>17548</v>
      </c>
      <c r="B303" s="513">
        <v>55634000</v>
      </c>
      <c r="C303" s="513" t="s">
        <v>17548</v>
      </c>
    </row>
    <row r="304" spans="1:3">
      <c r="A304" s="513" t="s">
        <v>14950</v>
      </c>
      <c r="B304" s="513">
        <v>60662811</v>
      </c>
      <c r="C304" s="513" t="s">
        <v>14950</v>
      </c>
    </row>
    <row r="305" spans="1:3">
      <c r="A305" s="513" t="s">
        <v>17556</v>
      </c>
      <c r="B305" s="513">
        <v>55634000</v>
      </c>
      <c r="C305" s="513" t="s">
        <v>17556</v>
      </c>
    </row>
    <row r="306" spans="1:3">
      <c r="A306" s="513" t="s">
        <v>18068</v>
      </c>
      <c r="B306" s="513">
        <v>21000</v>
      </c>
      <c r="C306" s="513" t="s">
        <v>18068</v>
      </c>
    </row>
    <row r="307" spans="1:3">
      <c r="A307" s="513" t="s">
        <v>17412</v>
      </c>
      <c r="B307" s="513">
        <v>21000</v>
      </c>
      <c r="C307" s="513" t="s">
        <v>17412</v>
      </c>
    </row>
    <row r="308" spans="1:3">
      <c r="A308" s="513" t="s">
        <v>18057</v>
      </c>
      <c r="B308" s="513">
        <v>441999</v>
      </c>
      <c r="C308" s="513" t="s">
        <v>18057</v>
      </c>
    </row>
    <row r="309" spans="1:3">
      <c r="A309" s="513" t="s">
        <v>17430</v>
      </c>
      <c r="B309" s="513">
        <v>441999</v>
      </c>
      <c r="C309" s="513" t="s">
        <v>17430</v>
      </c>
    </row>
    <row r="310" spans="1:3">
      <c r="A310" s="513" t="s">
        <v>15069</v>
      </c>
      <c r="B310" s="513">
        <v>592062</v>
      </c>
      <c r="C310" s="513" t="s">
        <v>15069</v>
      </c>
    </row>
    <row r="311" spans="1:3">
      <c r="A311" s="513" t="s">
        <v>18452</v>
      </c>
      <c r="B311" s="513">
        <v>592062</v>
      </c>
      <c r="C311" s="513" t="s">
        <v>18452</v>
      </c>
    </row>
    <row r="312" spans="1:3">
      <c r="A312" s="513" t="s">
        <v>18425</v>
      </c>
      <c r="B312" s="513">
        <v>475317</v>
      </c>
      <c r="C312" s="513" t="s">
        <v>18425</v>
      </c>
    </row>
    <row r="313" spans="1:3">
      <c r="A313" s="513" t="s">
        <v>18524</v>
      </c>
      <c r="B313" s="513">
        <v>475317</v>
      </c>
      <c r="C313" s="513" t="s">
        <v>18524</v>
      </c>
    </row>
    <row r="314" spans="1:3">
      <c r="A314" s="513" t="s">
        <v>18526</v>
      </c>
      <c r="B314" s="513">
        <v>475317</v>
      </c>
      <c r="C314" s="513" t="s">
        <v>18526</v>
      </c>
    </row>
    <row r="315" spans="1:3">
      <c r="A315" s="513" t="s">
        <v>15065</v>
      </c>
      <c r="B315" s="513">
        <v>1905411</v>
      </c>
      <c r="C315" s="513" t="s">
        <v>15065</v>
      </c>
    </row>
    <row r="316" spans="1:3">
      <c r="A316" s="513" t="s">
        <v>17005</v>
      </c>
      <c r="B316" s="513">
        <v>1905411</v>
      </c>
      <c r="C316" s="513" t="s">
        <v>17005</v>
      </c>
    </row>
    <row r="317" spans="1:3">
      <c r="A317" s="513" t="s">
        <v>17848</v>
      </c>
      <c r="B317" s="513">
        <v>420770</v>
      </c>
      <c r="C317" s="513" t="s">
        <v>17848</v>
      </c>
    </row>
    <row r="318" spans="1:3">
      <c r="A318" s="513" t="s">
        <v>17334</v>
      </c>
      <c r="B318" s="513">
        <v>420770</v>
      </c>
      <c r="C318" s="513" t="s">
        <v>17334</v>
      </c>
    </row>
    <row r="319" spans="1:3">
      <c r="A319" s="513" t="s">
        <v>17751</v>
      </c>
      <c r="B319" s="513">
        <v>7813343</v>
      </c>
      <c r="C319" s="513" t="s">
        <v>17751</v>
      </c>
    </row>
    <row r="320" spans="1:3">
      <c r="A320" s="513" t="s">
        <v>17383</v>
      </c>
      <c r="B320" s="513">
        <v>7813343</v>
      </c>
      <c r="C320" s="513" t="s">
        <v>17383</v>
      </c>
    </row>
    <row r="321" spans="1:3">
      <c r="A321" s="513" t="s">
        <v>17758</v>
      </c>
      <c r="B321" s="513">
        <v>7813343</v>
      </c>
      <c r="C321" s="513" t="s">
        <v>17758</v>
      </c>
    </row>
    <row r="322" spans="1:3">
      <c r="A322" s="513" t="s">
        <v>17175</v>
      </c>
      <c r="B322" s="513">
        <v>2</v>
      </c>
      <c r="C322" s="513" t="s">
        <v>17175</v>
      </c>
    </row>
    <row r="323" spans="1:3">
      <c r="A323" s="513" t="s">
        <v>17248</v>
      </c>
      <c r="B323" s="513">
        <v>580291</v>
      </c>
      <c r="C323" s="513" t="s">
        <v>17248</v>
      </c>
    </row>
    <row r="324" spans="1:3">
      <c r="A324" s="513" t="s">
        <v>17146</v>
      </c>
      <c r="B324" s="513">
        <v>2</v>
      </c>
      <c r="C324" s="513" t="s">
        <v>17146</v>
      </c>
    </row>
    <row r="325" spans="1:3">
      <c r="A325" s="513" t="s">
        <v>17831</v>
      </c>
      <c r="B325" s="513">
        <v>187200</v>
      </c>
      <c r="C325" s="513" t="s">
        <v>17831</v>
      </c>
    </row>
    <row r="326" spans="1:3">
      <c r="A326" s="513" t="s">
        <v>17313</v>
      </c>
      <c r="B326" s="513">
        <v>187200</v>
      </c>
      <c r="C326" s="513" t="s">
        <v>17313</v>
      </c>
    </row>
    <row r="327" spans="1:3">
      <c r="A327" s="513" t="s">
        <v>17683</v>
      </c>
      <c r="B327" s="513">
        <v>215000</v>
      </c>
      <c r="C327" s="513" t="s">
        <v>17683</v>
      </c>
    </row>
    <row r="328" spans="1:3">
      <c r="A328" s="513" t="s">
        <v>17658</v>
      </c>
      <c r="B328" s="513">
        <v>215000</v>
      </c>
      <c r="C328" s="513" t="s">
        <v>17658</v>
      </c>
    </row>
    <row r="329" spans="1:3">
      <c r="A329" s="513" t="s">
        <v>17813</v>
      </c>
      <c r="B329" s="513">
        <v>12231705</v>
      </c>
      <c r="C329" s="513" t="s">
        <v>17813</v>
      </c>
    </row>
    <row r="330" spans="1:3">
      <c r="A330" s="513" t="s">
        <v>17898</v>
      </c>
      <c r="B330" s="513">
        <v>12231705</v>
      </c>
      <c r="C330" s="513" t="s">
        <v>17898</v>
      </c>
    </row>
    <row r="331" spans="1:3">
      <c r="A331" s="513" t="s">
        <v>17298</v>
      </c>
      <c r="B331" s="513">
        <v>96801</v>
      </c>
      <c r="C331" s="513" t="s">
        <v>17298</v>
      </c>
    </row>
    <row r="332" spans="1:3">
      <c r="A332" s="513" t="s">
        <v>17821</v>
      </c>
      <c r="B332" s="513">
        <v>96801</v>
      </c>
      <c r="C332" s="513" t="s">
        <v>17821</v>
      </c>
    </row>
    <row r="333" spans="1:3">
      <c r="A333" s="513" t="s">
        <v>17332</v>
      </c>
      <c r="B333" s="513">
        <v>630605</v>
      </c>
      <c r="C333" s="513" t="s">
        <v>17332</v>
      </c>
    </row>
    <row r="334" spans="1:3">
      <c r="A334" s="513" t="s">
        <v>17847</v>
      </c>
      <c r="B334" s="513">
        <v>630605</v>
      </c>
      <c r="C334" s="513" t="s">
        <v>17847</v>
      </c>
    </row>
    <row r="335" spans="1:3">
      <c r="A335" s="513" t="s">
        <v>17274</v>
      </c>
      <c r="B335" s="513">
        <v>1854669</v>
      </c>
      <c r="C335" s="513" t="s">
        <v>17274</v>
      </c>
    </row>
    <row r="336" spans="1:3">
      <c r="A336" s="513" t="s">
        <v>17206</v>
      </c>
      <c r="B336" s="513">
        <v>1854669</v>
      </c>
      <c r="C336" s="513" t="s">
        <v>17206</v>
      </c>
    </row>
    <row r="337" spans="1:3">
      <c r="A337" s="513" t="s">
        <v>17516</v>
      </c>
      <c r="B337" s="513">
        <v>33196646</v>
      </c>
      <c r="C337" s="513" t="s">
        <v>17516</v>
      </c>
    </row>
    <row r="338" spans="1:3">
      <c r="A338" s="513" t="s">
        <v>17506</v>
      </c>
      <c r="B338" s="513">
        <v>33196646</v>
      </c>
      <c r="C338" s="513" t="s">
        <v>17506</v>
      </c>
    </row>
    <row r="339" spans="1:3">
      <c r="A339" s="513" t="s">
        <v>17711</v>
      </c>
      <c r="B339" s="513">
        <v>4313541</v>
      </c>
      <c r="C339" s="513" t="s">
        <v>17711</v>
      </c>
    </row>
    <row r="340" spans="1:3">
      <c r="A340" s="513" t="s">
        <v>17669</v>
      </c>
      <c r="B340" s="513">
        <v>4313541</v>
      </c>
      <c r="C340" s="513" t="s">
        <v>17669</v>
      </c>
    </row>
    <row r="341" spans="1:3">
      <c r="A341" s="513" t="s">
        <v>17398</v>
      </c>
      <c r="B341" s="513">
        <v>1202441</v>
      </c>
      <c r="C341" s="513" t="s">
        <v>17398</v>
      </c>
    </row>
    <row r="342" spans="1:3">
      <c r="A342" s="513" t="s">
        <v>18075</v>
      </c>
      <c r="B342" s="513">
        <v>1202441</v>
      </c>
      <c r="C342" s="513" t="s">
        <v>18075</v>
      </c>
    </row>
    <row r="343" spans="1:3">
      <c r="A343" s="513" t="s">
        <v>17873</v>
      </c>
      <c r="B343" s="513">
        <v>20613072</v>
      </c>
      <c r="C343" s="513" t="s">
        <v>17873</v>
      </c>
    </row>
    <row r="344" spans="1:3">
      <c r="A344" s="513" t="s">
        <v>18104</v>
      </c>
      <c r="B344" s="513">
        <v>20613072</v>
      </c>
      <c r="C344" s="513" t="s">
        <v>18104</v>
      </c>
    </row>
    <row r="345" spans="1:3">
      <c r="A345" s="513" t="s">
        <v>17783</v>
      </c>
      <c r="B345" s="513">
        <v>34412102</v>
      </c>
      <c r="C345" s="513" t="s">
        <v>17783</v>
      </c>
    </row>
    <row r="346" spans="1:3">
      <c r="A346" s="513" t="s">
        <v>18127</v>
      </c>
      <c r="B346" s="513">
        <v>2481445</v>
      </c>
      <c r="C346" s="513" t="s">
        <v>18127</v>
      </c>
    </row>
    <row r="347" spans="1:3">
      <c r="A347" s="513" t="s">
        <v>17894</v>
      </c>
      <c r="B347" s="513">
        <v>2481445</v>
      </c>
      <c r="C347" s="513" t="s">
        <v>17894</v>
      </c>
    </row>
    <row r="348" spans="1:3">
      <c r="A348" s="513" t="s">
        <v>18128</v>
      </c>
      <c r="B348" s="513">
        <v>835192</v>
      </c>
      <c r="C348" s="513" t="s">
        <v>18128</v>
      </c>
    </row>
    <row r="349" spans="1:3">
      <c r="A349" s="513" t="s">
        <v>17895</v>
      </c>
      <c r="B349" s="513">
        <v>835192</v>
      </c>
      <c r="C349" s="513" t="s">
        <v>17895</v>
      </c>
    </row>
    <row r="350" spans="1:3">
      <c r="A350" s="513" t="s">
        <v>17892</v>
      </c>
      <c r="B350" s="513">
        <v>108354</v>
      </c>
      <c r="C350" s="513" t="s">
        <v>17892</v>
      </c>
    </row>
    <row r="351" spans="1:3">
      <c r="A351" s="513" t="s">
        <v>18125</v>
      </c>
      <c r="B351" s="513">
        <v>108354</v>
      </c>
      <c r="C351" s="513" t="s">
        <v>18125</v>
      </c>
    </row>
    <row r="352" spans="1:3">
      <c r="A352" s="513" t="s">
        <v>18113</v>
      </c>
      <c r="B352" s="513">
        <v>1108484</v>
      </c>
      <c r="C352" s="513" t="s">
        <v>18113</v>
      </c>
    </row>
    <row r="353" spans="1:3">
      <c r="A353" s="513" t="s">
        <v>17864</v>
      </c>
      <c r="B353" s="513">
        <v>1108484</v>
      </c>
      <c r="C353" s="513" t="s">
        <v>17864</v>
      </c>
    </row>
    <row r="354" spans="1:3">
      <c r="A354" s="513" t="s">
        <v>18252</v>
      </c>
      <c r="B354" s="513">
        <v>160500</v>
      </c>
      <c r="C354" s="513" t="s">
        <v>18252</v>
      </c>
    </row>
    <row r="355" spans="1:3">
      <c r="A355" s="513" t="s">
        <v>18266</v>
      </c>
      <c r="B355" s="513">
        <v>160500</v>
      </c>
      <c r="C355" s="513" t="s">
        <v>18266</v>
      </c>
    </row>
    <row r="356" spans="1:3">
      <c r="A356" s="513" t="s">
        <v>18111</v>
      </c>
      <c r="B356" s="513">
        <v>70472</v>
      </c>
      <c r="C356" s="513" t="s">
        <v>18111</v>
      </c>
    </row>
    <row r="357" spans="1:3">
      <c r="A357" s="513" t="s">
        <v>17866</v>
      </c>
      <c r="B357" s="513">
        <v>70472</v>
      </c>
      <c r="C357" s="513" t="s">
        <v>17866</v>
      </c>
    </row>
    <row r="358" spans="1:3">
      <c r="A358" s="513" t="s">
        <v>18110</v>
      </c>
      <c r="B358" s="513">
        <v>1782466</v>
      </c>
      <c r="C358" s="513" t="s">
        <v>18110</v>
      </c>
    </row>
    <row r="359" spans="1:3">
      <c r="A359" s="513" t="s">
        <v>17867</v>
      </c>
      <c r="B359" s="513">
        <v>1782466</v>
      </c>
      <c r="C359" s="513" t="s">
        <v>17867</v>
      </c>
    </row>
    <row r="360" spans="1:3">
      <c r="A360" s="513" t="s">
        <v>18112</v>
      </c>
      <c r="B360" s="513">
        <v>1782467</v>
      </c>
      <c r="C360" s="513" t="s">
        <v>18112</v>
      </c>
    </row>
    <row r="361" spans="1:3">
      <c r="A361" s="513" t="s">
        <v>17865</v>
      </c>
      <c r="B361" s="513">
        <v>1782467</v>
      </c>
      <c r="C361" s="513" t="s">
        <v>17865</v>
      </c>
    </row>
    <row r="362" spans="1:3">
      <c r="A362" s="513" t="s">
        <v>17893</v>
      </c>
      <c r="B362" s="513">
        <v>318</v>
      </c>
      <c r="C362" s="513" t="s">
        <v>17893</v>
      </c>
    </row>
    <row r="363" spans="1:3">
      <c r="A363" s="513" t="s">
        <v>18126</v>
      </c>
      <c r="B363" s="513">
        <v>318</v>
      </c>
      <c r="C363" s="513" t="s">
        <v>18126</v>
      </c>
    </row>
    <row r="364" spans="1:3">
      <c r="A364" s="513" t="s">
        <v>17551</v>
      </c>
      <c r="B364" s="513">
        <v>1722333</v>
      </c>
      <c r="C364" s="513" t="s">
        <v>17551</v>
      </c>
    </row>
    <row r="365" spans="1:3">
      <c r="A365" s="513" t="s">
        <v>17564</v>
      </c>
      <c r="B365" s="513">
        <v>1722333</v>
      </c>
      <c r="C365" s="513" t="s">
        <v>17564</v>
      </c>
    </row>
    <row r="366" spans="1:3">
      <c r="A366" s="513" t="s">
        <v>17868</v>
      </c>
      <c r="B366" s="513">
        <v>682165</v>
      </c>
      <c r="C366" s="513" t="s">
        <v>17868</v>
      </c>
    </row>
    <row r="367" spans="1:3">
      <c r="A367" s="513" t="s">
        <v>18109</v>
      </c>
      <c r="B367" s="513">
        <v>682165</v>
      </c>
      <c r="C367" s="513" t="s">
        <v>18109</v>
      </c>
    </row>
    <row r="368" spans="1:3">
      <c r="A368" s="513" t="s">
        <v>18395</v>
      </c>
      <c r="B368" s="513">
        <v>405300</v>
      </c>
      <c r="C368" s="513" t="s">
        <v>18395</v>
      </c>
    </row>
    <row r="369" spans="1:3">
      <c r="A369" s="513" t="s">
        <v>17487</v>
      </c>
      <c r="B369" s="513">
        <v>405300</v>
      </c>
      <c r="C369" s="513" t="s">
        <v>17487</v>
      </c>
    </row>
    <row r="370" spans="1:3">
      <c r="A370" s="513" t="s">
        <v>18391</v>
      </c>
      <c r="B370" s="513">
        <v>984110</v>
      </c>
      <c r="C370" s="513" t="s">
        <v>18391</v>
      </c>
    </row>
    <row r="371" spans="1:3">
      <c r="A371" s="513" t="s">
        <v>17450</v>
      </c>
      <c r="B371" s="513">
        <v>984110</v>
      </c>
      <c r="C371" s="513" t="s">
        <v>17450</v>
      </c>
    </row>
    <row r="372" spans="1:3">
      <c r="A372" s="513" t="s">
        <v>18388</v>
      </c>
      <c r="B372" s="513">
        <v>8000</v>
      </c>
      <c r="C372" s="513" t="s">
        <v>18388</v>
      </c>
    </row>
    <row r="373" spans="1:3">
      <c r="A373" s="513" t="s">
        <v>17453</v>
      </c>
      <c r="B373" s="513">
        <v>8000</v>
      </c>
      <c r="C373" s="513" t="s">
        <v>17453</v>
      </c>
    </row>
    <row r="374" spans="1:3">
      <c r="A374" s="513" t="s">
        <v>17514</v>
      </c>
      <c r="B374" s="513">
        <v>15924840</v>
      </c>
      <c r="C374" s="513" t="s">
        <v>17514</v>
      </c>
    </row>
    <row r="375" spans="1:3">
      <c r="A375" s="513" t="s">
        <v>17504</v>
      </c>
      <c r="B375" s="513">
        <v>15924840</v>
      </c>
      <c r="C375" s="513" t="s">
        <v>17504</v>
      </c>
    </row>
    <row r="376" spans="1:3">
      <c r="A376" s="513" t="s">
        <v>18264</v>
      </c>
      <c r="B376" s="513">
        <v>1510000</v>
      </c>
      <c r="C376" s="513" t="s">
        <v>18264</v>
      </c>
    </row>
    <row r="377" spans="1:3">
      <c r="A377" s="513" t="s">
        <v>18250</v>
      </c>
      <c r="B377" s="513">
        <v>1510000</v>
      </c>
      <c r="C377" s="513" t="s">
        <v>18250</v>
      </c>
    </row>
    <row r="378" spans="1:3">
      <c r="A378" s="513" t="s">
        <v>18324</v>
      </c>
      <c r="B378" s="513">
        <v>463908</v>
      </c>
      <c r="C378" s="513" t="s">
        <v>18324</v>
      </c>
    </row>
    <row r="379" spans="1:3">
      <c r="A379" s="513" t="s">
        <v>17466</v>
      </c>
      <c r="B379" s="513">
        <v>3559937</v>
      </c>
      <c r="C379" s="513" t="s">
        <v>17466</v>
      </c>
    </row>
    <row r="380" spans="1:3">
      <c r="A380" s="513" t="s">
        <v>18329</v>
      </c>
      <c r="B380" s="513">
        <v>463908</v>
      </c>
      <c r="C380" s="513" t="s">
        <v>18329</v>
      </c>
    </row>
    <row r="381" spans="1:3">
      <c r="A381" s="513" t="s">
        <v>17444</v>
      </c>
      <c r="B381" s="513">
        <v>2269174</v>
      </c>
      <c r="C381" s="513" t="s">
        <v>17444</v>
      </c>
    </row>
    <row r="382" spans="1:3">
      <c r="A382" s="513" t="s">
        <v>17639</v>
      </c>
      <c r="B382" s="513">
        <v>2269174</v>
      </c>
      <c r="C382" s="513" t="s">
        <v>17639</v>
      </c>
    </row>
    <row r="383" spans="1:3">
      <c r="A383" s="513" t="s">
        <v>17587</v>
      </c>
      <c r="B383" s="513">
        <v>2269174</v>
      </c>
      <c r="C383" s="513" t="s">
        <v>17587</v>
      </c>
    </row>
    <row r="384" spans="1:3">
      <c r="A384" s="513" t="s">
        <v>18332</v>
      </c>
      <c r="B384" s="513">
        <v>3096029</v>
      </c>
      <c r="C384" s="513" t="s">
        <v>18332</v>
      </c>
    </row>
    <row r="385" spans="1:3">
      <c r="A385" s="513" t="s">
        <v>18327</v>
      </c>
      <c r="B385" s="513">
        <v>3096029</v>
      </c>
      <c r="C385" s="513" t="s">
        <v>18327</v>
      </c>
    </row>
    <row r="386" spans="1:3">
      <c r="A386" s="513" t="s">
        <v>18115</v>
      </c>
      <c r="B386" s="513">
        <v>4911667</v>
      </c>
      <c r="C386" s="513" t="s">
        <v>18115</v>
      </c>
    </row>
    <row r="387" spans="1:3">
      <c r="A387" s="513" t="s">
        <v>17862</v>
      </c>
      <c r="B387" s="513">
        <v>4911667</v>
      </c>
      <c r="C387" s="513" t="s">
        <v>17862</v>
      </c>
    </row>
    <row r="388" spans="1:3">
      <c r="A388" s="513" t="s">
        <v>17372</v>
      </c>
      <c r="B388" s="513">
        <v>71571130</v>
      </c>
      <c r="C388" s="513" t="s">
        <v>17372</v>
      </c>
    </row>
    <row r="389" spans="1:3">
      <c r="A389" s="513" t="s">
        <v>18040</v>
      </c>
      <c r="B389" s="513">
        <v>71571130</v>
      </c>
      <c r="C389" s="513" t="s">
        <v>18040</v>
      </c>
    </row>
    <row r="390" spans="1:3">
      <c r="A390" s="513" t="s">
        <v>18034</v>
      </c>
      <c r="B390" s="513">
        <v>71571130</v>
      </c>
      <c r="C390" s="513" t="s">
        <v>18034</v>
      </c>
    </row>
    <row r="391" spans="1:3">
      <c r="A391" s="513" t="s">
        <v>17402</v>
      </c>
      <c r="B391" s="513">
        <v>3247041</v>
      </c>
      <c r="C391" s="513" t="s">
        <v>17402</v>
      </c>
    </row>
    <row r="392" spans="1:3">
      <c r="A392" s="513" t="s">
        <v>18073</v>
      </c>
      <c r="B392" s="513">
        <v>3247041</v>
      </c>
      <c r="C392" s="513" t="s">
        <v>18073</v>
      </c>
    </row>
    <row r="393" spans="1:3">
      <c r="A393" s="513" t="s">
        <v>17709</v>
      </c>
      <c r="B393" s="513">
        <v>181000</v>
      </c>
      <c r="C393" s="513" t="s">
        <v>17709</v>
      </c>
    </row>
    <row r="394" spans="1:3">
      <c r="A394" s="513" t="s">
        <v>17663</v>
      </c>
      <c r="B394" s="513">
        <v>181000</v>
      </c>
      <c r="C394" s="513" t="s">
        <v>17663</v>
      </c>
    </row>
    <row r="395" spans="1:3">
      <c r="A395" s="513" t="s">
        <v>18106</v>
      </c>
      <c r="B395" s="513">
        <v>36000</v>
      </c>
      <c r="C395" s="513" t="s">
        <v>18106</v>
      </c>
    </row>
    <row r="396" spans="1:3">
      <c r="A396" s="513" t="s">
        <v>17871</v>
      </c>
      <c r="B396" s="513">
        <v>36000</v>
      </c>
      <c r="C396" s="513" t="s">
        <v>17871</v>
      </c>
    </row>
    <row r="397" spans="1:3">
      <c r="A397" s="513" t="s">
        <v>17558</v>
      </c>
      <c r="B397" s="513">
        <v>3306478</v>
      </c>
      <c r="C397" s="513" t="s">
        <v>17558</v>
      </c>
    </row>
    <row r="398" spans="1:3">
      <c r="A398" s="513" t="s">
        <v>17571</v>
      </c>
      <c r="B398" s="513">
        <v>3306478</v>
      </c>
      <c r="C398" s="513" t="s">
        <v>17571</v>
      </c>
    </row>
    <row r="399" spans="1:3">
      <c r="A399" s="513" t="s">
        <v>17693</v>
      </c>
      <c r="B399" s="513">
        <v>1275300</v>
      </c>
      <c r="C399" s="513" t="s">
        <v>17693</v>
      </c>
    </row>
    <row r="400" spans="1:3">
      <c r="A400" s="513" t="s">
        <v>17713</v>
      </c>
      <c r="B400" s="513">
        <v>1275300</v>
      </c>
      <c r="C400" s="513" t="s">
        <v>17713</v>
      </c>
    </row>
    <row r="401" spans="1:3">
      <c r="A401" s="513" t="s">
        <v>18501</v>
      </c>
      <c r="B401" s="513">
        <v>106416</v>
      </c>
      <c r="C401" s="513" t="s">
        <v>18501</v>
      </c>
    </row>
    <row r="402" spans="1:3">
      <c r="A402" s="513" t="s">
        <v>18421</v>
      </c>
      <c r="B402" s="513">
        <v>106416</v>
      </c>
      <c r="C402" s="513" t="s">
        <v>18421</v>
      </c>
    </row>
    <row r="403" spans="1:3">
      <c r="A403" s="513" t="s">
        <v>18487</v>
      </c>
      <c r="B403" s="513">
        <v>106416</v>
      </c>
      <c r="C403" s="513" t="s">
        <v>18487</v>
      </c>
    </row>
    <row r="404" spans="1:3">
      <c r="A404" s="513" t="s">
        <v>18156</v>
      </c>
      <c r="B404" s="513">
        <v>23200000</v>
      </c>
      <c r="C404" s="513" t="s">
        <v>18156</v>
      </c>
    </row>
    <row r="405" spans="1:3">
      <c r="A405" s="513" t="s">
        <v>17494</v>
      </c>
      <c r="B405" s="513">
        <v>23200000</v>
      </c>
      <c r="C405" s="513" t="s">
        <v>17494</v>
      </c>
    </row>
    <row r="406" spans="1:3">
      <c r="A406" s="513" t="s">
        <v>18146</v>
      </c>
      <c r="B406" s="513">
        <v>23200000</v>
      </c>
      <c r="C406" s="513" t="s">
        <v>18146</v>
      </c>
    </row>
    <row r="407" spans="1:3">
      <c r="A407" s="513" t="s">
        <v>14875</v>
      </c>
      <c r="B407" s="513">
        <v>580289</v>
      </c>
      <c r="C407" s="513" t="s">
        <v>14875</v>
      </c>
    </row>
    <row r="408" spans="1:3">
      <c r="A408" s="513" t="s">
        <v>17140</v>
      </c>
      <c r="B408" s="513">
        <v>580289</v>
      </c>
      <c r="C408" s="513" t="s">
        <v>17140</v>
      </c>
    </row>
    <row r="409" spans="1:3">
      <c r="A409" s="513" t="s">
        <v>18218</v>
      </c>
      <c r="B409" s="513">
        <v>172000</v>
      </c>
      <c r="C409" s="513" t="s">
        <v>18218</v>
      </c>
    </row>
    <row r="410" spans="1:3">
      <c r="A410" s="513" t="s">
        <v>17492</v>
      </c>
      <c r="B410" s="513">
        <v>172000</v>
      </c>
      <c r="C410" s="513" t="s">
        <v>17492</v>
      </c>
    </row>
    <row r="411" spans="1:3">
      <c r="A411" s="513" t="s">
        <v>18231</v>
      </c>
      <c r="B411" s="513">
        <v>172000</v>
      </c>
      <c r="C411" s="513" t="s">
        <v>18231</v>
      </c>
    </row>
    <row r="412" spans="1:3">
      <c r="A412" s="513" t="s">
        <v>18201</v>
      </c>
      <c r="B412" s="513">
        <v>1098187</v>
      </c>
      <c r="C412" s="513" t="s">
        <v>18201</v>
      </c>
    </row>
    <row r="413" spans="1:3">
      <c r="A413" s="513" t="s">
        <v>18197</v>
      </c>
      <c r="B413" s="513">
        <v>1098187</v>
      </c>
      <c r="C413" s="513" t="s">
        <v>18197</v>
      </c>
    </row>
    <row r="414" spans="1:3">
      <c r="A414" s="513" t="s">
        <v>17493</v>
      </c>
      <c r="B414" s="513">
        <v>1098187</v>
      </c>
      <c r="C414" s="513" t="s">
        <v>17493</v>
      </c>
    </row>
    <row r="415" spans="1:3">
      <c r="A415" s="513" t="s">
        <v>17681</v>
      </c>
      <c r="B415" s="513">
        <v>30903465</v>
      </c>
      <c r="C415" s="513" t="s">
        <v>17681</v>
      </c>
    </row>
    <row r="416" spans="1:3">
      <c r="A416" s="513" t="s">
        <v>17659</v>
      </c>
      <c r="B416" s="513">
        <v>30903465</v>
      </c>
      <c r="C416" s="513" t="s">
        <v>17659</v>
      </c>
    </row>
    <row r="417" spans="1:3">
      <c r="A417" s="513" t="s">
        <v>17483</v>
      </c>
      <c r="B417" s="513">
        <v>195850</v>
      </c>
      <c r="C417" s="513" t="s">
        <v>17483</v>
      </c>
    </row>
    <row r="418" spans="1:3">
      <c r="A418" s="513" t="s">
        <v>18399</v>
      </c>
      <c r="B418" s="513">
        <v>195850</v>
      </c>
      <c r="C418" s="513" t="s">
        <v>18399</v>
      </c>
    </row>
    <row r="419" spans="1:3">
      <c r="A419" s="513" t="s">
        <v>17105</v>
      </c>
      <c r="B419" s="513">
        <v>17091275</v>
      </c>
      <c r="C419" s="513" t="s">
        <v>17105</v>
      </c>
    </row>
    <row r="420" spans="1:3">
      <c r="A420" s="513" t="s">
        <v>17288</v>
      </c>
      <c r="B420" s="513">
        <v>17091275</v>
      </c>
      <c r="C420" s="513" t="s">
        <v>17288</v>
      </c>
    </row>
    <row r="421" spans="1:3">
      <c r="A421" s="513" t="s">
        <v>17114</v>
      </c>
      <c r="B421" s="513">
        <v>17091275</v>
      </c>
      <c r="C421" s="513" t="s">
        <v>17114</v>
      </c>
    </row>
    <row r="422" spans="1:3">
      <c r="A422" s="513" t="s">
        <v>17518</v>
      </c>
      <c r="B422" s="513">
        <v>266344793</v>
      </c>
      <c r="C422" s="513" t="s">
        <v>17518</v>
      </c>
    </row>
    <row r="423" spans="1:3">
      <c r="A423" s="513" t="s">
        <v>17508</v>
      </c>
      <c r="B423" s="513">
        <v>266344793</v>
      </c>
      <c r="C423" s="513" t="s">
        <v>17508</v>
      </c>
    </row>
    <row r="424" spans="1:3">
      <c r="A424" s="513" t="s">
        <v>1930</v>
      </c>
      <c r="B424" s="513">
        <v>1707518455</v>
      </c>
      <c r="C424" s="513" t="s">
        <v>1930</v>
      </c>
    </row>
    <row r="425" spans="1:3">
      <c r="A425" s="513" t="s">
        <v>1977</v>
      </c>
      <c r="B425" s="513">
        <v>-5069716059</v>
      </c>
      <c r="C425" s="513" t="s">
        <v>1977</v>
      </c>
    </row>
    <row r="426" spans="1:3">
      <c r="A426" s="513" t="s">
        <v>1931</v>
      </c>
      <c r="B426" s="513">
        <v>30884314</v>
      </c>
      <c r="C426" s="513" t="s">
        <v>1931</v>
      </c>
    </row>
    <row r="427" spans="1:3">
      <c r="A427" s="513" t="s">
        <v>1972</v>
      </c>
      <c r="B427" s="513">
        <v>548710486</v>
      </c>
      <c r="C427" s="513" t="s">
        <v>1972</v>
      </c>
    </row>
    <row r="428" spans="1:3">
      <c r="A428" s="513" t="s">
        <v>1835</v>
      </c>
      <c r="B428" s="513">
        <v>54540014</v>
      </c>
      <c r="C428" s="513" t="s">
        <v>1835</v>
      </c>
    </row>
    <row r="429" spans="1:3">
      <c r="A429" s="513" t="s">
        <v>1621</v>
      </c>
      <c r="B429" s="513">
        <v>311106595</v>
      </c>
      <c r="C429" s="513" t="s">
        <v>1621</v>
      </c>
    </row>
    <row r="430" spans="1:3">
      <c r="A430" s="513" t="s">
        <v>1994</v>
      </c>
      <c r="B430" s="513">
        <v>-4882286864</v>
      </c>
      <c r="C430" s="513" t="s">
        <v>1994</v>
      </c>
    </row>
    <row r="431" spans="1:3">
      <c r="A431" s="513" t="s">
        <v>1950</v>
      </c>
      <c r="B431" s="513">
        <v>5741954</v>
      </c>
      <c r="C431" s="513" t="s">
        <v>1950</v>
      </c>
    </row>
    <row r="432" spans="1:3">
      <c r="A432" s="513" t="s">
        <v>1892</v>
      </c>
      <c r="B432" s="513">
        <v>151811000</v>
      </c>
      <c r="C432" s="513" t="s">
        <v>1892</v>
      </c>
    </row>
    <row r="433" spans="1:3">
      <c r="A433" s="513" t="s">
        <v>1676</v>
      </c>
      <c r="B433" s="513">
        <v>272529966</v>
      </c>
      <c r="C433" s="513" t="s">
        <v>1676</v>
      </c>
    </row>
    <row r="434" spans="1:3">
      <c r="A434" s="513" t="s">
        <v>20413</v>
      </c>
      <c r="B434" s="513">
        <v>0</v>
      </c>
      <c r="C434" s="513"/>
    </row>
    <row r="435" spans="1:3">
      <c r="A435" s="513" t="s">
        <v>20416</v>
      </c>
      <c r="B435" s="513">
        <v>0</v>
      </c>
      <c r="C435" s="513"/>
    </row>
    <row r="436" spans="1:3">
      <c r="A436" s="513" t="s">
        <v>20418</v>
      </c>
      <c r="B436" s="513">
        <v>0</v>
      </c>
      <c r="C436" s="513"/>
    </row>
    <row r="437" spans="1:3">
      <c r="A437" s="513" t="s">
        <v>20751</v>
      </c>
      <c r="B437" s="513">
        <v>0</v>
      </c>
      <c r="C437" s="513"/>
    </row>
    <row r="438" spans="1:3">
      <c r="A438" s="513" t="s">
        <v>20419</v>
      </c>
      <c r="B438" s="513">
        <v>0</v>
      </c>
      <c r="C438" s="513"/>
    </row>
    <row r="439" spans="1:3">
      <c r="A439" s="513" t="s">
        <v>20414</v>
      </c>
      <c r="B439" s="513">
        <v>0</v>
      </c>
      <c r="C439" s="513"/>
    </row>
    <row r="440" spans="1:3">
      <c r="A440" s="513" t="s">
        <v>20427</v>
      </c>
      <c r="B440" s="513">
        <v>0</v>
      </c>
      <c r="C440" s="513"/>
    </row>
    <row r="441" spans="1:3">
      <c r="A441" s="513" t="s">
        <v>20425</v>
      </c>
      <c r="B441" s="513">
        <v>0</v>
      </c>
      <c r="C441" s="513"/>
    </row>
    <row r="442" spans="1:3">
      <c r="A442" s="513" t="s">
        <v>20426</v>
      </c>
      <c r="B442" s="513">
        <v>0</v>
      </c>
      <c r="C442" s="513"/>
    </row>
    <row r="443" spans="1:3">
      <c r="A443" s="513" t="s">
        <v>20423</v>
      </c>
      <c r="B443" s="513">
        <v>0</v>
      </c>
      <c r="C443" s="513"/>
    </row>
    <row r="444" spans="1:3">
      <c r="A444" s="513" t="s">
        <v>20420</v>
      </c>
      <c r="B444" s="513">
        <v>0</v>
      </c>
      <c r="C444" s="513"/>
    </row>
    <row r="445" spans="1:3">
      <c r="A445" s="513" t="s">
        <v>20749</v>
      </c>
      <c r="B445" s="513">
        <v>0</v>
      </c>
      <c r="C445" s="513"/>
    </row>
    <row r="446" spans="1:3">
      <c r="A446" s="513" t="s">
        <v>20750</v>
      </c>
      <c r="B446" s="513">
        <v>0</v>
      </c>
      <c r="C446" s="513"/>
    </row>
    <row r="447" spans="1:3">
      <c r="A447" s="513" t="s">
        <v>20428</v>
      </c>
      <c r="B447" s="513">
        <v>0</v>
      </c>
      <c r="C447" s="513"/>
    </row>
    <row r="448" spans="1:3">
      <c r="A448" s="513" t="s">
        <v>20422</v>
      </c>
      <c r="B448" s="513">
        <v>0</v>
      </c>
      <c r="C448" s="513"/>
    </row>
    <row r="449" spans="1:3">
      <c r="A449" s="513" t="s">
        <v>20424</v>
      </c>
      <c r="B449" s="513">
        <v>0</v>
      </c>
      <c r="C449" s="513"/>
    </row>
    <row r="450" spans="1:3">
      <c r="A450" s="513" t="s">
        <v>20757</v>
      </c>
      <c r="B450" s="513">
        <v>0</v>
      </c>
      <c r="C450" s="513"/>
    </row>
    <row r="451" spans="1:3">
      <c r="A451" s="513" t="s">
        <v>20417</v>
      </c>
      <c r="B451" s="513">
        <v>0</v>
      </c>
      <c r="C451" s="513"/>
    </row>
    <row r="452" spans="1:3">
      <c r="A452" s="513" t="s">
        <v>1737</v>
      </c>
      <c r="B452" s="513">
        <v>1086250642</v>
      </c>
      <c r="C452" s="513" t="s">
        <v>1737</v>
      </c>
    </row>
    <row r="453" spans="1:3">
      <c r="A453" s="513" t="s">
        <v>14947</v>
      </c>
      <c r="B453" s="513">
        <v>145406833</v>
      </c>
      <c r="C453" s="513" t="s">
        <v>14947</v>
      </c>
    </row>
    <row r="454" spans="1:3">
      <c r="A454" s="513" t="s">
        <v>1764</v>
      </c>
      <c r="B454" s="513">
        <v>-506333200</v>
      </c>
      <c r="C454" s="513" t="s">
        <v>1764</v>
      </c>
    </row>
    <row r="455" spans="1:3">
      <c r="A455" s="513" t="s">
        <v>1884</v>
      </c>
      <c r="B455" s="513">
        <v>51193440</v>
      </c>
      <c r="C455" s="513" t="s">
        <v>1884</v>
      </c>
    </row>
    <row r="456" spans="1:3">
      <c r="A456" s="513" t="s">
        <v>1762</v>
      </c>
      <c r="B456" s="513">
        <v>-21237635</v>
      </c>
      <c r="C456" s="513" t="s">
        <v>1762</v>
      </c>
    </row>
    <row r="457" spans="1:3">
      <c r="A457" s="513" t="s">
        <v>1732</v>
      </c>
      <c r="B457" s="513">
        <v>17620019</v>
      </c>
      <c r="C457" s="513" t="s">
        <v>1732</v>
      </c>
    </row>
    <row r="458" spans="1:3">
      <c r="A458" s="513" t="s">
        <v>14948</v>
      </c>
      <c r="B458" s="513">
        <v>4047107</v>
      </c>
      <c r="C458" s="513" t="s">
        <v>14948</v>
      </c>
    </row>
    <row r="459" spans="1:3">
      <c r="A459" s="513" t="s">
        <v>41</v>
      </c>
      <c r="B459" s="513">
        <v>393975202</v>
      </c>
      <c r="C459" s="513" t="s">
        <v>41</v>
      </c>
    </row>
    <row r="460" spans="1:3">
      <c r="A460" s="513" t="s">
        <v>15000</v>
      </c>
      <c r="B460" s="513">
        <v>126121162</v>
      </c>
      <c r="C460" s="513" t="s">
        <v>15000</v>
      </c>
    </row>
    <row r="461" spans="1:3">
      <c r="A461" s="513" t="s">
        <v>14987</v>
      </c>
      <c r="B461" s="513">
        <v>-66655024</v>
      </c>
      <c r="C461" s="513" t="s">
        <v>14987</v>
      </c>
    </row>
    <row r="462" spans="1:3">
      <c r="A462" s="513" t="s">
        <v>1766</v>
      </c>
      <c r="B462" s="513">
        <v>-7825586</v>
      </c>
      <c r="C462" s="513" t="s">
        <v>1766</v>
      </c>
    </row>
    <row r="463" spans="1:3">
      <c r="A463" s="513" t="s">
        <v>1741</v>
      </c>
      <c r="B463" s="513">
        <v>104341150</v>
      </c>
      <c r="C463" s="513" t="s">
        <v>1741</v>
      </c>
    </row>
    <row r="464" spans="1:3">
      <c r="A464" s="513" t="s">
        <v>1787</v>
      </c>
      <c r="B464" s="513">
        <v>59846843</v>
      </c>
      <c r="C464" s="513" t="s">
        <v>1787</v>
      </c>
    </row>
    <row r="465" spans="1:3">
      <c r="A465" s="513" t="s">
        <v>15001</v>
      </c>
      <c r="B465" s="513">
        <v>38935544</v>
      </c>
      <c r="C465" s="513" t="s">
        <v>15001</v>
      </c>
    </row>
    <row r="466" spans="1:3">
      <c r="A466" s="513" t="s">
        <v>42</v>
      </c>
      <c r="B466" s="513">
        <v>15960000</v>
      </c>
      <c r="C466" s="513" t="s">
        <v>42</v>
      </c>
    </row>
    <row r="467" spans="1:3">
      <c r="A467" s="513" t="s">
        <v>1639</v>
      </c>
      <c r="B467" s="513">
        <v>158825072</v>
      </c>
      <c r="C467" s="513" t="s">
        <v>1639</v>
      </c>
    </row>
    <row r="468" spans="1:3">
      <c r="A468" s="513" t="s">
        <v>1640</v>
      </c>
      <c r="B468" s="513">
        <v>158825072</v>
      </c>
      <c r="C468" s="513" t="s">
        <v>1640</v>
      </c>
    </row>
    <row r="469" spans="1:3">
      <c r="A469" s="513" t="s">
        <v>15078</v>
      </c>
      <c r="B469" s="513">
        <v>0</v>
      </c>
      <c r="C469" s="513" t="s">
        <v>15078</v>
      </c>
    </row>
    <row r="470" spans="1:3">
      <c r="A470" s="513" t="s">
        <v>1939</v>
      </c>
      <c r="B470" s="513">
        <v>5594300000</v>
      </c>
      <c r="C470" s="513" t="s">
        <v>1939</v>
      </c>
    </row>
    <row r="471" spans="1:3">
      <c r="A471" s="513" t="s">
        <v>693</v>
      </c>
      <c r="B471" s="513">
        <v>1243074</v>
      </c>
      <c r="C471" s="513" t="s">
        <v>693</v>
      </c>
    </row>
    <row r="472" spans="1:3">
      <c r="A472" s="513" t="s">
        <v>43</v>
      </c>
      <c r="B472" s="513">
        <v>1243074</v>
      </c>
      <c r="C472" s="513" t="s">
        <v>43</v>
      </c>
    </row>
    <row r="473" spans="1:3">
      <c r="A473" s="513" t="s">
        <v>634</v>
      </c>
      <c r="B473" s="513">
        <v>21846619</v>
      </c>
      <c r="C473" s="513" t="s">
        <v>634</v>
      </c>
    </row>
    <row r="474" spans="1:3">
      <c r="A474" s="513" t="s">
        <v>1944</v>
      </c>
      <c r="B474" s="513">
        <v>597597760</v>
      </c>
      <c r="C474" s="513" t="s">
        <v>1944</v>
      </c>
    </row>
    <row r="475" spans="1:3">
      <c r="A475" s="513" t="s">
        <v>15365</v>
      </c>
      <c r="B475" s="513">
        <v>5741954</v>
      </c>
      <c r="C475" s="513" t="s">
        <v>15365</v>
      </c>
    </row>
    <row r="476" spans="1:3">
      <c r="A476" s="513" t="s">
        <v>20027</v>
      </c>
      <c r="B476" s="513">
        <v>5741954</v>
      </c>
      <c r="C476" s="513"/>
    </row>
    <row r="477" spans="1:3">
      <c r="A477" s="513" t="s">
        <v>20031</v>
      </c>
      <c r="B477" s="513">
        <v>5741954</v>
      </c>
      <c r="C477" s="513"/>
    </row>
    <row r="478" spans="1:3">
      <c r="A478" s="513" t="s">
        <v>20033</v>
      </c>
      <c r="B478" s="513">
        <v>5741954</v>
      </c>
      <c r="C478" s="513"/>
    </row>
    <row r="479" spans="1:3">
      <c r="A479" s="513" t="s">
        <v>20076</v>
      </c>
      <c r="B479" s="513">
        <v>-54468137</v>
      </c>
      <c r="C479" s="513"/>
    </row>
    <row r="480" spans="1:3">
      <c r="A480" s="513" t="s">
        <v>20023</v>
      </c>
      <c r="B480" s="513">
        <v>36496698</v>
      </c>
      <c r="C480" s="513"/>
    </row>
    <row r="481" spans="1:3">
      <c r="A481" s="513" t="s">
        <v>20068</v>
      </c>
      <c r="B481" s="513">
        <v>148500436</v>
      </c>
      <c r="C481" s="513"/>
    </row>
    <row r="482" spans="1:3">
      <c r="A482" s="513" t="s">
        <v>19520</v>
      </c>
      <c r="B482" s="513">
        <v>9694986</v>
      </c>
      <c r="C482" s="513"/>
    </row>
    <row r="483" spans="1:3">
      <c r="A483" s="513" t="s">
        <v>19543</v>
      </c>
      <c r="B483" s="513">
        <v>146431887</v>
      </c>
      <c r="C483" s="513"/>
    </row>
    <row r="484" spans="1:3">
      <c r="A484" s="513" t="s">
        <v>20024</v>
      </c>
      <c r="B484" s="513">
        <v>531179393</v>
      </c>
      <c r="C484" s="513"/>
    </row>
    <row r="485" spans="1:3">
      <c r="A485" s="513" t="s">
        <v>19507</v>
      </c>
      <c r="B485" s="513">
        <v>884314000</v>
      </c>
      <c r="C485" s="513"/>
    </row>
    <row r="486" spans="1:3">
      <c r="A486" s="513" t="s">
        <v>19508</v>
      </c>
      <c r="B486" s="513">
        <v>4079600000</v>
      </c>
      <c r="C486" s="513"/>
    </row>
    <row r="487" spans="1:3">
      <c r="A487" s="513" t="s">
        <v>19509</v>
      </c>
      <c r="B487" s="513">
        <v>-5953145745</v>
      </c>
      <c r="C487" s="513"/>
    </row>
    <row r="488" spans="1:3">
      <c r="A488" s="513" t="s">
        <v>20124</v>
      </c>
      <c r="B488" s="513">
        <v>131417973</v>
      </c>
      <c r="C488" s="513"/>
    </row>
    <row r="489" spans="1:3">
      <c r="A489" s="513" t="s">
        <v>20135</v>
      </c>
      <c r="B489" s="513">
        <v>131417973</v>
      </c>
      <c r="C489" s="513"/>
    </row>
    <row r="490" spans="1:3">
      <c r="A490" s="513" t="s">
        <v>19510</v>
      </c>
      <c r="B490" s="513">
        <v>49423014</v>
      </c>
      <c r="C490" s="513"/>
    </row>
    <row r="491" spans="1:3">
      <c r="A491" s="513" t="s">
        <v>19489</v>
      </c>
      <c r="B491" s="513">
        <v>548710486</v>
      </c>
      <c r="C491" s="513"/>
    </row>
    <row r="492" spans="1:3">
      <c r="A492" s="513" t="s">
        <v>19488</v>
      </c>
      <c r="B492" s="513">
        <v>-5069716059</v>
      </c>
      <c r="C492" s="513"/>
    </row>
    <row r="493" spans="1:3">
      <c r="A493" s="513" t="s">
        <v>20069</v>
      </c>
      <c r="B493" s="513">
        <v>174109631</v>
      </c>
      <c r="C493" s="513"/>
    </row>
    <row r="494" spans="1:3">
      <c r="A494" s="513" t="s">
        <v>20434</v>
      </c>
      <c r="B494" s="513">
        <v>1986909528</v>
      </c>
      <c r="C494" s="513"/>
    </row>
    <row r="495" spans="1:3">
      <c r="A495" s="513" t="s">
        <v>20435</v>
      </c>
      <c r="B495" s="513">
        <v>1986909528</v>
      </c>
      <c r="C495" s="513"/>
    </row>
    <row r="496" spans="1:3">
      <c r="A496" s="513" t="s">
        <v>20436</v>
      </c>
      <c r="B496" s="513">
        <v>1986909528</v>
      </c>
      <c r="C496" s="513"/>
    </row>
    <row r="497" spans="1:3">
      <c r="A497" s="513" t="s">
        <v>20437</v>
      </c>
      <c r="B497" s="513">
        <v>1986909528</v>
      </c>
      <c r="C497" s="513"/>
    </row>
    <row r="498" spans="1:3">
      <c r="A498" s="513" t="s">
        <v>20438</v>
      </c>
      <c r="B498" s="513">
        <v>1986909528</v>
      </c>
      <c r="C498" s="513"/>
    </row>
    <row r="499" spans="1:3">
      <c r="A499" s="513" t="s">
        <v>20439</v>
      </c>
      <c r="B499" s="513">
        <v>3973819056</v>
      </c>
      <c r="C499" s="513"/>
    </row>
    <row r="500" spans="1:3">
      <c r="A500" s="513" t="s">
        <v>19558</v>
      </c>
      <c r="B500" s="513">
        <v>74194076</v>
      </c>
      <c r="C500" s="513"/>
    </row>
    <row r="501" spans="1:3">
      <c r="A501" s="513" t="s">
        <v>19549</v>
      </c>
      <c r="B501" s="513">
        <v>74194076</v>
      </c>
      <c r="C501" s="513"/>
    </row>
    <row r="502" spans="1:3">
      <c r="A502" s="513" t="s">
        <v>20440</v>
      </c>
      <c r="B502" s="513">
        <v>279391073</v>
      </c>
      <c r="C502" s="513"/>
    </row>
    <row r="503" spans="1:3">
      <c r="A503" s="513" t="s">
        <v>20441</v>
      </c>
      <c r="B503" s="513">
        <v>279391073</v>
      </c>
      <c r="C503" s="513"/>
    </row>
    <row r="504" spans="1:3">
      <c r="A504" s="513" t="s">
        <v>20442</v>
      </c>
      <c r="B504" s="513">
        <v>279391073</v>
      </c>
      <c r="C504" s="513"/>
    </row>
    <row r="505" spans="1:3">
      <c r="A505" s="513" t="s">
        <v>20443</v>
      </c>
      <c r="B505" s="513">
        <v>279391073</v>
      </c>
      <c r="C505" s="513"/>
    </row>
    <row r="506" spans="1:3">
      <c r="A506" s="513" t="s">
        <v>20444</v>
      </c>
      <c r="B506" s="513">
        <v>279391073</v>
      </c>
      <c r="C506" s="513"/>
    </row>
    <row r="507" spans="1:3">
      <c r="A507" s="513" t="s">
        <v>20445</v>
      </c>
      <c r="B507" s="513">
        <v>558782146</v>
      </c>
      <c r="C507" s="513"/>
    </row>
    <row r="508" spans="1:3">
      <c r="A508" s="513" t="s">
        <v>19546</v>
      </c>
      <c r="B508" s="513">
        <v>681922043</v>
      </c>
      <c r="C508" s="513"/>
    </row>
    <row r="509" spans="1:3">
      <c r="A509" s="513" t="s">
        <v>19504</v>
      </c>
      <c r="B509" s="513">
        <v>311106595</v>
      </c>
      <c r="C509" s="513"/>
    </row>
    <row r="510" spans="1:3">
      <c r="A510" s="513" t="s">
        <v>19518</v>
      </c>
      <c r="B510" s="513">
        <v>120230960</v>
      </c>
      <c r="C510" s="513"/>
    </row>
    <row r="511" spans="1:3">
      <c r="A511" s="513" t="s">
        <v>19494</v>
      </c>
      <c r="B511" s="513">
        <v>54540014</v>
      </c>
      <c r="C511" s="513"/>
    </row>
    <row r="512" spans="1:3">
      <c r="A512" s="513" t="s">
        <v>19562</v>
      </c>
      <c r="B512" s="513">
        <v>7287196</v>
      </c>
      <c r="C512" s="513"/>
    </row>
    <row r="513" spans="1:3">
      <c r="A513" s="513" t="s">
        <v>19548</v>
      </c>
      <c r="B513" s="513">
        <v>7287196</v>
      </c>
      <c r="C513" s="513"/>
    </row>
    <row r="514" spans="1:3">
      <c r="A514" s="513" t="s">
        <v>19511</v>
      </c>
      <c r="B514" s="513">
        <v>49423014</v>
      </c>
      <c r="C514" s="513"/>
    </row>
    <row r="515" spans="1:3">
      <c r="A515" s="513" t="s">
        <v>19499</v>
      </c>
      <c r="B515" s="513">
        <v>771217072</v>
      </c>
      <c r="C515" s="513"/>
    </row>
    <row r="516" spans="1:3">
      <c r="A516" s="513" t="s">
        <v>20446</v>
      </c>
      <c r="B516" s="513">
        <v>548710486</v>
      </c>
      <c r="C516" s="513"/>
    </row>
    <row r="517" spans="1:3">
      <c r="A517" s="513" t="s">
        <v>20447</v>
      </c>
      <c r="B517" s="513">
        <v>548710486</v>
      </c>
      <c r="C517" s="513"/>
    </row>
    <row r="518" spans="1:3">
      <c r="A518" s="513" t="s">
        <v>20448</v>
      </c>
      <c r="B518" s="513">
        <v>548710486</v>
      </c>
      <c r="C518" s="513"/>
    </row>
    <row r="519" spans="1:3">
      <c r="A519" s="513" t="s">
        <v>20449</v>
      </c>
      <c r="B519" s="513">
        <v>548710486</v>
      </c>
      <c r="C519" s="513"/>
    </row>
    <row r="520" spans="1:3">
      <c r="A520" s="513" t="s">
        <v>20450</v>
      </c>
      <c r="B520" s="513">
        <v>548710486</v>
      </c>
      <c r="C520" s="513"/>
    </row>
    <row r="521" spans="1:3">
      <c r="A521" s="513" t="s">
        <v>20451</v>
      </c>
      <c r="B521" s="513">
        <v>548710486</v>
      </c>
      <c r="C521" s="513"/>
    </row>
    <row r="522" spans="1:3">
      <c r="A522" s="513" t="s">
        <v>20452</v>
      </c>
      <c r="B522" s="513">
        <v>548710486</v>
      </c>
      <c r="C522" s="513"/>
    </row>
    <row r="523" spans="1:3">
      <c r="A523" s="513" t="s">
        <v>20453</v>
      </c>
      <c r="B523" s="513">
        <v>548710486</v>
      </c>
      <c r="C523" s="513"/>
    </row>
    <row r="524" spans="1:3">
      <c r="A524" s="513" t="s">
        <v>20454</v>
      </c>
      <c r="B524" s="513">
        <v>548710486</v>
      </c>
      <c r="C524" s="513"/>
    </row>
    <row r="525" spans="1:3">
      <c r="A525" s="513" t="s">
        <v>20455</v>
      </c>
      <c r="B525" s="513">
        <v>548710486</v>
      </c>
      <c r="C525" s="513"/>
    </row>
    <row r="526" spans="1:3">
      <c r="A526" s="513" t="s">
        <v>19491</v>
      </c>
      <c r="B526" s="513">
        <v>30884314</v>
      </c>
      <c r="C526" s="513"/>
    </row>
    <row r="527" spans="1:3">
      <c r="A527" s="513" t="s">
        <v>19555</v>
      </c>
      <c r="B527" s="513">
        <v>595740</v>
      </c>
      <c r="C527" s="513"/>
    </row>
    <row r="528" spans="1:3">
      <c r="A528" s="513" t="s">
        <v>19544</v>
      </c>
      <c r="B528" s="513">
        <v>595740</v>
      </c>
      <c r="C528" s="513"/>
    </row>
    <row r="529" spans="1:3">
      <c r="A529" s="513" t="s">
        <v>19563</v>
      </c>
      <c r="B529" s="513">
        <v>2231413365</v>
      </c>
      <c r="C529" s="513"/>
    </row>
    <row r="530" spans="1:3">
      <c r="A530" s="513" t="s">
        <v>19551</v>
      </c>
      <c r="B530" s="513">
        <v>2231413365</v>
      </c>
      <c r="C530" s="513"/>
    </row>
    <row r="531" spans="1:3">
      <c r="A531" s="513" t="s">
        <v>19553</v>
      </c>
      <c r="B531" s="513">
        <v>19536957</v>
      </c>
      <c r="C531" s="513"/>
    </row>
    <row r="532" spans="1:3">
      <c r="A532" s="513" t="s">
        <v>20456</v>
      </c>
      <c r="B532" s="513">
        <v>2231413365</v>
      </c>
      <c r="C532" s="513"/>
    </row>
    <row r="533" spans="1:3">
      <c r="A533" s="513" t="s">
        <v>20457</v>
      </c>
      <c r="B533" s="513">
        <v>2231413365</v>
      </c>
      <c r="C533" s="513"/>
    </row>
    <row r="534" spans="1:3">
      <c r="A534" s="513" t="s">
        <v>20430</v>
      </c>
      <c r="B534" s="513">
        <v>2231413365</v>
      </c>
      <c r="C534" s="513"/>
    </row>
    <row r="535" spans="1:3">
      <c r="A535" s="513" t="s">
        <v>20431</v>
      </c>
      <c r="B535" s="513">
        <v>2231413365</v>
      </c>
      <c r="C535" s="513"/>
    </row>
    <row r="536" spans="1:3">
      <c r="A536" s="513" t="s">
        <v>20458</v>
      </c>
      <c r="B536" s="513">
        <v>2231413365</v>
      </c>
      <c r="C536" s="513"/>
    </row>
    <row r="537" spans="1:3">
      <c r="A537" s="513" t="s">
        <v>19503</v>
      </c>
      <c r="B537" s="513">
        <v>393975202</v>
      </c>
      <c r="C537" s="513"/>
    </row>
    <row r="538" spans="1:3">
      <c r="A538" s="513" t="s">
        <v>19581</v>
      </c>
      <c r="B538" s="513">
        <v>109797796</v>
      </c>
      <c r="C538" s="513"/>
    </row>
    <row r="539" spans="1:3">
      <c r="A539" s="513" t="s">
        <v>19512</v>
      </c>
      <c r="B539" s="513">
        <v>3487000</v>
      </c>
      <c r="C539" s="513"/>
    </row>
    <row r="540" spans="1:3">
      <c r="A540" s="513" t="s">
        <v>19493</v>
      </c>
      <c r="B540" s="513">
        <v>21846619</v>
      </c>
      <c r="C540" s="513"/>
    </row>
    <row r="541" spans="1:3">
      <c r="A541" s="513" t="s">
        <v>19501</v>
      </c>
      <c r="B541" s="513">
        <v>272529966</v>
      </c>
      <c r="C541" s="513"/>
    </row>
    <row r="542" spans="1:3">
      <c r="A542" s="513" t="s">
        <v>19502</v>
      </c>
      <c r="B542" s="513">
        <v>1243074</v>
      </c>
      <c r="C542" s="513"/>
    </row>
    <row r="543" spans="1:3">
      <c r="A543" s="513" t="s">
        <v>19500</v>
      </c>
      <c r="B543" s="513">
        <v>2205704</v>
      </c>
      <c r="C543" s="513"/>
    </row>
    <row r="544" spans="1:3">
      <c r="A544" s="513" t="s">
        <v>19492</v>
      </c>
      <c r="B544" s="513">
        <v>151811000</v>
      </c>
      <c r="C544" s="513"/>
    </row>
    <row r="545" spans="1:3">
      <c r="A545" s="513" t="s">
        <v>1594</v>
      </c>
      <c r="B545" s="513">
        <v>2205704</v>
      </c>
      <c r="C545" s="513"/>
    </row>
    <row r="546" spans="1:3">
      <c r="A546" s="513" t="s">
        <v>19545</v>
      </c>
      <c r="B546" s="513">
        <v>231761652</v>
      </c>
      <c r="C546" s="513"/>
    </row>
    <row r="547" spans="1:3">
      <c r="A547" s="513" t="s">
        <v>19579</v>
      </c>
      <c r="B547" s="513">
        <v>44270651</v>
      </c>
      <c r="C547" s="513"/>
    </row>
    <row r="548" spans="1:3">
      <c r="A548" s="513" t="s">
        <v>19506</v>
      </c>
      <c r="B548" s="513">
        <v>51193440</v>
      </c>
      <c r="C548" s="513"/>
    </row>
    <row r="549" spans="1:3">
      <c r="A549" s="513" t="s">
        <v>19585</v>
      </c>
      <c r="B549" s="513">
        <v>156742561</v>
      </c>
      <c r="C549" s="513"/>
    </row>
    <row r="550" spans="1:3">
      <c r="A550" s="513" t="s">
        <v>19583</v>
      </c>
      <c r="B550" s="513">
        <v>30748440</v>
      </c>
      <c r="C550" s="513"/>
    </row>
    <row r="551" spans="1:3">
      <c r="A551" s="513" t="s">
        <v>19514</v>
      </c>
      <c r="B551" s="513">
        <v>219865571</v>
      </c>
      <c r="C551" s="513"/>
    </row>
    <row r="552" spans="1:3">
      <c r="A552" s="513" t="s">
        <v>19554</v>
      </c>
      <c r="B552" s="513">
        <v>50000</v>
      </c>
      <c r="C552" s="513"/>
    </row>
    <row r="553" spans="1:3">
      <c r="A553" s="513" t="s">
        <v>19515</v>
      </c>
      <c r="B553" s="513">
        <v>579917442</v>
      </c>
      <c r="C553" s="513"/>
    </row>
    <row r="554" spans="1:3">
      <c r="A554" s="513" t="s">
        <v>19552</v>
      </c>
      <c r="B554" s="513">
        <v>721053521</v>
      </c>
      <c r="C554" s="513"/>
    </row>
    <row r="555" spans="1:3">
      <c r="A555" s="513" t="s">
        <v>19557</v>
      </c>
      <c r="B555" s="513">
        <v>60169177</v>
      </c>
      <c r="C555" s="513"/>
    </row>
    <row r="556" spans="1:3">
      <c r="A556" s="513" t="s">
        <v>19517</v>
      </c>
      <c r="B556" s="513">
        <v>700000</v>
      </c>
      <c r="C556" s="513"/>
    </row>
    <row r="557" spans="1:3">
      <c r="A557" s="513" t="s">
        <v>19564</v>
      </c>
      <c r="B557" s="513">
        <v>2231413365</v>
      </c>
      <c r="C557" s="513"/>
    </row>
    <row r="558" spans="1:3">
      <c r="A558" s="513" t="s">
        <v>19547</v>
      </c>
      <c r="B558" s="513">
        <v>548710486</v>
      </c>
      <c r="C558" s="513"/>
    </row>
    <row r="559" spans="1:3">
      <c r="A559" s="513" t="s">
        <v>19490</v>
      </c>
      <c r="B559" s="513">
        <v>5594300000</v>
      </c>
      <c r="C559" s="513"/>
    </row>
    <row r="560" spans="1:3">
      <c r="A560" s="513" t="s">
        <v>20071</v>
      </c>
      <c r="B560" s="513">
        <v>59466138</v>
      </c>
      <c r="C560" s="513"/>
    </row>
    <row r="561" spans="1:3">
      <c r="A561" s="513" t="s">
        <v>20072</v>
      </c>
      <c r="B561" s="513">
        <v>174109631</v>
      </c>
      <c r="C561" s="513"/>
    </row>
    <row r="562" spans="1:3">
      <c r="A562" s="513" t="s">
        <v>20032</v>
      </c>
      <c r="B562" s="513">
        <v>1630000</v>
      </c>
      <c r="C562" s="513"/>
    </row>
    <row r="563" spans="1:3">
      <c r="A563" s="513" t="s">
        <v>19556</v>
      </c>
      <c r="B563" s="513">
        <v>721053521</v>
      </c>
      <c r="C563" s="513"/>
    </row>
    <row r="564" spans="1:3">
      <c r="A564" s="513" t="s">
        <v>20173</v>
      </c>
      <c r="B564" s="513">
        <v>71571130</v>
      </c>
      <c r="C564" s="513"/>
    </row>
    <row r="565" spans="1:3">
      <c r="A565" s="513" t="s">
        <v>19090</v>
      </c>
      <c r="B565" s="513">
        <v>311106595</v>
      </c>
      <c r="C565" s="513"/>
    </row>
    <row r="566" spans="1:3">
      <c r="A566" s="513" t="s">
        <v>20459</v>
      </c>
      <c r="B566" s="513">
        <v>181368926</v>
      </c>
      <c r="C566" s="513"/>
    </row>
    <row r="567" spans="1:3">
      <c r="A567" s="513" t="s">
        <v>20460</v>
      </c>
      <c r="B567" s="513">
        <v>181368926</v>
      </c>
      <c r="C567" s="513"/>
    </row>
    <row r="568" spans="1:3">
      <c r="A568" s="513" t="s">
        <v>20461</v>
      </c>
      <c r="B568" s="513">
        <v>181368926</v>
      </c>
      <c r="C568" s="513"/>
    </row>
    <row r="569" spans="1:3">
      <c r="A569" s="513" t="s">
        <v>20462</v>
      </c>
      <c r="B569" s="513">
        <v>181368926</v>
      </c>
      <c r="C569" s="513"/>
    </row>
    <row r="570" spans="1:3">
      <c r="A570" s="513" t="s">
        <v>20463</v>
      </c>
      <c r="B570" s="513">
        <v>181368926</v>
      </c>
      <c r="C570" s="513"/>
    </row>
    <row r="571" spans="1:3">
      <c r="A571" s="513" t="s">
        <v>19613</v>
      </c>
      <c r="B571" s="513">
        <v>592062</v>
      </c>
      <c r="C571" s="513"/>
    </row>
    <row r="572" spans="1:3">
      <c r="A572" s="513" t="s">
        <v>19565</v>
      </c>
      <c r="B572" s="513">
        <v>1905411</v>
      </c>
      <c r="C572" s="513"/>
    </row>
    <row r="573" spans="1:3">
      <c r="A573" s="513" t="s">
        <v>19570</v>
      </c>
      <c r="B573" s="513">
        <v>548710486</v>
      </c>
      <c r="C573" s="513"/>
    </row>
    <row r="574" spans="1:3">
      <c r="A574" s="513" t="s">
        <v>20393</v>
      </c>
      <c r="B574" s="513">
        <v>59846843</v>
      </c>
      <c r="C574" s="513"/>
    </row>
    <row r="575" spans="1:3">
      <c r="A575" s="513" t="s">
        <v>19516</v>
      </c>
      <c r="B575" s="513">
        <v>96515564</v>
      </c>
      <c r="C575" s="513"/>
    </row>
    <row r="576" spans="1:3">
      <c r="A576" s="513" t="s">
        <v>19561</v>
      </c>
      <c r="B576" s="513">
        <v>60662811</v>
      </c>
      <c r="C576" s="513"/>
    </row>
    <row r="577" spans="1:3">
      <c r="A577" s="513" t="s">
        <v>1596</v>
      </c>
      <c r="B577" s="513">
        <v>54540014</v>
      </c>
      <c r="C577" s="513"/>
    </row>
    <row r="578" spans="1:3">
      <c r="A578" s="513" t="s">
        <v>19091</v>
      </c>
      <c r="B578" s="513">
        <v>409935202</v>
      </c>
      <c r="C578" s="513"/>
    </row>
    <row r="579" spans="1:3">
      <c r="A579" s="513" t="s">
        <v>19498</v>
      </c>
      <c r="B579" s="513">
        <v>15960000</v>
      </c>
      <c r="C579" s="513"/>
    </row>
    <row r="580" spans="1:3">
      <c r="A580" s="513" t="s">
        <v>19530</v>
      </c>
      <c r="B580" s="513">
        <v>-4521005573</v>
      </c>
      <c r="C580" s="513"/>
    </row>
    <row r="581" spans="1:3">
      <c r="A581" s="513" t="s">
        <v>19513</v>
      </c>
      <c r="B581" s="513">
        <v>15960000</v>
      </c>
      <c r="C581" s="513"/>
    </row>
    <row r="582" spans="1:3">
      <c r="A582" s="513" t="s">
        <v>19531</v>
      </c>
      <c r="B582" s="513">
        <v>548710486</v>
      </c>
      <c r="C582" s="513"/>
    </row>
    <row r="583" spans="1:3">
      <c r="A583" s="513" t="s">
        <v>19092</v>
      </c>
      <c r="B583" s="513">
        <v>1243074</v>
      </c>
      <c r="C583" s="513"/>
    </row>
    <row r="584" spans="1:3">
      <c r="A584" s="513" t="s">
        <v>19574</v>
      </c>
      <c r="B584" s="513">
        <v>846977709</v>
      </c>
      <c r="C584" s="513"/>
    </row>
    <row r="585" spans="1:3">
      <c r="A585" s="513" t="s">
        <v>19559</v>
      </c>
      <c r="B585" s="513">
        <v>106416</v>
      </c>
      <c r="C585" s="513"/>
    </row>
    <row r="586" spans="1:3">
      <c r="A586" s="513" t="s">
        <v>19571</v>
      </c>
      <c r="B586" s="513">
        <v>74194076</v>
      </c>
      <c r="C586" s="513"/>
    </row>
    <row r="587" spans="1:3">
      <c r="A587" s="513" t="s">
        <v>19533</v>
      </c>
      <c r="B587" s="513">
        <v>30884314</v>
      </c>
      <c r="C587" s="513"/>
    </row>
    <row r="588" spans="1:3">
      <c r="A588" s="513" t="s">
        <v>19566</v>
      </c>
      <c r="B588" s="513">
        <v>10722</v>
      </c>
      <c r="C588" s="513"/>
    </row>
    <row r="589" spans="1:3">
      <c r="A589" s="513" t="s">
        <v>19535</v>
      </c>
      <c r="B589" s="513">
        <v>76386633</v>
      </c>
      <c r="C589" s="513"/>
    </row>
    <row r="590" spans="1:3">
      <c r="A590" s="513" t="s">
        <v>19541</v>
      </c>
      <c r="B590" s="513">
        <v>311106595</v>
      </c>
      <c r="C590" s="513"/>
    </row>
    <row r="591" spans="1:3">
      <c r="A591" s="513" t="s">
        <v>19573</v>
      </c>
      <c r="B591" s="513">
        <v>595740</v>
      </c>
      <c r="C591" s="513"/>
    </row>
    <row r="592" spans="1:3">
      <c r="A592" s="513" t="s">
        <v>19505</v>
      </c>
      <c r="B592" s="513">
        <v>158825072</v>
      </c>
      <c r="C592" s="513"/>
    </row>
    <row r="593" spans="1:3">
      <c r="A593" s="513" t="s">
        <v>19540</v>
      </c>
      <c r="B593" s="513">
        <v>395218276</v>
      </c>
      <c r="C593" s="513"/>
    </row>
    <row r="594" spans="1:3">
      <c r="A594" s="513" t="s">
        <v>19560</v>
      </c>
      <c r="B594" s="513">
        <v>17091275</v>
      </c>
      <c r="C594" s="513"/>
    </row>
    <row r="595" spans="1:3">
      <c r="A595" s="513" t="s">
        <v>19528</v>
      </c>
      <c r="B595" s="513">
        <v>771217072</v>
      </c>
      <c r="C595" s="513"/>
    </row>
    <row r="596" spans="1:3">
      <c r="A596" s="513" t="s">
        <v>19572</v>
      </c>
      <c r="B596" s="513">
        <v>7287196</v>
      </c>
      <c r="C596" s="513"/>
    </row>
    <row r="597" spans="1:3">
      <c r="A597" s="513" t="s">
        <v>19578</v>
      </c>
      <c r="B597" s="513">
        <v>19536957</v>
      </c>
      <c r="C597" s="513"/>
    </row>
    <row r="598" spans="1:3">
      <c r="A598" s="513" t="s">
        <v>19615</v>
      </c>
      <c r="B598" s="513">
        <v>190175635</v>
      </c>
      <c r="C598" s="513"/>
    </row>
    <row r="599" spans="1:3">
      <c r="A599" s="513" t="s">
        <v>19567</v>
      </c>
      <c r="B599" s="513">
        <v>2231413365</v>
      </c>
      <c r="C599" s="513"/>
    </row>
    <row r="600" spans="1:3">
      <c r="A600" s="513" t="s">
        <v>19521</v>
      </c>
      <c r="B600" s="513">
        <v>11187000</v>
      </c>
      <c r="C600" s="513"/>
    </row>
    <row r="601" spans="1:3">
      <c r="A601" s="513" t="s">
        <v>19522</v>
      </c>
      <c r="B601" s="513">
        <v>1983000</v>
      </c>
      <c r="C601" s="513"/>
    </row>
    <row r="602" spans="1:3">
      <c r="A602" s="513" t="s">
        <v>19527</v>
      </c>
      <c r="B602" s="513">
        <v>2205704</v>
      </c>
      <c r="C602" s="513"/>
    </row>
    <row r="603" spans="1:3">
      <c r="A603" s="513" t="s">
        <v>19542</v>
      </c>
      <c r="B603" s="513">
        <v>272529966</v>
      </c>
      <c r="C603" s="513"/>
    </row>
    <row r="604" spans="1:3">
      <c r="A604" s="513" t="s">
        <v>19526</v>
      </c>
      <c r="B604" s="513">
        <v>1243074</v>
      </c>
      <c r="C604" s="513"/>
    </row>
    <row r="605" spans="1:3">
      <c r="A605" s="513" t="s">
        <v>19532</v>
      </c>
      <c r="B605" s="513">
        <v>5594300000</v>
      </c>
      <c r="C605" s="513"/>
    </row>
    <row r="606" spans="1:3">
      <c r="A606" s="513" t="s">
        <v>19569</v>
      </c>
      <c r="B606" s="513">
        <v>580291</v>
      </c>
      <c r="C606" s="513"/>
    </row>
    <row r="607" spans="1:3">
      <c r="A607" s="513" t="s">
        <v>20047</v>
      </c>
      <c r="B607" s="513">
        <v>-592062</v>
      </c>
      <c r="C607" s="513"/>
    </row>
    <row r="608" spans="1:3">
      <c r="A608" s="513" t="s">
        <v>20046</v>
      </c>
      <c r="B608" s="513">
        <v>1905411</v>
      </c>
      <c r="C608" s="513"/>
    </row>
    <row r="609" spans="1:3">
      <c r="A609" s="513" t="s">
        <v>19534</v>
      </c>
      <c r="B609" s="513">
        <v>21846619</v>
      </c>
      <c r="C609" s="513"/>
    </row>
    <row r="610" spans="1:3">
      <c r="A610" s="513" t="s">
        <v>19539</v>
      </c>
      <c r="B610" s="513">
        <v>151811000</v>
      </c>
      <c r="C610" s="513"/>
    </row>
    <row r="611" spans="1:3">
      <c r="A611" s="513" t="s">
        <v>19575</v>
      </c>
      <c r="B611" s="513">
        <v>2231413365</v>
      </c>
      <c r="C611" s="513"/>
    </row>
    <row r="612" spans="1:3">
      <c r="A612" s="513" t="s">
        <v>19538</v>
      </c>
      <c r="B612" s="513">
        <v>51193440</v>
      </c>
      <c r="C612" s="513"/>
    </row>
    <row r="613" spans="1:3">
      <c r="A613" s="513" t="s">
        <v>20078</v>
      </c>
      <c r="B613" s="513">
        <v>149828000</v>
      </c>
      <c r="C613" s="513"/>
    </row>
    <row r="614" spans="1:3">
      <c r="A614" s="513" t="s">
        <v>20180</v>
      </c>
      <c r="B614" s="513">
        <v>59846843</v>
      </c>
      <c r="C614" s="513"/>
    </row>
    <row r="615" spans="1:3">
      <c r="A615" s="513" t="s">
        <v>19577</v>
      </c>
      <c r="B615" s="513">
        <v>721053521</v>
      </c>
      <c r="C615" s="513"/>
    </row>
    <row r="616" spans="1:3">
      <c r="A616" s="513" t="s">
        <v>20077</v>
      </c>
      <c r="B616" s="513">
        <v>261342966</v>
      </c>
      <c r="C616" s="513"/>
    </row>
    <row r="617" spans="1:3">
      <c r="A617" s="513" t="s">
        <v>19536</v>
      </c>
      <c r="B617" s="513">
        <v>15960000</v>
      </c>
      <c r="C617" s="513"/>
    </row>
    <row r="618" spans="1:3">
      <c r="A618" s="513" t="s">
        <v>20433</v>
      </c>
      <c r="B618" s="513">
        <v>2231413365</v>
      </c>
      <c r="C618" s="513"/>
    </row>
    <row r="619" spans="1:3">
      <c r="A619" s="513" t="s">
        <v>19568</v>
      </c>
      <c r="B619" s="513">
        <v>17091275</v>
      </c>
      <c r="C619" s="513"/>
    </row>
    <row r="620" spans="1:3">
      <c r="A620" s="513" t="s">
        <v>20432</v>
      </c>
      <c r="B620" s="513">
        <v>2231413365</v>
      </c>
      <c r="C620" s="513"/>
    </row>
    <row r="621" spans="1:3">
      <c r="A621" s="513" t="s">
        <v>20070</v>
      </c>
      <c r="B621" s="513">
        <v>38935544</v>
      </c>
      <c r="C621" s="513"/>
    </row>
    <row r="622" spans="1:3">
      <c r="A622" s="513" t="s">
        <v>19580</v>
      </c>
      <c r="B622" s="513">
        <v>44270651</v>
      </c>
      <c r="C622" s="513"/>
    </row>
    <row r="623" spans="1:3">
      <c r="A623" s="513" t="s">
        <v>20080</v>
      </c>
      <c r="B623" s="513">
        <v>66705986</v>
      </c>
      <c r="C623" s="513"/>
    </row>
    <row r="624" spans="1:3">
      <c r="A624" s="513" t="s">
        <v>19584</v>
      </c>
      <c r="B624" s="513">
        <v>156742561</v>
      </c>
      <c r="C624" s="513"/>
    </row>
    <row r="625" spans="1:3">
      <c r="A625" s="513" t="s">
        <v>19582</v>
      </c>
      <c r="B625" s="513">
        <v>30748440</v>
      </c>
      <c r="C625" s="513"/>
    </row>
    <row r="626" spans="1:3">
      <c r="A626" s="513" t="s">
        <v>19614</v>
      </c>
      <c r="B626" s="513">
        <v>1854669</v>
      </c>
      <c r="C626" s="513"/>
    </row>
    <row r="627" spans="1:3">
      <c r="A627" s="513" t="s">
        <v>20073</v>
      </c>
      <c r="B627" s="513">
        <v>597597760</v>
      </c>
      <c r="C627" s="513"/>
    </row>
    <row r="628" spans="1:3">
      <c r="A628" s="513" t="s">
        <v>20405</v>
      </c>
      <c r="B628" s="513">
        <v>59846843</v>
      </c>
      <c r="C628" s="513"/>
    </row>
    <row r="629" spans="1:3">
      <c r="A629" s="513" t="s">
        <v>19537</v>
      </c>
      <c r="B629" s="513">
        <v>158825072</v>
      </c>
      <c r="C629" s="513"/>
    </row>
    <row r="630" spans="1:3">
      <c r="A630" s="513" t="s">
        <v>1602</v>
      </c>
      <c r="B630" s="513">
        <v>158825072</v>
      </c>
      <c r="C630" s="513"/>
    </row>
    <row r="631" spans="1:3">
      <c r="A631" s="513" t="s">
        <v>20075</v>
      </c>
      <c r="B631" s="513">
        <v>597597760</v>
      </c>
      <c r="C631" s="513"/>
    </row>
    <row r="632" spans="1:3">
      <c r="A632" s="513" t="s">
        <v>19709</v>
      </c>
      <c r="B632" s="513">
        <v>1</v>
      </c>
      <c r="C632" s="513"/>
    </row>
    <row r="633" spans="1:3">
      <c r="A633" s="513" t="s">
        <v>19697</v>
      </c>
      <c r="B633" s="513">
        <v>1</v>
      </c>
      <c r="C633" s="513"/>
    </row>
    <row r="634" spans="1:3">
      <c r="A634" s="513" t="s">
        <v>19695</v>
      </c>
      <c r="B634" s="513">
        <v>1</v>
      </c>
      <c r="C634" s="513"/>
    </row>
    <row r="635" spans="1:3">
      <c r="A635" s="513" t="s">
        <v>19690</v>
      </c>
      <c r="B635" s="513">
        <v>1</v>
      </c>
      <c r="C635" s="513"/>
    </row>
    <row r="636" spans="1:3">
      <c r="A636" s="513" t="s">
        <v>19691</v>
      </c>
      <c r="B636" s="513">
        <v>1</v>
      </c>
      <c r="C636" s="513"/>
    </row>
    <row r="637" spans="1:3">
      <c r="A637" s="513" t="s">
        <v>19706</v>
      </c>
      <c r="B637" s="513">
        <v>1</v>
      </c>
      <c r="C637" s="513"/>
    </row>
    <row r="638" spans="1:3">
      <c r="A638" s="513" t="s">
        <v>19707</v>
      </c>
      <c r="B638" s="513">
        <v>1</v>
      </c>
      <c r="C638" s="513"/>
    </row>
    <row r="639" spans="1:3">
      <c r="A639" s="513" t="s">
        <v>19717</v>
      </c>
      <c r="B639" s="513">
        <v>1</v>
      </c>
      <c r="C639" s="513"/>
    </row>
    <row r="640" spans="1:3">
      <c r="A640" s="513" t="s">
        <v>19705</v>
      </c>
      <c r="B640" s="513">
        <v>1</v>
      </c>
      <c r="C640" s="513"/>
    </row>
    <row r="641" spans="1:3">
      <c r="A641" s="513" t="s">
        <v>19719</v>
      </c>
      <c r="B641" s="513">
        <v>1</v>
      </c>
      <c r="C641" s="513"/>
    </row>
    <row r="642" spans="1:3">
      <c r="A642" s="513" t="s">
        <v>19701</v>
      </c>
      <c r="B642" s="513">
        <v>1</v>
      </c>
      <c r="C642" s="513"/>
    </row>
    <row r="643" spans="1:3">
      <c r="A643" s="513" t="s">
        <v>19687</v>
      </c>
      <c r="B643" s="513">
        <v>1</v>
      </c>
      <c r="C643" s="513"/>
    </row>
    <row r="644" spans="1:3">
      <c r="A644" s="513" t="s">
        <v>19713</v>
      </c>
      <c r="B644" s="513">
        <v>1</v>
      </c>
      <c r="C644" s="513"/>
    </row>
    <row r="645" spans="1:3">
      <c r="A645" s="513" t="s">
        <v>19694</v>
      </c>
      <c r="B645" s="513">
        <v>1</v>
      </c>
      <c r="C645" s="513"/>
    </row>
    <row r="646" spans="1:3">
      <c r="A646" s="513" t="s">
        <v>19693</v>
      </c>
      <c r="B646" s="513">
        <v>1</v>
      </c>
      <c r="C646" s="513"/>
    </row>
    <row r="647" spans="1:3">
      <c r="A647" s="513" t="s">
        <v>19708</v>
      </c>
      <c r="B647" s="513">
        <v>1</v>
      </c>
      <c r="C647" s="513"/>
    </row>
    <row r="648" spans="1:3">
      <c r="A648" s="513" t="s">
        <v>19710</v>
      </c>
      <c r="B648" s="513">
        <v>1</v>
      </c>
      <c r="C648" s="513"/>
    </row>
    <row r="649" spans="1:3">
      <c r="A649" s="513" t="s">
        <v>19700</v>
      </c>
      <c r="B649" s="513">
        <v>1</v>
      </c>
      <c r="C649" s="513"/>
    </row>
    <row r="650" spans="1:3">
      <c r="A650" s="513" t="s">
        <v>19703</v>
      </c>
      <c r="B650" s="513">
        <v>1</v>
      </c>
      <c r="C650" s="513"/>
    </row>
    <row r="651" spans="1:3">
      <c r="A651" s="513" t="s">
        <v>19720</v>
      </c>
      <c r="B651" s="513">
        <v>1</v>
      </c>
      <c r="C651" s="513"/>
    </row>
    <row r="652" spans="1:3">
      <c r="A652" s="513" t="s">
        <v>19714</v>
      </c>
      <c r="B652" s="513">
        <v>1</v>
      </c>
      <c r="C652" s="513"/>
    </row>
    <row r="653" spans="1:3">
      <c r="A653" s="513" t="s">
        <v>19698</v>
      </c>
      <c r="B653" s="513">
        <v>1</v>
      </c>
      <c r="C653" s="513"/>
    </row>
    <row r="654" spans="1:3">
      <c r="A654" s="513" t="s">
        <v>19699</v>
      </c>
      <c r="B654" s="513">
        <v>1</v>
      </c>
      <c r="C654" s="513"/>
    </row>
    <row r="655" spans="1:3">
      <c r="A655" s="513" t="s">
        <v>19688</v>
      </c>
      <c r="B655" s="513">
        <v>1</v>
      </c>
      <c r="C655" s="513"/>
    </row>
    <row r="656" spans="1:3">
      <c r="A656" s="513" t="s">
        <v>19722</v>
      </c>
      <c r="B656" s="513">
        <v>1</v>
      </c>
      <c r="C656" s="513"/>
    </row>
    <row r="657" spans="1:3">
      <c r="A657" s="513" t="s">
        <v>19711</v>
      </c>
      <c r="B657" s="513">
        <v>1</v>
      </c>
      <c r="C657" s="513"/>
    </row>
    <row r="658" spans="1:3">
      <c r="A658" s="513" t="s">
        <v>19715</v>
      </c>
      <c r="B658" s="513">
        <v>1</v>
      </c>
      <c r="C658" s="513"/>
    </row>
    <row r="659" spans="1:3">
      <c r="A659" s="513" t="s">
        <v>19721</v>
      </c>
      <c r="B659" s="513">
        <v>1</v>
      </c>
      <c r="C659" s="513"/>
    </row>
    <row r="660" spans="1:3">
      <c r="A660" s="513" t="s">
        <v>19716</v>
      </c>
      <c r="B660" s="513">
        <v>1</v>
      </c>
      <c r="C660" s="513"/>
    </row>
    <row r="661" spans="1:3">
      <c r="A661" s="513" t="s">
        <v>19718</v>
      </c>
      <c r="B661" s="513">
        <v>1</v>
      </c>
      <c r="C661" s="513"/>
    </row>
    <row r="662" spans="1:3">
      <c r="A662" s="513" t="s">
        <v>19692</v>
      </c>
      <c r="B662" s="513">
        <v>1</v>
      </c>
      <c r="C662" s="513"/>
    </row>
    <row r="663" spans="1:3">
      <c r="A663" s="513" t="s">
        <v>19689</v>
      </c>
      <c r="B663" s="513">
        <v>1</v>
      </c>
      <c r="C663" s="513"/>
    </row>
    <row r="664" spans="1:3">
      <c r="A664" s="513" t="s">
        <v>19704</v>
      </c>
      <c r="B664" s="513">
        <v>1</v>
      </c>
      <c r="C664" s="513"/>
    </row>
    <row r="665" spans="1:3">
      <c r="A665" s="513" t="s">
        <v>19712</v>
      </c>
      <c r="B665" s="513">
        <v>1</v>
      </c>
      <c r="C665" s="513"/>
    </row>
    <row r="666" spans="1:3">
      <c r="A666" s="513" t="s">
        <v>19702</v>
      </c>
      <c r="B666" s="513">
        <v>1</v>
      </c>
      <c r="C666" s="513"/>
    </row>
    <row r="667" spans="1:3">
      <c r="A667" s="513" t="s">
        <v>19696</v>
      </c>
      <c r="B667" s="513">
        <v>1</v>
      </c>
      <c r="C667" s="513"/>
    </row>
    <row r="668" spans="1:3">
      <c r="A668" s="513" t="s">
        <v>19762</v>
      </c>
      <c r="B668" s="513">
        <v>1</v>
      </c>
      <c r="C668" s="513"/>
    </row>
    <row r="669" spans="1:3">
      <c r="A669" s="513" t="s">
        <v>19740</v>
      </c>
      <c r="B669" s="513">
        <v>1</v>
      </c>
      <c r="C669" s="513"/>
    </row>
    <row r="670" spans="1:3">
      <c r="A670" s="513" t="s">
        <v>19735</v>
      </c>
      <c r="B670" s="513">
        <v>1</v>
      </c>
      <c r="C670" s="513"/>
    </row>
    <row r="671" spans="1:3">
      <c r="A671" s="513" t="s">
        <v>19754</v>
      </c>
      <c r="B671" s="513">
        <v>1</v>
      </c>
      <c r="C671" s="513"/>
    </row>
    <row r="672" spans="1:3">
      <c r="A672" s="513" t="s">
        <v>19752</v>
      </c>
      <c r="B672" s="513">
        <v>1</v>
      </c>
      <c r="C672" s="513"/>
    </row>
    <row r="673" spans="1:3">
      <c r="A673" s="513" t="s">
        <v>19742</v>
      </c>
      <c r="B673" s="513">
        <v>1</v>
      </c>
      <c r="C673" s="513"/>
    </row>
    <row r="674" spans="1:3">
      <c r="A674" s="513" t="s">
        <v>19759</v>
      </c>
      <c r="B674" s="513">
        <v>1</v>
      </c>
      <c r="C674" s="513"/>
    </row>
    <row r="675" spans="1:3">
      <c r="A675" s="513" t="s">
        <v>19726</v>
      </c>
      <c r="B675" s="513">
        <v>1</v>
      </c>
      <c r="C675" s="513"/>
    </row>
    <row r="676" spans="1:3">
      <c r="A676" s="513" t="s">
        <v>19750</v>
      </c>
      <c r="B676" s="513">
        <v>1</v>
      </c>
      <c r="C676" s="513"/>
    </row>
    <row r="677" spans="1:3">
      <c r="A677" s="513" t="s">
        <v>19745</v>
      </c>
      <c r="B677" s="513">
        <v>1</v>
      </c>
      <c r="C677" s="513"/>
    </row>
    <row r="678" spans="1:3">
      <c r="A678" s="513" t="s">
        <v>19737</v>
      </c>
      <c r="B678" s="513">
        <v>1</v>
      </c>
      <c r="C678" s="513"/>
    </row>
    <row r="679" spans="1:3">
      <c r="A679" s="513" t="s">
        <v>19729</v>
      </c>
      <c r="B679" s="513">
        <v>1</v>
      </c>
      <c r="C679" s="513"/>
    </row>
    <row r="680" spans="1:3">
      <c r="A680" s="513" t="s">
        <v>19731</v>
      </c>
      <c r="B680" s="513">
        <v>1</v>
      </c>
      <c r="C680" s="513"/>
    </row>
    <row r="681" spans="1:3">
      <c r="A681" s="513" t="s">
        <v>19723</v>
      </c>
      <c r="B681" s="513">
        <v>1</v>
      </c>
      <c r="C681" s="513"/>
    </row>
    <row r="682" spans="1:3">
      <c r="A682" s="513" t="s">
        <v>19760</v>
      </c>
      <c r="B682" s="513">
        <v>1</v>
      </c>
      <c r="C682" s="513"/>
    </row>
    <row r="683" spans="1:3">
      <c r="A683" s="513" t="s">
        <v>19755</v>
      </c>
      <c r="B683" s="513">
        <v>1</v>
      </c>
      <c r="C683" s="513"/>
    </row>
    <row r="684" spans="1:3">
      <c r="A684" s="513" t="s">
        <v>19730</v>
      </c>
      <c r="B684" s="513">
        <v>1</v>
      </c>
      <c r="C684" s="513"/>
    </row>
    <row r="685" spans="1:3">
      <c r="A685" s="513" t="s">
        <v>19761</v>
      </c>
      <c r="B685" s="513">
        <v>1</v>
      </c>
      <c r="C685" s="513"/>
    </row>
    <row r="686" spans="1:3">
      <c r="A686" s="513" t="s">
        <v>19728</v>
      </c>
      <c r="B686" s="513">
        <v>1</v>
      </c>
      <c r="C686" s="513"/>
    </row>
    <row r="687" spans="1:3">
      <c r="A687" s="513" t="s">
        <v>19746</v>
      </c>
      <c r="B687" s="513">
        <v>1</v>
      </c>
      <c r="C687" s="513"/>
    </row>
    <row r="688" spans="1:3">
      <c r="A688" s="513" t="s">
        <v>19733</v>
      </c>
      <c r="B688" s="513">
        <v>1</v>
      </c>
      <c r="C688" s="513"/>
    </row>
    <row r="689" spans="1:3">
      <c r="A689" s="513" t="s">
        <v>19724</v>
      </c>
      <c r="B689" s="513">
        <v>1</v>
      </c>
      <c r="C689" s="513"/>
    </row>
    <row r="690" spans="1:3">
      <c r="A690" s="513" t="s">
        <v>19741</v>
      </c>
      <c r="B690" s="513">
        <v>1</v>
      </c>
      <c r="C690" s="513"/>
    </row>
    <row r="691" spans="1:3">
      <c r="A691" s="513" t="s">
        <v>19739</v>
      </c>
      <c r="B691" s="513">
        <v>1</v>
      </c>
      <c r="C691" s="513"/>
    </row>
    <row r="692" spans="1:3">
      <c r="A692" s="513" t="s">
        <v>19734</v>
      </c>
      <c r="B692" s="513">
        <v>1</v>
      </c>
      <c r="C692" s="513"/>
    </row>
    <row r="693" spans="1:3">
      <c r="A693" s="513" t="s">
        <v>19743</v>
      </c>
      <c r="B693" s="513">
        <v>1</v>
      </c>
      <c r="C693" s="513"/>
    </row>
    <row r="694" spans="1:3">
      <c r="A694" s="513" t="s">
        <v>19756</v>
      </c>
      <c r="B694" s="513">
        <v>1</v>
      </c>
      <c r="C694" s="513"/>
    </row>
    <row r="695" spans="1:3">
      <c r="A695" s="513" t="s">
        <v>19757</v>
      </c>
      <c r="B695" s="513">
        <v>1</v>
      </c>
      <c r="C695" s="513"/>
    </row>
    <row r="696" spans="1:3">
      <c r="A696" s="513" t="s">
        <v>19753</v>
      </c>
      <c r="B696" s="513">
        <v>1</v>
      </c>
      <c r="C696" s="513"/>
    </row>
    <row r="697" spans="1:3">
      <c r="A697" s="513" t="s">
        <v>19747</v>
      </c>
      <c r="B697" s="513">
        <v>1</v>
      </c>
      <c r="C697" s="513"/>
    </row>
    <row r="698" spans="1:3">
      <c r="A698" s="513" t="s">
        <v>19727</v>
      </c>
      <c r="B698" s="513">
        <v>1</v>
      </c>
      <c r="C698" s="513"/>
    </row>
    <row r="699" spans="1:3">
      <c r="A699" s="513" t="s">
        <v>19749</v>
      </c>
      <c r="B699" s="513">
        <v>1</v>
      </c>
      <c r="C699" s="513"/>
    </row>
    <row r="700" spans="1:3">
      <c r="A700" s="513" t="s">
        <v>19732</v>
      </c>
      <c r="B700" s="513">
        <v>1</v>
      </c>
      <c r="C700" s="513"/>
    </row>
    <row r="701" spans="1:3">
      <c r="A701" s="513" t="s">
        <v>19758</v>
      </c>
      <c r="B701" s="513">
        <v>1</v>
      </c>
      <c r="C701" s="513"/>
    </row>
    <row r="702" spans="1:3">
      <c r="A702" s="513" t="s">
        <v>19736</v>
      </c>
      <c r="B702" s="513">
        <v>1</v>
      </c>
      <c r="C702" s="513"/>
    </row>
    <row r="703" spans="1:3">
      <c r="A703" s="513" t="s">
        <v>19744</v>
      </c>
      <c r="B703" s="513">
        <v>1</v>
      </c>
      <c r="C703" s="513"/>
    </row>
    <row r="704" spans="1:3">
      <c r="A704" s="513" t="s">
        <v>19748</v>
      </c>
      <c r="B704" s="513">
        <v>1</v>
      </c>
      <c r="C704" s="513"/>
    </row>
    <row r="705" spans="1:3">
      <c r="A705" s="513" t="s">
        <v>19751</v>
      </c>
      <c r="B705" s="513">
        <v>1</v>
      </c>
      <c r="C705" s="513"/>
    </row>
    <row r="706" spans="1:3">
      <c r="A706" s="513" t="s">
        <v>19738</v>
      </c>
      <c r="B706" s="513">
        <v>1</v>
      </c>
      <c r="C706" s="513"/>
    </row>
    <row r="707" spans="1:3">
      <c r="A707" s="513" t="s">
        <v>19725</v>
      </c>
      <c r="B707" s="513">
        <v>1</v>
      </c>
      <c r="C707" s="513"/>
    </row>
    <row r="708" spans="1:3">
      <c r="A708" s="513" t="s">
        <v>19764</v>
      </c>
      <c r="B708" s="513">
        <v>1</v>
      </c>
      <c r="C708" s="513"/>
    </row>
    <row r="709" spans="1:3">
      <c r="A709" s="513" t="s">
        <v>19763</v>
      </c>
      <c r="B709" s="513">
        <v>1</v>
      </c>
      <c r="C709" s="513"/>
    </row>
    <row r="710" spans="1:3">
      <c r="A710" s="513" t="s">
        <v>19765</v>
      </c>
      <c r="B710" s="513">
        <v>1</v>
      </c>
      <c r="C710" s="513"/>
    </row>
    <row r="711" spans="1:3">
      <c r="A711" s="513" t="s">
        <v>19766</v>
      </c>
      <c r="B711" s="513">
        <v>1</v>
      </c>
      <c r="C711" s="513"/>
    </row>
    <row r="712" spans="1:3">
      <c r="A712" s="513" t="s">
        <v>19770</v>
      </c>
      <c r="B712" s="513">
        <v>1</v>
      </c>
      <c r="C712" s="513"/>
    </row>
    <row r="713" spans="1:3">
      <c r="A713" s="513" t="s">
        <v>20109</v>
      </c>
      <c r="B713" s="513">
        <v>1</v>
      </c>
      <c r="C713" s="513"/>
    </row>
    <row r="714" spans="1:3">
      <c r="A714" s="513" t="s">
        <v>20110</v>
      </c>
      <c r="B714" s="513">
        <v>1</v>
      </c>
      <c r="C714" s="513"/>
    </row>
    <row r="715" spans="1:3">
      <c r="A715" s="513" t="s">
        <v>20111</v>
      </c>
      <c r="B715" s="513">
        <v>1</v>
      </c>
      <c r="C715" s="513"/>
    </row>
    <row r="716" spans="1:3">
      <c r="A716" s="513" t="s">
        <v>20106</v>
      </c>
      <c r="B716" s="513">
        <v>1</v>
      </c>
      <c r="C716" s="513"/>
    </row>
    <row r="717" spans="1:3">
      <c r="A717" s="513" t="s">
        <v>20108</v>
      </c>
      <c r="B717" s="513">
        <v>1</v>
      </c>
      <c r="C717" s="513"/>
    </row>
    <row r="718" spans="1:3">
      <c r="A718" s="513" t="s">
        <v>20107</v>
      </c>
      <c r="B718" s="513">
        <v>1</v>
      </c>
      <c r="C718" s="513"/>
    </row>
    <row r="719" spans="1:3">
      <c r="A719" s="513" t="s">
        <v>19771</v>
      </c>
      <c r="B719" s="513">
        <v>1</v>
      </c>
      <c r="C719" s="513"/>
    </row>
    <row r="720" spans="1:3">
      <c r="A720" s="513" t="s">
        <v>19842</v>
      </c>
      <c r="B720" s="513">
        <v>1</v>
      </c>
      <c r="C720" s="513"/>
    </row>
    <row r="721" spans="1:3">
      <c r="A721" s="513" t="s">
        <v>20082</v>
      </c>
      <c r="B721" s="513">
        <v>1</v>
      </c>
      <c r="C721" s="513"/>
    </row>
    <row r="722" spans="1:3">
      <c r="A722" s="513" t="s">
        <v>19791</v>
      </c>
      <c r="B722" s="513">
        <v>2</v>
      </c>
      <c r="C722" s="513"/>
    </row>
    <row r="723" spans="1:3">
      <c r="A723" s="513" t="s">
        <v>19781</v>
      </c>
      <c r="B723" s="513">
        <v>2</v>
      </c>
      <c r="C723" s="513"/>
    </row>
    <row r="724" spans="1:3">
      <c r="A724" s="513" t="s">
        <v>19785</v>
      </c>
      <c r="B724" s="513">
        <v>2</v>
      </c>
      <c r="C724" s="513"/>
    </row>
    <row r="725" spans="1:3">
      <c r="A725" s="513" t="s">
        <v>19772</v>
      </c>
      <c r="B725" s="513">
        <v>2</v>
      </c>
      <c r="C725" s="513"/>
    </row>
    <row r="726" spans="1:3">
      <c r="A726" s="513" t="s">
        <v>19784</v>
      </c>
      <c r="B726" s="513">
        <v>2</v>
      </c>
      <c r="C726" s="513"/>
    </row>
    <row r="727" spans="1:3">
      <c r="A727" s="513" t="s">
        <v>19789</v>
      </c>
      <c r="B727" s="513">
        <v>2</v>
      </c>
      <c r="C727" s="513"/>
    </row>
    <row r="728" spans="1:3">
      <c r="A728" s="513" t="s">
        <v>19783</v>
      </c>
      <c r="B728" s="513">
        <v>2</v>
      </c>
      <c r="C728" s="513"/>
    </row>
    <row r="729" spans="1:3">
      <c r="A729" s="513" t="s">
        <v>19773</v>
      </c>
      <c r="B729" s="513">
        <v>2</v>
      </c>
      <c r="C729" s="513"/>
    </row>
    <row r="730" spans="1:3">
      <c r="A730" s="513" t="s">
        <v>19777</v>
      </c>
      <c r="B730" s="513">
        <v>2</v>
      </c>
      <c r="C730" s="513"/>
    </row>
    <row r="731" spans="1:3">
      <c r="A731" s="513" t="s">
        <v>19787</v>
      </c>
      <c r="B731" s="513">
        <v>2</v>
      </c>
      <c r="C731" s="513"/>
    </row>
    <row r="732" spans="1:3">
      <c r="A732" s="513" t="s">
        <v>19778</v>
      </c>
      <c r="B732" s="513">
        <v>2</v>
      </c>
      <c r="C732" s="513"/>
    </row>
    <row r="733" spans="1:3">
      <c r="A733" s="513" t="s">
        <v>19775</v>
      </c>
      <c r="B733" s="513">
        <v>2</v>
      </c>
      <c r="C733" s="513"/>
    </row>
    <row r="734" spans="1:3">
      <c r="A734" s="513" t="s">
        <v>19776</v>
      </c>
      <c r="B734" s="513">
        <v>2</v>
      </c>
      <c r="C734" s="513"/>
    </row>
    <row r="735" spans="1:3">
      <c r="A735" s="513" t="s">
        <v>19788</v>
      </c>
      <c r="B735" s="513">
        <v>2</v>
      </c>
      <c r="C735" s="513"/>
    </row>
    <row r="736" spans="1:3">
      <c r="A736" s="513" t="s">
        <v>19774</v>
      </c>
      <c r="B736" s="513">
        <v>2</v>
      </c>
      <c r="C736" s="513"/>
    </row>
    <row r="737" spans="1:3">
      <c r="A737" s="513" t="s">
        <v>19790</v>
      </c>
      <c r="B737" s="513">
        <v>2</v>
      </c>
      <c r="C737" s="513"/>
    </row>
    <row r="738" spans="1:3">
      <c r="A738" s="513" t="s">
        <v>19786</v>
      </c>
      <c r="B738" s="513">
        <v>2</v>
      </c>
      <c r="C738" s="513"/>
    </row>
    <row r="739" spans="1:3">
      <c r="A739" s="513" t="s">
        <v>19782</v>
      </c>
      <c r="B739" s="513">
        <v>2</v>
      </c>
      <c r="C739" s="513"/>
    </row>
    <row r="740" spans="1:3">
      <c r="A740" s="513" t="s">
        <v>19780</v>
      </c>
      <c r="B740" s="513">
        <v>2</v>
      </c>
      <c r="C740" s="513"/>
    </row>
    <row r="741" spans="1:3">
      <c r="A741" s="513" t="s">
        <v>19779</v>
      </c>
      <c r="B741" s="513">
        <v>2</v>
      </c>
      <c r="C741" s="513"/>
    </row>
    <row r="742" spans="1:3">
      <c r="A742" s="513" t="s">
        <v>19808</v>
      </c>
      <c r="B742" s="513">
        <v>2</v>
      </c>
      <c r="C742" s="513"/>
    </row>
    <row r="743" spans="1:3">
      <c r="A743" s="513" t="s">
        <v>19793</v>
      </c>
      <c r="B743" s="513">
        <v>2</v>
      </c>
      <c r="C743" s="513"/>
    </row>
    <row r="744" spans="1:3">
      <c r="A744" s="513" t="s">
        <v>19799</v>
      </c>
      <c r="B744" s="513">
        <v>2</v>
      </c>
      <c r="C744" s="513"/>
    </row>
    <row r="745" spans="1:3">
      <c r="A745" s="513" t="s">
        <v>19811</v>
      </c>
      <c r="B745" s="513">
        <v>2</v>
      </c>
      <c r="C745" s="513"/>
    </row>
    <row r="746" spans="1:3">
      <c r="A746" s="513" t="s">
        <v>19801</v>
      </c>
      <c r="B746" s="513">
        <v>2</v>
      </c>
      <c r="C746" s="513"/>
    </row>
    <row r="747" spans="1:3">
      <c r="A747" s="513" t="s">
        <v>19806</v>
      </c>
      <c r="B747" s="513">
        <v>2</v>
      </c>
      <c r="C747" s="513"/>
    </row>
    <row r="748" spans="1:3">
      <c r="A748" s="513" t="s">
        <v>19822</v>
      </c>
      <c r="B748" s="513">
        <v>2</v>
      </c>
      <c r="C748" s="513"/>
    </row>
    <row r="749" spans="1:3">
      <c r="A749" s="513" t="s">
        <v>19803</v>
      </c>
      <c r="B749" s="513">
        <v>2</v>
      </c>
      <c r="C749" s="513"/>
    </row>
    <row r="750" spans="1:3">
      <c r="A750" s="513" t="s">
        <v>19807</v>
      </c>
      <c r="B750" s="513">
        <v>2</v>
      </c>
      <c r="C750" s="513"/>
    </row>
    <row r="751" spans="1:3">
      <c r="A751" s="513" t="s">
        <v>19795</v>
      </c>
      <c r="B751" s="513">
        <v>2</v>
      </c>
      <c r="C751" s="513"/>
    </row>
    <row r="752" spans="1:3">
      <c r="A752" s="513" t="s">
        <v>19821</v>
      </c>
      <c r="B752" s="513">
        <v>2</v>
      </c>
      <c r="C752" s="513"/>
    </row>
    <row r="753" spans="1:3">
      <c r="A753" s="513" t="s">
        <v>19802</v>
      </c>
      <c r="B753" s="513">
        <v>2</v>
      </c>
      <c r="C753" s="513"/>
    </row>
    <row r="754" spans="1:3">
      <c r="A754" s="513" t="s">
        <v>19796</v>
      </c>
      <c r="B754" s="513">
        <v>2</v>
      </c>
      <c r="C754" s="513"/>
    </row>
    <row r="755" spans="1:3">
      <c r="A755" s="513" t="s">
        <v>19819</v>
      </c>
      <c r="B755" s="513">
        <v>2</v>
      </c>
      <c r="C755" s="513"/>
    </row>
    <row r="756" spans="1:3">
      <c r="A756" s="513" t="s">
        <v>19818</v>
      </c>
      <c r="B756" s="513">
        <v>2</v>
      </c>
      <c r="C756" s="513"/>
    </row>
    <row r="757" spans="1:3">
      <c r="A757" s="513" t="s">
        <v>19797</v>
      </c>
      <c r="B757" s="513">
        <v>2</v>
      </c>
      <c r="C757" s="513"/>
    </row>
    <row r="758" spans="1:3">
      <c r="A758" s="513" t="s">
        <v>19792</v>
      </c>
      <c r="B758" s="513">
        <v>2</v>
      </c>
      <c r="C758" s="513"/>
    </row>
    <row r="759" spans="1:3">
      <c r="A759" s="513" t="s">
        <v>19814</v>
      </c>
      <c r="B759" s="513">
        <v>2</v>
      </c>
      <c r="C759" s="513"/>
    </row>
    <row r="760" spans="1:3">
      <c r="A760" s="513" t="s">
        <v>19812</v>
      </c>
      <c r="B760" s="513">
        <v>2</v>
      </c>
      <c r="C760" s="513"/>
    </row>
    <row r="761" spans="1:3">
      <c r="A761" s="513" t="s">
        <v>19817</v>
      </c>
      <c r="B761" s="513">
        <v>2</v>
      </c>
      <c r="C761" s="513"/>
    </row>
    <row r="762" spans="1:3">
      <c r="A762" s="513" t="s">
        <v>19804</v>
      </c>
      <c r="B762" s="513">
        <v>2</v>
      </c>
      <c r="C762" s="513"/>
    </row>
    <row r="763" spans="1:3">
      <c r="A763" s="513" t="s">
        <v>19798</v>
      </c>
      <c r="B763" s="513">
        <v>2</v>
      </c>
      <c r="C763" s="513"/>
    </row>
    <row r="764" spans="1:3">
      <c r="A764" s="513" t="s">
        <v>19810</v>
      </c>
      <c r="B764" s="513">
        <v>2</v>
      </c>
      <c r="C764" s="513"/>
    </row>
    <row r="765" spans="1:3">
      <c r="A765" s="513" t="s">
        <v>19805</v>
      </c>
      <c r="B765" s="513">
        <v>2</v>
      </c>
      <c r="C765" s="513"/>
    </row>
    <row r="766" spans="1:3">
      <c r="A766" s="513" t="s">
        <v>19809</v>
      </c>
      <c r="B766" s="513">
        <v>2</v>
      </c>
      <c r="C766" s="513"/>
    </row>
    <row r="767" spans="1:3">
      <c r="A767" s="513" t="s">
        <v>19815</v>
      </c>
      <c r="B767" s="513">
        <v>2</v>
      </c>
      <c r="C767" s="513"/>
    </row>
    <row r="768" spans="1:3">
      <c r="A768" s="513" t="s">
        <v>19813</v>
      </c>
      <c r="B768" s="513">
        <v>2</v>
      </c>
      <c r="C768" s="513"/>
    </row>
    <row r="769" spans="1:3">
      <c r="A769" s="513" t="s">
        <v>19816</v>
      </c>
      <c r="B769" s="513">
        <v>2</v>
      </c>
      <c r="C769" s="513"/>
    </row>
    <row r="770" spans="1:3">
      <c r="A770" s="513" t="s">
        <v>19823</v>
      </c>
      <c r="B770" s="513">
        <v>2</v>
      </c>
      <c r="C770" s="513"/>
    </row>
    <row r="771" spans="1:3">
      <c r="A771" s="513" t="s">
        <v>19794</v>
      </c>
      <c r="B771" s="513">
        <v>2</v>
      </c>
      <c r="C771" s="513"/>
    </row>
    <row r="772" spans="1:3">
      <c r="A772" s="513" t="s">
        <v>19800</v>
      </c>
      <c r="B772" s="513">
        <v>2</v>
      </c>
      <c r="C772" s="513"/>
    </row>
    <row r="773" spans="1:3">
      <c r="A773" s="513" t="s">
        <v>19820</v>
      </c>
      <c r="B773" s="513">
        <v>2</v>
      </c>
      <c r="C773" s="513"/>
    </row>
    <row r="774" spans="1:3">
      <c r="A774" s="513" t="s">
        <v>19824</v>
      </c>
      <c r="B774" s="513">
        <v>2</v>
      </c>
      <c r="C774" s="513"/>
    </row>
    <row r="775" spans="1:3">
      <c r="A775" s="513" t="s">
        <v>20003</v>
      </c>
      <c r="B775" s="513">
        <v>2</v>
      </c>
      <c r="C775" s="513"/>
    </row>
    <row r="776" spans="1:3">
      <c r="A776" s="513" t="s">
        <v>19829</v>
      </c>
      <c r="B776" s="513">
        <v>4</v>
      </c>
      <c r="C776" s="513"/>
    </row>
    <row r="777" spans="1:3">
      <c r="A777" s="513" t="s">
        <v>19830</v>
      </c>
      <c r="B777" s="513">
        <v>4</v>
      </c>
      <c r="C777" s="513"/>
    </row>
    <row r="778" spans="1:3">
      <c r="A778" s="513" t="s">
        <v>19827</v>
      </c>
      <c r="B778" s="513">
        <v>4</v>
      </c>
      <c r="C778" s="513"/>
    </row>
    <row r="779" spans="1:3">
      <c r="A779" s="513" t="s">
        <v>19828</v>
      </c>
      <c r="B779" s="513">
        <v>4</v>
      </c>
      <c r="C779" s="513"/>
    </row>
    <row r="780" spans="1:3">
      <c r="A780" s="513" t="s">
        <v>19831</v>
      </c>
      <c r="B780" s="513">
        <v>4</v>
      </c>
      <c r="C780" s="513"/>
    </row>
    <row r="781" spans="1:3">
      <c r="A781" s="513" t="s">
        <v>19826</v>
      </c>
      <c r="B781" s="513">
        <v>4</v>
      </c>
      <c r="C781" s="513"/>
    </row>
    <row r="782" spans="1:3">
      <c r="A782" s="513" t="s">
        <v>19832</v>
      </c>
      <c r="B782" s="513">
        <v>4</v>
      </c>
      <c r="C782" s="513"/>
    </row>
    <row r="783" spans="1:3">
      <c r="A783" s="513" t="s">
        <v>19986</v>
      </c>
      <c r="B783" s="513">
        <v>4</v>
      </c>
      <c r="C783" s="513"/>
    </row>
    <row r="784" spans="1:3">
      <c r="A784" s="513" t="s">
        <v>19768</v>
      </c>
      <c r="B784" s="513">
        <v>32874</v>
      </c>
      <c r="C784" s="513"/>
    </row>
    <row r="785" spans="1:3">
      <c r="A785" s="513" t="s">
        <v>19767</v>
      </c>
      <c r="B785" s="513">
        <v>32874</v>
      </c>
      <c r="C785" s="513"/>
    </row>
    <row r="786" spans="1:3">
      <c r="A786" s="513" t="s">
        <v>19833</v>
      </c>
      <c r="B786" s="513">
        <v>6</v>
      </c>
      <c r="C786" s="513"/>
    </row>
    <row r="787" spans="1:3">
      <c r="A787" s="513" t="s">
        <v>20007</v>
      </c>
      <c r="B787" s="513">
        <v>6</v>
      </c>
      <c r="C787" s="513"/>
    </row>
    <row r="788" spans="1:3">
      <c r="A788" s="513" t="s">
        <v>19825</v>
      </c>
      <c r="B788" s="513">
        <v>65748</v>
      </c>
      <c r="C788" s="513"/>
    </row>
    <row r="789" spans="1:3">
      <c r="A789" s="513" t="s">
        <v>1600</v>
      </c>
      <c r="B789" s="513">
        <v>1</v>
      </c>
      <c r="C789" s="513"/>
    </row>
    <row r="790" spans="1:3">
      <c r="A790" s="513" t="s">
        <v>1609</v>
      </c>
      <c r="B790" s="513">
        <v>1</v>
      </c>
      <c r="C790" s="513"/>
    </row>
    <row r="791" spans="1:3">
      <c r="A791" s="513" t="s">
        <v>1608</v>
      </c>
      <c r="B791" s="513">
        <v>1</v>
      </c>
      <c r="C791" s="513"/>
    </row>
    <row r="792" spans="1:3">
      <c r="A792" s="513" t="s">
        <v>1601</v>
      </c>
      <c r="B792" s="513">
        <v>1</v>
      </c>
      <c r="C792" s="513"/>
    </row>
    <row r="793" spans="1:3">
      <c r="A793" s="513" t="s">
        <v>20018</v>
      </c>
      <c r="B793" s="513">
        <v>1</v>
      </c>
      <c r="C793" s="513"/>
    </row>
    <row r="794" spans="1:3">
      <c r="A794" s="513" t="s">
        <v>19609</v>
      </c>
      <c r="B794" s="513">
        <v>1</v>
      </c>
      <c r="C794" s="513"/>
    </row>
    <row r="795" spans="1:3">
      <c r="A795" s="513" t="s">
        <v>1603</v>
      </c>
      <c r="B795" s="513">
        <v>1</v>
      </c>
      <c r="C795" s="513"/>
    </row>
    <row r="796" spans="1:3">
      <c r="A796" s="513" t="s">
        <v>20113</v>
      </c>
      <c r="B796" s="513">
        <v>1</v>
      </c>
      <c r="C796" s="513"/>
    </row>
    <row r="797" spans="1:3">
      <c r="A797" s="513" t="s">
        <v>19835</v>
      </c>
      <c r="B797" s="513">
        <v>17</v>
      </c>
      <c r="C797" s="513"/>
    </row>
    <row r="798" spans="1:3">
      <c r="A798" s="513" t="s">
        <v>19834</v>
      </c>
      <c r="B798" s="513">
        <v>17</v>
      </c>
      <c r="C798" s="513"/>
    </row>
    <row r="799" spans="1:3">
      <c r="A799" s="513" t="s">
        <v>20368</v>
      </c>
      <c r="B799" s="513">
        <v>1E-4</v>
      </c>
      <c r="C799" s="513"/>
    </row>
    <row r="800" spans="1:3">
      <c r="A800" s="513" t="s">
        <v>20369</v>
      </c>
      <c r="B800" s="513">
        <v>1E-4</v>
      </c>
      <c r="C800" s="513"/>
    </row>
    <row r="801" spans="1:3">
      <c r="A801" s="513" t="s">
        <v>20370</v>
      </c>
      <c r="B801" s="513">
        <v>1E-4</v>
      </c>
      <c r="C801" s="513"/>
    </row>
    <row r="802" spans="1:3">
      <c r="A802" s="513" t="s">
        <v>19836</v>
      </c>
      <c r="B802" s="513">
        <v>34</v>
      </c>
      <c r="C802" s="513"/>
    </row>
    <row r="803" spans="1:3">
      <c r="A803" s="513" t="s">
        <v>19837</v>
      </c>
      <c r="B803" s="513">
        <v>3</v>
      </c>
      <c r="C803" s="513"/>
    </row>
    <row r="804" spans="1:3">
      <c r="A804" s="513" t="s">
        <v>19838</v>
      </c>
      <c r="B804" s="513">
        <v>3</v>
      </c>
      <c r="C804" s="513"/>
    </row>
    <row r="805" spans="1:3">
      <c r="A805" s="513" t="s">
        <v>19839</v>
      </c>
      <c r="B805" s="513">
        <v>20</v>
      </c>
      <c r="C805" s="513"/>
    </row>
    <row r="806" spans="1:3">
      <c r="A806" s="513" t="s">
        <v>19840</v>
      </c>
      <c r="B806" s="513">
        <v>20</v>
      </c>
      <c r="C806" s="513"/>
    </row>
    <row r="807" spans="1:3">
      <c r="A807" s="513" t="s">
        <v>19841</v>
      </c>
      <c r="B807" s="513">
        <v>40</v>
      </c>
      <c r="C807" s="513"/>
    </row>
    <row r="808" spans="1:3">
      <c r="A808" s="513" t="s">
        <v>20028</v>
      </c>
      <c r="B808" s="513">
        <v>5741954</v>
      </c>
      <c r="C808" s="513"/>
    </row>
    <row r="809" spans="1:3">
      <c r="A809" s="513" t="s">
        <v>19861</v>
      </c>
      <c r="B809" s="513">
        <v>5741954</v>
      </c>
      <c r="C809" s="513"/>
    </row>
    <row r="810" spans="1:3">
      <c r="A810" s="513" t="s">
        <v>19858</v>
      </c>
      <c r="B810" s="513">
        <v>5741954</v>
      </c>
      <c r="C810" s="513"/>
    </row>
    <row r="811" spans="1:3">
      <c r="A811" s="513" t="s">
        <v>20371</v>
      </c>
      <c r="B811" s="513">
        <v>30000000</v>
      </c>
      <c r="C811" s="513"/>
    </row>
    <row r="812" spans="1:3">
      <c r="A812" s="513" t="s">
        <v>20372</v>
      </c>
      <c r="B812" s="513">
        <v>30000000</v>
      </c>
      <c r="C812" s="513"/>
    </row>
    <row r="813" spans="1:3">
      <c r="A813" s="513" t="s">
        <v>20025</v>
      </c>
      <c r="B813" s="513">
        <v>1249310</v>
      </c>
      <c r="C813" s="513"/>
    </row>
    <row r="814" spans="1:3">
      <c r="A814" s="513" t="s">
        <v>19851</v>
      </c>
      <c r="B814" s="513">
        <v>872303400</v>
      </c>
      <c r="C814" s="513"/>
    </row>
    <row r="815" spans="1:3">
      <c r="A815" s="513" t="s">
        <v>19852</v>
      </c>
      <c r="B815" s="513">
        <v>-410702242</v>
      </c>
      <c r="C815" s="513"/>
    </row>
    <row r="816" spans="1:3">
      <c r="A816" s="513" t="s">
        <v>20115</v>
      </c>
      <c r="B816" s="513">
        <v>-35247388</v>
      </c>
      <c r="C816" s="513"/>
    </row>
    <row r="817" spans="1:3">
      <c r="A817" s="513" t="s">
        <v>19844</v>
      </c>
      <c r="B817" s="513">
        <v>461601158</v>
      </c>
      <c r="C817" s="513"/>
    </row>
    <row r="818" spans="1:3">
      <c r="A818" s="513" t="s">
        <v>19850</v>
      </c>
      <c r="B818" s="513">
        <v>146431887</v>
      </c>
      <c r="C818" s="513"/>
    </row>
    <row r="819" spans="1:3">
      <c r="A819" s="513" t="s">
        <v>19849</v>
      </c>
      <c r="B819" s="513">
        <v>9694986</v>
      </c>
      <c r="C819" s="513"/>
    </row>
    <row r="820" spans="1:3">
      <c r="A820" s="513" t="s">
        <v>20026</v>
      </c>
      <c r="B820" s="513">
        <v>210192676</v>
      </c>
      <c r="C820" s="513"/>
    </row>
    <row r="821" spans="1:3">
      <c r="A821" s="513" t="s">
        <v>20114</v>
      </c>
      <c r="B821" s="513">
        <v>-320986717</v>
      </c>
      <c r="C821" s="513"/>
    </row>
    <row r="822" spans="1:3">
      <c r="A822" s="513" t="s">
        <v>20083</v>
      </c>
      <c r="B822" s="513">
        <v>94032299</v>
      </c>
      <c r="C822" s="513"/>
    </row>
    <row r="823" spans="1:3">
      <c r="A823" s="513" t="s">
        <v>19859</v>
      </c>
      <c r="B823" s="513">
        <v>-983489791</v>
      </c>
      <c r="C823" s="513"/>
    </row>
    <row r="824" spans="1:3">
      <c r="A824" s="513" t="s">
        <v>19853</v>
      </c>
      <c r="B824" s="513">
        <v>-5953145745</v>
      </c>
      <c r="C824" s="513"/>
    </row>
    <row r="825" spans="1:3">
      <c r="A825" s="513" t="s">
        <v>19856</v>
      </c>
      <c r="B825" s="513">
        <v>4079600000</v>
      </c>
      <c r="C825" s="513"/>
    </row>
    <row r="826" spans="1:3">
      <c r="A826" s="513" t="s">
        <v>19860</v>
      </c>
      <c r="B826" s="513">
        <v>-983489791</v>
      </c>
      <c r="C826" s="513"/>
    </row>
    <row r="827" spans="1:3">
      <c r="A827" s="513" t="s">
        <v>19857</v>
      </c>
      <c r="B827" s="513">
        <v>884314000</v>
      </c>
      <c r="C827" s="513"/>
    </row>
    <row r="828" spans="1:3">
      <c r="A828" s="513" t="s">
        <v>19855</v>
      </c>
      <c r="B828" s="513">
        <v>-983489791</v>
      </c>
      <c r="C828" s="513"/>
    </row>
    <row r="829" spans="1:3">
      <c r="A829" s="513" t="s">
        <v>19854</v>
      </c>
      <c r="B829" s="513">
        <v>-983489791</v>
      </c>
      <c r="C829" s="513"/>
    </row>
    <row r="830" spans="1:3">
      <c r="A830" s="513" t="s">
        <v>19865</v>
      </c>
      <c r="B830" s="513">
        <v>7825586</v>
      </c>
      <c r="C830" s="513"/>
    </row>
    <row r="831" spans="1:3">
      <c r="A831" s="513" t="s">
        <v>20117</v>
      </c>
      <c r="B831" s="513">
        <v>185346483</v>
      </c>
      <c r="C831" s="513"/>
    </row>
    <row r="832" spans="1:3">
      <c r="A832" s="513" t="s">
        <v>19867</v>
      </c>
      <c r="B832" s="513">
        <v>7825586</v>
      </c>
      <c r="C832" s="513"/>
    </row>
    <row r="833" spans="1:3">
      <c r="A833" s="513" t="s">
        <v>19864</v>
      </c>
      <c r="B833" s="513">
        <v>7825586</v>
      </c>
      <c r="C833" s="513"/>
    </row>
    <row r="834" spans="1:3">
      <c r="A834" s="513" t="s">
        <v>19862</v>
      </c>
      <c r="B834" s="513">
        <v>205358956</v>
      </c>
      <c r="C834" s="513"/>
    </row>
    <row r="835" spans="1:3">
      <c r="A835" s="513" t="s">
        <v>19866</v>
      </c>
      <c r="B835" s="513">
        <v>7825586</v>
      </c>
      <c r="C835" s="513"/>
    </row>
    <row r="836" spans="1:3">
      <c r="A836" s="513" t="s">
        <v>20085</v>
      </c>
      <c r="B836" s="513">
        <v>12186887</v>
      </c>
      <c r="C836" s="513"/>
    </row>
    <row r="837" spans="1:3">
      <c r="A837" s="513" t="s">
        <v>20084</v>
      </c>
      <c r="B837" s="513">
        <v>12186887</v>
      </c>
      <c r="C837" s="513"/>
    </row>
    <row r="838" spans="1:3">
      <c r="A838" s="513" t="s">
        <v>20118</v>
      </c>
      <c r="B838" s="513">
        <v>185346483</v>
      </c>
      <c r="C838" s="513"/>
    </row>
    <row r="839" spans="1:3">
      <c r="A839" s="513" t="s">
        <v>19869</v>
      </c>
      <c r="B839" s="513">
        <v>205358956</v>
      </c>
      <c r="C839" s="513"/>
    </row>
    <row r="840" spans="1:3">
      <c r="A840" s="513" t="s">
        <v>19871</v>
      </c>
      <c r="B840" s="513">
        <v>104341150</v>
      </c>
      <c r="C840" s="513"/>
    </row>
    <row r="841" spans="1:3">
      <c r="A841" s="513" t="s">
        <v>19874</v>
      </c>
      <c r="B841" s="513">
        <v>104341150</v>
      </c>
      <c r="C841" s="513"/>
    </row>
    <row r="842" spans="1:3">
      <c r="A842" s="513" t="s">
        <v>20029</v>
      </c>
      <c r="B842" s="513">
        <v>409664416</v>
      </c>
      <c r="C842" s="513"/>
    </row>
    <row r="843" spans="1:3">
      <c r="A843" s="513" t="s">
        <v>20087</v>
      </c>
      <c r="B843" s="513">
        <v>16864737</v>
      </c>
      <c r="C843" s="513"/>
    </row>
    <row r="844" spans="1:3">
      <c r="A844" s="513" t="s">
        <v>19875</v>
      </c>
      <c r="B844" s="513">
        <v>104341150</v>
      </c>
      <c r="C844" s="513"/>
    </row>
    <row r="845" spans="1:3">
      <c r="A845" s="513" t="s">
        <v>20030</v>
      </c>
      <c r="B845" s="513">
        <v>409664416</v>
      </c>
      <c r="C845" s="513"/>
    </row>
    <row r="846" spans="1:3">
      <c r="A846" s="513" t="s">
        <v>19870</v>
      </c>
      <c r="B846" s="513">
        <v>530870303</v>
      </c>
      <c r="C846" s="513"/>
    </row>
    <row r="847" spans="1:3">
      <c r="A847" s="513" t="s">
        <v>20086</v>
      </c>
      <c r="B847" s="513">
        <v>16864737</v>
      </c>
      <c r="C847" s="513"/>
    </row>
    <row r="848" spans="1:3">
      <c r="A848" s="513" t="s">
        <v>19872</v>
      </c>
      <c r="B848" s="513">
        <v>530870303</v>
      </c>
      <c r="C848" s="513"/>
    </row>
    <row r="849" spans="1:3">
      <c r="A849" s="513" t="s">
        <v>19873</v>
      </c>
      <c r="B849" s="513">
        <v>104341150</v>
      </c>
      <c r="C849" s="513"/>
    </row>
    <row r="850" spans="1:3">
      <c r="A850" s="513" t="s">
        <v>20126</v>
      </c>
      <c r="B850" s="513">
        <v>131417973</v>
      </c>
      <c r="C850" s="513"/>
    </row>
    <row r="851" spans="1:3">
      <c r="A851" s="513" t="s">
        <v>20127</v>
      </c>
      <c r="B851" s="513">
        <v>131417973</v>
      </c>
      <c r="C851" s="513"/>
    </row>
    <row r="852" spans="1:3">
      <c r="A852" s="513" t="s">
        <v>20128</v>
      </c>
      <c r="B852" s="513">
        <v>131417973</v>
      </c>
      <c r="C852" s="513"/>
    </row>
    <row r="853" spans="1:3">
      <c r="A853" s="513" t="s">
        <v>20129</v>
      </c>
      <c r="B853" s="513">
        <v>131417973</v>
      </c>
      <c r="C853" s="513"/>
    </row>
    <row r="854" spans="1:3">
      <c r="A854" s="513" t="s">
        <v>20125</v>
      </c>
      <c r="B854" s="513">
        <v>131417973</v>
      </c>
      <c r="C854" s="513"/>
    </row>
    <row r="855" spans="1:3">
      <c r="A855" s="513" t="s">
        <v>20130</v>
      </c>
      <c r="B855" s="513">
        <v>131417973</v>
      </c>
      <c r="C855" s="513"/>
    </row>
    <row r="856" spans="1:3">
      <c r="A856" s="513" t="s">
        <v>20123</v>
      </c>
      <c r="B856" s="513">
        <v>131417973</v>
      </c>
      <c r="C856" s="513"/>
    </row>
    <row r="857" spans="1:3">
      <c r="A857" s="513" t="s">
        <v>20131</v>
      </c>
      <c r="B857" s="513">
        <v>131417973</v>
      </c>
      <c r="C857" s="513"/>
    </row>
    <row r="858" spans="1:3">
      <c r="A858" s="513" t="s">
        <v>20136</v>
      </c>
      <c r="B858" s="513">
        <v>131417973</v>
      </c>
      <c r="C858" s="513"/>
    </row>
    <row r="859" spans="1:3">
      <c r="A859" s="513" t="s">
        <v>20133</v>
      </c>
      <c r="B859" s="513">
        <v>131417973</v>
      </c>
      <c r="C859" s="513"/>
    </row>
    <row r="860" spans="1:3">
      <c r="A860" s="513" t="s">
        <v>20132</v>
      </c>
      <c r="B860" s="513">
        <v>131417973</v>
      </c>
      <c r="C860" s="513"/>
    </row>
    <row r="861" spans="1:3">
      <c r="A861" s="513" t="s">
        <v>20134</v>
      </c>
      <c r="B861" s="513">
        <v>131417973</v>
      </c>
      <c r="C861" s="513"/>
    </row>
    <row r="862" spans="1:3">
      <c r="A862" s="513" t="s">
        <v>19879</v>
      </c>
      <c r="B862" s="513">
        <v>548710486</v>
      </c>
      <c r="C862" s="513"/>
    </row>
    <row r="863" spans="1:3">
      <c r="A863" s="513" t="s">
        <v>19881</v>
      </c>
      <c r="B863" s="513">
        <v>548710486</v>
      </c>
      <c r="C863" s="513"/>
    </row>
    <row r="864" spans="1:3">
      <c r="A864" s="513" t="s">
        <v>19878</v>
      </c>
      <c r="B864" s="513">
        <v>548710486</v>
      </c>
      <c r="C864" s="513"/>
    </row>
    <row r="865" spans="1:3">
      <c r="A865" s="513" t="s">
        <v>19880</v>
      </c>
      <c r="B865" s="513">
        <v>548710486</v>
      </c>
      <c r="C865" s="513"/>
    </row>
    <row r="866" spans="1:3">
      <c r="A866" s="513" t="s">
        <v>19877</v>
      </c>
      <c r="B866" s="513">
        <v>548710486</v>
      </c>
      <c r="C866" s="513"/>
    </row>
    <row r="867" spans="1:3">
      <c r="A867" s="513" t="s">
        <v>19876</v>
      </c>
      <c r="B867" s="513">
        <v>548710486</v>
      </c>
      <c r="C867" s="513"/>
    </row>
    <row r="868" spans="1:3">
      <c r="A868" s="513" t="s">
        <v>20373</v>
      </c>
      <c r="B868" s="513">
        <v>-14009753</v>
      </c>
      <c r="C868" s="513"/>
    </row>
    <row r="869" spans="1:3">
      <c r="A869" s="513" t="s">
        <v>19883</v>
      </c>
      <c r="B869" s="513">
        <v>5647879</v>
      </c>
      <c r="C869" s="513"/>
    </row>
    <row r="870" spans="1:3">
      <c r="A870" s="513" t="s">
        <v>19885</v>
      </c>
      <c r="B870" s="513">
        <v>29905186</v>
      </c>
      <c r="C870" s="513"/>
    </row>
    <row r="871" spans="1:3">
      <c r="A871" s="513" t="s">
        <v>20088</v>
      </c>
      <c r="B871" s="513">
        <v>308467</v>
      </c>
      <c r="C871" s="513"/>
    </row>
    <row r="872" spans="1:3">
      <c r="A872" s="513" t="s">
        <v>19887</v>
      </c>
      <c r="B872" s="513">
        <v>15895433</v>
      </c>
      <c r="C872" s="513"/>
    </row>
    <row r="873" spans="1:3">
      <c r="A873" s="513" t="s">
        <v>20374</v>
      </c>
      <c r="B873" s="513">
        <v>-14009753</v>
      </c>
      <c r="C873" s="513"/>
    </row>
    <row r="874" spans="1:3">
      <c r="A874" s="513" t="s">
        <v>19882</v>
      </c>
      <c r="B874" s="513">
        <v>5647879</v>
      </c>
      <c r="C874" s="513"/>
    </row>
    <row r="875" spans="1:3">
      <c r="A875" s="513" t="s">
        <v>20375</v>
      </c>
      <c r="B875" s="513">
        <v>22923786</v>
      </c>
      <c r="C875" s="513"/>
    </row>
    <row r="876" spans="1:3">
      <c r="A876" s="513" t="s">
        <v>19884</v>
      </c>
      <c r="B876" s="513">
        <v>1025054</v>
      </c>
      <c r="C876" s="513"/>
    </row>
    <row r="877" spans="1:3">
      <c r="A877" s="513" t="s">
        <v>20089</v>
      </c>
      <c r="B877" s="513">
        <v>308467</v>
      </c>
      <c r="C877" s="513"/>
    </row>
    <row r="878" spans="1:3">
      <c r="A878" s="513" t="s">
        <v>20376</v>
      </c>
      <c r="B878" s="513">
        <v>8914033</v>
      </c>
      <c r="C878" s="513"/>
    </row>
    <row r="879" spans="1:3">
      <c r="A879" s="513" t="s">
        <v>19886</v>
      </c>
      <c r="B879" s="513">
        <v>1025054</v>
      </c>
      <c r="C879" s="513"/>
    </row>
    <row r="880" spans="1:3">
      <c r="A880" s="513" t="s">
        <v>19889</v>
      </c>
      <c r="B880" s="513">
        <v>411178276</v>
      </c>
      <c r="C880" s="513"/>
    </row>
    <row r="881" spans="1:3">
      <c r="A881" s="513" t="s">
        <v>19888</v>
      </c>
      <c r="B881" s="513">
        <v>411178276</v>
      </c>
      <c r="C881" s="513"/>
    </row>
    <row r="882" spans="1:3">
      <c r="A882" s="513" t="s">
        <v>19890</v>
      </c>
      <c r="B882" s="513">
        <v>409935202</v>
      </c>
      <c r="C882" s="513"/>
    </row>
    <row r="883" spans="1:3">
      <c r="A883" s="513" t="s">
        <v>19891</v>
      </c>
      <c r="B883" s="513">
        <v>1243074</v>
      </c>
      <c r="C883" s="513"/>
    </row>
    <row r="884" spans="1:3">
      <c r="A884" s="513" t="s">
        <v>19897</v>
      </c>
      <c r="B884" s="513">
        <v>1481027446</v>
      </c>
      <c r="C884" s="513"/>
    </row>
    <row r="885" spans="1:3">
      <c r="A885" s="513" t="s">
        <v>19892</v>
      </c>
      <c r="B885" s="513">
        <v>1481027446</v>
      </c>
      <c r="C885" s="513"/>
    </row>
    <row r="886" spans="1:3">
      <c r="A886" s="513" t="s">
        <v>20377</v>
      </c>
      <c r="B886" s="513">
        <v>597597760</v>
      </c>
      <c r="C886" s="513"/>
    </row>
    <row r="887" spans="1:3">
      <c r="A887" s="513" t="s">
        <v>19893</v>
      </c>
      <c r="B887" s="513">
        <v>1481027446</v>
      </c>
      <c r="C887" s="513"/>
    </row>
    <row r="888" spans="1:3">
      <c r="A888" s="513" t="s">
        <v>19894</v>
      </c>
      <c r="B888" s="513">
        <v>883429686</v>
      </c>
      <c r="C888" s="513"/>
    </row>
    <row r="889" spans="1:3">
      <c r="A889" s="513" t="s">
        <v>20378</v>
      </c>
      <c r="B889" s="513">
        <v>597597760</v>
      </c>
      <c r="C889" s="513"/>
    </row>
    <row r="890" spans="1:3">
      <c r="A890" s="513" t="s">
        <v>19896</v>
      </c>
      <c r="B890" s="513">
        <v>1481027446</v>
      </c>
      <c r="C890" s="513"/>
    </row>
    <row r="891" spans="1:3">
      <c r="A891" s="513" t="s">
        <v>19895</v>
      </c>
      <c r="B891" s="513">
        <v>883429686</v>
      </c>
      <c r="C891" s="513"/>
    </row>
    <row r="892" spans="1:3">
      <c r="A892" s="513" t="s">
        <v>19900</v>
      </c>
      <c r="B892" s="513">
        <v>411178276</v>
      </c>
      <c r="C892" s="513"/>
    </row>
    <row r="893" spans="1:3">
      <c r="A893" s="513" t="s">
        <v>19898</v>
      </c>
      <c r="B893" s="513">
        <v>411178276</v>
      </c>
      <c r="C893" s="513"/>
    </row>
    <row r="894" spans="1:3">
      <c r="A894" s="513" t="s">
        <v>19899</v>
      </c>
      <c r="B894" s="513">
        <v>411178276</v>
      </c>
      <c r="C894" s="513"/>
    </row>
    <row r="895" spans="1:3">
      <c r="A895" s="513" t="s">
        <v>19901</v>
      </c>
      <c r="B895" s="513">
        <v>76386633</v>
      </c>
      <c r="C895" s="513"/>
    </row>
    <row r="896" spans="1:3">
      <c r="A896" s="513" t="s">
        <v>19902</v>
      </c>
      <c r="B896" s="513">
        <v>76386633</v>
      </c>
      <c r="C896" s="513"/>
    </row>
    <row r="897" spans="1:3">
      <c r="A897" s="513" t="s">
        <v>19904</v>
      </c>
      <c r="B897" s="513">
        <v>1243074</v>
      </c>
      <c r="C897" s="513"/>
    </row>
    <row r="898" spans="1:3">
      <c r="A898" s="513" t="s">
        <v>19905</v>
      </c>
      <c r="B898" s="513">
        <v>409935202</v>
      </c>
      <c r="C898" s="513"/>
    </row>
    <row r="899" spans="1:3">
      <c r="A899" s="513" t="s">
        <v>19903</v>
      </c>
      <c r="B899" s="513">
        <v>411178276</v>
      </c>
      <c r="C899" s="513"/>
    </row>
    <row r="900" spans="1:3">
      <c r="A900" s="513" t="s">
        <v>19906</v>
      </c>
      <c r="B900" s="513">
        <v>49423014</v>
      </c>
      <c r="C900" s="513"/>
    </row>
    <row r="901" spans="1:3">
      <c r="A901" s="513" t="s">
        <v>19908</v>
      </c>
      <c r="B901" s="513">
        <v>21846619</v>
      </c>
      <c r="C901" s="513"/>
    </row>
    <row r="902" spans="1:3">
      <c r="A902" s="513" t="s">
        <v>20379</v>
      </c>
      <c r="B902" s="513">
        <v>21846619</v>
      </c>
      <c r="C902" s="513"/>
    </row>
    <row r="903" spans="1:3">
      <c r="A903" s="513" t="s">
        <v>19907</v>
      </c>
      <c r="B903" s="513">
        <v>21846619</v>
      </c>
      <c r="C903" s="513"/>
    </row>
    <row r="904" spans="1:3">
      <c r="A904" s="513" t="s">
        <v>1592</v>
      </c>
      <c r="B904" s="513">
        <v>14216512</v>
      </c>
      <c r="C904" s="513"/>
    </row>
    <row r="905" spans="1:3">
      <c r="A905" s="513" t="s">
        <v>19909</v>
      </c>
      <c r="B905" s="513">
        <v>1243074</v>
      </c>
      <c r="C905" s="513"/>
    </row>
    <row r="906" spans="1:3">
      <c r="A906" s="513" t="s">
        <v>19910</v>
      </c>
      <c r="B906" s="513">
        <v>1243074</v>
      </c>
      <c r="C906" s="513"/>
    </row>
    <row r="907" spans="1:3">
      <c r="A907" s="513" t="s">
        <v>19911</v>
      </c>
      <c r="B907" s="513">
        <v>1243074</v>
      </c>
      <c r="C907" s="513"/>
    </row>
    <row r="908" spans="1:3">
      <c r="A908" s="513" t="s">
        <v>20041</v>
      </c>
      <c r="B908" s="513">
        <v>1707518455</v>
      </c>
      <c r="C908" s="513"/>
    </row>
    <row r="909" spans="1:3">
      <c r="A909" s="513" t="s">
        <v>19912</v>
      </c>
      <c r="B909" s="513">
        <v>1707518455</v>
      </c>
      <c r="C909" s="513"/>
    </row>
    <row r="910" spans="1:3">
      <c r="A910" s="513" t="s">
        <v>19913</v>
      </c>
      <c r="B910" s="513">
        <v>548710486</v>
      </c>
      <c r="C910" s="513"/>
    </row>
    <row r="911" spans="1:3">
      <c r="A911" s="513" t="s">
        <v>20042</v>
      </c>
      <c r="B911" s="513">
        <v>548710486</v>
      </c>
      <c r="C911" s="513"/>
    </row>
    <row r="912" spans="1:3">
      <c r="A912" s="513" t="s">
        <v>19914</v>
      </c>
      <c r="B912" s="513">
        <v>548710486</v>
      </c>
      <c r="C912" s="513"/>
    </row>
    <row r="913" spans="1:3">
      <c r="A913" s="513" t="s">
        <v>20043</v>
      </c>
      <c r="B913" s="513">
        <v>548710486</v>
      </c>
      <c r="C913" s="513"/>
    </row>
    <row r="914" spans="1:3">
      <c r="A914" s="513" t="s">
        <v>20148</v>
      </c>
      <c r="B914" s="513">
        <v>71571130</v>
      </c>
      <c r="C914" s="513"/>
    </row>
    <row r="915" spans="1:3">
      <c r="A915" s="513" t="s">
        <v>20380</v>
      </c>
      <c r="B915" s="513">
        <v>71571130</v>
      </c>
      <c r="C915" s="513"/>
    </row>
    <row r="916" spans="1:3">
      <c r="A916" s="513" t="s">
        <v>20145</v>
      </c>
      <c r="B916" s="513">
        <v>71571130</v>
      </c>
      <c r="C916" s="513"/>
    </row>
    <row r="917" spans="1:3">
      <c r="A917" s="513" t="s">
        <v>20381</v>
      </c>
      <c r="B917" s="513">
        <v>71571130</v>
      </c>
      <c r="C917" s="513"/>
    </row>
    <row r="918" spans="1:3">
      <c r="A918" s="513" t="s">
        <v>20382</v>
      </c>
      <c r="B918" s="513">
        <v>71571130</v>
      </c>
      <c r="C918" s="513"/>
    </row>
    <row r="919" spans="1:3">
      <c r="A919" s="513" t="s">
        <v>20144</v>
      </c>
      <c r="B919" s="513">
        <v>71571130</v>
      </c>
      <c r="C919" s="513"/>
    </row>
    <row r="920" spans="1:3">
      <c r="A920" s="513" t="s">
        <v>20383</v>
      </c>
      <c r="B920" s="513">
        <v>71571130</v>
      </c>
      <c r="C920" s="513"/>
    </row>
    <row r="921" spans="1:3">
      <c r="A921" s="513" t="s">
        <v>20141</v>
      </c>
      <c r="B921" s="513">
        <v>71571130</v>
      </c>
      <c r="C921" s="513"/>
    </row>
    <row r="922" spans="1:3">
      <c r="A922" s="513" t="s">
        <v>19915</v>
      </c>
      <c r="B922" s="513">
        <v>548710486</v>
      </c>
      <c r="C922" s="513"/>
    </row>
    <row r="923" spans="1:3">
      <c r="A923" s="513" t="s">
        <v>19916</v>
      </c>
      <c r="B923" s="513">
        <v>548710486</v>
      </c>
      <c r="C923" s="513"/>
    </row>
    <row r="924" spans="1:3">
      <c r="A924" s="513" t="s">
        <v>19917</v>
      </c>
      <c r="B924" s="513">
        <v>311106595</v>
      </c>
      <c r="C924" s="513"/>
    </row>
    <row r="925" spans="1:3">
      <c r="A925" s="513" t="s">
        <v>20090</v>
      </c>
      <c r="B925" s="513">
        <v>174109631</v>
      </c>
      <c r="C925" s="513"/>
    </row>
    <row r="926" spans="1:3">
      <c r="A926" s="513" t="s">
        <v>19918</v>
      </c>
      <c r="B926" s="513">
        <v>1986909528</v>
      </c>
      <c r="C926" s="513"/>
    </row>
    <row r="927" spans="1:3">
      <c r="A927" s="513" t="s">
        <v>19919</v>
      </c>
      <c r="B927" s="513">
        <v>548710486</v>
      </c>
      <c r="C927" s="513"/>
    </row>
    <row r="928" spans="1:3">
      <c r="A928" s="513" t="s">
        <v>19920</v>
      </c>
      <c r="B928" s="513">
        <v>-66906880</v>
      </c>
      <c r="C928" s="513"/>
    </row>
    <row r="929" spans="1:3">
      <c r="A929" s="513" t="s">
        <v>19921</v>
      </c>
      <c r="B929" s="513">
        <v>615617366</v>
      </c>
      <c r="C929" s="513"/>
    </row>
    <row r="930" spans="1:3">
      <c r="A930" s="513" t="s">
        <v>19922</v>
      </c>
      <c r="B930" s="513">
        <v>548710486</v>
      </c>
      <c r="C930" s="513"/>
    </row>
    <row r="931" spans="1:3">
      <c r="A931" s="513" t="s">
        <v>20152</v>
      </c>
      <c r="B931" s="513">
        <v>71571130</v>
      </c>
      <c r="C931" s="513"/>
    </row>
    <row r="932" spans="1:3">
      <c r="A932" s="513" t="s">
        <v>20384</v>
      </c>
      <c r="B932" s="513">
        <v>71571130</v>
      </c>
      <c r="C932" s="513"/>
    </row>
    <row r="933" spans="1:3">
      <c r="A933" s="513" t="s">
        <v>20154</v>
      </c>
      <c r="B933" s="513">
        <v>71571130</v>
      </c>
      <c r="C933" s="513"/>
    </row>
    <row r="934" spans="1:3">
      <c r="A934" s="513" t="s">
        <v>20149</v>
      </c>
      <c r="B934" s="513">
        <v>71571130</v>
      </c>
      <c r="C934" s="513"/>
    </row>
    <row r="935" spans="1:3">
      <c r="A935" s="513" t="s">
        <v>20385</v>
      </c>
      <c r="B935" s="513">
        <v>71571130</v>
      </c>
      <c r="C935" s="513"/>
    </row>
    <row r="936" spans="1:3">
      <c r="A936" s="513" t="s">
        <v>20386</v>
      </c>
      <c r="B936" s="513">
        <v>71571130</v>
      </c>
      <c r="C936" s="513"/>
    </row>
    <row r="937" spans="1:3">
      <c r="A937" s="513" t="s">
        <v>19923</v>
      </c>
      <c r="B937" s="513">
        <v>914279435</v>
      </c>
      <c r="C937" s="513"/>
    </row>
    <row r="938" spans="1:3">
      <c r="A938" s="513" t="s">
        <v>19924</v>
      </c>
      <c r="B938" s="513">
        <v>981060541</v>
      </c>
      <c r="C938" s="513"/>
    </row>
    <row r="939" spans="1:3">
      <c r="A939" s="513" t="s">
        <v>19925</v>
      </c>
      <c r="B939" s="513">
        <v>279391073</v>
      </c>
      <c r="C939" s="513"/>
    </row>
    <row r="940" spans="1:3">
      <c r="A940" s="513" t="s">
        <v>19926</v>
      </c>
      <c r="B940" s="513">
        <v>279391073</v>
      </c>
      <c r="C940" s="513"/>
    </row>
    <row r="941" spans="1:3">
      <c r="A941" s="513" t="s">
        <v>19927</v>
      </c>
      <c r="B941" s="513">
        <v>548710486</v>
      </c>
      <c r="C941" s="513"/>
    </row>
    <row r="942" spans="1:3">
      <c r="A942" s="513" t="s">
        <v>19928</v>
      </c>
      <c r="B942" s="513">
        <v>18941217</v>
      </c>
      <c r="C942" s="513"/>
    </row>
    <row r="943" spans="1:3">
      <c r="A943" s="513" t="s">
        <v>19929</v>
      </c>
      <c r="B943" s="513">
        <v>548710485.99989998</v>
      </c>
      <c r="C943" s="513"/>
    </row>
    <row r="944" spans="1:3">
      <c r="A944" s="513" t="s">
        <v>19930</v>
      </c>
      <c r="B944" s="513">
        <v>548710486</v>
      </c>
      <c r="C944" s="513"/>
    </row>
    <row r="945" spans="1:3">
      <c r="A945" s="513" t="s">
        <v>19931</v>
      </c>
      <c r="B945" s="513">
        <v>548710486</v>
      </c>
      <c r="C945" s="513"/>
    </row>
    <row r="946" spans="1:3">
      <c r="A946" s="513" t="s">
        <v>19932</v>
      </c>
      <c r="B946" s="513">
        <v>548710485.99989998</v>
      </c>
      <c r="C946" s="513"/>
    </row>
    <row r="947" spans="1:3">
      <c r="A947" s="513" t="s">
        <v>19933</v>
      </c>
      <c r="B947" s="513">
        <v>548710486</v>
      </c>
      <c r="C947" s="513"/>
    </row>
    <row r="948" spans="1:3">
      <c r="A948" s="513" t="s">
        <v>19934</v>
      </c>
      <c r="B948" s="513">
        <v>19536957</v>
      </c>
      <c r="C948" s="513"/>
    </row>
    <row r="949" spans="1:3">
      <c r="A949" s="513" t="s">
        <v>1593</v>
      </c>
      <c r="B949" s="513">
        <v>14216512</v>
      </c>
      <c r="C949" s="513"/>
    </row>
    <row r="950" spans="1:3">
      <c r="A950" s="513" t="s">
        <v>19935</v>
      </c>
      <c r="B950" s="513">
        <v>136538514</v>
      </c>
      <c r="C950" s="513"/>
    </row>
    <row r="951" spans="1:3">
      <c r="A951" s="513" t="s">
        <v>19936</v>
      </c>
      <c r="B951" s="513">
        <v>7813343</v>
      </c>
      <c r="C951" s="513"/>
    </row>
    <row r="952" spans="1:3">
      <c r="A952" s="513" t="s">
        <v>19937</v>
      </c>
      <c r="B952" s="513">
        <v>-345077217</v>
      </c>
      <c r="C952" s="513"/>
    </row>
    <row r="953" spans="1:3">
      <c r="A953" s="513" t="s">
        <v>19938</v>
      </c>
      <c r="B953" s="513">
        <v>393975202</v>
      </c>
      <c r="C953" s="513"/>
    </row>
    <row r="954" spans="1:3">
      <c r="A954" s="513" t="s">
        <v>19939</v>
      </c>
      <c r="B954" s="513">
        <v>461996918</v>
      </c>
      <c r="C954" s="513"/>
    </row>
    <row r="955" spans="1:3">
      <c r="A955" s="513" t="s">
        <v>19940</v>
      </c>
      <c r="B955" s="513">
        <v>1432140172</v>
      </c>
      <c r="C955" s="513"/>
    </row>
    <row r="956" spans="1:3">
      <c r="A956" s="513" t="s">
        <v>20387</v>
      </c>
      <c r="B956" s="513">
        <v>1544700000</v>
      </c>
      <c r="C956" s="513"/>
    </row>
    <row r="957" spans="1:3">
      <c r="A957" s="513" t="s">
        <v>20388</v>
      </c>
      <c r="B957" s="513">
        <v>1544700000</v>
      </c>
      <c r="C957" s="513"/>
    </row>
    <row r="958" spans="1:3">
      <c r="A958" s="513" t="s">
        <v>20389</v>
      </c>
      <c r="B958" s="513">
        <v>1514700000</v>
      </c>
      <c r="C958" s="513"/>
    </row>
    <row r="959" spans="1:3">
      <c r="A959" s="513" t="s">
        <v>20390</v>
      </c>
      <c r="B959" s="513">
        <v>1544700000</v>
      </c>
      <c r="C959" s="513"/>
    </row>
    <row r="960" spans="1:3">
      <c r="A960" s="513" t="s">
        <v>20391</v>
      </c>
      <c r="B960" s="513">
        <v>1514700000</v>
      </c>
      <c r="C960" s="513"/>
    </row>
    <row r="961" spans="1:3">
      <c r="A961" s="513" t="s">
        <v>20392</v>
      </c>
      <c r="B961" s="513">
        <v>1544700000</v>
      </c>
      <c r="C961" s="513"/>
    </row>
    <row r="962" spans="1:3">
      <c r="A962" s="513" t="s">
        <v>19941</v>
      </c>
      <c r="B962" s="513">
        <v>278124816</v>
      </c>
      <c r="C962" s="513"/>
    </row>
    <row r="963" spans="1:3">
      <c r="A963" s="513" t="s">
        <v>19942</v>
      </c>
      <c r="B963" s="513">
        <v>-167396919</v>
      </c>
      <c r="C963" s="513"/>
    </row>
    <row r="964" spans="1:3">
      <c r="A964" s="513" t="s">
        <v>19943</v>
      </c>
      <c r="B964" s="513">
        <v>411178276</v>
      </c>
      <c r="C964" s="513"/>
    </row>
    <row r="965" spans="1:3">
      <c r="A965" s="513" t="s">
        <v>19945</v>
      </c>
      <c r="B965" s="513">
        <v>-159135380</v>
      </c>
      <c r="C965" s="513"/>
    </row>
    <row r="966" spans="1:3">
      <c r="A966" s="513" t="s">
        <v>19946</v>
      </c>
      <c r="B966" s="513">
        <v>4047107</v>
      </c>
      <c r="C966" s="513"/>
    </row>
    <row r="967" spans="1:3">
      <c r="A967" s="513" t="s">
        <v>19947</v>
      </c>
      <c r="B967" s="513">
        <v>526300869</v>
      </c>
      <c r="C967" s="513"/>
    </row>
    <row r="968" spans="1:3">
      <c r="A968" s="513" t="s">
        <v>19948</v>
      </c>
      <c r="B968" s="513">
        <v>-499078325</v>
      </c>
      <c r="C968" s="513"/>
    </row>
    <row r="969" spans="1:3">
      <c r="A969" s="513" t="s">
        <v>19949</v>
      </c>
      <c r="B969" s="513">
        <v>181074460</v>
      </c>
      <c r="C969" s="513"/>
    </row>
    <row r="970" spans="1:3">
      <c r="A970" s="513" t="s">
        <v>19769</v>
      </c>
      <c r="B970" s="513">
        <v>41169</v>
      </c>
      <c r="C970" s="513"/>
    </row>
    <row r="971" spans="1:3">
      <c r="A971" s="513" t="s">
        <v>19950</v>
      </c>
      <c r="B971" s="513">
        <v>220573490</v>
      </c>
      <c r="C971" s="513"/>
    </row>
    <row r="972" spans="1:3">
      <c r="A972" s="513" t="s">
        <v>19951</v>
      </c>
      <c r="B972" s="513">
        <v>-505000</v>
      </c>
      <c r="C972" s="513"/>
    </row>
    <row r="973" spans="1:3">
      <c r="A973" s="513" t="s">
        <v>19952</v>
      </c>
      <c r="B973" s="513">
        <v>795968408</v>
      </c>
      <c r="C973" s="513"/>
    </row>
    <row r="974" spans="1:3">
      <c r="A974" s="513" t="s">
        <v>19586</v>
      </c>
      <c r="B974" s="513">
        <v>54540014</v>
      </c>
      <c r="C974" s="513"/>
    </row>
    <row r="975" spans="1:3">
      <c r="A975" s="513" t="s">
        <v>19953</v>
      </c>
      <c r="B975" s="513">
        <v>76386633</v>
      </c>
      <c r="C975" s="513"/>
    </row>
    <row r="976" spans="1:3">
      <c r="A976" s="513" t="s">
        <v>20394</v>
      </c>
      <c r="B976" s="513">
        <v>76386633</v>
      </c>
      <c r="C976" s="513"/>
    </row>
    <row r="977" spans="1:3">
      <c r="A977" s="513" t="s">
        <v>19587</v>
      </c>
      <c r="B977" s="513">
        <v>311106595</v>
      </c>
      <c r="C977" s="513"/>
    </row>
    <row r="978" spans="1:3">
      <c r="A978" s="513" t="s">
        <v>19954</v>
      </c>
      <c r="B978" s="513">
        <v>311106595</v>
      </c>
      <c r="C978" s="513"/>
    </row>
    <row r="979" spans="1:3">
      <c r="A979" s="513" t="s">
        <v>20044</v>
      </c>
      <c r="B979" s="513">
        <v>5741954</v>
      </c>
      <c r="C979" s="513"/>
    </row>
    <row r="980" spans="1:3">
      <c r="A980" s="513" t="s">
        <v>19955</v>
      </c>
      <c r="B980" s="513">
        <v>133584</v>
      </c>
      <c r="C980" s="513"/>
    </row>
    <row r="981" spans="1:3">
      <c r="A981" s="513" t="s">
        <v>19956</v>
      </c>
      <c r="B981" s="513">
        <v>60169177</v>
      </c>
      <c r="C981" s="513"/>
    </row>
    <row r="982" spans="1:3">
      <c r="A982" s="513" t="s">
        <v>19957</v>
      </c>
      <c r="B982" s="513">
        <v>-54540014.009999998</v>
      </c>
      <c r="C982" s="513"/>
    </row>
    <row r="983" spans="1:3">
      <c r="A983" s="513" t="s">
        <v>19588</v>
      </c>
      <c r="B983" s="513">
        <v>-2887402.88</v>
      </c>
      <c r="C983" s="513"/>
    </row>
    <row r="984" spans="1:3">
      <c r="A984" s="513" t="s">
        <v>19590</v>
      </c>
      <c r="B984" s="513">
        <v>-888.5</v>
      </c>
      <c r="C984" s="513"/>
    </row>
    <row r="985" spans="1:3">
      <c r="A985" s="513" t="s">
        <v>19589</v>
      </c>
      <c r="B985" s="513">
        <v>-51652611.130000003</v>
      </c>
      <c r="C985" s="513"/>
    </row>
    <row r="986" spans="1:3">
      <c r="A986" s="513" t="s">
        <v>20395</v>
      </c>
      <c r="B986" s="513">
        <v>411178276</v>
      </c>
      <c r="C986" s="513"/>
    </row>
    <row r="987" spans="1:3">
      <c r="A987" s="513" t="s">
        <v>19958</v>
      </c>
      <c r="B987" s="513">
        <v>411178276</v>
      </c>
      <c r="C987" s="513"/>
    </row>
    <row r="988" spans="1:3">
      <c r="A988" s="513" t="s">
        <v>19959</v>
      </c>
      <c r="B988" s="513">
        <v>-392880</v>
      </c>
      <c r="C988" s="513"/>
    </row>
    <row r="989" spans="1:3">
      <c r="A989" s="513" t="s">
        <v>19960</v>
      </c>
      <c r="B989" s="513">
        <v>-17197691</v>
      </c>
      <c r="C989" s="513"/>
    </row>
    <row r="990" spans="1:3">
      <c r="A990" s="513" t="s">
        <v>19962</v>
      </c>
      <c r="B990" s="513">
        <v>220573490</v>
      </c>
      <c r="C990" s="513"/>
    </row>
    <row r="991" spans="1:3">
      <c r="A991" s="513" t="s">
        <v>19961</v>
      </c>
      <c r="B991" s="513">
        <v>548710486</v>
      </c>
      <c r="C991" s="513"/>
    </row>
    <row r="992" spans="1:3">
      <c r="A992" s="513" t="s">
        <v>19963</v>
      </c>
      <c r="B992" s="513">
        <v>15960000</v>
      </c>
      <c r="C992" s="513"/>
    </row>
    <row r="993" spans="1:3">
      <c r="A993" s="513" t="s">
        <v>19591</v>
      </c>
      <c r="B993" s="513">
        <v>2356.1999999999998</v>
      </c>
      <c r="C993" s="513"/>
    </row>
    <row r="994" spans="1:3">
      <c r="A994" s="513" t="s">
        <v>19593</v>
      </c>
      <c r="B994" s="513">
        <v>7657060.9500000002</v>
      </c>
      <c r="C994" s="513"/>
    </row>
    <row r="995" spans="1:3">
      <c r="A995" s="513" t="s">
        <v>19592</v>
      </c>
      <c r="B995" s="513">
        <v>402278141.05000001</v>
      </c>
      <c r="C995" s="513"/>
    </row>
    <row r="996" spans="1:3">
      <c r="A996" s="513" t="s">
        <v>19964</v>
      </c>
      <c r="B996" s="513">
        <v>409935202</v>
      </c>
      <c r="C996" s="513"/>
    </row>
    <row r="997" spans="1:3">
      <c r="A997" s="513" t="s">
        <v>1597</v>
      </c>
      <c r="B997" s="513">
        <v>548710486</v>
      </c>
      <c r="C997" s="513"/>
    </row>
    <row r="998" spans="1:3">
      <c r="A998" s="513" t="s">
        <v>20045</v>
      </c>
      <c r="B998" s="513">
        <v>-7664723</v>
      </c>
      <c r="C998" s="513"/>
    </row>
    <row r="999" spans="1:3">
      <c r="A999" s="513" t="s">
        <v>19965</v>
      </c>
      <c r="B999" s="513">
        <v>14</v>
      </c>
      <c r="C999" s="513"/>
    </row>
    <row r="1000" spans="1:3">
      <c r="A1000" s="513" t="s">
        <v>19966</v>
      </c>
      <c r="B1000" s="513">
        <v>-345077217</v>
      </c>
      <c r="C1000" s="513"/>
    </row>
    <row r="1001" spans="1:3">
      <c r="A1001" s="513" t="s">
        <v>19967</v>
      </c>
      <c r="B1001" s="513">
        <v>136538514</v>
      </c>
      <c r="C1001" s="513"/>
    </row>
    <row r="1002" spans="1:3">
      <c r="A1002" s="513" t="s">
        <v>1599</v>
      </c>
      <c r="B1002" s="513">
        <v>14216512</v>
      </c>
      <c r="C1002" s="513"/>
    </row>
    <row r="1003" spans="1:3">
      <c r="A1003" s="513" t="s">
        <v>1598</v>
      </c>
      <c r="B1003" s="513">
        <v>15960000</v>
      </c>
      <c r="C1003" s="513"/>
    </row>
    <row r="1004" spans="1:3">
      <c r="A1004" s="513" t="s">
        <v>19968</v>
      </c>
      <c r="B1004" s="513">
        <v>1243074</v>
      </c>
      <c r="C1004" s="513"/>
    </row>
    <row r="1005" spans="1:3">
      <c r="A1005" s="513" t="s">
        <v>19597</v>
      </c>
      <c r="B1005" s="513">
        <v>1243074</v>
      </c>
      <c r="C1005" s="513"/>
    </row>
    <row r="1006" spans="1:3">
      <c r="A1006" s="513" t="s">
        <v>20177</v>
      </c>
      <c r="B1006" s="513">
        <v>6044000</v>
      </c>
      <c r="C1006" s="513"/>
    </row>
    <row r="1007" spans="1:3">
      <c r="A1007" s="513" t="s">
        <v>20176</v>
      </c>
      <c r="B1007" s="513">
        <v>6044000</v>
      </c>
      <c r="C1007" s="513"/>
    </row>
    <row r="1008" spans="1:3">
      <c r="A1008" s="513" t="s">
        <v>20178</v>
      </c>
      <c r="B1008" s="513">
        <v>6044000</v>
      </c>
      <c r="C1008" s="513"/>
    </row>
    <row r="1009" spans="1:3">
      <c r="A1009" s="513" t="s">
        <v>19969</v>
      </c>
      <c r="B1009" s="513">
        <v>27222544</v>
      </c>
      <c r="C1009" s="513"/>
    </row>
    <row r="1010" spans="1:3">
      <c r="A1010" s="513" t="s">
        <v>20051</v>
      </c>
      <c r="B1010" s="513">
        <v>13443390</v>
      </c>
      <c r="C1010" s="513"/>
    </row>
    <row r="1011" spans="1:3">
      <c r="A1011" s="513" t="s">
        <v>20179</v>
      </c>
      <c r="B1011" s="513">
        <v>21624000</v>
      </c>
      <c r="C1011" s="513"/>
    </row>
    <row r="1012" spans="1:3">
      <c r="A1012" s="513" t="s">
        <v>19598</v>
      </c>
      <c r="B1012" s="513">
        <v>2203674194</v>
      </c>
      <c r="C1012" s="513"/>
    </row>
    <row r="1013" spans="1:3">
      <c r="A1013" s="513" t="s">
        <v>19599</v>
      </c>
      <c r="B1013" s="513">
        <v>5483370</v>
      </c>
      <c r="C1013" s="513"/>
    </row>
    <row r="1014" spans="1:3">
      <c r="A1014" s="513" t="s">
        <v>19970</v>
      </c>
      <c r="B1014" s="513">
        <v>278124816</v>
      </c>
      <c r="C1014" s="513"/>
    </row>
    <row r="1015" spans="1:3">
      <c r="A1015" s="513" t="s">
        <v>19601</v>
      </c>
      <c r="B1015" s="513">
        <v>1243074</v>
      </c>
      <c r="C1015" s="513"/>
    </row>
    <row r="1016" spans="1:3">
      <c r="A1016" s="513" t="s">
        <v>19600</v>
      </c>
      <c r="B1016" s="513">
        <v>393148603</v>
      </c>
      <c r="C1016" s="513"/>
    </row>
    <row r="1017" spans="1:3">
      <c r="A1017" s="513" t="s">
        <v>19971</v>
      </c>
      <c r="B1017" s="513">
        <v>461996918</v>
      </c>
      <c r="C1017" s="513"/>
    </row>
    <row r="1018" spans="1:3">
      <c r="A1018" s="513" t="s">
        <v>19972</v>
      </c>
      <c r="B1018" s="513">
        <v>-167396919</v>
      </c>
      <c r="C1018" s="513"/>
    </row>
    <row r="1019" spans="1:3">
      <c r="A1019" s="513" t="s">
        <v>20183</v>
      </c>
      <c r="B1019" s="513">
        <v>757809000</v>
      </c>
      <c r="C1019" s="513"/>
    </row>
    <row r="1020" spans="1:3">
      <c r="A1020" s="513" t="s">
        <v>20181</v>
      </c>
      <c r="B1020" s="513">
        <v>757809000</v>
      </c>
      <c r="C1020" s="513"/>
    </row>
    <row r="1021" spans="1:3">
      <c r="A1021" s="513" t="s">
        <v>20182</v>
      </c>
      <c r="B1021" s="513">
        <v>757809000</v>
      </c>
      <c r="C1021" s="513"/>
    </row>
    <row r="1022" spans="1:3">
      <c r="A1022" s="513" t="s">
        <v>19602</v>
      </c>
      <c r="B1022" s="513">
        <v>-21846619</v>
      </c>
      <c r="C1022" s="513"/>
    </row>
    <row r="1023" spans="1:3">
      <c r="A1023" s="513" t="s">
        <v>19973</v>
      </c>
      <c r="B1023" s="513">
        <v>-21846619</v>
      </c>
      <c r="C1023" s="513"/>
    </row>
    <row r="1024" spans="1:3">
      <c r="A1024" s="513" t="s">
        <v>20184</v>
      </c>
      <c r="B1024" s="513">
        <v>1243074</v>
      </c>
      <c r="C1024" s="513"/>
    </row>
    <row r="1025" spans="1:3">
      <c r="A1025" s="513" t="s">
        <v>20185</v>
      </c>
      <c r="B1025" s="513">
        <v>13874000</v>
      </c>
      <c r="C1025" s="513"/>
    </row>
    <row r="1026" spans="1:3">
      <c r="A1026" s="513" t="s">
        <v>19603</v>
      </c>
      <c r="B1026" s="513">
        <v>272529966</v>
      </c>
      <c r="C1026" s="513"/>
    </row>
    <row r="1027" spans="1:3">
      <c r="A1027" s="513" t="s">
        <v>19974</v>
      </c>
      <c r="B1027" s="513">
        <v>272529966</v>
      </c>
      <c r="C1027" s="513"/>
    </row>
    <row r="1028" spans="1:3">
      <c r="A1028" s="513" t="s">
        <v>20187</v>
      </c>
      <c r="B1028" s="513">
        <v>1421643000</v>
      </c>
      <c r="C1028" s="513"/>
    </row>
    <row r="1029" spans="1:3">
      <c r="A1029" s="513" t="s">
        <v>19976</v>
      </c>
      <c r="B1029" s="513">
        <v>1421643000</v>
      </c>
      <c r="C1029" s="513"/>
    </row>
    <row r="1030" spans="1:3">
      <c r="A1030" s="513" t="s">
        <v>20186</v>
      </c>
      <c r="B1030" s="513">
        <v>1421643000</v>
      </c>
      <c r="C1030" s="513"/>
    </row>
    <row r="1031" spans="1:3">
      <c r="A1031" s="513" t="s">
        <v>19977</v>
      </c>
      <c r="B1031" s="513">
        <v>-151811000</v>
      </c>
      <c r="C1031" s="513"/>
    </row>
    <row r="1032" spans="1:3">
      <c r="A1032" s="513" t="s">
        <v>19605</v>
      </c>
      <c r="B1032" s="513">
        <v>-151811000</v>
      </c>
      <c r="C1032" s="513"/>
    </row>
    <row r="1033" spans="1:3">
      <c r="A1033" s="513" t="s">
        <v>20396</v>
      </c>
      <c r="B1033" s="513">
        <v>883429686</v>
      </c>
      <c r="C1033" s="513"/>
    </row>
    <row r="1034" spans="1:3">
      <c r="A1034" s="513" t="s">
        <v>20397</v>
      </c>
      <c r="B1034" s="513">
        <v>883429686</v>
      </c>
      <c r="C1034" s="513"/>
    </row>
    <row r="1035" spans="1:3">
      <c r="A1035" s="513" t="s">
        <v>20398</v>
      </c>
      <c r="B1035" s="513">
        <v>883429686</v>
      </c>
      <c r="C1035" s="513"/>
    </row>
    <row r="1036" spans="1:3">
      <c r="A1036" s="513" t="s">
        <v>20399</v>
      </c>
      <c r="B1036" s="513">
        <v>883429686</v>
      </c>
      <c r="C1036" s="513"/>
    </row>
    <row r="1037" spans="1:3">
      <c r="A1037" s="513" t="s">
        <v>20400</v>
      </c>
      <c r="B1037" s="513">
        <v>883429686</v>
      </c>
      <c r="C1037" s="513"/>
    </row>
    <row r="1038" spans="1:3">
      <c r="A1038" s="513" t="s">
        <v>20401</v>
      </c>
      <c r="B1038" s="513">
        <v>883429686</v>
      </c>
      <c r="C1038" s="513"/>
    </row>
    <row r="1039" spans="1:3">
      <c r="A1039" s="513" t="s">
        <v>20191</v>
      </c>
      <c r="B1039" s="513">
        <v>562510000</v>
      </c>
      <c r="C1039" s="513"/>
    </row>
    <row r="1040" spans="1:3">
      <c r="A1040" s="513" t="s">
        <v>20190</v>
      </c>
      <c r="B1040" s="513">
        <v>532741000</v>
      </c>
      <c r="C1040" s="513"/>
    </row>
    <row r="1041" spans="1:3">
      <c r="A1041" s="513" t="s">
        <v>20188</v>
      </c>
      <c r="B1041" s="513">
        <v>1095251000</v>
      </c>
      <c r="C1041" s="513"/>
    </row>
    <row r="1042" spans="1:3">
      <c r="A1042" s="513" t="s">
        <v>20189</v>
      </c>
      <c r="B1042" s="513">
        <v>562510000</v>
      </c>
      <c r="C1042" s="513"/>
    </row>
    <row r="1043" spans="1:3">
      <c r="A1043" s="513" t="s">
        <v>20052</v>
      </c>
      <c r="B1043" s="513">
        <v>13443390</v>
      </c>
      <c r="C1043" s="513"/>
    </row>
    <row r="1044" spans="1:3">
      <c r="A1044" s="513" t="s">
        <v>20192</v>
      </c>
      <c r="B1044" s="513">
        <v>21624000</v>
      </c>
      <c r="C1044" s="513"/>
    </row>
    <row r="1045" spans="1:3">
      <c r="A1045" s="513" t="s">
        <v>20034</v>
      </c>
      <c r="B1045" s="513">
        <v>5483370</v>
      </c>
      <c r="C1045" s="513"/>
    </row>
    <row r="1046" spans="1:3">
      <c r="A1046" s="513" t="s">
        <v>20402</v>
      </c>
      <c r="B1046" s="513">
        <v>76386633</v>
      </c>
      <c r="C1046" s="513"/>
    </row>
    <row r="1047" spans="1:3">
      <c r="A1047" s="513" t="s">
        <v>19604</v>
      </c>
      <c r="B1047" s="513">
        <v>2209789365</v>
      </c>
      <c r="C1047" s="513"/>
    </row>
    <row r="1048" spans="1:3">
      <c r="A1048" s="513" t="s">
        <v>20403</v>
      </c>
      <c r="B1048" s="513">
        <v>76386633</v>
      </c>
      <c r="C1048" s="513"/>
    </row>
    <row r="1049" spans="1:3">
      <c r="A1049" s="513" t="s">
        <v>19978</v>
      </c>
      <c r="B1049" s="513">
        <v>526300869</v>
      </c>
      <c r="C1049" s="513"/>
    </row>
    <row r="1050" spans="1:3">
      <c r="A1050" s="513" t="s">
        <v>20205</v>
      </c>
      <c r="B1050" s="513">
        <v>14621751</v>
      </c>
      <c r="C1050" s="513"/>
    </row>
    <row r="1051" spans="1:3">
      <c r="A1051" s="513" t="s">
        <v>19979</v>
      </c>
      <c r="B1051" s="513">
        <v>-51193440</v>
      </c>
      <c r="C1051" s="513"/>
    </row>
    <row r="1052" spans="1:3">
      <c r="A1052" s="513" t="s">
        <v>19606</v>
      </c>
      <c r="B1052" s="513">
        <v>-51193440</v>
      </c>
      <c r="C1052" s="513"/>
    </row>
    <row r="1053" spans="1:3">
      <c r="A1053" s="513" t="s">
        <v>19980</v>
      </c>
      <c r="B1053" s="513">
        <v>14</v>
      </c>
      <c r="C1053" s="513"/>
    </row>
    <row r="1054" spans="1:3">
      <c r="A1054" s="513" t="s">
        <v>19981</v>
      </c>
      <c r="B1054" s="513">
        <v>-159135380</v>
      </c>
      <c r="C1054" s="513"/>
    </row>
    <row r="1055" spans="1:3">
      <c r="A1055" s="513" t="s">
        <v>19982</v>
      </c>
      <c r="B1055" s="513">
        <v>14</v>
      </c>
      <c r="C1055" s="513"/>
    </row>
    <row r="1056" spans="1:3">
      <c r="A1056" s="513" t="s">
        <v>19983</v>
      </c>
      <c r="B1056" s="513">
        <v>158825072</v>
      </c>
      <c r="C1056" s="513"/>
    </row>
    <row r="1057" spans="1:3">
      <c r="A1057" s="513" t="s">
        <v>19607</v>
      </c>
      <c r="B1057" s="513">
        <v>158825072</v>
      </c>
      <c r="C1057" s="513"/>
    </row>
    <row r="1058" spans="1:3">
      <c r="A1058" s="513" t="s">
        <v>20035</v>
      </c>
      <c r="B1058" s="513">
        <v>22310000</v>
      </c>
      <c r="C1058" s="513"/>
    </row>
    <row r="1059" spans="1:3">
      <c r="A1059" s="513" t="s">
        <v>19984</v>
      </c>
      <c r="B1059" s="513">
        <v>22310000</v>
      </c>
      <c r="C1059" s="513"/>
    </row>
    <row r="1060" spans="1:3">
      <c r="A1060" s="513" t="s">
        <v>19994</v>
      </c>
      <c r="B1060" s="513">
        <v>598998000</v>
      </c>
      <c r="C1060" s="513"/>
    </row>
    <row r="1061" spans="1:3">
      <c r="A1061" s="513" t="s">
        <v>19999</v>
      </c>
      <c r="B1061" s="513">
        <v>-505000</v>
      </c>
      <c r="C1061" s="513"/>
    </row>
    <row r="1062" spans="1:3">
      <c r="A1062" s="513" t="s">
        <v>20212</v>
      </c>
      <c r="B1062" s="513">
        <v>13874000</v>
      </c>
      <c r="C1062" s="513"/>
    </row>
    <row r="1063" spans="1:3">
      <c r="A1063" s="513" t="s">
        <v>20404</v>
      </c>
      <c r="B1063" s="513">
        <v>43947000</v>
      </c>
      <c r="C1063" s="513"/>
    </row>
    <row r="1064" spans="1:3">
      <c r="A1064" s="513" t="s">
        <v>20213</v>
      </c>
      <c r="B1064" s="513">
        <v>2306566000</v>
      </c>
      <c r="C1064" s="513"/>
    </row>
    <row r="1065" spans="1:3">
      <c r="A1065" s="513" t="s">
        <v>20215</v>
      </c>
      <c r="B1065" s="513">
        <v>1243074</v>
      </c>
      <c r="C1065" s="513"/>
    </row>
    <row r="1066" spans="1:3">
      <c r="A1066" s="513" t="s">
        <v>19990</v>
      </c>
      <c r="B1066" s="513">
        <v>197669000</v>
      </c>
      <c r="C1066" s="513"/>
    </row>
    <row r="1067" spans="1:3">
      <c r="A1067" s="513" t="s">
        <v>20216</v>
      </c>
      <c r="B1067" s="513">
        <v>2306566000</v>
      </c>
      <c r="C1067" s="513"/>
    </row>
    <row r="1068" spans="1:3">
      <c r="A1068" s="513" t="s">
        <v>20002</v>
      </c>
      <c r="B1068" s="513">
        <v>133584</v>
      </c>
      <c r="C1068" s="513"/>
    </row>
    <row r="1069" spans="1:3">
      <c r="A1069" s="513" t="s">
        <v>20214</v>
      </c>
      <c r="B1069" s="513">
        <v>2306566000</v>
      </c>
      <c r="C1069" s="513"/>
    </row>
    <row r="1070" spans="1:3">
      <c r="A1070" s="513" t="s">
        <v>20406</v>
      </c>
      <c r="B1070" s="513">
        <v>43947000</v>
      </c>
      <c r="C1070" s="513"/>
    </row>
    <row r="1071" spans="1:3">
      <c r="A1071" s="513" t="s">
        <v>1605</v>
      </c>
      <c r="B1071" s="513">
        <v>393851869</v>
      </c>
      <c r="C1071" s="513"/>
    </row>
    <row r="1072" spans="1:3">
      <c r="A1072" s="513" t="s">
        <v>19989</v>
      </c>
      <c r="B1072" s="513">
        <v>-17197691</v>
      </c>
      <c r="C1072" s="513"/>
    </row>
    <row r="1073" spans="1:3">
      <c r="A1073" s="513" t="s">
        <v>20050</v>
      </c>
      <c r="B1073" s="513">
        <v>4021710</v>
      </c>
      <c r="C1073" s="513"/>
    </row>
    <row r="1074" spans="1:3">
      <c r="A1074" s="513" t="s">
        <v>19993</v>
      </c>
      <c r="B1074" s="513">
        <v>-392880</v>
      </c>
      <c r="C1074" s="513"/>
    </row>
    <row r="1075" spans="1:3">
      <c r="A1075" s="513" t="s">
        <v>19991</v>
      </c>
      <c r="B1075" s="513">
        <v>156854.60999999999</v>
      </c>
      <c r="C1075" s="513"/>
    </row>
    <row r="1076" spans="1:3">
      <c r="A1076" s="513" t="s">
        <v>19610</v>
      </c>
      <c r="B1076" s="513">
        <v>393851869</v>
      </c>
      <c r="C1076" s="513"/>
    </row>
    <row r="1077" spans="1:3">
      <c r="A1077" s="513" t="s">
        <v>19987</v>
      </c>
      <c r="B1077" s="513">
        <v>475317</v>
      </c>
      <c r="C1077" s="513"/>
    </row>
    <row r="1078" spans="1:3">
      <c r="A1078" s="513" t="s">
        <v>19995</v>
      </c>
      <c r="B1078" s="513">
        <v>60169177</v>
      </c>
      <c r="C1078" s="513"/>
    </row>
    <row r="1079" spans="1:3">
      <c r="A1079" s="513" t="s">
        <v>20000</v>
      </c>
      <c r="B1079" s="513">
        <v>3656005</v>
      </c>
      <c r="C1079" s="513"/>
    </row>
    <row r="1080" spans="1:3">
      <c r="A1080" s="513" t="s">
        <v>19985</v>
      </c>
      <c r="B1080" s="513">
        <v>1206481.6499999999</v>
      </c>
      <c r="C1080" s="513"/>
    </row>
    <row r="1081" spans="1:3">
      <c r="A1081" s="513" t="s">
        <v>20222</v>
      </c>
      <c r="B1081" s="513">
        <v>158825072</v>
      </c>
      <c r="C1081" s="513"/>
    </row>
    <row r="1082" spans="1:3">
      <c r="A1082" s="513" t="s">
        <v>20009</v>
      </c>
      <c r="B1082" s="513">
        <v>-278136</v>
      </c>
      <c r="C1082" s="513"/>
    </row>
    <row r="1083" spans="1:3">
      <c r="A1083" s="513" t="s">
        <v>20249</v>
      </c>
      <c r="B1083" s="513">
        <v>21846619</v>
      </c>
      <c r="C1083" s="513"/>
    </row>
    <row r="1084" spans="1:3">
      <c r="A1084" s="513" t="s">
        <v>20038</v>
      </c>
      <c r="B1084" s="513">
        <v>339275.97</v>
      </c>
      <c r="C1084" s="513"/>
    </row>
    <row r="1085" spans="1:3">
      <c r="A1085" s="513" t="s">
        <v>20036</v>
      </c>
      <c r="B1085" s="513">
        <v>35117.279999999999</v>
      </c>
      <c r="C1085" s="513"/>
    </row>
    <row r="1086" spans="1:3">
      <c r="A1086" s="513" t="s">
        <v>19608</v>
      </c>
      <c r="B1086" s="513">
        <v>10722</v>
      </c>
      <c r="C1086" s="513"/>
    </row>
    <row r="1087" spans="1:3">
      <c r="A1087" s="513" t="s">
        <v>20234</v>
      </c>
      <c r="B1087" s="513">
        <v>370513933</v>
      </c>
      <c r="C1087" s="513"/>
    </row>
    <row r="1088" spans="1:3">
      <c r="A1088" s="513" t="s">
        <v>20013</v>
      </c>
      <c r="B1088" s="513">
        <v>27222544</v>
      </c>
      <c r="C1088" s="513"/>
    </row>
    <row r="1089" spans="1:3">
      <c r="A1089" s="513" t="s">
        <v>20017</v>
      </c>
      <c r="B1089" s="513">
        <v>-91784.88</v>
      </c>
      <c r="C1089" s="513"/>
    </row>
    <row r="1090" spans="1:3">
      <c r="A1090" s="513" t="s">
        <v>20012</v>
      </c>
      <c r="B1090" s="513">
        <v>0.1</v>
      </c>
      <c r="C1090" s="513"/>
    </row>
    <row r="1091" spans="1:3">
      <c r="A1091" s="513" t="s">
        <v>20243</v>
      </c>
      <c r="B1091" s="513">
        <v>20340534.059999999</v>
      </c>
      <c r="C1091" s="513"/>
    </row>
    <row r="1092" spans="1:3">
      <c r="A1092" s="513" t="s">
        <v>19611</v>
      </c>
      <c r="B1092" s="513">
        <v>21846619</v>
      </c>
      <c r="C1092" s="513"/>
    </row>
    <row r="1093" spans="1:3">
      <c r="A1093" s="513" t="s">
        <v>19617</v>
      </c>
      <c r="B1093" s="513">
        <v>1243074</v>
      </c>
      <c r="C1093" s="513"/>
    </row>
    <row r="1094" spans="1:3">
      <c r="A1094" s="513" t="s">
        <v>19988</v>
      </c>
      <c r="B1094" s="513">
        <v>24017169</v>
      </c>
      <c r="C1094" s="513"/>
    </row>
    <row r="1095" spans="1:3">
      <c r="A1095" s="513" t="s">
        <v>19070</v>
      </c>
      <c r="B1095" s="513">
        <v>220573490</v>
      </c>
      <c r="C1095" s="513"/>
    </row>
    <row r="1096" spans="1:3">
      <c r="A1096" s="513" t="s">
        <v>20048</v>
      </c>
      <c r="B1096" s="513">
        <v>11981439</v>
      </c>
      <c r="C1096" s="513"/>
    </row>
    <row r="1097" spans="1:3">
      <c r="A1097" s="513" t="s">
        <v>19612</v>
      </c>
      <c r="B1097" s="513">
        <v>21846619</v>
      </c>
      <c r="C1097" s="513"/>
    </row>
    <row r="1098" spans="1:3">
      <c r="A1098" s="513" t="s">
        <v>20037</v>
      </c>
      <c r="B1098" s="513">
        <v>106416</v>
      </c>
      <c r="C1098" s="513"/>
    </row>
    <row r="1099" spans="1:3">
      <c r="A1099" s="513" t="s">
        <v>20246</v>
      </c>
      <c r="B1099" s="513">
        <v>21193390</v>
      </c>
      <c r="C1099" s="513"/>
    </row>
    <row r="1100" spans="1:3">
      <c r="A1100" s="513" t="s">
        <v>19992</v>
      </c>
      <c r="B1100" s="513">
        <v>7925665.7699999996</v>
      </c>
      <c r="C1100" s="513"/>
    </row>
    <row r="1101" spans="1:3">
      <c r="A1101" s="513" t="s">
        <v>20240</v>
      </c>
      <c r="B1101" s="513">
        <v>61637982</v>
      </c>
      <c r="C1101" s="513"/>
    </row>
    <row r="1102" spans="1:3">
      <c r="A1102" s="513" t="s">
        <v>19996</v>
      </c>
      <c r="B1102" s="513">
        <v>4622.3100000000004</v>
      </c>
      <c r="C1102" s="513"/>
    </row>
    <row r="1103" spans="1:3">
      <c r="A1103" s="513" t="s">
        <v>20014</v>
      </c>
      <c r="B1103" s="513">
        <v>3.5000000000000003E-2</v>
      </c>
      <c r="C1103" s="513"/>
    </row>
    <row r="1104" spans="1:3">
      <c r="A1104" s="513" t="s">
        <v>20039</v>
      </c>
      <c r="B1104" s="513">
        <v>1028109</v>
      </c>
      <c r="C1104" s="513"/>
    </row>
    <row r="1105" spans="1:3">
      <c r="A1105" s="513" t="s">
        <v>20001</v>
      </c>
      <c r="B1105" s="513">
        <v>14007</v>
      </c>
      <c r="C1105" s="513"/>
    </row>
    <row r="1106" spans="1:3">
      <c r="A1106" s="513" t="s">
        <v>20049</v>
      </c>
      <c r="B1106" s="513">
        <v>783450</v>
      </c>
      <c r="C1106" s="513"/>
    </row>
    <row r="1107" spans="1:3">
      <c r="A1107" s="513" t="s">
        <v>20008</v>
      </c>
      <c r="B1107" s="513">
        <v>0.33</v>
      </c>
      <c r="C1107" s="513"/>
    </row>
    <row r="1108" spans="1:3">
      <c r="A1108" s="513" t="s">
        <v>20407</v>
      </c>
      <c r="B1108" s="513">
        <v>-2686606.56</v>
      </c>
      <c r="C1108" s="513"/>
    </row>
    <row r="1109" spans="1:3">
      <c r="A1109" s="513" t="s">
        <v>20408</v>
      </c>
      <c r="B1109" s="513">
        <v>19184</v>
      </c>
      <c r="C1109" s="513"/>
    </row>
    <row r="1110" spans="1:3">
      <c r="A1110" s="513" t="s">
        <v>20095</v>
      </c>
      <c r="B1110" s="513">
        <v>5483370</v>
      </c>
      <c r="C1110" s="513"/>
    </row>
    <row r="1111" spans="1:3">
      <c r="A1111" s="513" t="s">
        <v>20272</v>
      </c>
      <c r="B1111" s="513">
        <v>241371845</v>
      </c>
      <c r="C1111" s="513"/>
    </row>
    <row r="1112" spans="1:3">
      <c r="A1112" s="513" t="s">
        <v>20270</v>
      </c>
      <c r="B1112" s="513">
        <v>-32227752</v>
      </c>
      <c r="C1112" s="513"/>
    </row>
    <row r="1113" spans="1:3">
      <c r="A1113" s="513" t="s">
        <v>20271</v>
      </c>
      <c r="B1113" s="513">
        <v>1968417520</v>
      </c>
      <c r="C1113" s="513"/>
    </row>
    <row r="1114" spans="1:3">
      <c r="A1114" s="513" t="s">
        <v>20259</v>
      </c>
      <c r="B1114" s="513">
        <v>13874000</v>
      </c>
      <c r="C1114" s="513"/>
    </row>
    <row r="1115" spans="1:3">
      <c r="A1115" s="513" t="s">
        <v>20359</v>
      </c>
      <c r="B1115" s="513">
        <v>-8141232</v>
      </c>
      <c r="C1115" s="513"/>
    </row>
    <row r="1116" spans="1:3">
      <c r="A1116" s="513" t="s">
        <v>20098</v>
      </c>
      <c r="B1116" s="513">
        <v>598998000</v>
      </c>
      <c r="C1116" s="513"/>
    </row>
    <row r="1117" spans="1:3">
      <c r="A1117" s="513" t="s">
        <v>20096</v>
      </c>
      <c r="B1117" s="513">
        <v>197669340</v>
      </c>
      <c r="C1117" s="513"/>
    </row>
    <row r="1118" spans="1:3">
      <c r="A1118" s="513" t="s">
        <v>20094</v>
      </c>
      <c r="B1118" s="513">
        <v>6115171</v>
      </c>
      <c r="C1118" s="513"/>
    </row>
    <row r="1119" spans="1:3">
      <c r="A1119" s="513" t="s">
        <v>20409</v>
      </c>
      <c r="B1119" s="513">
        <v>13443390</v>
      </c>
      <c r="C1119" s="513"/>
    </row>
    <row r="1120" spans="1:3">
      <c r="A1120" s="513" t="s">
        <v>20016</v>
      </c>
      <c r="B1120" s="513">
        <v>14007</v>
      </c>
      <c r="C1120" s="513"/>
    </row>
    <row r="1121" spans="1:3">
      <c r="A1121" s="513" t="s">
        <v>20261</v>
      </c>
      <c r="B1121" s="513">
        <v>7750000</v>
      </c>
      <c r="C1121" s="513"/>
    </row>
    <row r="1122" spans="1:3">
      <c r="A1122" s="513" t="s">
        <v>20410</v>
      </c>
      <c r="B1122" s="513">
        <v>13443390</v>
      </c>
      <c r="C1122" s="513"/>
    </row>
    <row r="1123" spans="1:3">
      <c r="A1123" s="513" t="s">
        <v>20256</v>
      </c>
      <c r="B1123" s="513">
        <v>-10635158.16</v>
      </c>
      <c r="C1123" s="513"/>
    </row>
    <row r="1124" spans="1:3">
      <c r="A1124" s="513" t="s">
        <v>20268</v>
      </c>
      <c r="B1124" s="513">
        <v>7750000</v>
      </c>
      <c r="C1124" s="513"/>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M1958"/>
  <sheetViews>
    <sheetView workbookViewId="0">
      <selection activeCell="E2" sqref="E2"/>
    </sheetView>
  </sheetViews>
  <sheetFormatPr baseColWidth="10" defaultRowHeight="15"/>
  <cols>
    <col min="1" max="2" width="11.42578125" style="27"/>
    <col min="5" max="5" width="18.7109375" bestFit="1" customWidth="1"/>
  </cols>
  <sheetData>
    <row r="1" spans="1:6">
      <c r="A1" s="27" t="s">
        <v>699</v>
      </c>
      <c r="B1" s="27" t="s">
        <v>14860</v>
      </c>
      <c r="C1" t="s">
        <v>632</v>
      </c>
      <c r="D1" t="s">
        <v>14861</v>
      </c>
      <c r="E1" t="s">
        <v>701</v>
      </c>
      <c r="F1" t="s">
        <v>2034</v>
      </c>
    </row>
    <row r="2" spans="1:6" s="27" customFormat="1">
      <c r="A2" s="27" t="str">
        <f>Resultados!$K$3</f>
        <v/>
      </c>
      <c r="B2" s="27" t="str">
        <f>Resultados!$K$4</f>
        <v/>
      </c>
      <c r="C2" s="568" t="str">
        <f>'900000'!$B22</f>
        <v>09901002</v>
      </c>
      <c r="D2" s="27" t="str">
        <f>'900000'!$I$19</f>
        <v>C09901008</v>
      </c>
      <c r="E2" s="27">
        <f>'900000'!$I22</f>
        <v>0</v>
      </c>
      <c r="F2" s="27" t="s">
        <v>19081</v>
      </c>
    </row>
    <row r="3" spans="1:6" s="27" customFormat="1">
      <c r="A3" s="27" t="str">
        <f>Resultados!$K$3</f>
        <v/>
      </c>
      <c r="B3" s="27" t="str">
        <f>Resultados!$K$4</f>
        <v/>
      </c>
      <c r="C3" s="568" t="str">
        <f>'900000'!$B23</f>
        <v>09901003</v>
      </c>
      <c r="D3" s="27" t="str">
        <f>'900000'!$I$19</f>
        <v>C09901008</v>
      </c>
      <c r="E3" s="27">
        <f>'900000'!$I23</f>
        <v>0</v>
      </c>
      <c r="F3" s="27" t="s">
        <v>19081</v>
      </c>
    </row>
    <row r="4" spans="1:6" s="27" customFormat="1">
      <c r="A4" s="27" t="str">
        <f>Resultados!$K$3</f>
        <v/>
      </c>
      <c r="B4" s="27" t="str">
        <f>Resultados!$K$4</f>
        <v/>
      </c>
      <c r="C4" s="568" t="str">
        <f>'900000'!$B24</f>
        <v>09901004</v>
      </c>
      <c r="D4" s="27" t="str">
        <f>'900000'!$I$19</f>
        <v>C09901008</v>
      </c>
      <c r="E4" s="27">
        <f>'900000'!$I24</f>
        <v>0</v>
      </c>
      <c r="F4" s="27" t="s">
        <v>19081</v>
      </c>
    </row>
    <row r="5" spans="1:6" s="27" customFormat="1">
      <c r="A5" s="27" t="str">
        <f>Resultados!$K$3</f>
        <v/>
      </c>
      <c r="B5" s="27" t="str">
        <f>Resultados!$K$4</f>
        <v/>
      </c>
      <c r="C5" s="568" t="str">
        <f>'900000'!$B25</f>
        <v>09901005</v>
      </c>
      <c r="D5" s="27" t="str">
        <f>'900000'!$I$19</f>
        <v>C09901008</v>
      </c>
      <c r="E5" s="27">
        <f>'900000'!$I25</f>
        <v>0</v>
      </c>
      <c r="F5" s="27" t="s">
        <v>19081</v>
      </c>
    </row>
    <row r="6" spans="1:6" s="27" customFormat="1">
      <c r="A6" s="27" t="str">
        <f>Resultados!$K$3</f>
        <v/>
      </c>
      <c r="B6" s="27" t="str">
        <f>Resultados!$K$4</f>
        <v/>
      </c>
      <c r="C6" s="568" t="str">
        <f>'900000'!$B26</f>
        <v>09901006</v>
      </c>
      <c r="D6" s="27" t="str">
        <f>'900000'!$I$19</f>
        <v>C09901008</v>
      </c>
      <c r="E6" s="27">
        <f>'900000'!$I26</f>
        <v>0</v>
      </c>
      <c r="F6" s="27" t="s">
        <v>19081</v>
      </c>
    </row>
    <row r="7" spans="1:6" s="27" customFormat="1">
      <c r="A7" s="27" t="str">
        <f>Resultados!$K$3</f>
        <v/>
      </c>
      <c r="B7" s="27" t="str">
        <f>Resultados!$K$4</f>
        <v/>
      </c>
      <c r="C7" s="568" t="str">
        <f>'900000'!$B27</f>
        <v>09901007</v>
      </c>
      <c r="D7" s="27" t="str">
        <f>'900000'!$I$19</f>
        <v>C09901008</v>
      </c>
      <c r="E7" s="27">
        <f>'900000'!$I27</f>
        <v>0</v>
      </c>
      <c r="F7" s="27" t="s">
        <v>19081</v>
      </c>
    </row>
    <row r="8" spans="1:6" s="27" customFormat="1">
      <c r="A8" s="27" t="str">
        <f>Resultados!$K$3</f>
        <v/>
      </c>
      <c r="B8" s="27" t="str">
        <f>Resultados!$K$4</f>
        <v/>
      </c>
      <c r="C8" s="568" t="str">
        <f>'900000'!$B28</f>
        <v>09901008</v>
      </c>
      <c r="D8" s="27" t="str">
        <f>'900000'!$I$19</f>
        <v>C09901008</v>
      </c>
      <c r="E8" s="27">
        <f>'900000'!$I28</f>
        <v>0</v>
      </c>
      <c r="F8" s="27" t="s">
        <v>19081</v>
      </c>
    </row>
    <row r="9" spans="1:6" s="27" customFormat="1">
      <c r="A9" s="27" t="str">
        <f>Resultados!$K$3</f>
        <v/>
      </c>
      <c r="B9" s="27" t="str">
        <f>Resultados!$K$4</f>
        <v/>
      </c>
      <c r="C9" s="568" t="str">
        <f>'900000'!$B29</f>
        <v>09901009</v>
      </c>
      <c r="D9" s="27" t="str">
        <f>'900000'!$I$19</f>
        <v>C09901008</v>
      </c>
      <c r="E9" s="27">
        <f>'900000'!$I29</f>
        <v>0</v>
      </c>
      <c r="F9" s="27" t="s">
        <v>19081</v>
      </c>
    </row>
    <row r="10" spans="1:6" s="27" customFormat="1">
      <c r="A10" s="27" t="str">
        <f>Resultados!$K$3</f>
        <v/>
      </c>
      <c r="B10" s="27" t="str">
        <f>Resultados!$K$4</f>
        <v/>
      </c>
      <c r="C10" s="568" t="str">
        <f>'900000'!$B30</f>
        <v>09901010</v>
      </c>
      <c r="D10" s="27" t="str">
        <f>'900000'!$I$19</f>
        <v>C09901008</v>
      </c>
      <c r="E10" s="27">
        <f>'900000'!$I30</f>
        <v>0</v>
      </c>
      <c r="F10" s="27" t="s">
        <v>19081</v>
      </c>
    </row>
    <row r="11" spans="1:6" s="27" customFormat="1">
      <c r="A11" s="27" t="str">
        <f>Resultados!$K$3</f>
        <v/>
      </c>
      <c r="B11" s="27" t="str">
        <f>Resultados!$K$4</f>
        <v/>
      </c>
      <c r="C11" s="568" t="str">
        <f>'900000'!$B31</f>
        <v>09901011</v>
      </c>
      <c r="D11" s="27" t="str">
        <f>'900000'!$I$19</f>
        <v>C09901008</v>
      </c>
      <c r="E11" s="27">
        <f>'900000'!$I31</f>
        <v>0</v>
      </c>
      <c r="F11" s="27" t="s">
        <v>19081</v>
      </c>
    </row>
    <row r="12" spans="1:6" s="27" customFormat="1">
      <c r="A12" s="27" t="str">
        <f>Resultados!$K$3</f>
        <v/>
      </c>
      <c r="B12" s="27" t="str">
        <f>Resultados!$K$4</f>
        <v/>
      </c>
      <c r="C12" s="568" t="str">
        <f>'900000'!$B32</f>
        <v>09901012</v>
      </c>
      <c r="D12" s="27" t="str">
        <f>'900000'!$I$19</f>
        <v>C09901008</v>
      </c>
      <c r="E12" s="27">
        <f>'900000'!$I32</f>
        <v>0</v>
      </c>
      <c r="F12" s="27" t="s">
        <v>19081</v>
      </c>
    </row>
    <row r="13" spans="1:6" s="27" customFormat="1">
      <c r="A13" s="27" t="str">
        <f>Resultados!$K$3</f>
        <v/>
      </c>
      <c r="B13" s="27" t="str">
        <f>Resultados!$K$4</f>
        <v/>
      </c>
      <c r="C13" s="568" t="str">
        <f>'900000'!$B33</f>
        <v>09901013</v>
      </c>
      <c r="D13" s="27" t="str">
        <f>'900000'!$I$19</f>
        <v>C09901008</v>
      </c>
      <c r="E13" s="27">
        <f>'900000'!$I33</f>
        <v>0</v>
      </c>
      <c r="F13" s="27" t="s">
        <v>19081</v>
      </c>
    </row>
    <row r="14" spans="1:6" s="27" customFormat="1">
      <c r="A14" s="27" t="str">
        <f>Resultados!$K$3</f>
        <v/>
      </c>
      <c r="B14" s="27" t="str">
        <f>Resultados!$K$4</f>
        <v/>
      </c>
      <c r="C14" s="568" t="str">
        <f>'900000'!$B34</f>
        <v>09901014</v>
      </c>
      <c r="D14" s="27" t="str">
        <f>'900000'!$I$19</f>
        <v>C09901008</v>
      </c>
      <c r="E14" s="27">
        <f>'900000'!$I34</f>
        <v>0</v>
      </c>
      <c r="F14" s="27" t="s">
        <v>19081</v>
      </c>
    </row>
    <row r="15" spans="1:6" s="27" customFormat="1">
      <c r="A15" s="27" t="str">
        <f>Resultados!$K$3</f>
        <v/>
      </c>
      <c r="B15" s="27" t="str">
        <f>Resultados!$K$4</f>
        <v/>
      </c>
      <c r="C15" s="568" t="str">
        <f>'900000'!$B35</f>
        <v>09901015</v>
      </c>
      <c r="D15" s="27" t="str">
        <f>'900000'!$I$19</f>
        <v>C09901008</v>
      </c>
      <c r="E15" s="27">
        <f>'900000'!$I35</f>
        <v>0</v>
      </c>
      <c r="F15" s="27" t="s">
        <v>19081</v>
      </c>
    </row>
    <row r="16" spans="1:6" s="27" customFormat="1">
      <c r="A16" s="27" t="str">
        <f>Resultados!$K$3</f>
        <v/>
      </c>
      <c r="B16" s="27" t="str">
        <f>Resultados!$K$4</f>
        <v/>
      </c>
      <c r="C16" s="568" t="str">
        <f>'900000'!$B36</f>
        <v>09901016</v>
      </c>
      <c r="D16" s="27" t="str">
        <f>'900000'!$I$19</f>
        <v>C09901008</v>
      </c>
      <c r="E16" s="27">
        <f>'900000'!$I36</f>
        <v>0</v>
      </c>
      <c r="F16" s="27" t="s">
        <v>19081</v>
      </c>
    </row>
    <row r="17" spans="1:6" s="27" customFormat="1">
      <c r="A17" s="27" t="str">
        <f>Resultados!$K$3</f>
        <v/>
      </c>
      <c r="B17" s="27" t="str">
        <f>Resultados!$K$4</f>
        <v/>
      </c>
      <c r="C17" s="568" t="str">
        <f>'900000'!$B37</f>
        <v>09901017</v>
      </c>
      <c r="D17" s="27" t="str">
        <f>'900000'!$I$19</f>
        <v>C09901008</v>
      </c>
      <c r="E17" s="27">
        <f>'900000'!$I37</f>
        <v>0</v>
      </c>
      <c r="F17" s="27" t="s">
        <v>19081</v>
      </c>
    </row>
    <row r="18" spans="1:6" s="27" customFormat="1">
      <c r="A18" s="27" t="str">
        <f>Resultados!$K$3</f>
        <v/>
      </c>
      <c r="B18" s="27" t="str">
        <f>Resultados!$K$4</f>
        <v/>
      </c>
      <c r="C18" s="568" t="str">
        <f>'900000'!$B38</f>
        <v>09901018</v>
      </c>
      <c r="D18" s="27" t="str">
        <f>'900000'!$I$19</f>
        <v>C09901008</v>
      </c>
      <c r="E18" s="27">
        <f>'900000'!$I38</f>
        <v>0</v>
      </c>
      <c r="F18" s="27" t="s">
        <v>19081</v>
      </c>
    </row>
    <row r="19" spans="1:6" s="27" customFormat="1">
      <c r="A19" s="27" t="str">
        <f>Resultados!$K$3</f>
        <v/>
      </c>
      <c r="B19" s="27" t="str">
        <f>Resultados!$K$4</f>
        <v/>
      </c>
      <c r="C19" s="568" t="str">
        <f>'900000'!$B39</f>
        <v>09901019</v>
      </c>
      <c r="D19" s="27" t="str">
        <f>'900000'!$I$19</f>
        <v>C09901008</v>
      </c>
      <c r="E19" s="27">
        <f>'900000'!$I39</f>
        <v>0</v>
      </c>
      <c r="F19" s="27" t="s">
        <v>19081</v>
      </c>
    </row>
    <row r="20" spans="1:6" s="27" customFormat="1">
      <c r="A20" s="27" t="str">
        <f>Resultados!$K$3</f>
        <v/>
      </c>
      <c r="B20" s="27" t="str">
        <f>Resultados!$K$4</f>
        <v/>
      </c>
      <c r="C20" s="568" t="str">
        <f>'900000'!$B40</f>
        <v>09901020</v>
      </c>
      <c r="D20" s="27" t="str">
        <f>'900000'!$I$19</f>
        <v>C09901008</v>
      </c>
      <c r="E20" s="27">
        <f>'900000'!$I40</f>
        <v>0</v>
      </c>
      <c r="F20" s="27" t="s">
        <v>19081</v>
      </c>
    </row>
    <row r="21" spans="1:6" s="27" customFormat="1">
      <c r="A21" s="27" t="str">
        <f>Resultados!$K$3</f>
        <v/>
      </c>
      <c r="B21" s="27" t="str">
        <f>Resultados!$K$4</f>
        <v/>
      </c>
      <c r="C21" s="568" t="str">
        <f>'900000'!$B41</f>
        <v>09901021</v>
      </c>
      <c r="D21" s="27" t="str">
        <f>'900000'!$I$19</f>
        <v>C09901008</v>
      </c>
      <c r="E21" s="27">
        <f>'900000'!$I41</f>
        <v>0</v>
      </c>
      <c r="F21" s="27" t="s">
        <v>19081</v>
      </c>
    </row>
    <row r="22" spans="1:6" s="27" customFormat="1">
      <c r="A22" s="27" t="str">
        <f>Resultados!$K$3</f>
        <v/>
      </c>
      <c r="B22" s="27" t="str">
        <f>Resultados!$K$4</f>
        <v/>
      </c>
      <c r="C22" s="568" t="str">
        <f>'900000'!$B42</f>
        <v>09901022</v>
      </c>
      <c r="D22" s="27" t="str">
        <f>'900000'!$I$19</f>
        <v>C09901008</v>
      </c>
      <c r="E22" s="27">
        <f>'900000'!$I42</f>
        <v>0</v>
      </c>
      <c r="F22" s="27" t="s">
        <v>19081</v>
      </c>
    </row>
    <row r="23" spans="1:6" s="27" customFormat="1">
      <c r="A23" s="27" t="str">
        <f>Resultados!$K$3</f>
        <v/>
      </c>
      <c r="B23" s="27" t="str">
        <f>Resultados!$K$4</f>
        <v/>
      </c>
      <c r="C23" s="568" t="str">
        <f>'900000'!$B43</f>
        <v>09901023</v>
      </c>
      <c r="D23" s="27" t="str">
        <f>'900000'!$I$19</f>
        <v>C09901008</v>
      </c>
      <c r="E23" s="27">
        <f>'900000'!$I43</f>
        <v>0</v>
      </c>
      <c r="F23" s="27" t="s">
        <v>19081</v>
      </c>
    </row>
    <row r="24" spans="1:6" s="27" customFormat="1">
      <c r="A24" s="27" t="str">
        <f>Resultados!$K$3</f>
        <v/>
      </c>
      <c r="B24" s="27" t="str">
        <f>Resultados!$K$4</f>
        <v/>
      </c>
      <c r="C24" s="568" t="str">
        <f>'900000'!$B44</f>
        <v>09901024</v>
      </c>
      <c r="D24" s="27" t="str">
        <f>'900000'!$I$19</f>
        <v>C09901008</v>
      </c>
      <c r="E24" s="27">
        <f>'900000'!$I44</f>
        <v>0</v>
      </c>
      <c r="F24" s="27" t="s">
        <v>19081</v>
      </c>
    </row>
    <row r="25" spans="1:6" s="27" customFormat="1">
      <c r="A25" s="27" t="str">
        <f>Resultados!$K$3</f>
        <v/>
      </c>
      <c r="B25" s="27" t="str">
        <f>Resultados!$K$4</f>
        <v/>
      </c>
      <c r="C25" s="568" t="str">
        <f>'900000'!$B45</f>
        <v>09901025</v>
      </c>
      <c r="D25" s="27" t="str">
        <f>'900000'!$I$19</f>
        <v>C09901008</v>
      </c>
      <c r="E25" s="27">
        <f>'900000'!$I45</f>
        <v>0</v>
      </c>
      <c r="F25" s="27" t="s">
        <v>19081</v>
      </c>
    </row>
    <row r="26" spans="1:6" s="27" customFormat="1">
      <c r="A26" s="27" t="str">
        <f>Resultados!$K$3</f>
        <v/>
      </c>
      <c r="B26" s="27" t="str">
        <f>Resultados!$K$4</f>
        <v/>
      </c>
      <c r="C26" s="568" t="str">
        <f>'900000'!$B46</f>
        <v>09901026</v>
      </c>
      <c r="D26" s="27" t="str">
        <f>'900000'!$I$19</f>
        <v>C09901008</v>
      </c>
      <c r="E26" s="27">
        <f>'900000'!$I46</f>
        <v>0</v>
      </c>
      <c r="F26" s="27" t="s">
        <v>19081</v>
      </c>
    </row>
    <row r="27" spans="1:6" s="27" customFormat="1">
      <c r="A27" s="27" t="str">
        <f>Resultados!$K$3</f>
        <v/>
      </c>
      <c r="B27" s="27" t="str">
        <f>Resultados!$K$4</f>
        <v/>
      </c>
      <c r="C27" s="568" t="str">
        <f>'900000'!$B47</f>
        <v>09901027</v>
      </c>
      <c r="D27" s="27" t="str">
        <f>'900000'!$I$19</f>
        <v>C09901008</v>
      </c>
      <c r="E27" s="27">
        <f>'900000'!$I47</f>
        <v>0</v>
      </c>
      <c r="F27" s="27" t="s">
        <v>19081</v>
      </c>
    </row>
    <row r="28" spans="1:6" s="27" customFormat="1">
      <c r="A28" s="27" t="str">
        <f>Resultados!$K$3</f>
        <v/>
      </c>
      <c r="B28" s="27" t="str">
        <f>Resultados!$K$4</f>
        <v/>
      </c>
      <c r="C28" s="568" t="str">
        <f>'900000'!$B48</f>
        <v>09901028</v>
      </c>
      <c r="D28" s="27" t="str">
        <f>'900000'!$I$19</f>
        <v>C09901008</v>
      </c>
      <c r="E28" s="27">
        <f>'900000'!$I48</f>
        <v>0</v>
      </c>
      <c r="F28" s="27" t="s">
        <v>19081</v>
      </c>
    </row>
    <row r="29" spans="1:6" s="27" customFormat="1">
      <c r="A29" s="27" t="str">
        <f>Resultados!$K$3</f>
        <v/>
      </c>
      <c r="B29" s="27" t="str">
        <f>Resultados!$K$4</f>
        <v/>
      </c>
      <c r="C29" s="568" t="str">
        <f>'900000'!$B49</f>
        <v>09901029</v>
      </c>
      <c r="D29" s="27" t="str">
        <f>'900000'!$I$19</f>
        <v>C09901008</v>
      </c>
      <c r="E29" s="27">
        <f>'900000'!$I49</f>
        <v>0</v>
      </c>
      <c r="F29" s="27" t="s">
        <v>19081</v>
      </c>
    </row>
    <row r="30" spans="1:6" s="27" customFormat="1">
      <c r="A30" s="27" t="str">
        <f>Resultados!$K$3</f>
        <v/>
      </c>
      <c r="B30" s="27" t="str">
        <f>Resultados!$K$4</f>
        <v/>
      </c>
      <c r="C30" s="568" t="str">
        <f>'900000'!$B50</f>
        <v>09901030</v>
      </c>
      <c r="D30" s="27" t="str">
        <f>'900000'!$I$19</f>
        <v>C09901008</v>
      </c>
      <c r="E30" s="27">
        <f>'900000'!$I50</f>
        <v>0</v>
      </c>
      <c r="F30" s="27" t="s">
        <v>19081</v>
      </c>
    </row>
    <row r="31" spans="1:6" s="27" customFormat="1">
      <c r="A31" s="27" t="str">
        <f>Resultados!$K$3</f>
        <v/>
      </c>
      <c r="B31" s="27" t="str">
        <f>Resultados!$K$4</f>
        <v/>
      </c>
      <c r="C31" s="568" t="str">
        <f>'900000'!$B51</f>
        <v>09901031</v>
      </c>
      <c r="D31" s="27" t="str">
        <f>'900000'!$I$19</f>
        <v>C09901008</v>
      </c>
      <c r="E31" s="27">
        <f>'900000'!$I51</f>
        <v>0</v>
      </c>
      <c r="F31" s="27" t="s">
        <v>19081</v>
      </c>
    </row>
    <row r="32" spans="1:6" s="27" customFormat="1">
      <c r="A32" s="27" t="str">
        <f>Resultados!$K$3</f>
        <v/>
      </c>
      <c r="B32" s="27" t="str">
        <f>Resultados!$K$4</f>
        <v/>
      </c>
      <c r="C32" s="568" t="str">
        <f>'900000'!$B52</f>
        <v>09901032</v>
      </c>
      <c r="D32" s="27" t="str">
        <f>'900000'!$I$19</f>
        <v>C09901008</v>
      </c>
      <c r="E32" s="27">
        <f>'900000'!$I52</f>
        <v>0</v>
      </c>
      <c r="F32" s="27" t="s">
        <v>19081</v>
      </c>
    </row>
    <row r="33" spans="1:6" s="27" customFormat="1">
      <c r="A33" s="27" t="str">
        <f>Resultados!$K$3</f>
        <v/>
      </c>
      <c r="B33" s="27" t="str">
        <f>Resultados!$K$4</f>
        <v/>
      </c>
      <c r="C33" s="568" t="str">
        <f>'900000'!$B53</f>
        <v>09901033</v>
      </c>
      <c r="D33" s="27" t="str">
        <f>'900000'!$I$19</f>
        <v>C09901008</v>
      </c>
      <c r="E33" s="27">
        <f>'900000'!$I53</f>
        <v>0</v>
      </c>
      <c r="F33" s="27" t="s">
        <v>19081</v>
      </c>
    </row>
    <row r="34" spans="1:6" s="27" customFormat="1">
      <c r="A34" s="27" t="str">
        <f>Resultados!$K$3</f>
        <v/>
      </c>
      <c r="B34" s="27" t="str">
        <f>Resultados!$K$4</f>
        <v/>
      </c>
      <c r="C34" s="568" t="str">
        <f>'900000'!$B54</f>
        <v>09901034</v>
      </c>
      <c r="D34" s="27" t="str">
        <f>'900000'!$I$19</f>
        <v>C09901008</v>
      </c>
      <c r="E34" s="27">
        <f>'900000'!$I54</f>
        <v>0</v>
      </c>
      <c r="F34" s="27" t="s">
        <v>19081</v>
      </c>
    </row>
    <row r="35" spans="1:6" s="27" customFormat="1">
      <c r="A35" s="27" t="str">
        <f>Resultados!$K$3</f>
        <v/>
      </c>
      <c r="B35" s="27" t="str">
        <f>Resultados!$K$4</f>
        <v/>
      </c>
      <c r="C35" s="568" t="str">
        <f>'900000'!$B55</f>
        <v>09901035</v>
      </c>
      <c r="D35" s="27" t="str">
        <f>'900000'!$I$19</f>
        <v>C09901008</v>
      </c>
      <c r="E35" s="27">
        <f>'900000'!$I55</f>
        <v>0</v>
      </c>
      <c r="F35" s="27" t="s">
        <v>19081</v>
      </c>
    </row>
    <row r="36" spans="1:6" s="27" customFormat="1">
      <c r="A36" s="27" t="str">
        <f>Resultados!$K$3</f>
        <v/>
      </c>
      <c r="B36" s="27" t="str">
        <f>Resultados!$K$4</f>
        <v/>
      </c>
      <c r="C36" s="568" t="str">
        <f>'900000'!$B56</f>
        <v>09901036</v>
      </c>
      <c r="D36" s="27" t="str">
        <f>'900000'!$I$19</f>
        <v>C09901008</v>
      </c>
      <c r="E36" s="27">
        <f>'900000'!$I56</f>
        <v>0</v>
      </c>
      <c r="F36" s="27" t="s">
        <v>19081</v>
      </c>
    </row>
    <row r="37" spans="1:6" s="27" customFormat="1">
      <c r="A37" s="27" t="str">
        <f>Resultados!$K$3</f>
        <v/>
      </c>
      <c r="B37" s="27" t="str">
        <f>Resultados!$K$4</f>
        <v/>
      </c>
      <c r="C37" s="568" t="str">
        <f>'900000'!$B57</f>
        <v>09901037</v>
      </c>
      <c r="D37" s="27" t="str">
        <f>'900000'!$I$19</f>
        <v>C09901008</v>
      </c>
      <c r="E37" s="27">
        <f>'900000'!$I57</f>
        <v>0</v>
      </c>
      <c r="F37" s="27" t="s">
        <v>19081</v>
      </c>
    </row>
    <row r="38" spans="1:6" s="27" customFormat="1">
      <c r="A38" s="27" t="str">
        <f>Resultados!$K$3</f>
        <v/>
      </c>
      <c r="B38" s="27" t="str">
        <f>Resultados!$K$4</f>
        <v/>
      </c>
      <c r="C38" s="568" t="str">
        <f>'900000'!$B58</f>
        <v>09901038</v>
      </c>
      <c r="D38" s="27" t="str">
        <f>'900000'!$I$19</f>
        <v>C09901008</v>
      </c>
      <c r="E38" s="27">
        <f>'900000'!$I58</f>
        <v>0</v>
      </c>
      <c r="F38" s="27" t="s">
        <v>19081</v>
      </c>
    </row>
    <row r="39" spans="1:6" s="27" customFormat="1">
      <c r="A39" s="27" t="str">
        <f>Resultados!$K$3</f>
        <v/>
      </c>
      <c r="B39" s="27" t="str">
        <f>Resultados!$K$4</f>
        <v/>
      </c>
      <c r="C39" s="568" t="str">
        <f>'900000'!$B59</f>
        <v>09901039</v>
      </c>
      <c r="D39" s="27" t="str">
        <f>'900000'!$I$19</f>
        <v>C09901008</v>
      </c>
      <c r="E39" s="27">
        <f>'900000'!$I59</f>
        <v>0</v>
      </c>
      <c r="F39" s="27" t="s">
        <v>19081</v>
      </c>
    </row>
    <row r="40" spans="1:6" s="27" customFormat="1">
      <c r="A40" s="27" t="str">
        <f>Resultados!$K$3</f>
        <v/>
      </c>
      <c r="B40" s="27" t="str">
        <f>Resultados!$K$4</f>
        <v/>
      </c>
      <c r="C40" s="568" t="str">
        <f>'900000'!$B60</f>
        <v>09901040</v>
      </c>
      <c r="D40" s="27" t="str">
        <f>'900000'!$I$19</f>
        <v>C09901008</v>
      </c>
      <c r="E40" s="27">
        <f>'900000'!$I60</f>
        <v>0</v>
      </c>
      <c r="F40" s="27" t="s">
        <v>19081</v>
      </c>
    </row>
    <row r="41" spans="1:6" s="27" customFormat="1">
      <c r="A41" s="27" t="str">
        <f>Resultados!$K$3</f>
        <v/>
      </c>
      <c r="B41" s="27" t="str">
        <f>Resultados!$K$4</f>
        <v/>
      </c>
      <c r="C41" s="568" t="str">
        <f>'900000'!$B61</f>
        <v>09901041</v>
      </c>
      <c r="D41" s="27" t="str">
        <f>'900000'!$I$19</f>
        <v>C09901008</v>
      </c>
      <c r="E41" s="27">
        <f>'900000'!$I61</f>
        <v>0</v>
      </c>
      <c r="F41" s="27" t="s">
        <v>19081</v>
      </c>
    </row>
    <row r="42" spans="1:6" s="27" customFormat="1">
      <c r="A42" s="27" t="str">
        <f>Resultados!$K$3</f>
        <v/>
      </c>
      <c r="B42" s="27" t="str">
        <f>Resultados!$K$4</f>
        <v/>
      </c>
      <c r="C42" s="568" t="str">
        <f>'900000'!$B62</f>
        <v>09901042</v>
      </c>
      <c r="D42" s="27" t="str">
        <f>'900000'!$I$19</f>
        <v>C09901008</v>
      </c>
      <c r="E42" s="27">
        <f>'900000'!$I62</f>
        <v>0</v>
      </c>
      <c r="F42" s="27" t="s">
        <v>19081</v>
      </c>
    </row>
    <row r="43" spans="1:6" s="27" customFormat="1">
      <c r="A43" s="27" t="str">
        <f>Resultados!$K$3</f>
        <v/>
      </c>
      <c r="B43" s="27" t="str">
        <f>Resultados!$K$4</f>
        <v/>
      </c>
      <c r="C43" s="568" t="str">
        <f>'900000'!$B63</f>
        <v>09901043</v>
      </c>
      <c r="D43" s="27" t="str">
        <f>'900000'!$I$19</f>
        <v>C09901008</v>
      </c>
      <c r="E43" s="27">
        <f>'900000'!$I63</f>
        <v>0</v>
      </c>
      <c r="F43" s="27" t="s">
        <v>19081</v>
      </c>
    </row>
    <row r="44" spans="1:6" s="27" customFormat="1">
      <c r="A44" s="27" t="str">
        <f>Resultados!$K$3</f>
        <v/>
      </c>
      <c r="B44" s="27" t="str">
        <f>Resultados!$K$4</f>
        <v/>
      </c>
      <c r="C44" s="568" t="str">
        <f>'900000'!$B64</f>
        <v>09901044</v>
      </c>
      <c r="D44" s="27" t="str">
        <f>'900000'!$I$19</f>
        <v>C09901008</v>
      </c>
      <c r="E44" s="27">
        <f>'900000'!$I64</f>
        <v>0</v>
      </c>
      <c r="F44" s="27" t="s">
        <v>19081</v>
      </c>
    </row>
    <row r="45" spans="1:6" s="27" customFormat="1">
      <c r="A45" s="27" t="str">
        <f>Resultados!$K$3</f>
        <v/>
      </c>
      <c r="B45" s="27" t="str">
        <f>Resultados!$K$4</f>
        <v/>
      </c>
      <c r="C45" s="568" t="str">
        <f>'900000'!$B65</f>
        <v>09901045</v>
      </c>
      <c r="D45" s="27" t="str">
        <f>'900000'!$I$19</f>
        <v>C09901008</v>
      </c>
      <c r="E45" s="27">
        <f>'900000'!$I65</f>
        <v>0</v>
      </c>
      <c r="F45" s="27" t="s">
        <v>19081</v>
      </c>
    </row>
    <row r="46" spans="1:6" s="27" customFormat="1">
      <c r="A46" s="27" t="str">
        <f>Resultados!$K$3</f>
        <v/>
      </c>
      <c r="B46" s="27" t="str">
        <f>Resultados!$K$4</f>
        <v/>
      </c>
      <c r="C46" s="568" t="str">
        <f>'900000'!$B66</f>
        <v>09901046</v>
      </c>
      <c r="D46" s="27" t="str">
        <f>'900000'!$I$19</f>
        <v>C09901008</v>
      </c>
      <c r="E46" s="27">
        <f>'900000'!$I66</f>
        <v>0</v>
      </c>
      <c r="F46" s="27" t="s">
        <v>19081</v>
      </c>
    </row>
    <row r="47" spans="1:6" s="27" customFormat="1">
      <c r="A47" s="27" t="str">
        <f>Resultados!$K$3</f>
        <v/>
      </c>
      <c r="B47" s="27" t="str">
        <f>Resultados!$K$4</f>
        <v/>
      </c>
      <c r="C47" s="568" t="str">
        <f>'900000'!$B67</f>
        <v>09901047</v>
      </c>
      <c r="D47" s="27" t="str">
        <f>'900000'!$I$19</f>
        <v>C09901008</v>
      </c>
      <c r="E47" s="27">
        <f>'900000'!$I67</f>
        <v>0</v>
      </c>
      <c r="F47" s="27" t="s">
        <v>19081</v>
      </c>
    </row>
    <row r="48" spans="1:6" s="27" customFormat="1">
      <c r="A48" s="27" t="str">
        <f>Resultados!$K$3</f>
        <v/>
      </c>
      <c r="B48" s="27" t="str">
        <f>Resultados!$K$4</f>
        <v/>
      </c>
      <c r="C48" s="568" t="str">
        <f>'900000'!$B68</f>
        <v>09901048</v>
      </c>
      <c r="D48" s="27" t="str">
        <f>'900000'!$I$19</f>
        <v>C09901008</v>
      </c>
      <c r="E48" s="27">
        <f>'900000'!$I68</f>
        <v>0</v>
      </c>
      <c r="F48" s="27" t="s">
        <v>19081</v>
      </c>
    </row>
    <row r="49" spans="1:6" s="27" customFormat="1">
      <c r="A49" s="27" t="str">
        <f>Resultados!$K$3</f>
        <v/>
      </c>
      <c r="B49" s="27" t="str">
        <f>Resultados!$K$4</f>
        <v/>
      </c>
      <c r="C49" s="568" t="str">
        <f>'900000'!$B69</f>
        <v>09901049</v>
      </c>
      <c r="D49" s="27" t="str">
        <f>'900000'!$I$19</f>
        <v>C09901008</v>
      </c>
      <c r="E49" s="27">
        <f>'900000'!$I69</f>
        <v>0</v>
      </c>
      <c r="F49" s="27" t="s">
        <v>19081</v>
      </c>
    </row>
    <row r="50" spans="1:6" s="27" customFormat="1">
      <c r="A50" s="27" t="str">
        <f>Resultados!$K$3</f>
        <v/>
      </c>
      <c r="B50" s="27" t="str">
        <f>Resultados!$K$4</f>
        <v/>
      </c>
      <c r="C50" s="568" t="str">
        <f>'900000'!$B70</f>
        <v>09901050</v>
      </c>
      <c r="D50" s="27" t="str">
        <f>'900000'!$I$19</f>
        <v>C09901008</v>
      </c>
      <c r="E50" s="27">
        <f>'900000'!$I70</f>
        <v>0</v>
      </c>
      <c r="F50" s="27" t="s">
        <v>19081</v>
      </c>
    </row>
    <row r="51" spans="1:6" s="27" customFormat="1">
      <c r="A51" s="27" t="str">
        <f>Resultados!$K$3</f>
        <v/>
      </c>
      <c r="B51" s="27" t="str">
        <f>Resultados!$K$4</f>
        <v/>
      </c>
      <c r="C51" s="568" t="str">
        <f>'900000'!$B71</f>
        <v>09901051</v>
      </c>
      <c r="D51" s="27" t="str">
        <f>'900000'!$I$19</f>
        <v>C09901008</v>
      </c>
      <c r="E51" s="27">
        <f>'900000'!$I71</f>
        <v>0</v>
      </c>
      <c r="F51" s="27" t="s">
        <v>19081</v>
      </c>
    </row>
    <row r="52" spans="1:6" s="27" customFormat="1">
      <c r="A52" s="27" t="str">
        <f>Resultados!$K$3</f>
        <v/>
      </c>
      <c r="B52" s="27" t="str">
        <f>Resultados!$K$4</f>
        <v/>
      </c>
      <c r="C52" s="568" t="str">
        <f>'900000'!$B72</f>
        <v>09901052</v>
      </c>
      <c r="D52" s="27" t="str">
        <f>'900000'!$I$19</f>
        <v>C09901008</v>
      </c>
      <c r="E52" s="27">
        <f>'900000'!$I72</f>
        <v>0</v>
      </c>
      <c r="F52" s="27" t="s">
        <v>19081</v>
      </c>
    </row>
    <row r="53" spans="1:6" s="27" customFormat="1">
      <c r="A53" s="27" t="str">
        <f>Resultados!$K$3</f>
        <v/>
      </c>
      <c r="B53" s="27" t="str">
        <f>Resultados!$K$4</f>
        <v/>
      </c>
      <c r="C53" s="568" t="str">
        <f>'900000'!$B73</f>
        <v>09901053</v>
      </c>
      <c r="D53" s="27" t="str">
        <f>'900000'!$I$19</f>
        <v>C09901008</v>
      </c>
      <c r="E53" s="27">
        <f>'900000'!$I73</f>
        <v>0</v>
      </c>
      <c r="F53" s="27" t="s">
        <v>19081</v>
      </c>
    </row>
    <row r="54" spans="1:6" s="27" customFormat="1">
      <c r="A54" s="27" t="str">
        <f>Resultados!$K$3</f>
        <v/>
      </c>
      <c r="B54" s="27" t="str">
        <f>Resultados!$K$4</f>
        <v/>
      </c>
      <c r="C54" s="568" t="str">
        <f>'900000'!$B74</f>
        <v>09901054</v>
      </c>
      <c r="D54" s="27" t="str">
        <f>'900000'!$I$19</f>
        <v>C09901008</v>
      </c>
      <c r="E54" s="27">
        <f>'900000'!$I74</f>
        <v>0</v>
      </c>
      <c r="F54" s="27" t="s">
        <v>19081</v>
      </c>
    </row>
    <row r="55" spans="1:6" s="27" customFormat="1">
      <c r="A55" s="27" t="str">
        <f>Resultados!$K$3</f>
        <v/>
      </c>
      <c r="B55" s="27" t="str">
        <f>Resultados!$K$4</f>
        <v/>
      </c>
      <c r="C55" s="568" t="str">
        <f>'900000'!$B75</f>
        <v>09901055</v>
      </c>
      <c r="D55" s="27" t="str">
        <f>'900000'!$I$19</f>
        <v>C09901008</v>
      </c>
      <c r="E55" s="27">
        <f>'900000'!$I75</f>
        <v>0</v>
      </c>
      <c r="F55" s="27" t="s">
        <v>19081</v>
      </c>
    </row>
    <row r="56" spans="1:6" s="27" customFormat="1">
      <c r="A56" s="27" t="str">
        <f>Resultados!$K$3</f>
        <v/>
      </c>
      <c r="B56" s="27" t="str">
        <f>Resultados!$K$4</f>
        <v/>
      </c>
      <c r="C56" s="568" t="str">
        <f>'900000'!$B76</f>
        <v>09901056</v>
      </c>
      <c r="D56" s="27" t="str">
        <f>'900000'!$I$19</f>
        <v>C09901008</v>
      </c>
      <c r="E56" s="27">
        <f>'900000'!$I76</f>
        <v>0</v>
      </c>
      <c r="F56" s="27" t="s">
        <v>19081</v>
      </c>
    </row>
    <row r="57" spans="1:6" s="27" customFormat="1">
      <c r="A57" s="27" t="str">
        <f>Resultados!$K$3</f>
        <v/>
      </c>
      <c r="B57" s="27" t="str">
        <f>Resultados!$K$4</f>
        <v/>
      </c>
      <c r="C57" s="568" t="str">
        <f>'900000'!$B77</f>
        <v>09901057</v>
      </c>
      <c r="D57" s="27" t="str">
        <f>'900000'!$I$19</f>
        <v>C09901008</v>
      </c>
      <c r="E57" s="27">
        <f>'900000'!$I77</f>
        <v>0</v>
      </c>
      <c r="F57" s="27" t="s">
        <v>19081</v>
      </c>
    </row>
    <row r="58" spans="1:6" s="27" customFormat="1">
      <c r="A58" s="27" t="str">
        <f>Resultados!$K$3</f>
        <v/>
      </c>
      <c r="B58" s="27" t="str">
        <f>Resultados!$K$4</f>
        <v/>
      </c>
      <c r="C58" s="568" t="str">
        <f>'900000'!$B78</f>
        <v>09901058</v>
      </c>
      <c r="D58" s="27" t="str">
        <f>'900000'!$I$19</f>
        <v>C09901008</v>
      </c>
      <c r="E58" s="27">
        <f>'900000'!$I78</f>
        <v>0</v>
      </c>
      <c r="F58" s="27" t="s">
        <v>19081</v>
      </c>
    </row>
    <row r="59" spans="1:6" s="27" customFormat="1">
      <c r="A59" s="27" t="str">
        <f>Resultados!$K$3</f>
        <v/>
      </c>
      <c r="B59" s="27" t="str">
        <f>Resultados!$K$4</f>
        <v/>
      </c>
      <c r="C59" s="568" t="str">
        <f>'900000'!$B79</f>
        <v>09901059</v>
      </c>
      <c r="D59" s="27" t="str">
        <f>'900000'!$I$19</f>
        <v>C09901008</v>
      </c>
      <c r="E59" s="27">
        <f>'900000'!$I79</f>
        <v>0</v>
      </c>
      <c r="F59" s="27" t="s">
        <v>19081</v>
      </c>
    </row>
    <row r="60" spans="1:6" s="27" customFormat="1">
      <c r="A60" s="27" t="str">
        <f>Resultados!$K$3</f>
        <v/>
      </c>
      <c r="B60" s="27" t="str">
        <f>Resultados!$K$4</f>
        <v/>
      </c>
      <c r="C60" s="568" t="str">
        <f>'900000'!$B80</f>
        <v>09901060</v>
      </c>
      <c r="D60" s="27" t="str">
        <f>'900000'!$I$19</f>
        <v>C09901008</v>
      </c>
      <c r="E60" s="27">
        <f>'900000'!$I80</f>
        <v>0</v>
      </c>
      <c r="F60" s="27" t="s">
        <v>19081</v>
      </c>
    </row>
    <row r="61" spans="1:6" s="27" customFormat="1">
      <c r="A61" s="27" t="str">
        <f>Resultados!$K$3</f>
        <v/>
      </c>
      <c r="B61" s="27" t="str">
        <f>Resultados!$K$4</f>
        <v/>
      </c>
      <c r="C61" s="568" t="str">
        <f>'900000'!$B81</f>
        <v>09901061</v>
      </c>
      <c r="D61" s="27" t="str">
        <f>'900000'!$I$19</f>
        <v>C09901008</v>
      </c>
      <c r="E61" s="27">
        <f>'900000'!$I81</f>
        <v>0</v>
      </c>
      <c r="F61" s="27" t="s">
        <v>19081</v>
      </c>
    </row>
    <row r="62" spans="1:6" s="27" customFormat="1">
      <c r="A62" s="27" t="str">
        <f>Resultados!$K$3</f>
        <v/>
      </c>
      <c r="B62" s="27" t="str">
        <f>Resultados!$K$4</f>
        <v/>
      </c>
      <c r="C62" s="568" t="str">
        <f>'900000'!$B82</f>
        <v>09901062</v>
      </c>
      <c r="D62" s="27" t="str">
        <f>'900000'!$I$19</f>
        <v>C09901008</v>
      </c>
      <c r="E62" s="27">
        <f>'900000'!$I82</f>
        <v>0</v>
      </c>
      <c r="F62" s="27" t="s">
        <v>19081</v>
      </c>
    </row>
    <row r="63" spans="1:6" s="27" customFormat="1">
      <c r="A63" s="27" t="str">
        <f>Resultados!$K$3</f>
        <v/>
      </c>
      <c r="B63" s="27" t="str">
        <f>Resultados!$K$4</f>
        <v/>
      </c>
      <c r="C63" s="568" t="str">
        <f>'900000'!$B83</f>
        <v>09901063</v>
      </c>
      <c r="D63" s="27" t="str">
        <f>'900000'!$I$19</f>
        <v>C09901008</v>
      </c>
      <c r="E63" s="27">
        <f>'900000'!$I83</f>
        <v>0</v>
      </c>
      <c r="F63" s="27" t="s">
        <v>19081</v>
      </c>
    </row>
    <row r="64" spans="1:6" s="27" customFormat="1">
      <c r="A64" s="27" t="str">
        <f>Resultados!$K$3</f>
        <v/>
      </c>
      <c r="B64" s="27" t="str">
        <f>Resultados!$K$4</f>
        <v/>
      </c>
      <c r="C64" s="568" t="str">
        <f>'900000'!$B84</f>
        <v>09901064</v>
      </c>
      <c r="D64" s="27" t="str">
        <f>'900000'!$I$19</f>
        <v>C09901008</v>
      </c>
      <c r="E64" s="27">
        <f>'900000'!$I84</f>
        <v>0</v>
      </c>
      <c r="F64" s="27" t="s">
        <v>19081</v>
      </c>
    </row>
    <row r="65" spans="1:6" s="27" customFormat="1">
      <c r="A65" s="27" t="str">
        <f>Resultados!$K$3</f>
        <v/>
      </c>
      <c r="B65" s="27" t="str">
        <f>Resultados!$K$4</f>
        <v/>
      </c>
      <c r="C65" s="568" t="str">
        <f>'900000'!$B85</f>
        <v>09901065</v>
      </c>
      <c r="D65" s="27" t="str">
        <f>'900000'!$I$19</f>
        <v>C09901008</v>
      </c>
      <c r="E65" s="27">
        <f>'900000'!$I85</f>
        <v>0</v>
      </c>
      <c r="F65" s="27" t="s">
        <v>19081</v>
      </c>
    </row>
    <row r="66" spans="1:6" s="27" customFormat="1">
      <c r="A66" s="27" t="str">
        <f>Resultados!$K$3</f>
        <v/>
      </c>
      <c r="B66" s="27" t="str">
        <f>Resultados!$K$4</f>
        <v/>
      </c>
      <c r="C66" s="568" t="str">
        <f>'900000'!$B86</f>
        <v>09901066</v>
      </c>
      <c r="D66" s="27" t="str">
        <f>'900000'!$I$19</f>
        <v>C09901008</v>
      </c>
      <c r="E66" s="27">
        <f>'900000'!$I86</f>
        <v>0</v>
      </c>
      <c r="F66" s="27" t="s">
        <v>19081</v>
      </c>
    </row>
    <row r="67" spans="1:6" s="27" customFormat="1">
      <c r="A67" s="27" t="str">
        <f>Resultados!$K$3</f>
        <v/>
      </c>
      <c r="B67" s="27" t="str">
        <f>Resultados!$K$4</f>
        <v/>
      </c>
      <c r="C67" s="568" t="str">
        <f>'900000'!$B87</f>
        <v>09901067</v>
      </c>
      <c r="D67" s="27" t="str">
        <f>'900000'!$I$19</f>
        <v>C09901008</v>
      </c>
      <c r="E67" s="27">
        <f>'900000'!$I87</f>
        <v>0</v>
      </c>
      <c r="F67" s="27" t="s">
        <v>19081</v>
      </c>
    </row>
    <row r="68" spans="1:6" s="27" customFormat="1">
      <c r="A68" s="27" t="str">
        <f>Resultados!$K$3</f>
        <v/>
      </c>
      <c r="B68" s="27" t="str">
        <f>Resultados!$K$4</f>
        <v/>
      </c>
      <c r="C68" s="568" t="str">
        <f>'900000'!$B88</f>
        <v>09901068</v>
      </c>
      <c r="D68" s="27" t="str">
        <f>'900000'!$I$19</f>
        <v>C09901008</v>
      </c>
      <c r="E68" s="27">
        <f>'900000'!$I88</f>
        <v>0</v>
      </c>
      <c r="F68" s="27" t="s">
        <v>19081</v>
      </c>
    </row>
    <row r="69" spans="1:6" s="27" customFormat="1">
      <c r="A69" s="27" t="str">
        <f>Resultados!$K$3</f>
        <v/>
      </c>
      <c r="B69" s="27" t="str">
        <f>Resultados!$K$4</f>
        <v/>
      </c>
      <c r="C69" s="568" t="str">
        <f>'900000'!$B89</f>
        <v>09901069</v>
      </c>
      <c r="D69" s="27" t="str">
        <f>'900000'!$I$19</f>
        <v>C09901008</v>
      </c>
      <c r="E69" s="27">
        <f>'900000'!$I89</f>
        <v>0</v>
      </c>
      <c r="F69" s="27" t="s">
        <v>19081</v>
      </c>
    </row>
    <row r="70" spans="1:6" s="27" customFormat="1">
      <c r="A70" s="27" t="str">
        <f>Resultados!$K$3</f>
        <v/>
      </c>
      <c r="B70" s="27" t="str">
        <f>Resultados!$K$4</f>
        <v/>
      </c>
      <c r="C70" s="568" t="str">
        <f>'900000'!$B90</f>
        <v>09901070</v>
      </c>
      <c r="D70" s="27" t="str">
        <f>'900000'!$I$19</f>
        <v>C09901008</v>
      </c>
      <c r="E70" s="27">
        <f>'900000'!$I90</f>
        <v>0</v>
      </c>
      <c r="F70" s="27" t="s">
        <v>19081</v>
      </c>
    </row>
    <row r="71" spans="1:6" s="27" customFormat="1">
      <c r="A71" s="27" t="str">
        <f>Resultados!$K$3</f>
        <v/>
      </c>
      <c r="B71" s="27" t="str">
        <f>Resultados!$K$4</f>
        <v/>
      </c>
      <c r="C71" s="568" t="str">
        <f>'900000'!$B91</f>
        <v>09901071</v>
      </c>
      <c r="D71" s="27" t="str">
        <f>'900000'!$I$19</f>
        <v>C09901008</v>
      </c>
      <c r="E71" s="27">
        <f>'900000'!$I91</f>
        <v>0</v>
      </c>
      <c r="F71" s="27" t="s">
        <v>19081</v>
      </c>
    </row>
    <row r="72" spans="1:6" s="27" customFormat="1">
      <c r="A72" s="27" t="str">
        <f>Resultados!$K$3</f>
        <v/>
      </c>
      <c r="B72" s="27" t="str">
        <f>Resultados!$K$4</f>
        <v/>
      </c>
      <c r="C72" s="568" t="str">
        <f>'900000'!$B92</f>
        <v>09901072</v>
      </c>
      <c r="D72" s="27" t="str">
        <f>'900000'!$I$19</f>
        <v>C09901008</v>
      </c>
      <c r="E72" s="27">
        <f>'900000'!$I92</f>
        <v>0</v>
      </c>
      <c r="F72" s="27" t="s">
        <v>19081</v>
      </c>
    </row>
    <row r="73" spans="1:6" s="27" customFormat="1">
      <c r="A73" s="27" t="str">
        <f>Resultados!$K$3</f>
        <v/>
      </c>
      <c r="B73" s="27" t="str">
        <f>Resultados!$K$4</f>
        <v/>
      </c>
      <c r="C73" s="568" t="str">
        <f>'900000'!$B93</f>
        <v>09901073</v>
      </c>
      <c r="D73" s="27" t="str">
        <f>'900000'!$I$19</f>
        <v>C09901008</v>
      </c>
      <c r="E73" s="27">
        <f>'900000'!$I93</f>
        <v>0</v>
      </c>
      <c r="F73" s="27" t="s">
        <v>19081</v>
      </c>
    </row>
    <row r="74" spans="1:6" s="27" customFormat="1">
      <c r="A74" s="27" t="str">
        <f>Resultados!$K$3</f>
        <v/>
      </c>
      <c r="B74" s="27" t="str">
        <f>Resultados!$K$4</f>
        <v/>
      </c>
      <c r="C74" s="568" t="str">
        <f>'900000'!$B94</f>
        <v>09901074</v>
      </c>
      <c r="D74" s="27" t="str">
        <f>'900000'!$I$19</f>
        <v>C09901008</v>
      </c>
      <c r="E74" s="27">
        <f>'900000'!$I94</f>
        <v>0</v>
      </c>
      <c r="F74" s="27" t="s">
        <v>19081</v>
      </c>
    </row>
    <row r="75" spans="1:6" s="27" customFormat="1">
      <c r="A75" s="27" t="str">
        <f>Resultados!$K$3</f>
        <v/>
      </c>
      <c r="B75" s="27" t="str">
        <f>Resultados!$K$4</f>
        <v/>
      </c>
      <c r="C75" s="568" t="str">
        <f>'900000'!$B95</f>
        <v>09901075</v>
      </c>
      <c r="D75" s="27" t="str">
        <f>'900000'!$I$19</f>
        <v>C09901008</v>
      </c>
      <c r="E75" s="27">
        <f>'900000'!$I95</f>
        <v>0</v>
      </c>
      <c r="F75" s="27" t="s">
        <v>19081</v>
      </c>
    </row>
    <row r="76" spans="1:6" s="27" customFormat="1">
      <c r="A76" s="27" t="str">
        <f>Resultados!$K$3</f>
        <v/>
      </c>
      <c r="B76" s="27" t="str">
        <f>Resultados!$K$4</f>
        <v/>
      </c>
      <c r="C76" s="568" t="str">
        <f>'900000'!$B96</f>
        <v>09901076</v>
      </c>
      <c r="D76" s="27" t="str">
        <f>'900000'!$I$19</f>
        <v>C09901008</v>
      </c>
      <c r="E76" s="27">
        <f>'900000'!$I96</f>
        <v>0</v>
      </c>
      <c r="F76" s="27" t="s">
        <v>19081</v>
      </c>
    </row>
    <row r="77" spans="1:6" s="27" customFormat="1">
      <c r="A77" s="27" t="str">
        <f>Resultados!$K$3</f>
        <v/>
      </c>
      <c r="B77" s="27" t="str">
        <f>Resultados!$K$4</f>
        <v/>
      </c>
      <c r="C77" s="568" t="str">
        <f>'900000'!$B97</f>
        <v>09901077</v>
      </c>
      <c r="D77" s="27" t="str">
        <f>'900000'!$I$19</f>
        <v>C09901008</v>
      </c>
      <c r="E77" s="27">
        <f>'900000'!$I97</f>
        <v>0</v>
      </c>
      <c r="F77" s="27" t="s">
        <v>19081</v>
      </c>
    </row>
    <row r="78" spans="1:6" s="27" customFormat="1">
      <c r="A78" s="27" t="str">
        <f>Resultados!$K$3</f>
        <v/>
      </c>
      <c r="B78" s="27" t="str">
        <f>Resultados!$K$4</f>
        <v/>
      </c>
      <c r="C78" s="568" t="str">
        <f>'900000'!$B98</f>
        <v>09901078</v>
      </c>
      <c r="D78" s="27" t="str">
        <f>'900000'!$I$19</f>
        <v>C09901008</v>
      </c>
      <c r="E78" s="27">
        <f>'900000'!$I98</f>
        <v>0</v>
      </c>
      <c r="F78" s="27" t="s">
        <v>19081</v>
      </c>
    </row>
    <row r="79" spans="1:6" s="27" customFormat="1">
      <c r="A79" s="27" t="str">
        <f>Resultados!$K$3</f>
        <v/>
      </c>
      <c r="B79" s="27" t="str">
        <f>Resultados!$K$4</f>
        <v/>
      </c>
      <c r="C79" s="568" t="str">
        <f>'900000'!$B99</f>
        <v>09901079</v>
      </c>
      <c r="D79" s="27" t="str">
        <f>'900000'!$I$19</f>
        <v>C09901008</v>
      </c>
      <c r="E79" s="27">
        <f>'900000'!$I99</f>
        <v>0</v>
      </c>
      <c r="F79" s="27" t="s">
        <v>19081</v>
      </c>
    </row>
    <row r="80" spans="1:6" s="27" customFormat="1">
      <c r="A80" s="27" t="str">
        <f>Resultados!$K$3</f>
        <v/>
      </c>
      <c r="B80" s="27" t="str">
        <f>Resultados!$K$4</f>
        <v/>
      </c>
      <c r="C80" s="568" t="str">
        <f>'900000'!$B100</f>
        <v>09901080</v>
      </c>
      <c r="D80" s="27" t="str">
        <f>'900000'!$I$19</f>
        <v>C09901008</v>
      </c>
      <c r="E80" s="27">
        <f>'900000'!$I100</f>
        <v>0</v>
      </c>
      <c r="F80" s="27" t="s">
        <v>19081</v>
      </c>
    </row>
    <row r="81" spans="1:6" s="27" customFormat="1">
      <c r="A81" s="27" t="str">
        <f>Resultados!$K$3</f>
        <v/>
      </c>
      <c r="B81" s="27" t="str">
        <f>Resultados!$K$4</f>
        <v/>
      </c>
      <c r="C81" s="568" t="str">
        <f>'900000'!$B101</f>
        <v>09901081</v>
      </c>
      <c r="D81" s="27" t="str">
        <f>'900000'!$I$19</f>
        <v>C09901008</v>
      </c>
      <c r="E81" s="27">
        <f>'900000'!$I101</f>
        <v>0</v>
      </c>
      <c r="F81" s="27" t="s">
        <v>19081</v>
      </c>
    </row>
    <row r="82" spans="1:6" s="27" customFormat="1">
      <c r="A82" s="27" t="str">
        <f>Resultados!$K$3</f>
        <v/>
      </c>
      <c r="B82" s="27" t="str">
        <f>Resultados!$K$4</f>
        <v/>
      </c>
      <c r="C82" s="568" t="str">
        <f>'900000'!$B102</f>
        <v>09901082</v>
      </c>
      <c r="D82" s="27" t="str">
        <f>'900000'!$I$19</f>
        <v>C09901008</v>
      </c>
      <c r="E82" s="27">
        <f>'900000'!$I102</f>
        <v>0</v>
      </c>
      <c r="F82" s="27" t="s">
        <v>19081</v>
      </c>
    </row>
    <row r="83" spans="1:6" s="27" customFormat="1">
      <c r="A83" s="27" t="str">
        <f>Resultados!$K$3</f>
        <v/>
      </c>
      <c r="B83" s="27" t="str">
        <f>Resultados!$K$4</f>
        <v/>
      </c>
      <c r="C83" s="568" t="str">
        <f>'900000'!$B103</f>
        <v>09901083</v>
      </c>
      <c r="D83" s="27" t="str">
        <f>'900000'!$I$19</f>
        <v>C09901008</v>
      </c>
      <c r="E83" s="27">
        <f>'900000'!$I103</f>
        <v>0</v>
      </c>
      <c r="F83" s="27" t="s">
        <v>19081</v>
      </c>
    </row>
    <row r="84" spans="1:6" s="27" customFormat="1">
      <c r="A84" s="27" t="str">
        <f>Resultados!$K$3</f>
        <v/>
      </c>
      <c r="B84" s="27" t="str">
        <f>Resultados!$K$4</f>
        <v/>
      </c>
      <c r="C84" s="568" t="str">
        <f>'900000'!$B104</f>
        <v>09901084</v>
      </c>
      <c r="D84" s="27" t="str">
        <f>'900000'!$I$19</f>
        <v>C09901008</v>
      </c>
      <c r="E84" s="27">
        <f>'900000'!$I104</f>
        <v>0</v>
      </c>
      <c r="F84" s="27" t="s">
        <v>19081</v>
      </c>
    </row>
    <row r="85" spans="1:6" s="27" customFormat="1">
      <c r="A85" s="27" t="str">
        <f>Resultados!$K$3</f>
        <v/>
      </c>
      <c r="B85" s="27" t="str">
        <f>Resultados!$K$4</f>
        <v/>
      </c>
      <c r="C85" s="568" t="str">
        <f>'900000'!$B105</f>
        <v>09901085</v>
      </c>
      <c r="D85" s="27" t="str">
        <f>'900000'!$I$19</f>
        <v>C09901008</v>
      </c>
      <c r="E85" s="27">
        <f>'900000'!$I105</f>
        <v>0</v>
      </c>
      <c r="F85" s="27" t="s">
        <v>19081</v>
      </c>
    </row>
    <row r="86" spans="1:6" s="27" customFormat="1">
      <c r="A86" s="27" t="str">
        <f>Resultados!$K$3</f>
        <v/>
      </c>
      <c r="B86" s="27" t="str">
        <f>Resultados!$K$4</f>
        <v/>
      </c>
      <c r="C86" s="568" t="str">
        <f>'900000'!$B106</f>
        <v>09901086</v>
      </c>
      <c r="D86" s="27" t="str">
        <f>'900000'!$I$19</f>
        <v>C09901008</v>
      </c>
      <c r="E86" s="27">
        <f>'900000'!$I106</f>
        <v>0</v>
      </c>
      <c r="F86" s="27" t="s">
        <v>19081</v>
      </c>
    </row>
    <row r="87" spans="1:6" s="27" customFormat="1">
      <c r="A87" s="27" t="str">
        <f>Resultados!$K$3</f>
        <v/>
      </c>
      <c r="B87" s="27" t="str">
        <f>Resultados!$K$4</f>
        <v/>
      </c>
      <c r="C87" s="568" t="str">
        <f>'900000'!$B107</f>
        <v>09901087</v>
      </c>
      <c r="D87" s="27" t="str">
        <f>'900000'!$I$19</f>
        <v>C09901008</v>
      </c>
      <c r="E87" s="27">
        <f>'900000'!$I107</f>
        <v>0</v>
      </c>
      <c r="F87" s="27" t="s">
        <v>19081</v>
      </c>
    </row>
    <row r="88" spans="1:6" s="27" customFormat="1">
      <c r="A88" s="27" t="str">
        <f>Resultados!$K$3</f>
        <v/>
      </c>
      <c r="B88" s="27" t="str">
        <f>Resultados!$K$4</f>
        <v/>
      </c>
      <c r="C88" s="568" t="str">
        <f>'900000'!$B108</f>
        <v>09901088</v>
      </c>
      <c r="D88" s="27" t="str">
        <f>'900000'!$I$19</f>
        <v>C09901008</v>
      </c>
      <c r="E88" s="27">
        <f>'900000'!$I108</f>
        <v>0</v>
      </c>
      <c r="F88" s="27" t="s">
        <v>19081</v>
      </c>
    </row>
    <row r="89" spans="1:6" s="27" customFormat="1">
      <c r="A89" s="27" t="str">
        <f>Resultados!$K$3</f>
        <v/>
      </c>
      <c r="B89" s="27" t="str">
        <f>Resultados!$K$4</f>
        <v/>
      </c>
      <c r="C89" s="568" t="str">
        <f>'900000'!$B109</f>
        <v>09901089</v>
      </c>
      <c r="D89" s="27" t="str">
        <f>'900000'!$I$19</f>
        <v>C09901008</v>
      </c>
      <c r="E89" s="27">
        <f>'900000'!$I109</f>
        <v>0</v>
      </c>
      <c r="F89" s="27" t="s">
        <v>19081</v>
      </c>
    </row>
    <row r="90" spans="1:6" s="27" customFormat="1">
      <c r="A90" s="27" t="str">
        <f>Resultados!$K$3</f>
        <v/>
      </c>
      <c r="B90" s="27" t="str">
        <f>Resultados!$K$4</f>
        <v/>
      </c>
      <c r="C90" s="568" t="str">
        <f>'900000'!$B110</f>
        <v>09901090</v>
      </c>
      <c r="D90" s="27" t="str">
        <f>'900000'!$I$19</f>
        <v>C09901008</v>
      </c>
      <c r="E90" s="27">
        <f>'900000'!$I110</f>
        <v>0</v>
      </c>
      <c r="F90" s="27" t="s">
        <v>19081</v>
      </c>
    </row>
    <row r="91" spans="1:6" s="27" customFormat="1">
      <c r="A91" s="27" t="str">
        <f>Resultados!$K$3</f>
        <v/>
      </c>
      <c r="B91" s="27" t="str">
        <f>Resultados!$K$4</f>
        <v/>
      </c>
      <c r="C91" s="568" t="str">
        <f>'900000'!$B111</f>
        <v>09901091</v>
      </c>
      <c r="D91" s="27" t="str">
        <f>'900000'!$I$19</f>
        <v>C09901008</v>
      </c>
      <c r="E91" s="27">
        <f>'900000'!$I111</f>
        <v>0</v>
      </c>
      <c r="F91" s="27" t="s">
        <v>19081</v>
      </c>
    </row>
    <row r="92" spans="1:6" s="27" customFormat="1">
      <c r="A92" s="27" t="str">
        <f>Resultados!$K$3</f>
        <v/>
      </c>
      <c r="B92" s="27" t="str">
        <f>Resultados!$K$4</f>
        <v/>
      </c>
      <c r="C92" s="568" t="str">
        <f>'900000'!$B112</f>
        <v>09901092</v>
      </c>
      <c r="D92" s="27" t="str">
        <f>'900000'!$I$19</f>
        <v>C09901008</v>
      </c>
      <c r="E92" s="27">
        <f>'900000'!$I112</f>
        <v>0</v>
      </c>
      <c r="F92" s="27" t="s">
        <v>19081</v>
      </c>
    </row>
    <row r="93" spans="1:6" s="27" customFormat="1">
      <c r="A93" s="27" t="str">
        <f>Resultados!$K$3</f>
        <v/>
      </c>
      <c r="B93" s="27" t="str">
        <f>Resultados!$K$4</f>
        <v/>
      </c>
      <c r="C93" s="568" t="str">
        <f>'900000'!$B113</f>
        <v>09901093</v>
      </c>
      <c r="D93" s="27" t="str">
        <f>'900000'!$I$19</f>
        <v>C09901008</v>
      </c>
      <c r="E93" s="27">
        <f>'900000'!$I113</f>
        <v>0</v>
      </c>
      <c r="F93" s="27" t="s">
        <v>19081</v>
      </c>
    </row>
    <row r="94" spans="1:6" s="27" customFormat="1">
      <c r="A94" s="27" t="str">
        <f>Resultados!$K$3</f>
        <v/>
      </c>
      <c r="B94" s="27" t="str">
        <f>Resultados!$K$4</f>
        <v/>
      </c>
      <c r="C94" s="568" t="str">
        <f>'900000'!$B114</f>
        <v>09901094</v>
      </c>
      <c r="D94" s="27" t="str">
        <f>'900000'!$I$19</f>
        <v>C09901008</v>
      </c>
      <c r="E94" s="27">
        <f>'900000'!$I114</f>
        <v>0</v>
      </c>
      <c r="F94" s="27" t="s">
        <v>19081</v>
      </c>
    </row>
    <row r="95" spans="1:6" s="27" customFormat="1">
      <c r="A95" s="27" t="str">
        <f>Resultados!$K$3</f>
        <v/>
      </c>
      <c r="B95" s="27" t="str">
        <f>Resultados!$K$4</f>
        <v/>
      </c>
      <c r="C95" s="568" t="str">
        <f>'900000'!$B115</f>
        <v>09901095</v>
      </c>
      <c r="D95" s="27" t="str">
        <f>'900000'!$I$19</f>
        <v>C09901008</v>
      </c>
      <c r="E95" s="27">
        <f>'900000'!$I115</f>
        <v>0</v>
      </c>
      <c r="F95" s="27" t="s">
        <v>19081</v>
      </c>
    </row>
    <row r="96" spans="1:6" s="27" customFormat="1">
      <c r="A96" s="27" t="str">
        <f>Resultados!$K$3</f>
        <v/>
      </c>
      <c r="B96" s="27" t="str">
        <f>Resultados!$K$4</f>
        <v/>
      </c>
      <c r="C96" s="568" t="str">
        <f>'900000'!$B116</f>
        <v>09901096</v>
      </c>
      <c r="D96" s="27" t="str">
        <f>'900000'!$I$19</f>
        <v>C09901008</v>
      </c>
      <c r="E96" s="27">
        <f>'900000'!$I116</f>
        <v>0</v>
      </c>
      <c r="F96" s="27" t="s">
        <v>19081</v>
      </c>
    </row>
    <row r="97" spans="1:13" s="27" customFormat="1">
      <c r="A97" s="27" t="str">
        <f>Resultados!$K$3</f>
        <v/>
      </c>
      <c r="B97" s="27" t="str">
        <f>Resultados!$K$4</f>
        <v/>
      </c>
      <c r="C97" s="568" t="str">
        <f>'900000'!$B117</f>
        <v>09901097</v>
      </c>
      <c r="D97" s="27" t="str">
        <f>'900000'!$I$19</f>
        <v>C09901008</v>
      </c>
      <c r="E97" s="27">
        <f>'900000'!$I117</f>
        <v>0</v>
      </c>
      <c r="F97" s="27" t="s">
        <v>19081</v>
      </c>
    </row>
    <row r="98" spans="1:13" s="27" customFormat="1">
      <c r="A98" s="27" t="str">
        <f>Resultados!$K$3</f>
        <v/>
      </c>
      <c r="B98" s="27" t="str">
        <f>Resultados!$K$4</f>
        <v/>
      </c>
      <c r="C98" s="568" t="str">
        <f>'900000'!$B118</f>
        <v>09901098</v>
      </c>
      <c r="D98" s="27" t="str">
        <f>'900000'!$I$19</f>
        <v>C09901008</v>
      </c>
      <c r="E98" s="27">
        <f>'900000'!$I118</f>
        <v>0</v>
      </c>
      <c r="F98" s="27" t="s">
        <v>19081</v>
      </c>
    </row>
    <row r="99" spans="1:13" s="27" customFormat="1">
      <c r="A99" s="27" t="str">
        <f>Resultados!$K$3</f>
        <v/>
      </c>
      <c r="B99" s="27" t="str">
        <f>Resultados!$K$4</f>
        <v/>
      </c>
      <c r="C99" s="568" t="str">
        <f>'900000'!$B119</f>
        <v>09901099</v>
      </c>
      <c r="D99" s="27" t="str">
        <f>'900000'!$I$19</f>
        <v>C09901008</v>
      </c>
      <c r="E99" s="27">
        <f>'900000'!$I119</f>
        <v>0</v>
      </c>
      <c r="F99" s="27" t="s">
        <v>19081</v>
      </c>
    </row>
    <row r="100" spans="1:13" s="27" customFormat="1">
      <c r="A100" s="27" t="str">
        <f>Resultados!$K$3</f>
        <v/>
      </c>
      <c r="B100" s="27" t="str">
        <f>Resultados!$K$4</f>
        <v/>
      </c>
      <c r="C100" s="568" t="str">
        <f>'900000'!$B120</f>
        <v>09901100</v>
      </c>
      <c r="D100" s="27" t="str">
        <f>'900000'!$I$19</f>
        <v>C09901008</v>
      </c>
      <c r="E100" s="27">
        <f>'900000'!$I120</f>
        <v>0</v>
      </c>
      <c r="F100" s="27" t="s">
        <v>19081</v>
      </c>
    </row>
    <row r="101" spans="1:13" s="27" customFormat="1">
      <c r="A101" s="27" t="str">
        <f>Resultados!$K$3</f>
        <v/>
      </c>
      <c r="B101" s="27" t="str">
        <f>Resultados!$K$4</f>
        <v/>
      </c>
      <c r="C101" s="568" t="str">
        <f>'900000'!$B121</f>
        <v>09901101</v>
      </c>
      <c r="D101" s="27" t="str">
        <f>'900000'!$I$19</f>
        <v>C09901008</v>
      </c>
      <c r="E101" s="27">
        <f>'900000'!$I121</f>
        <v>0</v>
      </c>
      <c r="F101" s="27" t="s">
        <v>19081</v>
      </c>
    </row>
    <row r="102" spans="1:13">
      <c r="A102" s="27" t="str">
        <f>Resultados!$K$3</f>
        <v/>
      </c>
      <c r="B102" s="27" t="str">
        <f>Resultados!$K$4</f>
        <v/>
      </c>
      <c r="C102" s="505" t="str">
        <f>'900000'!$B22</f>
        <v>09901002</v>
      </c>
      <c r="D102" s="160" t="str">
        <f>'900000'!$O$19</f>
        <v>C09901014</v>
      </c>
      <c r="E102" s="605">
        <f>'900000'!$O22</f>
        <v>0</v>
      </c>
      <c r="F102" s="27" t="s">
        <v>19081</v>
      </c>
      <c r="G102" s="27"/>
    </row>
    <row r="103" spans="1:13">
      <c r="A103" s="27" t="str">
        <f>Resultados!$K$3</f>
        <v/>
      </c>
      <c r="B103" s="27" t="str">
        <f>Resultados!$K$4</f>
        <v/>
      </c>
      <c r="C103" s="505" t="str">
        <f>'900000'!$B23</f>
        <v>09901003</v>
      </c>
      <c r="D103" s="160" t="str">
        <f>'900000'!$O$19</f>
        <v>C09901014</v>
      </c>
      <c r="E103" s="605">
        <f>'900000'!$O23</f>
        <v>0</v>
      </c>
      <c r="F103" s="27" t="s">
        <v>19081</v>
      </c>
      <c r="G103" s="27"/>
      <c r="H103" s="168"/>
      <c r="I103" s="554"/>
      <c r="J103" s="554"/>
      <c r="K103" s="554"/>
      <c r="L103" s="554"/>
      <c r="M103" s="554"/>
    </row>
    <row r="104" spans="1:13">
      <c r="A104" s="27" t="str">
        <f>Resultados!$K$3</f>
        <v/>
      </c>
      <c r="B104" s="27" t="str">
        <f>Resultados!$K$4</f>
        <v/>
      </c>
      <c r="C104" s="505" t="str">
        <f>'900000'!$B24</f>
        <v>09901004</v>
      </c>
      <c r="D104" s="160" t="str">
        <f>'900000'!$O$19</f>
        <v>C09901014</v>
      </c>
      <c r="E104" s="605">
        <f>'900000'!$O24</f>
        <v>0</v>
      </c>
      <c r="F104" s="27" t="s">
        <v>19081</v>
      </c>
      <c r="G104" s="27"/>
      <c r="H104" s="554"/>
      <c r="I104" s="554"/>
      <c r="J104" s="554"/>
      <c r="K104" s="554"/>
      <c r="L104" s="554"/>
      <c r="M104" s="554"/>
    </row>
    <row r="105" spans="1:13">
      <c r="A105" s="27" t="str">
        <f>Resultados!$K$3</f>
        <v/>
      </c>
      <c r="B105" s="27" t="str">
        <f>Resultados!$K$4</f>
        <v/>
      </c>
      <c r="C105" s="505" t="str">
        <f>'900000'!$B25</f>
        <v>09901005</v>
      </c>
      <c r="D105" s="160" t="str">
        <f>'900000'!$O$19</f>
        <v>C09901014</v>
      </c>
      <c r="E105" s="605">
        <f>'900000'!$O25</f>
        <v>0</v>
      </c>
      <c r="F105" s="27" t="s">
        <v>19081</v>
      </c>
      <c r="G105" s="27"/>
      <c r="H105" s="555"/>
      <c r="I105" s="555"/>
      <c r="J105" s="555"/>
      <c r="K105" s="555"/>
      <c r="L105" s="555"/>
      <c r="M105" s="554"/>
    </row>
    <row r="106" spans="1:13">
      <c r="A106" s="27" t="str">
        <f>Resultados!$K$3</f>
        <v/>
      </c>
      <c r="B106" s="27" t="str">
        <f>Resultados!$K$4</f>
        <v/>
      </c>
      <c r="C106" s="505" t="str">
        <f>'900000'!$B26</f>
        <v>09901006</v>
      </c>
      <c r="D106" s="160" t="str">
        <f>'900000'!$O$19</f>
        <v>C09901014</v>
      </c>
      <c r="E106" s="605">
        <f>'900000'!$O26</f>
        <v>0</v>
      </c>
      <c r="F106" s="27" t="s">
        <v>19081</v>
      </c>
      <c r="G106" s="27"/>
      <c r="H106" s="555"/>
      <c r="I106" s="555"/>
      <c r="J106" s="554"/>
      <c r="K106" s="554"/>
      <c r="L106" s="554"/>
      <c r="M106" s="554"/>
    </row>
    <row r="107" spans="1:13">
      <c r="A107" s="27" t="str">
        <f>Resultados!$K$3</f>
        <v/>
      </c>
      <c r="B107" s="27" t="str">
        <f>Resultados!$K$4</f>
        <v/>
      </c>
      <c r="C107" s="505" t="str">
        <f>'900000'!$B27</f>
        <v>09901007</v>
      </c>
      <c r="D107" s="160" t="str">
        <f>'900000'!$O$19</f>
        <v>C09901014</v>
      </c>
      <c r="E107" s="605">
        <f>'900000'!$O27</f>
        <v>0</v>
      </c>
      <c r="F107" s="27" t="s">
        <v>19081</v>
      </c>
      <c r="G107" s="27"/>
      <c r="H107" s="554"/>
      <c r="I107" s="554"/>
      <c r="J107" s="554"/>
      <c r="K107" s="554"/>
      <c r="L107" s="554"/>
      <c r="M107" s="554"/>
    </row>
    <row r="108" spans="1:13">
      <c r="A108" s="27" t="str">
        <f>Resultados!$K$3</f>
        <v/>
      </c>
      <c r="B108" s="27" t="str">
        <f>Resultados!$K$4</f>
        <v/>
      </c>
      <c r="C108" s="505" t="str">
        <f>'900000'!$B28</f>
        <v>09901008</v>
      </c>
      <c r="D108" s="160" t="str">
        <f>'900000'!$O$19</f>
        <v>C09901014</v>
      </c>
      <c r="E108" s="605">
        <f>'900000'!$O28</f>
        <v>0</v>
      </c>
      <c r="F108" s="27" t="s">
        <v>19081</v>
      </c>
      <c r="G108" s="27"/>
    </row>
    <row r="109" spans="1:13">
      <c r="A109" s="27" t="str">
        <f>Resultados!$K$3</f>
        <v/>
      </c>
      <c r="B109" s="27" t="str">
        <f>Resultados!$K$4</f>
        <v/>
      </c>
      <c r="C109" s="505" t="str">
        <f>'900000'!$B29</f>
        <v>09901009</v>
      </c>
      <c r="D109" s="160" t="str">
        <f>'900000'!$O$19</f>
        <v>C09901014</v>
      </c>
      <c r="E109" s="605">
        <f>'900000'!$O29</f>
        <v>0</v>
      </c>
      <c r="F109" s="27" t="s">
        <v>19081</v>
      </c>
      <c r="G109" s="27"/>
    </row>
    <row r="110" spans="1:13">
      <c r="A110" s="27" t="str">
        <f>Resultados!$K$3</f>
        <v/>
      </c>
      <c r="B110" s="27" t="str">
        <f>Resultados!$K$4</f>
        <v/>
      </c>
      <c r="C110" s="505" t="str">
        <f>'900000'!$B30</f>
        <v>09901010</v>
      </c>
      <c r="D110" s="160" t="str">
        <f>'900000'!$O$19</f>
        <v>C09901014</v>
      </c>
      <c r="E110" s="605">
        <f>'900000'!$O30</f>
        <v>0</v>
      </c>
      <c r="F110" s="27" t="s">
        <v>19081</v>
      </c>
      <c r="G110" s="27"/>
    </row>
    <row r="111" spans="1:13">
      <c r="A111" s="27" t="str">
        <f>Resultados!$K$3</f>
        <v/>
      </c>
      <c r="B111" s="27" t="str">
        <f>Resultados!$K$4</f>
        <v/>
      </c>
      <c r="C111" s="505" t="str">
        <f>'900000'!$B31</f>
        <v>09901011</v>
      </c>
      <c r="D111" s="160" t="str">
        <f>'900000'!$O$19</f>
        <v>C09901014</v>
      </c>
      <c r="E111" s="566">
        <f>'900000'!$O31</f>
        <v>0</v>
      </c>
      <c r="F111" s="27" t="s">
        <v>19081</v>
      </c>
    </row>
    <row r="112" spans="1:13">
      <c r="A112" s="27" t="str">
        <f>Resultados!$K$3</f>
        <v/>
      </c>
      <c r="B112" s="27" t="str">
        <f>Resultados!$K$4</f>
        <v/>
      </c>
      <c r="C112" s="505" t="str">
        <f>'900000'!$B32</f>
        <v>09901012</v>
      </c>
      <c r="D112" s="160" t="str">
        <f>'900000'!$O$19</f>
        <v>C09901014</v>
      </c>
      <c r="E112" s="566">
        <f>'900000'!$O32</f>
        <v>0</v>
      </c>
      <c r="F112" s="27" t="s">
        <v>19081</v>
      </c>
    </row>
    <row r="113" spans="1:6">
      <c r="A113" s="27" t="str">
        <f>Resultados!$K$3</f>
        <v/>
      </c>
      <c r="B113" s="27" t="str">
        <f>Resultados!$K$4</f>
        <v/>
      </c>
      <c r="C113" s="505" t="str">
        <f>'900000'!$B33</f>
        <v>09901013</v>
      </c>
      <c r="D113" s="160" t="str">
        <f>'900000'!$O$19</f>
        <v>C09901014</v>
      </c>
      <c r="E113" s="566">
        <f>'900000'!$O33</f>
        <v>0</v>
      </c>
      <c r="F113" s="27" t="s">
        <v>19081</v>
      </c>
    </row>
    <row r="114" spans="1:6">
      <c r="A114" s="27" t="str">
        <f>Resultados!$K$3</f>
        <v/>
      </c>
      <c r="B114" s="27" t="str">
        <f>Resultados!$K$4</f>
        <v/>
      </c>
      <c r="C114" s="505" t="str">
        <f>'900000'!$B34</f>
        <v>09901014</v>
      </c>
      <c r="D114" s="160" t="str">
        <f>'900000'!$O$19</f>
        <v>C09901014</v>
      </c>
      <c r="E114" s="566">
        <f>'900000'!$O34</f>
        <v>0</v>
      </c>
      <c r="F114" s="27" t="s">
        <v>19081</v>
      </c>
    </row>
    <row r="115" spans="1:6">
      <c r="A115" s="27" t="str">
        <f>Resultados!$K$3</f>
        <v/>
      </c>
      <c r="B115" s="27" t="str">
        <f>Resultados!$K$4</f>
        <v/>
      </c>
      <c r="C115" s="505" t="str">
        <f>'900000'!$B35</f>
        <v>09901015</v>
      </c>
      <c r="D115" s="160" t="str">
        <f>'900000'!$O$19</f>
        <v>C09901014</v>
      </c>
      <c r="E115" s="566">
        <f>'900000'!$O35</f>
        <v>0</v>
      </c>
      <c r="F115" s="27" t="s">
        <v>19081</v>
      </c>
    </row>
    <row r="116" spans="1:6">
      <c r="A116" s="27" t="str">
        <f>Resultados!$K$3</f>
        <v/>
      </c>
      <c r="B116" s="27" t="str">
        <f>Resultados!$K$4</f>
        <v/>
      </c>
      <c r="C116" s="505" t="str">
        <f>'900000'!$B36</f>
        <v>09901016</v>
      </c>
      <c r="D116" s="160" t="str">
        <f>'900000'!$O$19</f>
        <v>C09901014</v>
      </c>
      <c r="E116" s="566">
        <f>'900000'!$O36</f>
        <v>0</v>
      </c>
      <c r="F116" s="27" t="s">
        <v>19081</v>
      </c>
    </row>
    <row r="117" spans="1:6">
      <c r="A117" s="27" t="str">
        <f>Resultados!$K$3</f>
        <v/>
      </c>
      <c r="B117" s="27" t="str">
        <f>Resultados!$K$4</f>
        <v/>
      </c>
      <c r="C117" s="505" t="str">
        <f>'900000'!$B37</f>
        <v>09901017</v>
      </c>
      <c r="D117" s="160" t="str">
        <f>'900000'!$O$19</f>
        <v>C09901014</v>
      </c>
      <c r="E117" s="566">
        <f>'900000'!$O37</f>
        <v>0</v>
      </c>
      <c r="F117" s="27" t="s">
        <v>19081</v>
      </c>
    </row>
    <row r="118" spans="1:6">
      <c r="A118" s="27" t="str">
        <f>Resultados!$K$3</f>
        <v/>
      </c>
      <c r="B118" s="27" t="str">
        <f>Resultados!$K$4</f>
        <v/>
      </c>
      <c r="C118" s="505" t="str">
        <f>'900000'!$B38</f>
        <v>09901018</v>
      </c>
      <c r="D118" s="160" t="str">
        <f>'900000'!$O$19</f>
        <v>C09901014</v>
      </c>
      <c r="E118" s="566">
        <f>'900000'!$O38</f>
        <v>0</v>
      </c>
      <c r="F118" s="27" t="s">
        <v>19081</v>
      </c>
    </row>
    <row r="119" spans="1:6">
      <c r="A119" s="27" t="str">
        <f>Resultados!$K$3</f>
        <v/>
      </c>
      <c r="B119" s="27" t="str">
        <f>Resultados!$K$4</f>
        <v/>
      </c>
      <c r="C119" s="505" t="str">
        <f>'900000'!$B39</f>
        <v>09901019</v>
      </c>
      <c r="D119" s="160" t="str">
        <f>'900000'!$O$19</f>
        <v>C09901014</v>
      </c>
      <c r="E119" s="566">
        <f>'900000'!$O39</f>
        <v>0</v>
      </c>
      <c r="F119" s="27" t="s">
        <v>19081</v>
      </c>
    </row>
    <row r="120" spans="1:6">
      <c r="A120" s="27" t="str">
        <f>Resultados!$K$3</f>
        <v/>
      </c>
      <c r="B120" s="27" t="str">
        <f>Resultados!$K$4</f>
        <v/>
      </c>
      <c r="C120" s="505" t="str">
        <f>'900000'!$B40</f>
        <v>09901020</v>
      </c>
      <c r="D120" s="160" t="str">
        <f>'900000'!$O$19</f>
        <v>C09901014</v>
      </c>
      <c r="E120" s="566">
        <f>'900000'!$O40</f>
        <v>0</v>
      </c>
      <c r="F120" s="27" t="s">
        <v>19081</v>
      </c>
    </row>
    <row r="121" spans="1:6">
      <c r="A121" s="27" t="str">
        <f>Resultados!$K$3</f>
        <v/>
      </c>
      <c r="B121" s="27" t="str">
        <f>Resultados!$K$4</f>
        <v/>
      </c>
      <c r="C121" s="505" t="str">
        <f>'900000'!$B41</f>
        <v>09901021</v>
      </c>
      <c r="D121" s="160" t="str">
        <f>'900000'!$O$19</f>
        <v>C09901014</v>
      </c>
      <c r="E121" s="566">
        <f>'900000'!$O41</f>
        <v>0</v>
      </c>
      <c r="F121" s="27" t="s">
        <v>19081</v>
      </c>
    </row>
    <row r="122" spans="1:6">
      <c r="A122" s="27" t="str">
        <f>Resultados!$K$3</f>
        <v/>
      </c>
      <c r="B122" s="27" t="str">
        <f>Resultados!$K$4</f>
        <v/>
      </c>
      <c r="C122" s="505" t="str">
        <f>'900000'!$B42</f>
        <v>09901022</v>
      </c>
      <c r="D122" s="160" t="str">
        <f>'900000'!$O$19</f>
        <v>C09901014</v>
      </c>
      <c r="E122" s="566">
        <f>'900000'!$O42</f>
        <v>0</v>
      </c>
      <c r="F122" s="27" t="s">
        <v>19081</v>
      </c>
    </row>
    <row r="123" spans="1:6">
      <c r="A123" s="27" t="str">
        <f>Resultados!$K$3</f>
        <v/>
      </c>
      <c r="B123" s="27" t="str">
        <f>Resultados!$K$4</f>
        <v/>
      </c>
      <c r="C123" s="505" t="str">
        <f>'900000'!$B43</f>
        <v>09901023</v>
      </c>
      <c r="D123" s="160" t="str">
        <f>'900000'!$O$19</f>
        <v>C09901014</v>
      </c>
      <c r="E123" s="566">
        <f>'900000'!$O43</f>
        <v>0</v>
      </c>
      <c r="F123" s="27" t="s">
        <v>19081</v>
      </c>
    </row>
    <row r="124" spans="1:6">
      <c r="A124" s="27" t="str">
        <f>Resultados!$K$3</f>
        <v/>
      </c>
      <c r="B124" s="27" t="str">
        <f>Resultados!$K$4</f>
        <v/>
      </c>
      <c r="C124" s="505" t="str">
        <f>'900000'!$B44</f>
        <v>09901024</v>
      </c>
      <c r="D124" s="160" t="str">
        <f>'900000'!$O$19</f>
        <v>C09901014</v>
      </c>
      <c r="E124" s="566">
        <f>'900000'!$O44</f>
        <v>0</v>
      </c>
      <c r="F124" s="27" t="s">
        <v>19081</v>
      </c>
    </row>
    <row r="125" spans="1:6">
      <c r="A125" s="27" t="str">
        <f>Resultados!$K$3</f>
        <v/>
      </c>
      <c r="B125" s="27" t="str">
        <f>Resultados!$K$4</f>
        <v/>
      </c>
      <c r="C125" s="505" t="str">
        <f>'900000'!$B45</f>
        <v>09901025</v>
      </c>
      <c r="D125" s="160" t="str">
        <f>'900000'!$O$19</f>
        <v>C09901014</v>
      </c>
      <c r="E125" s="566">
        <f>'900000'!$O45</f>
        <v>0</v>
      </c>
      <c r="F125" s="27" t="s">
        <v>19081</v>
      </c>
    </row>
    <row r="126" spans="1:6">
      <c r="A126" s="27" t="str">
        <f>Resultados!$K$3</f>
        <v/>
      </c>
      <c r="B126" s="27" t="str">
        <f>Resultados!$K$4</f>
        <v/>
      </c>
      <c r="C126" s="505" t="str">
        <f>'900000'!$B46</f>
        <v>09901026</v>
      </c>
      <c r="D126" s="160" t="str">
        <f>'900000'!$O$19</f>
        <v>C09901014</v>
      </c>
      <c r="E126" s="566">
        <f>'900000'!$O46</f>
        <v>0</v>
      </c>
      <c r="F126" s="27" t="s">
        <v>19081</v>
      </c>
    </row>
    <row r="127" spans="1:6">
      <c r="A127" s="27" t="str">
        <f>Resultados!$K$3</f>
        <v/>
      </c>
      <c r="B127" s="27" t="str">
        <f>Resultados!$K$4</f>
        <v/>
      </c>
      <c r="C127" s="505" t="str">
        <f>'900000'!$B47</f>
        <v>09901027</v>
      </c>
      <c r="D127" s="160" t="str">
        <f>'900000'!$O$19</f>
        <v>C09901014</v>
      </c>
      <c r="E127" s="566">
        <f>'900000'!$O47</f>
        <v>0</v>
      </c>
      <c r="F127" s="27" t="s">
        <v>19081</v>
      </c>
    </row>
    <row r="128" spans="1:6">
      <c r="A128" s="27" t="str">
        <f>Resultados!$K$3</f>
        <v/>
      </c>
      <c r="B128" s="27" t="str">
        <f>Resultados!$K$4</f>
        <v/>
      </c>
      <c r="C128" s="505" t="str">
        <f>'900000'!$B48</f>
        <v>09901028</v>
      </c>
      <c r="D128" s="160" t="str">
        <f>'900000'!$O$19</f>
        <v>C09901014</v>
      </c>
      <c r="E128" s="566">
        <f>'900000'!$O48</f>
        <v>0</v>
      </c>
      <c r="F128" s="27" t="s">
        <v>19081</v>
      </c>
    </row>
    <row r="129" spans="1:6">
      <c r="A129" s="27" t="str">
        <f>Resultados!$K$3</f>
        <v/>
      </c>
      <c r="B129" s="27" t="str">
        <f>Resultados!$K$4</f>
        <v/>
      </c>
      <c r="C129" s="505" t="str">
        <f>'900000'!$B49</f>
        <v>09901029</v>
      </c>
      <c r="D129" s="160" t="str">
        <f>'900000'!$O$19</f>
        <v>C09901014</v>
      </c>
      <c r="E129" s="566">
        <f>'900000'!$O49</f>
        <v>0</v>
      </c>
      <c r="F129" s="27" t="s">
        <v>19081</v>
      </c>
    </row>
    <row r="130" spans="1:6">
      <c r="A130" s="27" t="str">
        <f>Resultados!$K$3</f>
        <v/>
      </c>
      <c r="B130" s="27" t="str">
        <f>Resultados!$K$4</f>
        <v/>
      </c>
      <c r="C130" s="505" t="str">
        <f>'900000'!$B50</f>
        <v>09901030</v>
      </c>
      <c r="D130" s="160" t="str">
        <f>'900000'!$O$19</f>
        <v>C09901014</v>
      </c>
      <c r="E130" s="566">
        <f>'900000'!$O50</f>
        <v>0</v>
      </c>
      <c r="F130" s="27" t="s">
        <v>19081</v>
      </c>
    </row>
    <row r="131" spans="1:6">
      <c r="A131" s="27" t="str">
        <f>Resultados!$K$3</f>
        <v/>
      </c>
      <c r="B131" s="27" t="str">
        <f>Resultados!$K$4</f>
        <v/>
      </c>
      <c r="C131" s="505" t="str">
        <f>'900000'!$B51</f>
        <v>09901031</v>
      </c>
      <c r="D131" s="160" t="str">
        <f>'900000'!$O$19</f>
        <v>C09901014</v>
      </c>
      <c r="E131" s="566">
        <f>'900000'!$O51</f>
        <v>0</v>
      </c>
      <c r="F131" s="27" t="s">
        <v>19081</v>
      </c>
    </row>
    <row r="132" spans="1:6">
      <c r="A132" s="27" t="str">
        <f>Resultados!$K$3</f>
        <v/>
      </c>
      <c r="B132" s="27" t="str">
        <f>Resultados!$K$4</f>
        <v/>
      </c>
      <c r="C132" s="505" t="str">
        <f>'900000'!$B52</f>
        <v>09901032</v>
      </c>
      <c r="D132" s="160" t="str">
        <f>'900000'!$O$19</f>
        <v>C09901014</v>
      </c>
      <c r="E132" s="566">
        <f>'900000'!$O52</f>
        <v>0</v>
      </c>
      <c r="F132" s="27" t="s">
        <v>19081</v>
      </c>
    </row>
    <row r="133" spans="1:6">
      <c r="A133" s="27" t="str">
        <f>Resultados!$K$3</f>
        <v/>
      </c>
      <c r="B133" s="27" t="str">
        <f>Resultados!$K$4</f>
        <v/>
      </c>
      <c r="C133" s="505" t="str">
        <f>'900000'!$B53</f>
        <v>09901033</v>
      </c>
      <c r="D133" s="160" t="str">
        <f>'900000'!$O$19</f>
        <v>C09901014</v>
      </c>
      <c r="E133" s="566">
        <f>'900000'!$O53</f>
        <v>0</v>
      </c>
      <c r="F133" s="27" t="s">
        <v>19081</v>
      </c>
    </row>
    <row r="134" spans="1:6">
      <c r="A134" s="27" t="str">
        <f>Resultados!$K$3</f>
        <v/>
      </c>
      <c r="B134" s="27" t="str">
        <f>Resultados!$K$4</f>
        <v/>
      </c>
      <c r="C134" s="505" t="str">
        <f>'900000'!$B54</f>
        <v>09901034</v>
      </c>
      <c r="D134" s="160" t="str">
        <f>'900000'!$O$19</f>
        <v>C09901014</v>
      </c>
      <c r="E134" s="566">
        <f>'900000'!$O54</f>
        <v>0</v>
      </c>
      <c r="F134" s="27" t="s">
        <v>19081</v>
      </c>
    </row>
    <row r="135" spans="1:6">
      <c r="A135" s="27" t="str">
        <f>Resultados!$K$3</f>
        <v/>
      </c>
      <c r="B135" s="27" t="str">
        <f>Resultados!$K$4</f>
        <v/>
      </c>
      <c r="C135" s="505" t="str">
        <f>'900000'!$B55</f>
        <v>09901035</v>
      </c>
      <c r="D135" s="160" t="str">
        <f>'900000'!$O$19</f>
        <v>C09901014</v>
      </c>
      <c r="E135" s="566">
        <f>'900000'!$O55</f>
        <v>0</v>
      </c>
      <c r="F135" s="27" t="s">
        <v>19081</v>
      </c>
    </row>
    <row r="136" spans="1:6">
      <c r="A136" s="27" t="str">
        <f>Resultados!$K$3</f>
        <v/>
      </c>
      <c r="B136" s="27" t="str">
        <f>Resultados!$K$4</f>
        <v/>
      </c>
      <c r="C136" s="505" t="str">
        <f>'900000'!$B56</f>
        <v>09901036</v>
      </c>
      <c r="D136" s="160" t="str">
        <f>'900000'!$O$19</f>
        <v>C09901014</v>
      </c>
      <c r="E136" s="566">
        <f>'900000'!$O56</f>
        <v>0</v>
      </c>
      <c r="F136" s="27" t="s">
        <v>19081</v>
      </c>
    </row>
    <row r="137" spans="1:6">
      <c r="A137" s="27" t="str">
        <f>Resultados!$K$3</f>
        <v/>
      </c>
      <c r="B137" s="27" t="str">
        <f>Resultados!$K$4</f>
        <v/>
      </c>
      <c r="C137" s="505" t="str">
        <f>'900000'!$B57</f>
        <v>09901037</v>
      </c>
      <c r="D137" s="160" t="str">
        <f>'900000'!$O$19</f>
        <v>C09901014</v>
      </c>
      <c r="E137" s="566">
        <f>'900000'!$O57</f>
        <v>0</v>
      </c>
      <c r="F137" s="27" t="s">
        <v>19081</v>
      </c>
    </row>
    <row r="138" spans="1:6">
      <c r="A138" s="27" t="str">
        <f>Resultados!$K$3</f>
        <v/>
      </c>
      <c r="B138" s="27" t="str">
        <f>Resultados!$K$4</f>
        <v/>
      </c>
      <c r="C138" s="505" t="str">
        <f>'900000'!$B58</f>
        <v>09901038</v>
      </c>
      <c r="D138" s="160" t="str">
        <f>'900000'!$O$19</f>
        <v>C09901014</v>
      </c>
      <c r="E138" s="566">
        <f>'900000'!$O58</f>
        <v>0</v>
      </c>
      <c r="F138" s="27" t="s">
        <v>19081</v>
      </c>
    </row>
    <row r="139" spans="1:6">
      <c r="A139" s="27" t="str">
        <f>Resultados!$K$3</f>
        <v/>
      </c>
      <c r="B139" s="27" t="str">
        <f>Resultados!$K$4</f>
        <v/>
      </c>
      <c r="C139" s="505" t="str">
        <f>'900000'!$B59</f>
        <v>09901039</v>
      </c>
      <c r="D139" s="160" t="str">
        <f>'900000'!$O$19</f>
        <v>C09901014</v>
      </c>
      <c r="E139" s="566">
        <f>'900000'!$O59</f>
        <v>0</v>
      </c>
      <c r="F139" s="27" t="s">
        <v>19081</v>
      </c>
    </row>
    <row r="140" spans="1:6">
      <c r="A140" s="27" t="str">
        <f>Resultados!$K$3</f>
        <v/>
      </c>
      <c r="B140" s="27" t="str">
        <f>Resultados!$K$4</f>
        <v/>
      </c>
      <c r="C140" s="505" t="str">
        <f>'900000'!$B60</f>
        <v>09901040</v>
      </c>
      <c r="D140" s="160" t="str">
        <f>'900000'!$O$19</f>
        <v>C09901014</v>
      </c>
      <c r="E140" s="566">
        <f>'900000'!$O60</f>
        <v>0</v>
      </c>
      <c r="F140" s="27" t="s">
        <v>19081</v>
      </c>
    </row>
    <row r="141" spans="1:6">
      <c r="A141" s="27" t="str">
        <f>Resultados!$K$3</f>
        <v/>
      </c>
      <c r="B141" s="27" t="str">
        <f>Resultados!$K$4</f>
        <v/>
      </c>
      <c r="C141" s="505" t="str">
        <f>'900000'!$B61</f>
        <v>09901041</v>
      </c>
      <c r="D141" s="160" t="str">
        <f>'900000'!$O$19</f>
        <v>C09901014</v>
      </c>
      <c r="E141" s="566">
        <f>'900000'!$O61</f>
        <v>0</v>
      </c>
      <c r="F141" s="27" t="s">
        <v>19081</v>
      </c>
    </row>
    <row r="142" spans="1:6">
      <c r="A142" s="27" t="str">
        <f>Resultados!$K$3</f>
        <v/>
      </c>
      <c r="B142" s="27" t="str">
        <f>Resultados!$K$4</f>
        <v/>
      </c>
      <c r="C142" s="505" t="str">
        <f>'900000'!$B62</f>
        <v>09901042</v>
      </c>
      <c r="D142" s="160" t="str">
        <f>'900000'!$O$19</f>
        <v>C09901014</v>
      </c>
      <c r="E142" s="566">
        <f>'900000'!$O62</f>
        <v>0</v>
      </c>
      <c r="F142" s="27" t="s">
        <v>19081</v>
      </c>
    </row>
    <row r="143" spans="1:6">
      <c r="A143" s="27" t="str">
        <f>Resultados!$K$3</f>
        <v/>
      </c>
      <c r="B143" s="27" t="str">
        <f>Resultados!$K$4</f>
        <v/>
      </c>
      <c r="C143" s="505" t="str">
        <f>'900000'!$B63</f>
        <v>09901043</v>
      </c>
      <c r="D143" s="160" t="str">
        <f>'900000'!$O$19</f>
        <v>C09901014</v>
      </c>
      <c r="E143" s="566">
        <f>'900000'!$O63</f>
        <v>0</v>
      </c>
      <c r="F143" s="27" t="s">
        <v>19081</v>
      </c>
    </row>
    <row r="144" spans="1:6">
      <c r="A144" s="27" t="str">
        <f>Resultados!$K$3</f>
        <v/>
      </c>
      <c r="B144" s="27" t="str">
        <f>Resultados!$K$4</f>
        <v/>
      </c>
      <c r="C144" s="505" t="str">
        <f>'900000'!$B64</f>
        <v>09901044</v>
      </c>
      <c r="D144" s="160" t="str">
        <f>'900000'!$O$19</f>
        <v>C09901014</v>
      </c>
      <c r="E144" s="566">
        <f>'900000'!$O64</f>
        <v>0</v>
      </c>
      <c r="F144" s="27" t="s">
        <v>19081</v>
      </c>
    </row>
    <row r="145" spans="1:6">
      <c r="A145" s="27" t="str">
        <f>Resultados!$K$3</f>
        <v/>
      </c>
      <c r="B145" s="27" t="str">
        <f>Resultados!$K$4</f>
        <v/>
      </c>
      <c r="C145" s="505" t="str">
        <f>'900000'!$B65</f>
        <v>09901045</v>
      </c>
      <c r="D145" s="160" t="str">
        <f>'900000'!$O$19</f>
        <v>C09901014</v>
      </c>
      <c r="E145" s="566">
        <f>'900000'!$O65</f>
        <v>0</v>
      </c>
      <c r="F145" s="27" t="s">
        <v>19081</v>
      </c>
    </row>
    <row r="146" spans="1:6">
      <c r="A146" s="27" t="str">
        <f>Resultados!$K$3</f>
        <v/>
      </c>
      <c r="B146" s="27" t="str">
        <f>Resultados!$K$4</f>
        <v/>
      </c>
      <c r="C146" s="505" t="str">
        <f>'900000'!$B66</f>
        <v>09901046</v>
      </c>
      <c r="D146" s="160" t="str">
        <f>'900000'!$O$19</f>
        <v>C09901014</v>
      </c>
      <c r="E146" s="566">
        <f>'900000'!$O66</f>
        <v>0</v>
      </c>
      <c r="F146" s="27" t="s">
        <v>19081</v>
      </c>
    </row>
    <row r="147" spans="1:6">
      <c r="A147" s="27" t="str">
        <f>Resultados!$K$3</f>
        <v/>
      </c>
      <c r="B147" s="27" t="str">
        <f>Resultados!$K$4</f>
        <v/>
      </c>
      <c r="C147" s="505" t="str">
        <f>'900000'!$B67</f>
        <v>09901047</v>
      </c>
      <c r="D147" s="160" t="str">
        <f>'900000'!$O$19</f>
        <v>C09901014</v>
      </c>
      <c r="E147" s="566">
        <f>'900000'!$O67</f>
        <v>0</v>
      </c>
      <c r="F147" s="27" t="s">
        <v>19081</v>
      </c>
    </row>
    <row r="148" spans="1:6">
      <c r="A148" s="27" t="str">
        <f>Resultados!$K$3</f>
        <v/>
      </c>
      <c r="B148" s="27" t="str">
        <f>Resultados!$K$4</f>
        <v/>
      </c>
      <c r="C148" s="505" t="str">
        <f>'900000'!$B68</f>
        <v>09901048</v>
      </c>
      <c r="D148" s="160" t="str">
        <f>'900000'!$O$19</f>
        <v>C09901014</v>
      </c>
      <c r="E148" s="566">
        <f>'900000'!$O68</f>
        <v>0</v>
      </c>
      <c r="F148" s="27" t="s">
        <v>19081</v>
      </c>
    </row>
    <row r="149" spans="1:6">
      <c r="A149" s="27" t="str">
        <f>Resultados!$K$3</f>
        <v/>
      </c>
      <c r="B149" s="27" t="str">
        <f>Resultados!$K$4</f>
        <v/>
      </c>
      <c r="C149" s="505" t="str">
        <f>'900000'!$B69</f>
        <v>09901049</v>
      </c>
      <c r="D149" s="160" t="str">
        <f>'900000'!$O$19</f>
        <v>C09901014</v>
      </c>
      <c r="E149" s="566">
        <f>'900000'!$O69</f>
        <v>0</v>
      </c>
      <c r="F149" s="27" t="s">
        <v>19081</v>
      </c>
    </row>
    <row r="150" spans="1:6">
      <c r="A150" s="27" t="str">
        <f>Resultados!$K$3</f>
        <v/>
      </c>
      <c r="B150" s="27" t="str">
        <f>Resultados!$K$4</f>
        <v/>
      </c>
      <c r="C150" s="505" t="str">
        <f>'900000'!$B70</f>
        <v>09901050</v>
      </c>
      <c r="D150" s="160" t="str">
        <f>'900000'!$O$19</f>
        <v>C09901014</v>
      </c>
      <c r="E150" s="566">
        <f>'900000'!$O70</f>
        <v>0</v>
      </c>
      <c r="F150" s="27" t="s">
        <v>19081</v>
      </c>
    </row>
    <row r="151" spans="1:6">
      <c r="A151" s="27" t="str">
        <f>Resultados!$K$3</f>
        <v/>
      </c>
      <c r="B151" s="27" t="str">
        <f>Resultados!$K$4</f>
        <v/>
      </c>
      <c r="C151" s="505" t="str">
        <f>'900000'!$B71</f>
        <v>09901051</v>
      </c>
      <c r="D151" s="160" t="str">
        <f>'900000'!$O$19</f>
        <v>C09901014</v>
      </c>
      <c r="E151" s="566">
        <f>'900000'!$O71</f>
        <v>0</v>
      </c>
      <c r="F151" s="27" t="s">
        <v>19081</v>
      </c>
    </row>
    <row r="152" spans="1:6">
      <c r="A152" s="27" t="str">
        <f>Resultados!$K$3</f>
        <v/>
      </c>
      <c r="B152" s="27" t="str">
        <f>Resultados!$K$4</f>
        <v/>
      </c>
      <c r="C152" s="505" t="str">
        <f>'900000'!$B72</f>
        <v>09901052</v>
      </c>
      <c r="D152" s="160" t="str">
        <f>'900000'!$O$19</f>
        <v>C09901014</v>
      </c>
      <c r="E152" s="566">
        <f>'900000'!$O72</f>
        <v>0</v>
      </c>
      <c r="F152" s="27" t="s">
        <v>19081</v>
      </c>
    </row>
    <row r="153" spans="1:6">
      <c r="A153" s="27" t="str">
        <f>Resultados!$K$3</f>
        <v/>
      </c>
      <c r="B153" s="27" t="str">
        <f>Resultados!$K$4</f>
        <v/>
      </c>
      <c r="C153" s="505" t="str">
        <f>'900000'!$B73</f>
        <v>09901053</v>
      </c>
      <c r="D153" s="160" t="str">
        <f>'900000'!$O$19</f>
        <v>C09901014</v>
      </c>
      <c r="E153" s="566">
        <f>'900000'!$O73</f>
        <v>0</v>
      </c>
      <c r="F153" s="27" t="s">
        <v>19081</v>
      </c>
    </row>
    <row r="154" spans="1:6">
      <c r="A154" s="27" t="str">
        <f>Resultados!$K$3</f>
        <v/>
      </c>
      <c r="B154" s="27" t="str">
        <f>Resultados!$K$4</f>
        <v/>
      </c>
      <c r="C154" s="505" t="str">
        <f>'900000'!$B74</f>
        <v>09901054</v>
      </c>
      <c r="D154" s="160" t="str">
        <f>'900000'!$O$19</f>
        <v>C09901014</v>
      </c>
      <c r="E154" s="566">
        <f>'900000'!$O74</f>
        <v>0</v>
      </c>
      <c r="F154" s="27" t="s">
        <v>19081</v>
      </c>
    </row>
    <row r="155" spans="1:6">
      <c r="A155" s="27" t="str">
        <f>Resultados!$K$3</f>
        <v/>
      </c>
      <c r="B155" s="27" t="str">
        <f>Resultados!$K$4</f>
        <v/>
      </c>
      <c r="C155" s="505" t="str">
        <f>'900000'!$B75</f>
        <v>09901055</v>
      </c>
      <c r="D155" s="160" t="str">
        <f>'900000'!$O$19</f>
        <v>C09901014</v>
      </c>
      <c r="E155" s="566">
        <f>'900000'!$O75</f>
        <v>0</v>
      </c>
      <c r="F155" s="27" t="s">
        <v>19081</v>
      </c>
    </row>
    <row r="156" spans="1:6">
      <c r="A156" s="27" t="str">
        <f>Resultados!$K$3</f>
        <v/>
      </c>
      <c r="B156" s="27" t="str">
        <f>Resultados!$K$4</f>
        <v/>
      </c>
      <c r="C156" s="505" t="str">
        <f>'900000'!$B76</f>
        <v>09901056</v>
      </c>
      <c r="D156" s="160" t="str">
        <f>'900000'!$O$19</f>
        <v>C09901014</v>
      </c>
      <c r="E156" s="566">
        <f>'900000'!$O76</f>
        <v>0</v>
      </c>
      <c r="F156" s="27" t="s">
        <v>19081</v>
      </c>
    </row>
    <row r="157" spans="1:6">
      <c r="A157" s="27" t="str">
        <f>Resultados!$K$3</f>
        <v/>
      </c>
      <c r="B157" s="27" t="str">
        <f>Resultados!$K$4</f>
        <v/>
      </c>
      <c r="C157" s="505" t="str">
        <f>'900000'!$B77</f>
        <v>09901057</v>
      </c>
      <c r="D157" s="160" t="str">
        <f>'900000'!$O$19</f>
        <v>C09901014</v>
      </c>
      <c r="E157" s="566">
        <f>'900000'!$O77</f>
        <v>0</v>
      </c>
      <c r="F157" s="27" t="s">
        <v>19081</v>
      </c>
    </row>
    <row r="158" spans="1:6">
      <c r="A158" s="27" t="str">
        <f>Resultados!$K$3</f>
        <v/>
      </c>
      <c r="B158" s="27" t="str">
        <f>Resultados!$K$4</f>
        <v/>
      </c>
      <c r="C158" s="505" t="str">
        <f>'900000'!$B78</f>
        <v>09901058</v>
      </c>
      <c r="D158" s="160" t="str">
        <f>'900000'!$O$19</f>
        <v>C09901014</v>
      </c>
      <c r="E158" s="566">
        <f>'900000'!$O78</f>
        <v>0</v>
      </c>
      <c r="F158" s="27" t="s">
        <v>19081</v>
      </c>
    </row>
    <row r="159" spans="1:6">
      <c r="A159" s="27" t="str">
        <f>Resultados!$K$3</f>
        <v/>
      </c>
      <c r="B159" s="27" t="str">
        <f>Resultados!$K$4</f>
        <v/>
      </c>
      <c r="C159" s="505" t="str">
        <f>'900000'!$B79</f>
        <v>09901059</v>
      </c>
      <c r="D159" s="160" t="str">
        <f>'900000'!$O$19</f>
        <v>C09901014</v>
      </c>
      <c r="E159" s="566">
        <f>'900000'!$O79</f>
        <v>0</v>
      </c>
      <c r="F159" s="27" t="s">
        <v>19081</v>
      </c>
    </row>
    <row r="160" spans="1:6">
      <c r="A160" s="27" t="str">
        <f>Resultados!$K$3</f>
        <v/>
      </c>
      <c r="B160" s="27" t="str">
        <f>Resultados!$K$4</f>
        <v/>
      </c>
      <c r="C160" s="505" t="str">
        <f>'900000'!$B80</f>
        <v>09901060</v>
      </c>
      <c r="D160" s="160" t="str">
        <f>'900000'!$O$19</f>
        <v>C09901014</v>
      </c>
      <c r="E160" s="566">
        <f>'900000'!$O80</f>
        <v>0</v>
      </c>
      <c r="F160" s="27" t="s">
        <v>19081</v>
      </c>
    </row>
    <row r="161" spans="1:6">
      <c r="A161" s="27" t="str">
        <f>Resultados!$K$3</f>
        <v/>
      </c>
      <c r="B161" s="27" t="str">
        <f>Resultados!$K$4</f>
        <v/>
      </c>
      <c r="C161" s="505" t="str">
        <f>'900000'!$B81</f>
        <v>09901061</v>
      </c>
      <c r="D161" s="160" t="str">
        <f>'900000'!$O$19</f>
        <v>C09901014</v>
      </c>
      <c r="E161" s="566">
        <f>'900000'!$O81</f>
        <v>0</v>
      </c>
      <c r="F161" s="27" t="s">
        <v>19081</v>
      </c>
    </row>
    <row r="162" spans="1:6">
      <c r="A162" s="27" t="str">
        <f>Resultados!$K$3</f>
        <v/>
      </c>
      <c r="B162" s="27" t="str">
        <f>Resultados!$K$4</f>
        <v/>
      </c>
      <c r="C162" s="505" t="str">
        <f>'900000'!$B82</f>
        <v>09901062</v>
      </c>
      <c r="D162" s="160" t="str">
        <f>'900000'!$O$19</f>
        <v>C09901014</v>
      </c>
      <c r="E162" s="566">
        <f>'900000'!$O82</f>
        <v>0</v>
      </c>
      <c r="F162" s="27" t="s">
        <v>19081</v>
      </c>
    </row>
    <row r="163" spans="1:6">
      <c r="A163" s="27" t="str">
        <f>Resultados!$K$3</f>
        <v/>
      </c>
      <c r="B163" s="27" t="str">
        <f>Resultados!$K$4</f>
        <v/>
      </c>
      <c r="C163" s="505" t="str">
        <f>'900000'!$B83</f>
        <v>09901063</v>
      </c>
      <c r="D163" s="160" t="str">
        <f>'900000'!$O$19</f>
        <v>C09901014</v>
      </c>
      <c r="E163" s="566">
        <f>'900000'!$O83</f>
        <v>0</v>
      </c>
      <c r="F163" s="27" t="s">
        <v>19081</v>
      </c>
    </row>
    <row r="164" spans="1:6">
      <c r="A164" s="27" t="str">
        <f>Resultados!$K$3</f>
        <v/>
      </c>
      <c r="B164" s="27" t="str">
        <f>Resultados!$K$4</f>
        <v/>
      </c>
      <c r="C164" s="505" t="str">
        <f>'900000'!$B84</f>
        <v>09901064</v>
      </c>
      <c r="D164" s="160" t="str">
        <f>'900000'!$O$19</f>
        <v>C09901014</v>
      </c>
      <c r="E164" s="566">
        <f>'900000'!$O84</f>
        <v>0</v>
      </c>
      <c r="F164" s="27" t="s">
        <v>19081</v>
      </c>
    </row>
    <row r="165" spans="1:6">
      <c r="A165" s="27" t="str">
        <f>Resultados!$K$3</f>
        <v/>
      </c>
      <c r="B165" s="27" t="str">
        <f>Resultados!$K$4</f>
        <v/>
      </c>
      <c r="C165" s="505" t="str">
        <f>'900000'!$B85</f>
        <v>09901065</v>
      </c>
      <c r="D165" s="160" t="str">
        <f>'900000'!$O$19</f>
        <v>C09901014</v>
      </c>
      <c r="E165" s="566">
        <f>'900000'!$O85</f>
        <v>0</v>
      </c>
      <c r="F165" s="27" t="s">
        <v>19081</v>
      </c>
    </row>
    <row r="166" spans="1:6">
      <c r="A166" s="27" t="str">
        <f>Resultados!$K$3</f>
        <v/>
      </c>
      <c r="B166" s="27" t="str">
        <f>Resultados!$K$4</f>
        <v/>
      </c>
      <c r="C166" s="505" t="str">
        <f>'900000'!$B86</f>
        <v>09901066</v>
      </c>
      <c r="D166" s="160" t="str">
        <f>'900000'!$O$19</f>
        <v>C09901014</v>
      </c>
      <c r="E166" s="566">
        <f>'900000'!$O86</f>
        <v>0</v>
      </c>
      <c r="F166" s="27" t="s">
        <v>19081</v>
      </c>
    </row>
    <row r="167" spans="1:6">
      <c r="A167" s="27" t="str">
        <f>Resultados!$K$3</f>
        <v/>
      </c>
      <c r="B167" s="27" t="str">
        <f>Resultados!$K$4</f>
        <v/>
      </c>
      <c r="C167" s="505" t="str">
        <f>'900000'!$B87</f>
        <v>09901067</v>
      </c>
      <c r="D167" s="160" t="str">
        <f>'900000'!$O$19</f>
        <v>C09901014</v>
      </c>
      <c r="E167" s="566">
        <f>'900000'!$O87</f>
        <v>0</v>
      </c>
      <c r="F167" s="27" t="s">
        <v>19081</v>
      </c>
    </row>
    <row r="168" spans="1:6">
      <c r="A168" s="27" t="str">
        <f>Resultados!$K$3</f>
        <v/>
      </c>
      <c r="B168" s="27" t="str">
        <f>Resultados!$K$4</f>
        <v/>
      </c>
      <c r="C168" s="505" t="str">
        <f>'900000'!$B88</f>
        <v>09901068</v>
      </c>
      <c r="D168" s="160" t="str">
        <f>'900000'!$O$19</f>
        <v>C09901014</v>
      </c>
      <c r="E168" s="566">
        <f>'900000'!$O88</f>
        <v>0</v>
      </c>
      <c r="F168" s="27" t="s">
        <v>19081</v>
      </c>
    </row>
    <row r="169" spans="1:6">
      <c r="A169" s="27" t="str">
        <f>Resultados!$K$3</f>
        <v/>
      </c>
      <c r="B169" s="27" t="str">
        <f>Resultados!$K$4</f>
        <v/>
      </c>
      <c r="C169" s="505" t="str">
        <f>'900000'!$B89</f>
        <v>09901069</v>
      </c>
      <c r="D169" s="160" t="str">
        <f>'900000'!$O$19</f>
        <v>C09901014</v>
      </c>
      <c r="E169" s="566">
        <f>'900000'!$O89</f>
        <v>0</v>
      </c>
      <c r="F169" s="27" t="s">
        <v>19081</v>
      </c>
    </row>
    <row r="170" spans="1:6">
      <c r="A170" s="27" t="str">
        <f>Resultados!$K$3</f>
        <v/>
      </c>
      <c r="B170" s="27" t="str">
        <f>Resultados!$K$4</f>
        <v/>
      </c>
      <c r="C170" s="505" t="str">
        <f>'900000'!$B90</f>
        <v>09901070</v>
      </c>
      <c r="D170" s="160" t="str">
        <f>'900000'!$O$19</f>
        <v>C09901014</v>
      </c>
      <c r="E170" s="566">
        <f>'900000'!$O90</f>
        <v>0</v>
      </c>
      <c r="F170" s="27" t="s">
        <v>19081</v>
      </c>
    </row>
    <row r="171" spans="1:6">
      <c r="A171" s="27" t="str">
        <f>Resultados!$K$3</f>
        <v/>
      </c>
      <c r="B171" s="27" t="str">
        <f>Resultados!$K$4</f>
        <v/>
      </c>
      <c r="C171" s="505" t="str">
        <f>'900000'!$B91</f>
        <v>09901071</v>
      </c>
      <c r="D171" s="160" t="str">
        <f>'900000'!$O$19</f>
        <v>C09901014</v>
      </c>
      <c r="E171" s="566">
        <f>'900000'!$O91</f>
        <v>0</v>
      </c>
      <c r="F171" s="27" t="s">
        <v>19081</v>
      </c>
    </row>
    <row r="172" spans="1:6">
      <c r="A172" s="27" t="str">
        <f>Resultados!$K$3</f>
        <v/>
      </c>
      <c r="B172" s="27" t="str">
        <f>Resultados!$K$4</f>
        <v/>
      </c>
      <c r="C172" s="505" t="str">
        <f>'900000'!$B92</f>
        <v>09901072</v>
      </c>
      <c r="D172" s="160" t="str">
        <f>'900000'!$O$19</f>
        <v>C09901014</v>
      </c>
      <c r="E172" s="566">
        <f>'900000'!$O92</f>
        <v>0</v>
      </c>
      <c r="F172" s="27" t="s">
        <v>19081</v>
      </c>
    </row>
    <row r="173" spans="1:6">
      <c r="A173" s="27" t="str">
        <f>Resultados!$K$3</f>
        <v/>
      </c>
      <c r="B173" s="27" t="str">
        <f>Resultados!$K$4</f>
        <v/>
      </c>
      <c r="C173" s="505" t="str">
        <f>'900000'!$B93</f>
        <v>09901073</v>
      </c>
      <c r="D173" s="160" t="str">
        <f>'900000'!$O$19</f>
        <v>C09901014</v>
      </c>
      <c r="E173" s="566">
        <f>'900000'!$O93</f>
        <v>0</v>
      </c>
      <c r="F173" s="27" t="s">
        <v>19081</v>
      </c>
    </row>
    <row r="174" spans="1:6">
      <c r="A174" s="27" t="str">
        <f>Resultados!$K$3</f>
        <v/>
      </c>
      <c r="B174" s="27" t="str">
        <f>Resultados!$K$4</f>
        <v/>
      </c>
      <c r="C174" s="505" t="str">
        <f>'900000'!$B94</f>
        <v>09901074</v>
      </c>
      <c r="D174" s="160" t="str">
        <f>'900000'!$O$19</f>
        <v>C09901014</v>
      </c>
      <c r="E174" s="566">
        <f>'900000'!$O94</f>
        <v>0</v>
      </c>
      <c r="F174" s="27" t="s">
        <v>19081</v>
      </c>
    </row>
    <row r="175" spans="1:6">
      <c r="A175" s="27" t="str">
        <f>Resultados!$K$3</f>
        <v/>
      </c>
      <c r="B175" s="27" t="str">
        <f>Resultados!$K$4</f>
        <v/>
      </c>
      <c r="C175" s="505" t="str">
        <f>'900000'!$B95</f>
        <v>09901075</v>
      </c>
      <c r="D175" s="160" t="str">
        <f>'900000'!$O$19</f>
        <v>C09901014</v>
      </c>
      <c r="E175" s="566">
        <f>'900000'!$O95</f>
        <v>0</v>
      </c>
      <c r="F175" s="27" t="s">
        <v>19081</v>
      </c>
    </row>
    <row r="176" spans="1:6">
      <c r="A176" s="27" t="str">
        <f>Resultados!$K$3</f>
        <v/>
      </c>
      <c r="B176" s="27" t="str">
        <f>Resultados!$K$4</f>
        <v/>
      </c>
      <c r="C176" s="505" t="str">
        <f>'900000'!$B96</f>
        <v>09901076</v>
      </c>
      <c r="D176" s="160" t="str">
        <f>'900000'!$O$19</f>
        <v>C09901014</v>
      </c>
      <c r="E176" s="566">
        <f>'900000'!$O96</f>
        <v>0</v>
      </c>
      <c r="F176" s="27" t="s">
        <v>19081</v>
      </c>
    </row>
    <row r="177" spans="1:6">
      <c r="A177" s="27" t="str">
        <f>Resultados!$K$3</f>
        <v/>
      </c>
      <c r="B177" s="27" t="str">
        <f>Resultados!$K$4</f>
        <v/>
      </c>
      <c r="C177" s="505" t="str">
        <f>'900000'!$B97</f>
        <v>09901077</v>
      </c>
      <c r="D177" s="160" t="str">
        <f>'900000'!$O$19</f>
        <v>C09901014</v>
      </c>
      <c r="E177" s="566">
        <f>'900000'!$O97</f>
        <v>0</v>
      </c>
      <c r="F177" s="27" t="s">
        <v>19081</v>
      </c>
    </row>
    <row r="178" spans="1:6">
      <c r="A178" s="27" t="str">
        <f>Resultados!$K$3</f>
        <v/>
      </c>
      <c r="B178" s="27" t="str">
        <f>Resultados!$K$4</f>
        <v/>
      </c>
      <c r="C178" s="505" t="str">
        <f>'900000'!$B98</f>
        <v>09901078</v>
      </c>
      <c r="D178" s="160" t="str">
        <f>'900000'!$O$19</f>
        <v>C09901014</v>
      </c>
      <c r="E178" s="566">
        <f>'900000'!$O98</f>
        <v>0</v>
      </c>
      <c r="F178" s="27" t="s">
        <v>19081</v>
      </c>
    </row>
    <row r="179" spans="1:6">
      <c r="A179" s="27" t="str">
        <f>Resultados!$K$3</f>
        <v/>
      </c>
      <c r="B179" s="27" t="str">
        <f>Resultados!$K$4</f>
        <v/>
      </c>
      <c r="C179" s="505" t="str">
        <f>'900000'!$B99</f>
        <v>09901079</v>
      </c>
      <c r="D179" s="160" t="str">
        <f>'900000'!$O$19</f>
        <v>C09901014</v>
      </c>
      <c r="E179" s="566">
        <f>'900000'!$O99</f>
        <v>0</v>
      </c>
      <c r="F179" s="27" t="s">
        <v>19081</v>
      </c>
    </row>
    <row r="180" spans="1:6">
      <c r="A180" s="27" t="str">
        <f>Resultados!$K$3</f>
        <v/>
      </c>
      <c r="B180" s="27" t="str">
        <f>Resultados!$K$4</f>
        <v/>
      </c>
      <c r="C180" s="505" t="str">
        <f>'900000'!$B100</f>
        <v>09901080</v>
      </c>
      <c r="D180" s="160" t="str">
        <f>'900000'!$O$19</f>
        <v>C09901014</v>
      </c>
      <c r="E180" s="566">
        <f>'900000'!$O100</f>
        <v>0</v>
      </c>
      <c r="F180" s="27" t="s">
        <v>19081</v>
      </c>
    </row>
    <row r="181" spans="1:6">
      <c r="A181" s="27" t="str">
        <f>Resultados!$K$3</f>
        <v/>
      </c>
      <c r="B181" s="27" t="str">
        <f>Resultados!$K$4</f>
        <v/>
      </c>
      <c r="C181" s="505" t="str">
        <f>'900000'!$B101</f>
        <v>09901081</v>
      </c>
      <c r="D181" s="160" t="str">
        <f>'900000'!$O$19</f>
        <v>C09901014</v>
      </c>
      <c r="E181" s="566">
        <f>'900000'!$O101</f>
        <v>0</v>
      </c>
      <c r="F181" s="27" t="s">
        <v>19081</v>
      </c>
    </row>
    <row r="182" spans="1:6">
      <c r="A182" s="27" t="str">
        <f>Resultados!$K$3</f>
        <v/>
      </c>
      <c r="B182" s="27" t="str">
        <f>Resultados!$K$4</f>
        <v/>
      </c>
      <c r="C182" s="505" t="str">
        <f>'900000'!$B102</f>
        <v>09901082</v>
      </c>
      <c r="D182" s="160" t="str">
        <f>'900000'!$O$19</f>
        <v>C09901014</v>
      </c>
      <c r="E182" s="566">
        <f>'900000'!$O102</f>
        <v>0</v>
      </c>
      <c r="F182" s="27" t="s">
        <v>19081</v>
      </c>
    </row>
    <row r="183" spans="1:6">
      <c r="A183" s="27" t="str">
        <f>Resultados!$K$3</f>
        <v/>
      </c>
      <c r="B183" s="27" t="str">
        <f>Resultados!$K$4</f>
        <v/>
      </c>
      <c r="C183" s="505" t="str">
        <f>'900000'!$B103</f>
        <v>09901083</v>
      </c>
      <c r="D183" s="160" t="str">
        <f>'900000'!$O$19</f>
        <v>C09901014</v>
      </c>
      <c r="E183" s="566">
        <f>'900000'!$O103</f>
        <v>0</v>
      </c>
      <c r="F183" s="27" t="s">
        <v>19081</v>
      </c>
    </row>
    <row r="184" spans="1:6">
      <c r="A184" s="27" t="str">
        <f>Resultados!$K$3</f>
        <v/>
      </c>
      <c r="B184" s="27" t="str">
        <f>Resultados!$K$4</f>
        <v/>
      </c>
      <c r="C184" s="505" t="str">
        <f>'900000'!$B104</f>
        <v>09901084</v>
      </c>
      <c r="D184" s="160" t="str">
        <f>'900000'!$O$19</f>
        <v>C09901014</v>
      </c>
      <c r="E184" s="566">
        <f>'900000'!$O104</f>
        <v>0</v>
      </c>
      <c r="F184" s="27" t="s">
        <v>19081</v>
      </c>
    </row>
    <row r="185" spans="1:6">
      <c r="A185" s="27" t="str">
        <f>Resultados!$K$3</f>
        <v/>
      </c>
      <c r="B185" s="27" t="str">
        <f>Resultados!$K$4</f>
        <v/>
      </c>
      <c r="C185" s="505" t="str">
        <f>'900000'!$B105</f>
        <v>09901085</v>
      </c>
      <c r="D185" s="160" t="str">
        <f>'900000'!$O$19</f>
        <v>C09901014</v>
      </c>
      <c r="E185" s="566">
        <f>'900000'!$O105</f>
        <v>0</v>
      </c>
      <c r="F185" s="27" t="s">
        <v>19081</v>
      </c>
    </row>
    <row r="186" spans="1:6">
      <c r="A186" s="27" t="str">
        <f>Resultados!$K$3</f>
        <v/>
      </c>
      <c r="B186" s="27" t="str">
        <f>Resultados!$K$4</f>
        <v/>
      </c>
      <c r="C186" s="505" t="str">
        <f>'900000'!$B106</f>
        <v>09901086</v>
      </c>
      <c r="D186" s="160" t="str">
        <f>'900000'!$O$19</f>
        <v>C09901014</v>
      </c>
      <c r="E186" s="566">
        <f>'900000'!$O106</f>
        <v>0</v>
      </c>
      <c r="F186" s="27" t="s">
        <v>19081</v>
      </c>
    </row>
    <row r="187" spans="1:6">
      <c r="A187" s="27" t="str">
        <f>Resultados!$K$3</f>
        <v/>
      </c>
      <c r="B187" s="27" t="str">
        <f>Resultados!$K$4</f>
        <v/>
      </c>
      <c r="C187" s="505" t="str">
        <f>'900000'!$B107</f>
        <v>09901087</v>
      </c>
      <c r="D187" s="160" t="str">
        <f>'900000'!$O$19</f>
        <v>C09901014</v>
      </c>
      <c r="E187" s="566">
        <f>'900000'!$O107</f>
        <v>0</v>
      </c>
      <c r="F187" s="27" t="s">
        <v>19081</v>
      </c>
    </row>
    <row r="188" spans="1:6">
      <c r="A188" s="27" t="str">
        <f>Resultados!$K$3</f>
        <v/>
      </c>
      <c r="B188" s="27" t="str">
        <f>Resultados!$K$4</f>
        <v/>
      </c>
      <c r="C188" s="505" t="str">
        <f>'900000'!$B108</f>
        <v>09901088</v>
      </c>
      <c r="D188" s="160" t="str">
        <f>'900000'!$O$19</f>
        <v>C09901014</v>
      </c>
      <c r="E188" s="566">
        <f>'900000'!$O108</f>
        <v>0</v>
      </c>
      <c r="F188" s="27" t="s">
        <v>19081</v>
      </c>
    </row>
    <row r="189" spans="1:6">
      <c r="A189" s="27" t="str">
        <f>Resultados!$K$3</f>
        <v/>
      </c>
      <c r="B189" s="27" t="str">
        <f>Resultados!$K$4</f>
        <v/>
      </c>
      <c r="C189" s="505" t="str">
        <f>'900000'!$B109</f>
        <v>09901089</v>
      </c>
      <c r="D189" s="160" t="str">
        <f>'900000'!$O$19</f>
        <v>C09901014</v>
      </c>
      <c r="E189" s="566">
        <f>'900000'!$O109</f>
        <v>0</v>
      </c>
      <c r="F189" s="27" t="s">
        <v>19081</v>
      </c>
    </row>
    <row r="190" spans="1:6">
      <c r="A190" s="27" t="str">
        <f>Resultados!$K$3</f>
        <v/>
      </c>
      <c r="B190" s="27" t="str">
        <f>Resultados!$K$4</f>
        <v/>
      </c>
      <c r="C190" s="505" t="str">
        <f>'900000'!$B110</f>
        <v>09901090</v>
      </c>
      <c r="D190" s="160" t="str">
        <f>'900000'!$O$19</f>
        <v>C09901014</v>
      </c>
      <c r="E190" s="566">
        <f>'900000'!$O110</f>
        <v>0</v>
      </c>
      <c r="F190" s="27" t="s">
        <v>19081</v>
      </c>
    </row>
    <row r="191" spans="1:6">
      <c r="A191" s="27" t="str">
        <f>Resultados!$K$3</f>
        <v/>
      </c>
      <c r="B191" s="27" t="str">
        <f>Resultados!$K$4</f>
        <v/>
      </c>
      <c r="C191" s="505" t="str">
        <f>'900000'!$B111</f>
        <v>09901091</v>
      </c>
      <c r="D191" s="160" t="str">
        <f>'900000'!$O$19</f>
        <v>C09901014</v>
      </c>
      <c r="E191" s="566">
        <f>'900000'!$O111</f>
        <v>0</v>
      </c>
      <c r="F191" s="27" t="s">
        <v>19081</v>
      </c>
    </row>
    <row r="192" spans="1:6">
      <c r="A192" s="27" t="str">
        <f>Resultados!$K$3</f>
        <v/>
      </c>
      <c r="B192" s="27" t="str">
        <f>Resultados!$K$4</f>
        <v/>
      </c>
      <c r="C192" s="505" t="str">
        <f>'900000'!$B112</f>
        <v>09901092</v>
      </c>
      <c r="D192" s="160" t="str">
        <f>'900000'!$O$19</f>
        <v>C09901014</v>
      </c>
      <c r="E192" s="566">
        <f>'900000'!$O112</f>
        <v>0</v>
      </c>
      <c r="F192" s="27" t="s">
        <v>19081</v>
      </c>
    </row>
    <row r="193" spans="1:7">
      <c r="A193" s="27" t="str">
        <f>Resultados!$K$3</f>
        <v/>
      </c>
      <c r="B193" s="27" t="str">
        <f>Resultados!$K$4</f>
        <v/>
      </c>
      <c r="C193" s="505" t="str">
        <f>'900000'!$B113</f>
        <v>09901093</v>
      </c>
      <c r="D193" s="160" t="str">
        <f>'900000'!$O$19</f>
        <v>C09901014</v>
      </c>
      <c r="E193" s="566">
        <f>'900000'!$O113</f>
        <v>0</v>
      </c>
      <c r="F193" s="27" t="s">
        <v>19081</v>
      </c>
    </row>
    <row r="194" spans="1:7">
      <c r="A194" s="27" t="str">
        <f>Resultados!$K$3</f>
        <v/>
      </c>
      <c r="B194" s="27" t="str">
        <f>Resultados!$K$4</f>
        <v/>
      </c>
      <c r="C194" s="505" t="str">
        <f>'900000'!$B114</f>
        <v>09901094</v>
      </c>
      <c r="D194" s="160" t="str">
        <f>'900000'!$O$19</f>
        <v>C09901014</v>
      </c>
      <c r="E194" s="566">
        <f>'900000'!$O114</f>
        <v>0</v>
      </c>
      <c r="F194" s="27" t="s">
        <v>19081</v>
      </c>
    </row>
    <row r="195" spans="1:7">
      <c r="A195" s="27" t="str">
        <f>Resultados!$K$3</f>
        <v/>
      </c>
      <c r="B195" s="27" t="str">
        <f>Resultados!$K$4</f>
        <v/>
      </c>
      <c r="C195" s="505" t="str">
        <f>'900000'!$B115</f>
        <v>09901095</v>
      </c>
      <c r="D195" s="160" t="str">
        <f>'900000'!$O$19</f>
        <v>C09901014</v>
      </c>
      <c r="E195" s="566">
        <f>'900000'!$O115</f>
        <v>0</v>
      </c>
      <c r="F195" s="27" t="s">
        <v>19081</v>
      </c>
    </row>
    <row r="196" spans="1:7">
      <c r="A196" s="27" t="str">
        <f>Resultados!$K$3</f>
        <v/>
      </c>
      <c r="B196" s="27" t="str">
        <f>Resultados!$K$4</f>
        <v/>
      </c>
      <c r="C196" s="505" t="str">
        <f>'900000'!$B116</f>
        <v>09901096</v>
      </c>
      <c r="D196" s="160" t="str">
        <f>'900000'!$O$19</f>
        <v>C09901014</v>
      </c>
      <c r="E196" s="566">
        <f>'900000'!$O116</f>
        <v>0</v>
      </c>
      <c r="F196" s="27" t="s">
        <v>19081</v>
      </c>
    </row>
    <row r="197" spans="1:7">
      <c r="A197" s="27" t="str">
        <f>Resultados!$K$3</f>
        <v/>
      </c>
      <c r="B197" s="27" t="str">
        <f>Resultados!$K$4</f>
        <v/>
      </c>
      <c r="C197" s="505" t="str">
        <f>'900000'!$B117</f>
        <v>09901097</v>
      </c>
      <c r="D197" s="160" t="str">
        <f>'900000'!$O$19</f>
        <v>C09901014</v>
      </c>
      <c r="E197" s="566">
        <f>'900000'!$O117</f>
        <v>0</v>
      </c>
      <c r="F197" s="27" t="s">
        <v>19081</v>
      </c>
    </row>
    <row r="198" spans="1:7">
      <c r="A198" s="27" t="str">
        <f>Resultados!$K$3</f>
        <v/>
      </c>
      <c r="B198" s="27" t="str">
        <f>Resultados!$K$4</f>
        <v/>
      </c>
      <c r="C198" s="505" t="str">
        <f>'900000'!$B118</f>
        <v>09901098</v>
      </c>
      <c r="D198" s="160" t="str">
        <f>'900000'!$O$19</f>
        <v>C09901014</v>
      </c>
      <c r="E198" s="566">
        <f>'900000'!$O118</f>
        <v>0</v>
      </c>
      <c r="F198" s="27" t="s">
        <v>19081</v>
      </c>
    </row>
    <row r="199" spans="1:7">
      <c r="A199" s="27" t="str">
        <f>Resultados!$K$3</f>
        <v/>
      </c>
      <c r="B199" s="27" t="str">
        <f>Resultados!$K$4</f>
        <v/>
      </c>
      <c r="C199" s="505" t="str">
        <f>'900000'!$B119</f>
        <v>09901099</v>
      </c>
      <c r="D199" s="160" t="str">
        <f>'900000'!$O$19</f>
        <v>C09901014</v>
      </c>
      <c r="E199" s="566">
        <f>'900000'!$O119</f>
        <v>0</v>
      </c>
      <c r="F199" s="27" t="s">
        <v>19081</v>
      </c>
    </row>
    <row r="200" spans="1:7">
      <c r="A200" s="27" t="str">
        <f>Resultados!$K$3</f>
        <v/>
      </c>
      <c r="B200" s="27" t="str">
        <f>Resultados!$K$4</f>
        <v/>
      </c>
      <c r="C200" s="505" t="str">
        <f>'900000'!$B120</f>
        <v>09901100</v>
      </c>
      <c r="D200" s="160" t="str">
        <f>'900000'!$O$19</f>
        <v>C09901014</v>
      </c>
      <c r="E200" s="566">
        <f>'900000'!$O120</f>
        <v>0</v>
      </c>
      <c r="F200" s="27" t="s">
        <v>19081</v>
      </c>
    </row>
    <row r="201" spans="1:7">
      <c r="A201" s="27" t="str">
        <f>Resultados!$K$3</f>
        <v/>
      </c>
      <c r="B201" s="27" t="str">
        <f>Resultados!$K$4</f>
        <v/>
      </c>
      <c r="C201" s="505" t="str">
        <f>'900000'!$B121</f>
        <v>09901101</v>
      </c>
      <c r="D201" s="160" t="str">
        <f>'900000'!$O$19</f>
        <v>C09901014</v>
      </c>
      <c r="E201" s="566">
        <f>'900000'!$O121</f>
        <v>0</v>
      </c>
      <c r="F201" s="27" t="s">
        <v>19081</v>
      </c>
    </row>
    <row r="202" spans="1:7">
      <c r="A202" s="27" t="str">
        <f>Resultados!$K$3</f>
        <v/>
      </c>
      <c r="B202" s="27" t="str">
        <f>Resultados!$K$4</f>
        <v/>
      </c>
      <c r="C202" s="505" t="str">
        <f>'900000'!$B22</f>
        <v>09901002</v>
      </c>
      <c r="D202" s="160" t="str">
        <f>'900000'!$F$19</f>
        <v>C09901005</v>
      </c>
      <c r="E202" s="566">
        <f>'900000'!$S22</f>
        <v>0</v>
      </c>
      <c r="F202" s="27" t="s">
        <v>19081</v>
      </c>
      <c r="G202" s="27"/>
    </row>
    <row r="203" spans="1:7">
      <c r="A203" s="27" t="str">
        <f>Resultados!$K$3</f>
        <v/>
      </c>
      <c r="B203" s="27" t="str">
        <f>Resultados!$K$4</f>
        <v/>
      </c>
      <c r="C203" s="505" t="str">
        <f>'900000'!$B23</f>
        <v>09901003</v>
      </c>
      <c r="D203" s="160" t="str">
        <f>'900000'!$F$19</f>
        <v>C09901005</v>
      </c>
      <c r="E203" s="566">
        <f>'900000'!$S23</f>
        <v>0</v>
      </c>
      <c r="F203" s="27" t="s">
        <v>19081</v>
      </c>
    </row>
    <row r="204" spans="1:7">
      <c r="A204" s="27" t="str">
        <f>Resultados!$K$3</f>
        <v/>
      </c>
      <c r="B204" s="27" t="str">
        <f>Resultados!$K$4</f>
        <v/>
      </c>
      <c r="C204" s="505" t="str">
        <f>'900000'!$B24</f>
        <v>09901004</v>
      </c>
      <c r="D204" s="160" t="str">
        <f>'900000'!$F$19</f>
        <v>C09901005</v>
      </c>
      <c r="E204" s="566">
        <f>'900000'!$S24</f>
        <v>0</v>
      </c>
      <c r="F204" s="27" t="s">
        <v>19081</v>
      </c>
    </row>
    <row r="205" spans="1:7">
      <c r="A205" s="27" t="str">
        <f>Resultados!$K$3</f>
        <v/>
      </c>
      <c r="B205" s="27" t="str">
        <f>Resultados!$K$4</f>
        <v/>
      </c>
      <c r="C205" s="505" t="str">
        <f>'900000'!$B25</f>
        <v>09901005</v>
      </c>
      <c r="D205" s="160" t="str">
        <f>'900000'!$F$19</f>
        <v>C09901005</v>
      </c>
      <c r="E205" s="566">
        <f>'900000'!$S25</f>
        <v>0</v>
      </c>
      <c r="F205" s="27" t="s">
        <v>19081</v>
      </c>
    </row>
    <row r="206" spans="1:7">
      <c r="A206" s="27" t="str">
        <f>Resultados!$K$3</f>
        <v/>
      </c>
      <c r="B206" s="27" t="str">
        <f>Resultados!$K$4</f>
        <v/>
      </c>
      <c r="C206" s="505" t="str">
        <f>'900000'!$B26</f>
        <v>09901006</v>
      </c>
      <c r="D206" s="160" t="str">
        <f>'900000'!$F$19</f>
        <v>C09901005</v>
      </c>
      <c r="E206" s="566">
        <f>'900000'!$S26</f>
        <v>0</v>
      </c>
      <c r="F206" s="27" t="s">
        <v>19081</v>
      </c>
    </row>
    <row r="207" spans="1:7">
      <c r="A207" s="27" t="str">
        <f>Resultados!$K$3</f>
        <v/>
      </c>
      <c r="B207" s="27" t="str">
        <f>Resultados!$K$4</f>
        <v/>
      </c>
      <c r="C207" s="505" t="str">
        <f>'900000'!$B27</f>
        <v>09901007</v>
      </c>
      <c r="D207" s="160" t="str">
        <f>'900000'!$F$19</f>
        <v>C09901005</v>
      </c>
      <c r="E207" s="566">
        <f>'900000'!$S27</f>
        <v>0</v>
      </c>
      <c r="F207" s="27" t="s">
        <v>19081</v>
      </c>
    </row>
    <row r="208" spans="1:7">
      <c r="A208" s="27" t="str">
        <f>Resultados!$K$3</f>
        <v/>
      </c>
      <c r="B208" s="27" t="str">
        <f>Resultados!$K$4</f>
        <v/>
      </c>
      <c r="C208" s="505" t="str">
        <f>'900000'!$B28</f>
        <v>09901008</v>
      </c>
      <c r="D208" s="160" t="str">
        <f>'900000'!$F$19</f>
        <v>C09901005</v>
      </c>
      <c r="E208" s="566">
        <f>'900000'!$S28</f>
        <v>0</v>
      </c>
      <c r="F208" s="27" t="s">
        <v>19081</v>
      </c>
    </row>
    <row r="209" spans="1:6">
      <c r="A209" s="27" t="str">
        <f>Resultados!$K$3</f>
        <v/>
      </c>
      <c r="B209" s="27" t="str">
        <f>Resultados!$K$4</f>
        <v/>
      </c>
      <c r="C209" s="505" t="str">
        <f>'900000'!$B29</f>
        <v>09901009</v>
      </c>
      <c r="D209" s="160" t="str">
        <f>'900000'!$F$19</f>
        <v>C09901005</v>
      </c>
      <c r="E209" s="566">
        <f>'900000'!$S29</f>
        <v>0</v>
      </c>
      <c r="F209" s="27" t="s">
        <v>19081</v>
      </c>
    </row>
    <row r="210" spans="1:6">
      <c r="A210" s="27" t="str">
        <f>Resultados!$K$3</f>
        <v/>
      </c>
      <c r="B210" s="27" t="str">
        <f>Resultados!$K$4</f>
        <v/>
      </c>
      <c r="C210" s="505" t="str">
        <f>'900000'!$B30</f>
        <v>09901010</v>
      </c>
      <c r="D210" s="160" t="str">
        <f>'900000'!$F$19</f>
        <v>C09901005</v>
      </c>
      <c r="E210" s="566">
        <f>'900000'!$S30</f>
        <v>0</v>
      </c>
      <c r="F210" s="27" t="s">
        <v>19081</v>
      </c>
    </row>
    <row r="211" spans="1:6">
      <c r="A211" s="27" t="str">
        <f>Resultados!$K$3</f>
        <v/>
      </c>
      <c r="B211" s="27" t="str">
        <f>Resultados!$K$4</f>
        <v/>
      </c>
      <c r="C211" s="505" t="str">
        <f>'900000'!$B31</f>
        <v>09901011</v>
      </c>
      <c r="D211" s="160" t="str">
        <f>'900000'!$F$19</f>
        <v>C09901005</v>
      </c>
      <c r="E211" s="566">
        <f>'900000'!$S31</f>
        <v>0</v>
      </c>
      <c r="F211" s="27" t="s">
        <v>19081</v>
      </c>
    </row>
    <row r="212" spans="1:6">
      <c r="A212" s="27" t="str">
        <f>Resultados!$K$3</f>
        <v/>
      </c>
      <c r="B212" s="27" t="str">
        <f>Resultados!$K$4</f>
        <v/>
      </c>
      <c r="C212" s="505" t="str">
        <f>'900000'!$B32</f>
        <v>09901012</v>
      </c>
      <c r="D212" s="160" t="str">
        <f>'900000'!$F$19</f>
        <v>C09901005</v>
      </c>
      <c r="E212" s="566">
        <f>'900000'!$S32</f>
        <v>0</v>
      </c>
      <c r="F212" s="27" t="s">
        <v>19081</v>
      </c>
    </row>
    <row r="213" spans="1:6">
      <c r="A213" s="27" t="str">
        <f>Resultados!$K$3</f>
        <v/>
      </c>
      <c r="B213" s="27" t="str">
        <f>Resultados!$K$4</f>
        <v/>
      </c>
      <c r="C213" s="505" t="str">
        <f>'900000'!$B33</f>
        <v>09901013</v>
      </c>
      <c r="D213" s="160" t="str">
        <f>'900000'!$F$19</f>
        <v>C09901005</v>
      </c>
      <c r="E213" s="566">
        <f>'900000'!$S33</f>
        <v>0</v>
      </c>
      <c r="F213" s="27" t="s">
        <v>19081</v>
      </c>
    </row>
    <row r="214" spans="1:6">
      <c r="A214" s="27" t="str">
        <f>Resultados!$K$3</f>
        <v/>
      </c>
      <c r="B214" s="27" t="str">
        <f>Resultados!$K$4</f>
        <v/>
      </c>
      <c r="C214" s="505" t="str">
        <f>'900000'!$B34</f>
        <v>09901014</v>
      </c>
      <c r="D214" s="160" t="str">
        <f>'900000'!$F$19</f>
        <v>C09901005</v>
      </c>
      <c r="E214" s="566">
        <f>'900000'!$S34</f>
        <v>0</v>
      </c>
      <c r="F214" s="27" t="s">
        <v>19081</v>
      </c>
    </row>
    <row r="215" spans="1:6">
      <c r="A215" s="27" t="str">
        <f>Resultados!$K$3</f>
        <v/>
      </c>
      <c r="B215" s="27" t="str">
        <f>Resultados!$K$4</f>
        <v/>
      </c>
      <c r="C215" s="505" t="str">
        <f>'900000'!$B35</f>
        <v>09901015</v>
      </c>
      <c r="D215" s="160" t="str">
        <f>'900000'!$F$19</f>
        <v>C09901005</v>
      </c>
      <c r="E215" s="566">
        <f>'900000'!$S35</f>
        <v>0</v>
      </c>
      <c r="F215" s="27" t="s">
        <v>19081</v>
      </c>
    </row>
    <row r="216" spans="1:6">
      <c r="A216" s="27" t="str">
        <f>Resultados!$K$3</f>
        <v/>
      </c>
      <c r="B216" s="27" t="str">
        <f>Resultados!$K$4</f>
        <v/>
      </c>
      <c r="C216" s="505" t="str">
        <f>'900000'!$B36</f>
        <v>09901016</v>
      </c>
      <c r="D216" s="160" t="str">
        <f>'900000'!$F$19</f>
        <v>C09901005</v>
      </c>
      <c r="E216" s="566">
        <f>'900000'!$S36</f>
        <v>0</v>
      </c>
      <c r="F216" s="27" t="s">
        <v>19081</v>
      </c>
    </row>
    <row r="217" spans="1:6">
      <c r="A217" s="27" t="str">
        <f>Resultados!$K$3</f>
        <v/>
      </c>
      <c r="B217" s="27" t="str">
        <f>Resultados!$K$4</f>
        <v/>
      </c>
      <c r="C217" s="505" t="str">
        <f>'900000'!$B37</f>
        <v>09901017</v>
      </c>
      <c r="D217" s="160" t="str">
        <f>'900000'!$F$19</f>
        <v>C09901005</v>
      </c>
      <c r="E217" s="566">
        <f>'900000'!$S37</f>
        <v>0</v>
      </c>
      <c r="F217" s="27" t="s">
        <v>19081</v>
      </c>
    </row>
    <row r="218" spans="1:6">
      <c r="A218" s="27" t="str">
        <f>Resultados!$K$3</f>
        <v/>
      </c>
      <c r="B218" s="27" t="str">
        <f>Resultados!$K$4</f>
        <v/>
      </c>
      <c r="C218" s="505" t="str">
        <f>'900000'!$B38</f>
        <v>09901018</v>
      </c>
      <c r="D218" s="160" t="str">
        <f>'900000'!$F$19</f>
        <v>C09901005</v>
      </c>
      <c r="E218" s="566">
        <f>'900000'!$S38</f>
        <v>0</v>
      </c>
      <c r="F218" s="27" t="s">
        <v>19081</v>
      </c>
    </row>
    <row r="219" spans="1:6">
      <c r="A219" s="27" t="str">
        <f>Resultados!$K$3</f>
        <v/>
      </c>
      <c r="B219" s="27" t="str">
        <f>Resultados!$K$4</f>
        <v/>
      </c>
      <c r="C219" s="505" t="str">
        <f>'900000'!$B39</f>
        <v>09901019</v>
      </c>
      <c r="D219" s="160" t="str">
        <f>'900000'!$F$19</f>
        <v>C09901005</v>
      </c>
      <c r="E219" s="566">
        <f>'900000'!$S39</f>
        <v>0</v>
      </c>
      <c r="F219" s="27" t="s">
        <v>19081</v>
      </c>
    </row>
    <row r="220" spans="1:6">
      <c r="A220" s="27" t="str">
        <f>Resultados!$K$3</f>
        <v/>
      </c>
      <c r="B220" s="27" t="str">
        <f>Resultados!$K$4</f>
        <v/>
      </c>
      <c r="C220" s="505" t="str">
        <f>'900000'!$B40</f>
        <v>09901020</v>
      </c>
      <c r="D220" s="160" t="str">
        <f>'900000'!$F$19</f>
        <v>C09901005</v>
      </c>
      <c r="E220" s="566">
        <f>'900000'!$S40</f>
        <v>0</v>
      </c>
      <c r="F220" s="27" t="s">
        <v>19081</v>
      </c>
    </row>
    <row r="221" spans="1:6">
      <c r="A221" s="27" t="str">
        <f>Resultados!$K$3</f>
        <v/>
      </c>
      <c r="B221" s="27" t="str">
        <f>Resultados!$K$4</f>
        <v/>
      </c>
      <c r="C221" s="505" t="str">
        <f>'900000'!$B41</f>
        <v>09901021</v>
      </c>
      <c r="D221" s="160" t="str">
        <f>'900000'!$F$19</f>
        <v>C09901005</v>
      </c>
      <c r="E221" s="566">
        <f>'900000'!$S41</f>
        <v>0</v>
      </c>
      <c r="F221" s="27" t="s">
        <v>19081</v>
      </c>
    </row>
    <row r="222" spans="1:6">
      <c r="A222" s="27" t="str">
        <f>Resultados!$K$3</f>
        <v/>
      </c>
      <c r="B222" s="27" t="str">
        <f>Resultados!$K$4</f>
        <v/>
      </c>
      <c r="C222" s="505" t="str">
        <f>'900000'!$B42</f>
        <v>09901022</v>
      </c>
      <c r="D222" s="160" t="str">
        <f>'900000'!$F$19</f>
        <v>C09901005</v>
      </c>
      <c r="E222" s="566">
        <f>'900000'!$S42</f>
        <v>0</v>
      </c>
      <c r="F222" s="27" t="s">
        <v>19081</v>
      </c>
    </row>
    <row r="223" spans="1:6">
      <c r="A223" s="27" t="str">
        <f>Resultados!$K$3</f>
        <v/>
      </c>
      <c r="B223" s="27" t="str">
        <f>Resultados!$K$4</f>
        <v/>
      </c>
      <c r="C223" s="505" t="str">
        <f>'900000'!$B43</f>
        <v>09901023</v>
      </c>
      <c r="D223" s="160" t="str">
        <f>'900000'!$F$19</f>
        <v>C09901005</v>
      </c>
      <c r="E223" s="566">
        <f>'900000'!$S43</f>
        <v>0</v>
      </c>
      <c r="F223" s="27" t="s">
        <v>19081</v>
      </c>
    </row>
    <row r="224" spans="1:6">
      <c r="A224" s="27" t="str">
        <f>Resultados!$K$3</f>
        <v/>
      </c>
      <c r="B224" s="27" t="str">
        <f>Resultados!$K$4</f>
        <v/>
      </c>
      <c r="C224" s="505" t="str">
        <f>'900000'!$B44</f>
        <v>09901024</v>
      </c>
      <c r="D224" s="160" t="str">
        <f>'900000'!$F$19</f>
        <v>C09901005</v>
      </c>
      <c r="E224" s="566">
        <f>'900000'!$S44</f>
        <v>0</v>
      </c>
      <c r="F224" s="27" t="s">
        <v>19081</v>
      </c>
    </row>
    <row r="225" spans="1:6">
      <c r="A225" s="27" t="str">
        <f>Resultados!$K$3</f>
        <v/>
      </c>
      <c r="B225" s="27" t="str">
        <f>Resultados!$K$4</f>
        <v/>
      </c>
      <c r="C225" s="505" t="str">
        <f>'900000'!$B45</f>
        <v>09901025</v>
      </c>
      <c r="D225" s="160" t="str">
        <f>'900000'!$F$19</f>
        <v>C09901005</v>
      </c>
      <c r="E225" s="566">
        <f>'900000'!$S45</f>
        <v>0</v>
      </c>
      <c r="F225" s="27" t="s">
        <v>19081</v>
      </c>
    </row>
    <row r="226" spans="1:6">
      <c r="A226" s="27" t="str">
        <f>Resultados!$K$3</f>
        <v/>
      </c>
      <c r="B226" s="27" t="str">
        <f>Resultados!$K$4</f>
        <v/>
      </c>
      <c r="C226" s="505" t="str">
        <f>'900000'!$B46</f>
        <v>09901026</v>
      </c>
      <c r="D226" s="160" t="str">
        <f>'900000'!$F$19</f>
        <v>C09901005</v>
      </c>
      <c r="E226" s="566">
        <f>'900000'!$S46</f>
        <v>0</v>
      </c>
      <c r="F226" s="27" t="s">
        <v>19081</v>
      </c>
    </row>
    <row r="227" spans="1:6">
      <c r="A227" s="27" t="str">
        <f>Resultados!$K$3</f>
        <v/>
      </c>
      <c r="B227" s="27" t="str">
        <f>Resultados!$K$4</f>
        <v/>
      </c>
      <c r="C227" s="505" t="str">
        <f>'900000'!$B47</f>
        <v>09901027</v>
      </c>
      <c r="D227" s="160" t="str">
        <f>'900000'!$F$19</f>
        <v>C09901005</v>
      </c>
      <c r="E227" s="566">
        <f>'900000'!$S47</f>
        <v>0</v>
      </c>
      <c r="F227" s="27" t="s">
        <v>19081</v>
      </c>
    </row>
    <row r="228" spans="1:6">
      <c r="A228" s="27" t="str">
        <f>Resultados!$K$3</f>
        <v/>
      </c>
      <c r="B228" s="27" t="str">
        <f>Resultados!$K$4</f>
        <v/>
      </c>
      <c r="C228" s="505" t="str">
        <f>'900000'!$B48</f>
        <v>09901028</v>
      </c>
      <c r="D228" s="160" t="str">
        <f>'900000'!$F$19</f>
        <v>C09901005</v>
      </c>
      <c r="E228" s="566">
        <f>'900000'!$S48</f>
        <v>0</v>
      </c>
      <c r="F228" s="27" t="s">
        <v>19081</v>
      </c>
    </row>
    <row r="229" spans="1:6">
      <c r="A229" s="27" t="str">
        <f>Resultados!$K$3</f>
        <v/>
      </c>
      <c r="B229" s="27" t="str">
        <f>Resultados!$K$4</f>
        <v/>
      </c>
      <c r="C229" s="505" t="str">
        <f>'900000'!$B49</f>
        <v>09901029</v>
      </c>
      <c r="D229" s="160" t="str">
        <f>'900000'!$F$19</f>
        <v>C09901005</v>
      </c>
      <c r="E229" s="566">
        <f>'900000'!$S49</f>
        <v>0</v>
      </c>
      <c r="F229" s="27" t="s">
        <v>19081</v>
      </c>
    </row>
    <row r="230" spans="1:6">
      <c r="A230" s="27" t="str">
        <f>Resultados!$K$3</f>
        <v/>
      </c>
      <c r="B230" s="27" t="str">
        <f>Resultados!$K$4</f>
        <v/>
      </c>
      <c r="C230" s="505" t="str">
        <f>'900000'!$B50</f>
        <v>09901030</v>
      </c>
      <c r="D230" s="160" t="str">
        <f>'900000'!$F$19</f>
        <v>C09901005</v>
      </c>
      <c r="E230" s="566">
        <f>'900000'!$S50</f>
        <v>0</v>
      </c>
      <c r="F230" s="27" t="s">
        <v>19081</v>
      </c>
    </row>
    <row r="231" spans="1:6">
      <c r="A231" s="27" t="str">
        <f>Resultados!$K$3</f>
        <v/>
      </c>
      <c r="B231" s="27" t="str">
        <f>Resultados!$K$4</f>
        <v/>
      </c>
      <c r="C231" s="505" t="str">
        <f>'900000'!$B51</f>
        <v>09901031</v>
      </c>
      <c r="D231" s="160" t="str">
        <f>'900000'!$F$19</f>
        <v>C09901005</v>
      </c>
      <c r="E231" s="566">
        <f>'900000'!$S51</f>
        <v>0</v>
      </c>
      <c r="F231" s="27" t="s">
        <v>19081</v>
      </c>
    </row>
    <row r="232" spans="1:6">
      <c r="A232" s="27" t="str">
        <f>Resultados!$K$3</f>
        <v/>
      </c>
      <c r="B232" s="27" t="str">
        <f>Resultados!$K$4</f>
        <v/>
      </c>
      <c r="C232" s="505" t="str">
        <f>'900000'!$B52</f>
        <v>09901032</v>
      </c>
      <c r="D232" s="160" t="str">
        <f>'900000'!$F$19</f>
        <v>C09901005</v>
      </c>
      <c r="E232" s="566">
        <f>'900000'!$S52</f>
        <v>0</v>
      </c>
      <c r="F232" s="27" t="s">
        <v>19081</v>
      </c>
    </row>
    <row r="233" spans="1:6">
      <c r="A233" s="27" t="str">
        <f>Resultados!$K$3</f>
        <v/>
      </c>
      <c r="B233" s="27" t="str">
        <f>Resultados!$K$4</f>
        <v/>
      </c>
      <c r="C233" s="505" t="str">
        <f>'900000'!$B53</f>
        <v>09901033</v>
      </c>
      <c r="D233" s="160" t="str">
        <f>'900000'!$F$19</f>
        <v>C09901005</v>
      </c>
      <c r="E233" s="566">
        <f>'900000'!$S53</f>
        <v>0</v>
      </c>
      <c r="F233" s="27" t="s">
        <v>19081</v>
      </c>
    </row>
    <row r="234" spans="1:6">
      <c r="A234" s="27" t="str">
        <f>Resultados!$K$3</f>
        <v/>
      </c>
      <c r="B234" s="27" t="str">
        <f>Resultados!$K$4</f>
        <v/>
      </c>
      <c r="C234" s="505" t="str">
        <f>'900000'!$B54</f>
        <v>09901034</v>
      </c>
      <c r="D234" s="160" t="str">
        <f>'900000'!$F$19</f>
        <v>C09901005</v>
      </c>
      <c r="E234" s="566">
        <f>'900000'!$S54</f>
        <v>0</v>
      </c>
      <c r="F234" s="27" t="s">
        <v>19081</v>
      </c>
    </row>
    <row r="235" spans="1:6">
      <c r="A235" s="27" t="str">
        <f>Resultados!$K$3</f>
        <v/>
      </c>
      <c r="B235" s="27" t="str">
        <f>Resultados!$K$4</f>
        <v/>
      </c>
      <c r="C235" s="505" t="str">
        <f>'900000'!$B55</f>
        <v>09901035</v>
      </c>
      <c r="D235" s="160" t="str">
        <f>'900000'!$F$19</f>
        <v>C09901005</v>
      </c>
      <c r="E235" s="566">
        <f>'900000'!$S55</f>
        <v>0</v>
      </c>
      <c r="F235" s="27" t="s">
        <v>19081</v>
      </c>
    </row>
    <row r="236" spans="1:6">
      <c r="A236" s="27" t="str">
        <f>Resultados!$K$3</f>
        <v/>
      </c>
      <c r="B236" s="27" t="str">
        <f>Resultados!$K$4</f>
        <v/>
      </c>
      <c r="C236" s="505" t="str">
        <f>'900000'!$B56</f>
        <v>09901036</v>
      </c>
      <c r="D236" s="160" t="str">
        <f>'900000'!$F$19</f>
        <v>C09901005</v>
      </c>
      <c r="E236" s="566">
        <f>'900000'!$S56</f>
        <v>0</v>
      </c>
      <c r="F236" s="27" t="s">
        <v>19081</v>
      </c>
    </row>
    <row r="237" spans="1:6">
      <c r="A237" s="27" t="str">
        <f>Resultados!$K$3</f>
        <v/>
      </c>
      <c r="B237" s="27" t="str">
        <f>Resultados!$K$4</f>
        <v/>
      </c>
      <c r="C237" s="505" t="str">
        <f>'900000'!$B57</f>
        <v>09901037</v>
      </c>
      <c r="D237" s="160" t="str">
        <f>'900000'!$F$19</f>
        <v>C09901005</v>
      </c>
      <c r="E237" s="566">
        <f>'900000'!$S57</f>
        <v>0</v>
      </c>
      <c r="F237" s="27" t="s">
        <v>19081</v>
      </c>
    </row>
    <row r="238" spans="1:6">
      <c r="A238" s="27" t="str">
        <f>Resultados!$K$3</f>
        <v/>
      </c>
      <c r="B238" s="27" t="str">
        <f>Resultados!$K$4</f>
        <v/>
      </c>
      <c r="C238" s="505" t="str">
        <f>'900000'!$B58</f>
        <v>09901038</v>
      </c>
      <c r="D238" s="160" t="str">
        <f>'900000'!$F$19</f>
        <v>C09901005</v>
      </c>
      <c r="E238" s="566">
        <f>'900000'!$S58</f>
        <v>0</v>
      </c>
      <c r="F238" s="27" t="s">
        <v>19081</v>
      </c>
    </row>
    <row r="239" spans="1:6">
      <c r="A239" s="27" t="str">
        <f>Resultados!$K$3</f>
        <v/>
      </c>
      <c r="B239" s="27" t="str">
        <f>Resultados!$K$4</f>
        <v/>
      </c>
      <c r="C239" s="505" t="str">
        <f>'900000'!$B59</f>
        <v>09901039</v>
      </c>
      <c r="D239" s="160" t="str">
        <f>'900000'!$F$19</f>
        <v>C09901005</v>
      </c>
      <c r="E239" s="566">
        <f>'900000'!$S59</f>
        <v>0</v>
      </c>
      <c r="F239" s="27" t="s">
        <v>19081</v>
      </c>
    </row>
    <row r="240" spans="1:6">
      <c r="A240" s="27" t="str">
        <f>Resultados!$K$3</f>
        <v/>
      </c>
      <c r="B240" s="27" t="str">
        <f>Resultados!$K$4</f>
        <v/>
      </c>
      <c r="C240" s="505" t="str">
        <f>'900000'!$B60</f>
        <v>09901040</v>
      </c>
      <c r="D240" s="160" t="str">
        <f>'900000'!$F$19</f>
        <v>C09901005</v>
      </c>
      <c r="E240" s="566">
        <f>'900000'!$S60</f>
        <v>0</v>
      </c>
      <c r="F240" s="27" t="s">
        <v>19081</v>
      </c>
    </row>
    <row r="241" spans="1:6">
      <c r="A241" s="27" t="str">
        <f>Resultados!$K$3</f>
        <v/>
      </c>
      <c r="B241" s="27" t="str">
        <f>Resultados!$K$4</f>
        <v/>
      </c>
      <c r="C241" s="505" t="str">
        <f>'900000'!$B61</f>
        <v>09901041</v>
      </c>
      <c r="D241" s="160" t="str">
        <f>'900000'!$F$19</f>
        <v>C09901005</v>
      </c>
      <c r="E241" s="566">
        <f>'900000'!$S61</f>
        <v>0</v>
      </c>
      <c r="F241" s="27" t="s">
        <v>19081</v>
      </c>
    </row>
    <row r="242" spans="1:6">
      <c r="A242" s="27" t="str">
        <f>Resultados!$K$3</f>
        <v/>
      </c>
      <c r="B242" s="27" t="str">
        <f>Resultados!$K$4</f>
        <v/>
      </c>
      <c r="C242" s="505" t="str">
        <f>'900000'!$B62</f>
        <v>09901042</v>
      </c>
      <c r="D242" s="160" t="str">
        <f>'900000'!$F$19</f>
        <v>C09901005</v>
      </c>
      <c r="E242" s="566">
        <f>'900000'!$S62</f>
        <v>0</v>
      </c>
      <c r="F242" s="27" t="s">
        <v>19081</v>
      </c>
    </row>
    <row r="243" spans="1:6">
      <c r="A243" s="27" t="str">
        <f>Resultados!$K$3</f>
        <v/>
      </c>
      <c r="B243" s="27" t="str">
        <f>Resultados!$K$4</f>
        <v/>
      </c>
      <c r="C243" s="505" t="str">
        <f>'900000'!$B63</f>
        <v>09901043</v>
      </c>
      <c r="D243" s="160" t="str">
        <f>'900000'!$F$19</f>
        <v>C09901005</v>
      </c>
      <c r="E243" s="566">
        <f>'900000'!$S63</f>
        <v>0</v>
      </c>
      <c r="F243" s="27" t="s">
        <v>19081</v>
      </c>
    </row>
    <row r="244" spans="1:6">
      <c r="A244" s="27" t="str">
        <f>Resultados!$K$3</f>
        <v/>
      </c>
      <c r="B244" s="27" t="str">
        <f>Resultados!$K$4</f>
        <v/>
      </c>
      <c r="C244" s="505" t="str">
        <f>'900000'!$B64</f>
        <v>09901044</v>
      </c>
      <c r="D244" s="160" t="str">
        <f>'900000'!$F$19</f>
        <v>C09901005</v>
      </c>
      <c r="E244" s="566">
        <f>'900000'!$S64</f>
        <v>0</v>
      </c>
      <c r="F244" s="27" t="s">
        <v>19081</v>
      </c>
    </row>
    <row r="245" spans="1:6">
      <c r="A245" s="27" t="str">
        <f>Resultados!$K$3</f>
        <v/>
      </c>
      <c r="B245" s="27" t="str">
        <f>Resultados!$K$4</f>
        <v/>
      </c>
      <c r="C245" s="505" t="str">
        <f>'900000'!$B65</f>
        <v>09901045</v>
      </c>
      <c r="D245" s="160" t="str">
        <f>'900000'!$F$19</f>
        <v>C09901005</v>
      </c>
      <c r="E245" s="566">
        <f>'900000'!$S65</f>
        <v>0</v>
      </c>
      <c r="F245" s="27" t="s">
        <v>19081</v>
      </c>
    </row>
    <row r="246" spans="1:6">
      <c r="A246" s="27" t="str">
        <f>Resultados!$K$3</f>
        <v/>
      </c>
      <c r="B246" s="27" t="str">
        <f>Resultados!$K$4</f>
        <v/>
      </c>
      <c r="C246" s="505" t="str">
        <f>'900000'!$B66</f>
        <v>09901046</v>
      </c>
      <c r="D246" s="160" t="str">
        <f>'900000'!$F$19</f>
        <v>C09901005</v>
      </c>
      <c r="E246" s="566">
        <f>'900000'!$S66</f>
        <v>0</v>
      </c>
      <c r="F246" s="27" t="s">
        <v>19081</v>
      </c>
    </row>
    <row r="247" spans="1:6">
      <c r="A247" s="27" t="str">
        <f>Resultados!$K$3</f>
        <v/>
      </c>
      <c r="B247" s="27" t="str">
        <f>Resultados!$K$4</f>
        <v/>
      </c>
      <c r="C247" s="505" t="str">
        <f>'900000'!$B67</f>
        <v>09901047</v>
      </c>
      <c r="D247" s="160" t="str">
        <f>'900000'!$F$19</f>
        <v>C09901005</v>
      </c>
      <c r="E247" s="566">
        <f>'900000'!$S67</f>
        <v>0</v>
      </c>
      <c r="F247" s="27" t="s">
        <v>19081</v>
      </c>
    </row>
    <row r="248" spans="1:6">
      <c r="A248" s="27" t="str">
        <f>Resultados!$K$3</f>
        <v/>
      </c>
      <c r="B248" s="27" t="str">
        <f>Resultados!$K$4</f>
        <v/>
      </c>
      <c r="C248" s="505" t="str">
        <f>'900000'!$B68</f>
        <v>09901048</v>
      </c>
      <c r="D248" s="160" t="str">
        <f>'900000'!$F$19</f>
        <v>C09901005</v>
      </c>
      <c r="E248" s="566">
        <f>'900000'!$S68</f>
        <v>0</v>
      </c>
      <c r="F248" s="27" t="s">
        <v>19081</v>
      </c>
    </row>
    <row r="249" spans="1:6">
      <c r="A249" s="27" t="str">
        <f>Resultados!$K$3</f>
        <v/>
      </c>
      <c r="B249" s="27" t="str">
        <f>Resultados!$K$4</f>
        <v/>
      </c>
      <c r="C249" s="505" t="str">
        <f>'900000'!$B69</f>
        <v>09901049</v>
      </c>
      <c r="D249" s="160" t="str">
        <f>'900000'!$F$19</f>
        <v>C09901005</v>
      </c>
      <c r="E249" s="566">
        <f>'900000'!$S69</f>
        <v>0</v>
      </c>
      <c r="F249" s="27" t="s">
        <v>19081</v>
      </c>
    </row>
    <row r="250" spans="1:6">
      <c r="A250" s="27" t="str">
        <f>Resultados!$K$3</f>
        <v/>
      </c>
      <c r="B250" s="27" t="str">
        <f>Resultados!$K$4</f>
        <v/>
      </c>
      <c r="C250" s="505" t="str">
        <f>'900000'!$B70</f>
        <v>09901050</v>
      </c>
      <c r="D250" s="160" t="str">
        <f>'900000'!$F$19</f>
        <v>C09901005</v>
      </c>
      <c r="E250" s="566">
        <f>'900000'!$S70</f>
        <v>0</v>
      </c>
      <c r="F250" s="27" t="s">
        <v>19081</v>
      </c>
    </row>
    <row r="251" spans="1:6">
      <c r="A251" s="27" t="str">
        <f>Resultados!$K$3</f>
        <v/>
      </c>
      <c r="B251" s="27" t="str">
        <f>Resultados!$K$4</f>
        <v/>
      </c>
      <c r="C251" s="505" t="str">
        <f>'900000'!$B71</f>
        <v>09901051</v>
      </c>
      <c r="D251" s="160" t="str">
        <f>'900000'!$F$19</f>
        <v>C09901005</v>
      </c>
      <c r="E251" s="566">
        <f>'900000'!$S71</f>
        <v>0</v>
      </c>
      <c r="F251" s="27" t="s">
        <v>19081</v>
      </c>
    </row>
    <row r="252" spans="1:6">
      <c r="A252" s="27" t="str">
        <f>Resultados!$K$3</f>
        <v/>
      </c>
      <c r="B252" s="27" t="str">
        <f>Resultados!$K$4</f>
        <v/>
      </c>
      <c r="C252" s="505" t="str">
        <f>'900000'!$B72</f>
        <v>09901052</v>
      </c>
      <c r="D252" s="160" t="str">
        <f>'900000'!$F$19</f>
        <v>C09901005</v>
      </c>
      <c r="E252" s="566">
        <f>'900000'!$S72</f>
        <v>0</v>
      </c>
      <c r="F252" s="27" t="s">
        <v>19081</v>
      </c>
    </row>
    <row r="253" spans="1:6">
      <c r="A253" s="27" t="str">
        <f>Resultados!$K$3</f>
        <v/>
      </c>
      <c r="B253" s="27" t="str">
        <f>Resultados!$K$4</f>
        <v/>
      </c>
      <c r="C253" s="505" t="str">
        <f>'900000'!$B73</f>
        <v>09901053</v>
      </c>
      <c r="D253" s="160" t="str">
        <f>'900000'!$F$19</f>
        <v>C09901005</v>
      </c>
      <c r="E253" s="566">
        <f>'900000'!$S73</f>
        <v>0</v>
      </c>
      <c r="F253" s="27" t="s">
        <v>19081</v>
      </c>
    </row>
    <row r="254" spans="1:6">
      <c r="A254" s="27" t="str">
        <f>Resultados!$K$3</f>
        <v/>
      </c>
      <c r="B254" s="27" t="str">
        <f>Resultados!$K$4</f>
        <v/>
      </c>
      <c r="C254" s="505" t="str">
        <f>'900000'!$B74</f>
        <v>09901054</v>
      </c>
      <c r="D254" s="160" t="str">
        <f>'900000'!$F$19</f>
        <v>C09901005</v>
      </c>
      <c r="E254" s="566">
        <f>'900000'!$S74</f>
        <v>0</v>
      </c>
      <c r="F254" s="27" t="s">
        <v>19081</v>
      </c>
    </row>
    <row r="255" spans="1:6">
      <c r="A255" s="27" t="str">
        <f>Resultados!$K$3</f>
        <v/>
      </c>
      <c r="B255" s="27" t="str">
        <f>Resultados!$K$4</f>
        <v/>
      </c>
      <c r="C255" s="505" t="str">
        <f>'900000'!$B75</f>
        <v>09901055</v>
      </c>
      <c r="D255" s="160" t="str">
        <f>'900000'!$F$19</f>
        <v>C09901005</v>
      </c>
      <c r="E255" s="566">
        <f>'900000'!$S75</f>
        <v>0</v>
      </c>
      <c r="F255" s="27" t="s">
        <v>19081</v>
      </c>
    </row>
    <row r="256" spans="1:6">
      <c r="A256" s="27" t="str">
        <f>Resultados!$K$3</f>
        <v/>
      </c>
      <c r="B256" s="27" t="str">
        <f>Resultados!$K$4</f>
        <v/>
      </c>
      <c r="C256" s="505" t="str">
        <f>'900000'!$B76</f>
        <v>09901056</v>
      </c>
      <c r="D256" s="160" t="str">
        <f>'900000'!$F$19</f>
        <v>C09901005</v>
      </c>
      <c r="E256" s="566">
        <f>'900000'!$S76</f>
        <v>0</v>
      </c>
      <c r="F256" s="27" t="s">
        <v>19081</v>
      </c>
    </row>
    <row r="257" spans="1:6">
      <c r="A257" s="27" t="str">
        <f>Resultados!$K$3</f>
        <v/>
      </c>
      <c r="B257" s="27" t="str">
        <f>Resultados!$K$4</f>
        <v/>
      </c>
      <c r="C257" s="505" t="str">
        <f>'900000'!$B77</f>
        <v>09901057</v>
      </c>
      <c r="D257" s="160" t="str">
        <f>'900000'!$F$19</f>
        <v>C09901005</v>
      </c>
      <c r="E257" s="566">
        <f>'900000'!$S77</f>
        <v>0</v>
      </c>
      <c r="F257" s="27" t="s">
        <v>19081</v>
      </c>
    </row>
    <row r="258" spans="1:6">
      <c r="A258" s="27" t="str">
        <f>Resultados!$K$3</f>
        <v/>
      </c>
      <c r="B258" s="27" t="str">
        <f>Resultados!$K$4</f>
        <v/>
      </c>
      <c r="C258" s="505" t="str">
        <f>'900000'!$B78</f>
        <v>09901058</v>
      </c>
      <c r="D258" s="160" t="str">
        <f>'900000'!$F$19</f>
        <v>C09901005</v>
      </c>
      <c r="E258" s="566">
        <f>'900000'!$S78</f>
        <v>0</v>
      </c>
      <c r="F258" s="27" t="s">
        <v>19081</v>
      </c>
    </row>
    <row r="259" spans="1:6">
      <c r="A259" s="27" t="str">
        <f>Resultados!$K$3</f>
        <v/>
      </c>
      <c r="B259" s="27" t="str">
        <f>Resultados!$K$4</f>
        <v/>
      </c>
      <c r="C259" s="505" t="str">
        <f>'900000'!$B79</f>
        <v>09901059</v>
      </c>
      <c r="D259" s="160" t="str">
        <f>'900000'!$F$19</f>
        <v>C09901005</v>
      </c>
      <c r="E259" s="566">
        <f>'900000'!$S79</f>
        <v>0</v>
      </c>
      <c r="F259" s="27" t="s">
        <v>19081</v>
      </c>
    </row>
    <row r="260" spans="1:6">
      <c r="A260" s="27" t="str">
        <f>Resultados!$K$3</f>
        <v/>
      </c>
      <c r="B260" s="27" t="str">
        <f>Resultados!$K$4</f>
        <v/>
      </c>
      <c r="C260" s="505" t="str">
        <f>'900000'!$B80</f>
        <v>09901060</v>
      </c>
      <c r="D260" s="160" t="str">
        <f>'900000'!$F$19</f>
        <v>C09901005</v>
      </c>
      <c r="E260" s="566">
        <f>'900000'!$S80</f>
        <v>0</v>
      </c>
      <c r="F260" s="27" t="s">
        <v>19081</v>
      </c>
    </row>
    <row r="261" spans="1:6">
      <c r="A261" s="27" t="str">
        <f>Resultados!$K$3</f>
        <v/>
      </c>
      <c r="B261" s="27" t="str">
        <f>Resultados!$K$4</f>
        <v/>
      </c>
      <c r="C261" s="505" t="str">
        <f>'900000'!$B81</f>
        <v>09901061</v>
      </c>
      <c r="D261" s="160" t="str">
        <f>'900000'!$F$19</f>
        <v>C09901005</v>
      </c>
      <c r="E261" s="566">
        <f>'900000'!$S81</f>
        <v>0</v>
      </c>
      <c r="F261" s="27" t="s">
        <v>19081</v>
      </c>
    </row>
    <row r="262" spans="1:6">
      <c r="A262" s="27" t="str">
        <f>Resultados!$K$3</f>
        <v/>
      </c>
      <c r="B262" s="27" t="str">
        <f>Resultados!$K$4</f>
        <v/>
      </c>
      <c r="C262" s="505" t="str">
        <f>'900000'!$B82</f>
        <v>09901062</v>
      </c>
      <c r="D262" s="160" t="str">
        <f>'900000'!$F$19</f>
        <v>C09901005</v>
      </c>
      <c r="E262" s="566">
        <f>'900000'!$S82</f>
        <v>0</v>
      </c>
      <c r="F262" s="27" t="s">
        <v>19081</v>
      </c>
    </row>
    <row r="263" spans="1:6">
      <c r="A263" s="27" t="str">
        <f>Resultados!$K$3</f>
        <v/>
      </c>
      <c r="B263" s="27" t="str">
        <f>Resultados!$K$4</f>
        <v/>
      </c>
      <c r="C263" s="505" t="str">
        <f>'900000'!$B83</f>
        <v>09901063</v>
      </c>
      <c r="D263" s="160" t="str">
        <f>'900000'!$F$19</f>
        <v>C09901005</v>
      </c>
      <c r="E263" s="566">
        <f>'900000'!$S83</f>
        <v>0</v>
      </c>
      <c r="F263" s="27" t="s">
        <v>19081</v>
      </c>
    </row>
    <row r="264" spans="1:6">
      <c r="A264" s="27" t="str">
        <f>Resultados!$K$3</f>
        <v/>
      </c>
      <c r="B264" s="27" t="str">
        <f>Resultados!$K$4</f>
        <v/>
      </c>
      <c r="C264" s="505" t="str">
        <f>'900000'!$B84</f>
        <v>09901064</v>
      </c>
      <c r="D264" s="160" t="str">
        <f>'900000'!$F$19</f>
        <v>C09901005</v>
      </c>
      <c r="E264" s="566">
        <f>'900000'!$S84</f>
        <v>0</v>
      </c>
      <c r="F264" s="27" t="s">
        <v>19081</v>
      </c>
    </row>
    <row r="265" spans="1:6">
      <c r="A265" s="27" t="str">
        <f>Resultados!$K$3</f>
        <v/>
      </c>
      <c r="B265" s="27" t="str">
        <f>Resultados!$K$4</f>
        <v/>
      </c>
      <c r="C265" s="505" t="str">
        <f>'900000'!$B85</f>
        <v>09901065</v>
      </c>
      <c r="D265" s="160" t="str">
        <f>'900000'!$F$19</f>
        <v>C09901005</v>
      </c>
      <c r="E265" s="566">
        <f>'900000'!$S85</f>
        <v>0</v>
      </c>
      <c r="F265" s="27" t="s">
        <v>19081</v>
      </c>
    </row>
    <row r="266" spans="1:6">
      <c r="A266" s="27" t="str">
        <f>Resultados!$K$3</f>
        <v/>
      </c>
      <c r="B266" s="27" t="str">
        <f>Resultados!$K$4</f>
        <v/>
      </c>
      <c r="C266" s="505" t="str">
        <f>'900000'!$B86</f>
        <v>09901066</v>
      </c>
      <c r="D266" s="160" t="str">
        <f>'900000'!$F$19</f>
        <v>C09901005</v>
      </c>
      <c r="E266" s="566">
        <f>'900000'!$S86</f>
        <v>0</v>
      </c>
      <c r="F266" s="27" t="s">
        <v>19081</v>
      </c>
    </row>
    <row r="267" spans="1:6">
      <c r="A267" s="27" t="str">
        <f>Resultados!$K$3</f>
        <v/>
      </c>
      <c r="B267" s="27" t="str">
        <f>Resultados!$K$4</f>
        <v/>
      </c>
      <c r="C267" s="505" t="str">
        <f>'900000'!$B87</f>
        <v>09901067</v>
      </c>
      <c r="D267" s="160" t="str">
        <f>'900000'!$F$19</f>
        <v>C09901005</v>
      </c>
      <c r="E267" s="566">
        <f>'900000'!$S87</f>
        <v>0</v>
      </c>
      <c r="F267" s="27" t="s">
        <v>19081</v>
      </c>
    </row>
    <row r="268" spans="1:6">
      <c r="A268" s="27" t="str">
        <f>Resultados!$K$3</f>
        <v/>
      </c>
      <c r="B268" s="27" t="str">
        <f>Resultados!$K$4</f>
        <v/>
      </c>
      <c r="C268" s="505" t="str">
        <f>'900000'!$B88</f>
        <v>09901068</v>
      </c>
      <c r="D268" s="160" t="str">
        <f>'900000'!$F$19</f>
        <v>C09901005</v>
      </c>
      <c r="E268" s="566">
        <f>'900000'!$S88</f>
        <v>0</v>
      </c>
      <c r="F268" s="27" t="s">
        <v>19081</v>
      </c>
    </row>
    <row r="269" spans="1:6">
      <c r="A269" s="27" t="str">
        <f>Resultados!$K$3</f>
        <v/>
      </c>
      <c r="B269" s="27" t="str">
        <f>Resultados!$K$4</f>
        <v/>
      </c>
      <c r="C269" s="505" t="str">
        <f>'900000'!$B89</f>
        <v>09901069</v>
      </c>
      <c r="D269" s="160" t="str">
        <f>'900000'!$F$19</f>
        <v>C09901005</v>
      </c>
      <c r="E269" s="566">
        <f>'900000'!$S89</f>
        <v>0</v>
      </c>
      <c r="F269" s="27" t="s">
        <v>19081</v>
      </c>
    </row>
    <row r="270" spans="1:6">
      <c r="A270" s="27" t="str">
        <f>Resultados!$K$3</f>
        <v/>
      </c>
      <c r="B270" s="27" t="str">
        <f>Resultados!$K$4</f>
        <v/>
      </c>
      <c r="C270" s="505" t="str">
        <f>'900000'!$B90</f>
        <v>09901070</v>
      </c>
      <c r="D270" s="160" t="str">
        <f>'900000'!$F$19</f>
        <v>C09901005</v>
      </c>
      <c r="E270" s="566">
        <f>'900000'!$S90</f>
        <v>0</v>
      </c>
      <c r="F270" s="27" t="s">
        <v>19081</v>
      </c>
    </row>
    <row r="271" spans="1:6">
      <c r="A271" s="27" t="str">
        <f>Resultados!$K$3</f>
        <v/>
      </c>
      <c r="B271" s="27" t="str">
        <f>Resultados!$K$4</f>
        <v/>
      </c>
      <c r="C271" s="505" t="str">
        <f>'900000'!$B91</f>
        <v>09901071</v>
      </c>
      <c r="D271" s="160" t="str">
        <f>'900000'!$F$19</f>
        <v>C09901005</v>
      </c>
      <c r="E271" s="566">
        <f>'900000'!$S91</f>
        <v>0</v>
      </c>
      <c r="F271" s="27" t="s">
        <v>19081</v>
      </c>
    </row>
    <row r="272" spans="1:6">
      <c r="A272" s="27" t="str">
        <f>Resultados!$K$3</f>
        <v/>
      </c>
      <c r="B272" s="27" t="str">
        <f>Resultados!$K$4</f>
        <v/>
      </c>
      <c r="C272" s="505" t="str">
        <f>'900000'!$B92</f>
        <v>09901072</v>
      </c>
      <c r="D272" s="160" t="str">
        <f>'900000'!$F$19</f>
        <v>C09901005</v>
      </c>
      <c r="E272" s="566">
        <f>'900000'!$S92</f>
        <v>0</v>
      </c>
      <c r="F272" s="27" t="s">
        <v>19081</v>
      </c>
    </row>
    <row r="273" spans="1:6">
      <c r="A273" s="27" t="str">
        <f>Resultados!$K$3</f>
        <v/>
      </c>
      <c r="B273" s="27" t="str">
        <f>Resultados!$K$4</f>
        <v/>
      </c>
      <c r="C273" s="505" t="str">
        <f>'900000'!$B93</f>
        <v>09901073</v>
      </c>
      <c r="D273" s="160" t="str">
        <f>'900000'!$F$19</f>
        <v>C09901005</v>
      </c>
      <c r="E273" s="566">
        <f>'900000'!$S93</f>
        <v>0</v>
      </c>
      <c r="F273" s="27" t="s">
        <v>19081</v>
      </c>
    </row>
    <row r="274" spans="1:6">
      <c r="A274" s="27" t="str">
        <f>Resultados!$K$3</f>
        <v/>
      </c>
      <c r="B274" s="27" t="str">
        <f>Resultados!$K$4</f>
        <v/>
      </c>
      <c r="C274" s="505" t="str">
        <f>'900000'!$B94</f>
        <v>09901074</v>
      </c>
      <c r="D274" s="160" t="str">
        <f>'900000'!$F$19</f>
        <v>C09901005</v>
      </c>
      <c r="E274" s="566">
        <f>'900000'!$S94</f>
        <v>0</v>
      </c>
      <c r="F274" s="27" t="s">
        <v>19081</v>
      </c>
    </row>
    <row r="275" spans="1:6">
      <c r="A275" s="27" t="str">
        <f>Resultados!$K$3</f>
        <v/>
      </c>
      <c r="B275" s="27" t="str">
        <f>Resultados!$K$4</f>
        <v/>
      </c>
      <c r="C275" s="505" t="str">
        <f>'900000'!$B95</f>
        <v>09901075</v>
      </c>
      <c r="D275" s="160" t="str">
        <f>'900000'!$F$19</f>
        <v>C09901005</v>
      </c>
      <c r="E275" s="566">
        <f>'900000'!$S95</f>
        <v>0</v>
      </c>
      <c r="F275" s="27" t="s">
        <v>19081</v>
      </c>
    </row>
    <row r="276" spans="1:6">
      <c r="A276" s="27" t="str">
        <f>Resultados!$K$3</f>
        <v/>
      </c>
      <c r="B276" s="27" t="str">
        <f>Resultados!$K$4</f>
        <v/>
      </c>
      <c r="C276" s="505" t="str">
        <f>'900000'!$B96</f>
        <v>09901076</v>
      </c>
      <c r="D276" s="160" t="str">
        <f>'900000'!$F$19</f>
        <v>C09901005</v>
      </c>
      <c r="E276" s="566">
        <f>'900000'!$S96</f>
        <v>0</v>
      </c>
      <c r="F276" s="27" t="s">
        <v>19081</v>
      </c>
    </row>
    <row r="277" spans="1:6">
      <c r="A277" s="27" t="str">
        <f>Resultados!$K$3</f>
        <v/>
      </c>
      <c r="B277" s="27" t="str">
        <f>Resultados!$K$4</f>
        <v/>
      </c>
      <c r="C277" s="505" t="str">
        <f>'900000'!$B97</f>
        <v>09901077</v>
      </c>
      <c r="D277" s="160" t="str">
        <f>'900000'!$F$19</f>
        <v>C09901005</v>
      </c>
      <c r="E277" s="566">
        <f>'900000'!$S97</f>
        <v>0</v>
      </c>
      <c r="F277" s="27" t="s">
        <v>19081</v>
      </c>
    </row>
    <row r="278" spans="1:6">
      <c r="A278" s="27" t="str">
        <f>Resultados!$K$3</f>
        <v/>
      </c>
      <c r="B278" s="27" t="str">
        <f>Resultados!$K$4</f>
        <v/>
      </c>
      <c r="C278" s="505" t="str">
        <f>'900000'!$B98</f>
        <v>09901078</v>
      </c>
      <c r="D278" s="160" t="str">
        <f>'900000'!$F$19</f>
        <v>C09901005</v>
      </c>
      <c r="E278" s="566">
        <f>'900000'!$S98</f>
        <v>0</v>
      </c>
      <c r="F278" s="27" t="s">
        <v>19081</v>
      </c>
    </row>
    <row r="279" spans="1:6">
      <c r="A279" s="27" t="str">
        <f>Resultados!$K$3</f>
        <v/>
      </c>
      <c r="B279" s="27" t="str">
        <f>Resultados!$K$4</f>
        <v/>
      </c>
      <c r="C279" s="505" t="str">
        <f>'900000'!$B99</f>
        <v>09901079</v>
      </c>
      <c r="D279" s="160" t="str">
        <f>'900000'!$F$19</f>
        <v>C09901005</v>
      </c>
      <c r="E279" s="566">
        <f>'900000'!$S99</f>
        <v>0</v>
      </c>
      <c r="F279" s="27" t="s">
        <v>19081</v>
      </c>
    </row>
    <row r="280" spans="1:6">
      <c r="A280" s="27" t="str">
        <f>Resultados!$K$3</f>
        <v/>
      </c>
      <c r="B280" s="27" t="str">
        <f>Resultados!$K$4</f>
        <v/>
      </c>
      <c r="C280" s="505" t="str">
        <f>'900000'!$B100</f>
        <v>09901080</v>
      </c>
      <c r="D280" s="160" t="str">
        <f>'900000'!$F$19</f>
        <v>C09901005</v>
      </c>
      <c r="E280" s="566">
        <f>'900000'!$S100</f>
        <v>0</v>
      </c>
      <c r="F280" s="27" t="s">
        <v>19081</v>
      </c>
    </row>
    <row r="281" spans="1:6">
      <c r="A281" s="27" t="str">
        <f>Resultados!$K$3</f>
        <v/>
      </c>
      <c r="B281" s="27" t="str">
        <f>Resultados!$K$4</f>
        <v/>
      </c>
      <c r="C281" s="505" t="str">
        <f>'900000'!$B101</f>
        <v>09901081</v>
      </c>
      <c r="D281" s="160" t="str">
        <f>'900000'!$F$19</f>
        <v>C09901005</v>
      </c>
      <c r="E281" s="566">
        <f>'900000'!$S101</f>
        <v>0</v>
      </c>
      <c r="F281" s="27" t="s">
        <v>19081</v>
      </c>
    </row>
    <row r="282" spans="1:6">
      <c r="A282" s="27" t="str">
        <f>Resultados!$K$3</f>
        <v/>
      </c>
      <c r="B282" s="27" t="str">
        <f>Resultados!$K$4</f>
        <v/>
      </c>
      <c r="C282" s="505" t="str">
        <f>'900000'!$B102</f>
        <v>09901082</v>
      </c>
      <c r="D282" s="160" t="str">
        <f>'900000'!$F$19</f>
        <v>C09901005</v>
      </c>
      <c r="E282" s="566">
        <f>'900000'!$S102</f>
        <v>0</v>
      </c>
      <c r="F282" s="27" t="s">
        <v>19081</v>
      </c>
    </row>
    <row r="283" spans="1:6">
      <c r="A283" s="27" t="str">
        <f>Resultados!$K$3</f>
        <v/>
      </c>
      <c r="B283" s="27" t="str">
        <f>Resultados!$K$4</f>
        <v/>
      </c>
      <c r="C283" s="505" t="str">
        <f>'900000'!$B103</f>
        <v>09901083</v>
      </c>
      <c r="D283" s="160" t="str">
        <f>'900000'!$F$19</f>
        <v>C09901005</v>
      </c>
      <c r="E283" s="566">
        <f>'900000'!$S103</f>
        <v>0</v>
      </c>
      <c r="F283" s="27" t="s">
        <v>19081</v>
      </c>
    </row>
    <row r="284" spans="1:6">
      <c r="A284" s="27" t="str">
        <f>Resultados!$K$3</f>
        <v/>
      </c>
      <c r="B284" s="27" t="str">
        <f>Resultados!$K$4</f>
        <v/>
      </c>
      <c r="C284" s="505" t="str">
        <f>'900000'!$B104</f>
        <v>09901084</v>
      </c>
      <c r="D284" s="160" t="str">
        <f>'900000'!$F$19</f>
        <v>C09901005</v>
      </c>
      <c r="E284" s="566">
        <f>'900000'!$S104</f>
        <v>0</v>
      </c>
      <c r="F284" s="27" t="s">
        <v>19081</v>
      </c>
    </row>
    <row r="285" spans="1:6">
      <c r="A285" s="27" t="str">
        <f>Resultados!$K$3</f>
        <v/>
      </c>
      <c r="B285" s="27" t="str">
        <f>Resultados!$K$4</f>
        <v/>
      </c>
      <c r="C285" s="505" t="str">
        <f>'900000'!$B105</f>
        <v>09901085</v>
      </c>
      <c r="D285" s="160" t="str">
        <f>'900000'!$F$19</f>
        <v>C09901005</v>
      </c>
      <c r="E285" s="566">
        <f>'900000'!$S105</f>
        <v>0</v>
      </c>
      <c r="F285" s="27" t="s">
        <v>19081</v>
      </c>
    </row>
    <row r="286" spans="1:6">
      <c r="A286" s="27" t="str">
        <f>Resultados!$K$3</f>
        <v/>
      </c>
      <c r="B286" s="27" t="str">
        <f>Resultados!$K$4</f>
        <v/>
      </c>
      <c r="C286" s="505" t="str">
        <f>'900000'!$B106</f>
        <v>09901086</v>
      </c>
      <c r="D286" s="160" t="str">
        <f>'900000'!$F$19</f>
        <v>C09901005</v>
      </c>
      <c r="E286" s="566">
        <f>'900000'!$S106</f>
        <v>0</v>
      </c>
      <c r="F286" s="27" t="s">
        <v>19081</v>
      </c>
    </row>
    <row r="287" spans="1:6">
      <c r="A287" s="27" t="str">
        <f>Resultados!$K$3</f>
        <v/>
      </c>
      <c r="B287" s="27" t="str">
        <f>Resultados!$K$4</f>
        <v/>
      </c>
      <c r="C287" s="505" t="str">
        <f>'900000'!$B107</f>
        <v>09901087</v>
      </c>
      <c r="D287" s="160" t="str">
        <f>'900000'!$F$19</f>
        <v>C09901005</v>
      </c>
      <c r="E287" s="566">
        <f>'900000'!$S107</f>
        <v>0</v>
      </c>
      <c r="F287" s="27" t="s">
        <v>19081</v>
      </c>
    </row>
    <row r="288" spans="1:6">
      <c r="A288" s="27" t="str">
        <f>Resultados!$K$3</f>
        <v/>
      </c>
      <c r="B288" s="27" t="str">
        <f>Resultados!$K$4</f>
        <v/>
      </c>
      <c r="C288" s="505" t="str">
        <f>'900000'!$B108</f>
        <v>09901088</v>
      </c>
      <c r="D288" s="160" t="str">
        <f>'900000'!$F$19</f>
        <v>C09901005</v>
      </c>
      <c r="E288" s="566">
        <f>'900000'!$S108</f>
        <v>0</v>
      </c>
      <c r="F288" s="27" t="s">
        <v>19081</v>
      </c>
    </row>
    <row r="289" spans="1:6">
      <c r="A289" s="27" t="str">
        <f>Resultados!$K$3</f>
        <v/>
      </c>
      <c r="B289" s="27" t="str">
        <f>Resultados!$K$4</f>
        <v/>
      </c>
      <c r="C289" s="505" t="str">
        <f>'900000'!$B109</f>
        <v>09901089</v>
      </c>
      <c r="D289" s="160" t="str">
        <f>'900000'!$F$19</f>
        <v>C09901005</v>
      </c>
      <c r="E289" s="566">
        <f>'900000'!$S109</f>
        <v>0</v>
      </c>
      <c r="F289" s="27" t="s">
        <v>19081</v>
      </c>
    </row>
    <row r="290" spans="1:6">
      <c r="A290" s="27" t="str">
        <f>Resultados!$K$3</f>
        <v/>
      </c>
      <c r="B290" s="27" t="str">
        <f>Resultados!$K$4</f>
        <v/>
      </c>
      <c r="C290" s="505" t="str">
        <f>'900000'!$B110</f>
        <v>09901090</v>
      </c>
      <c r="D290" s="160" t="str">
        <f>'900000'!$F$19</f>
        <v>C09901005</v>
      </c>
      <c r="E290" s="566">
        <f>'900000'!$S110</f>
        <v>0</v>
      </c>
      <c r="F290" s="27" t="s">
        <v>19081</v>
      </c>
    </row>
    <row r="291" spans="1:6">
      <c r="A291" s="27" t="str">
        <f>Resultados!$K$3</f>
        <v/>
      </c>
      <c r="B291" s="27" t="str">
        <f>Resultados!$K$4</f>
        <v/>
      </c>
      <c r="C291" s="505" t="str">
        <f>'900000'!$B111</f>
        <v>09901091</v>
      </c>
      <c r="D291" s="160" t="str">
        <f>'900000'!$F$19</f>
        <v>C09901005</v>
      </c>
      <c r="E291" s="566">
        <f>'900000'!$S111</f>
        <v>0</v>
      </c>
      <c r="F291" s="27" t="s">
        <v>19081</v>
      </c>
    </row>
    <row r="292" spans="1:6">
      <c r="A292" s="27" t="str">
        <f>Resultados!$K$3</f>
        <v/>
      </c>
      <c r="B292" s="27" t="str">
        <f>Resultados!$K$4</f>
        <v/>
      </c>
      <c r="C292" s="505" t="str">
        <f>'900000'!$B112</f>
        <v>09901092</v>
      </c>
      <c r="D292" s="160" t="str">
        <f>'900000'!$F$19</f>
        <v>C09901005</v>
      </c>
      <c r="E292" s="566">
        <f>'900000'!$S112</f>
        <v>0</v>
      </c>
      <c r="F292" s="27" t="s">
        <v>19081</v>
      </c>
    </row>
    <row r="293" spans="1:6">
      <c r="A293" s="27" t="str">
        <f>Resultados!$K$3</f>
        <v/>
      </c>
      <c r="B293" s="27" t="str">
        <f>Resultados!$K$4</f>
        <v/>
      </c>
      <c r="C293" s="505" t="str">
        <f>'900000'!$B113</f>
        <v>09901093</v>
      </c>
      <c r="D293" s="160" t="str">
        <f>'900000'!$F$19</f>
        <v>C09901005</v>
      </c>
      <c r="E293" s="566">
        <f>'900000'!$S113</f>
        <v>0</v>
      </c>
      <c r="F293" s="27" t="s">
        <v>19081</v>
      </c>
    </row>
    <row r="294" spans="1:6">
      <c r="A294" s="27" t="str">
        <f>Resultados!$K$3</f>
        <v/>
      </c>
      <c r="B294" s="27" t="str">
        <f>Resultados!$K$4</f>
        <v/>
      </c>
      <c r="C294" s="505" t="str">
        <f>'900000'!$B114</f>
        <v>09901094</v>
      </c>
      <c r="D294" s="160" t="str">
        <f>'900000'!$F$19</f>
        <v>C09901005</v>
      </c>
      <c r="E294" s="566">
        <f>'900000'!$S114</f>
        <v>0</v>
      </c>
      <c r="F294" s="27" t="s">
        <v>19081</v>
      </c>
    </row>
    <row r="295" spans="1:6">
      <c r="A295" s="27" t="str">
        <f>Resultados!$K$3</f>
        <v/>
      </c>
      <c r="B295" s="27" t="str">
        <f>Resultados!$K$4</f>
        <v/>
      </c>
      <c r="C295" s="505" t="str">
        <f>'900000'!$B115</f>
        <v>09901095</v>
      </c>
      <c r="D295" s="160" t="str">
        <f>'900000'!$F$19</f>
        <v>C09901005</v>
      </c>
      <c r="E295" s="566">
        <f>'900000'!$S115</f>
        <v>0</v>
      </c>
      <c r="F295" s="27" t="s">
        <v>19081</v>
      </c>
    </row>
    <row r="296" spans="1:6">
      <c r="A296" s="27" t="str">
        <f>Resultados!$K$3</f>
        <v/>
      </c>
      <c r="B296" s="27" t="str">
        <f>Resultados!$K$4</f>
        <v/>
      </c>
      <c r="C296" s="505" t="str">
        <f>'900000'!$B116</f>
        <v>09901096</v>
      </c>
      <c r="D296" s="160" t="str">
        <f>'900000'!$F$19</f>
        <v>C09901005</v>
      </c>
      <c r="E296" s="566">
        <f>'900000'!$S116</f>
        <v>0</v>
      </c>
      <c r="F296" s="27" t="s">
        <v>19081</v>
      </c>
    </row>
    <row r="297" spans="1:6">
      <c r="A297" s="27" t="str">
        <f>Resultados!$K$3</f>
        <v/>
      </c>
      <c r="B297" s="27" t="str">
        <f>Resultados!$K$4</f>
        <v/>
      </c>
      <c r="C297" s="505" t="str">
        <f>'900000'!$B117</f>
        <v>09901097</v>
      </c>
      <c r="D297" s="160" t="str">
        <f>'900000'!$F$19</f>
        <v>C09901005</v>
      </c>
      <c r="E297" s="566">
        <f>'900000'!$S117</f>
        <v>0</v>
      </c>
      <c r="F297" s="27" t="s">
        <v>19081</v>
      </c>
    </row>
    <row r="298" spans="1:6">
      <c r="A298" s="27" t="str">
        <f>Resultados!$K$3</f>
        <v/>
      </c>
      <c r="B298" s="27" t="str">
        <f>Resultados!$K$4</f>
        <v/>
      </c>
      <c r="C298" s="505" t="str">
        <f>'900000'!$B118</f>
        <v>09901098</v>
      </c>
      <c r="D298" s="160" t="str">
        <f>'900000'!$F$19</f>
        <v>C09901005</v>
      </c>
      <c r="E298" s="566">
        <f>'900000'!$S118</f>
        <v>0</v>
      </c>
      <c r="F298" s="27" t="s">
        <v>19081</v>
      </c>
    </row>
    <row r="299" spans="1:6">
      <c r="A299" s="27" t="str">
        <f>Resultados!$K$3</f>
        <v/>
      </c>
      <c r="B299" s="27" t="str">
        <f>Resultados!$K$4</f>
        <v/>
      </c>
      <c r="C299" s="505" t="str">
        <f>'900000'!$B119</f>
        <v>09901099</v>
      </c>
      <c r="D299" s="160" t="str">
        <f>'900000'!$F$19</f>
        <v>C09901005</v>
      </c>
      <c r="E299" s="566">
        <f>'900000'!$S119</f>
        <v>0</v>
      </c>
      <c r="F299" s="27" t="s">
        <v>19081</v>
      </c>
    </row>
    <row r="300" spans="1:6">
      <c r="A300" s="27" t="str">
        <f>Resultados!$K$3</f>
        <v/>
      </c>
      <c r="B300" s="27" t="str">
        <f>Resultados!$K$4</f>
        <v/>
      </c>
      <c r="C300" s="505" t="str">
        <f>'900000'!$B120</f>
        <v>09901100</v>
      </c>
      <c r="D300" s="160" t="str">
        <f>'900000'!$F$19</f>
        <v>C09901005</v>
      </c>
      <c r="E300" s="566">
        <f>'900000'!$S120</f>
        <v>0</v>
      </c>
      <c r="F300" s="27" t="s">
        <v>19081</v>
      </c>
    </row>
    <row r="301" spans="1:6">
      <c r="A301" s="27" t="str">
        <f>Resultados!$K$3</f>
        <v/>
      </c>
      <c r="B301" s="27" t="str">
        <f>Resultados!$K$4</f>
        <v/>
      </c>
      <c r="C301" s="505" t="str">
        <f>'900000'!$B121</f>
        <v>09901101</v>
      </c>
      <c r="D301" s="160" t="str">
        <f>'900000'!$F$19</f>
        <v>C09901005</v>
      </c>
      <c r="E301" s="566">
        <f>'900000'!$S121</f>
        <v>0</v>
      </c>
      <c r="F301" s="27" t="s">
        <v>19081</v>
      </c>
    </row>
    <row r="302" spans="1:6">
      <c r="A302" s="27" t="str">
        <f>Resultados!$K$3</f>
        <v/>
      </c>
      <c r="B302" s="27" t="str">
        <f>Resultados!$K$4</f>
        <v/>
      </c>
      <c r="C302" s="505" t="str">
        <f>'900000'!$B22</f>
        <v>09901002</v>
      </c>
      <c r="D302" s="160" t="str">
        <f>'900000'!$U$19</f>
        <v>C09901019</v>
      </c>
      <c r="E302" s="505">
        <f>'900000'!$U22</f>
        <v>0</v>
      </c>
      <c r="F302" s="27" t="s">
        <v>19081</v>
      </c>
    </row>
    <row r="303" spans="1:6">
      <c r="A303" s="27" t="str">
        <f>Resultados!$K$3</f>
        <v/>
      </c>
      <c r="B303" s="27" t="str">
        <f>Resultados!$K$4</f>
        <v/>
      </c>
      <c r="C303" s="505" t="str">
        <f>'900000'!$B23</f>
        <v>09901003</v>
      </c>
      <c r="D303" s="160" t="str">
        <f>'900000'!$U$19</f>
        <v>C09901019</v>
      </c>
      <c r="E303" s="505">
        <f>'900000'!$U23</f>
        <v>0</v>
      </c>
      <c r="F303" s="27" t="s">
        <v>19081</v>
      </c>
    </row>
    <row r="304" spans="1:6">
      <c r="A304" s="27" t="str">
        <f>Resultados!$K$3</f>
        <v/>
      </c>
      <c r="B304" s="27" t="str">
        <f>Resultados!$K$4</f>
        <v/>
      </c>
      <c r="C304" s="505" t="str">
        <f>'900000'!$B24</f>
        <v>09901004</v>
      </c>
      <c r="D304" s="160" t="str">
        <f>'900000'!$U$19</f>
        <v>C09901019</v>
      </c>
      <c r="E304" s="505">
        <f>'900000'!$U24</f>
        <v>0</v>
      </c>
      <c r="F304" s="27" t="s">
        <v>19081</v>
      </c>
    </row>
    <row r="305" spans="1:7">
      <c r="A305" s="27" t="str">
        <f>Resultados!$K$3</f>
        <v/>
      </c>
      <c r="B305" s="27" t="str">
        <f>Resultados!$K$4</f>
        <v/>
      </c>
      <c r="C305" s="505" t="str">
        <f>'900000'!$B25</f>
        <v>09901005</v>
      </c>
      <c r="D305" s="160" t="str">
        <f>'900000'!$U$19</f>
        <v>C09901019</v>
      </c>
      <c r="E305" s="505">
        <f>'900000'!$U25</f>
        <v>0</v>
      </c>
      <c r="F305" s="27" t="s">
        <v>19081</v>
      </c>
    </row>
    <row r="306" spans="1:7">
      <c r="A306" s="27" t="str">
        <f>Resultados!$K$3</f>
        <v/>
      </c>
      <c r="B306" s="27" t="str">
        <f>Resultados!$K$4</f>
        <v/>
      </c>
      <c r="C306" s="505" t="str">
        <f>'900000'!$B26</f>
        <v>09901006</v>
      </c>
      <c r="D306" s="160" t="str">
        <f>'900000'!$U$19</f>
        <v>C09901019</v>
      </c>
      <c r="E306" s="505">
        <f>'900000'!$U26</f>
        <v>0</v>
      </c>
      <c r="F306" s="27" t="s">
        <v>19081</v>
      </c>
      <c r="G306" s="27"/>
    </row>
    <row r="307" spans="1:7">
      <c r="A307" s="27" t="str">
        <f>Resultados!$K$3</f>
        <v/>
      </c>
      <c r="B307" s="27" t="str">
        <f>Resultados!$K$4</f>
        <v/>
      </c>
      <c r="C307" s="505" t="str">
        <f>'900000'!$B27</f>
        <v>09901007</v>
      </c>
      <c r="D307" s="160" t="str">
        <f>'900000'!$U$19</f>
        <v>C09901019</v>
      </c>
      <c r="E307" s="505">
        <f>'900000'!$U27</f>
        <v>0</v>
      </c>
      <c r="F307" s="27" t="s">
        <v>19081</v>
      </c>
      <c r="G307" s="27"/>
    </row>
    <row r="308" spans="1:7">
      <c r="A308" s="27" t="str">
        <f>Resultados!$K$3</f>
        <v/>
      </c>
      <c r="B308" s="27" t="str">
        <f>Resultados!$K$4</f>
        <v/>
      </c>
      <c r="C308" s="505" t="str">
        <f>'900000'!$B28</f>
        <v>09901008</v>
      </c>
      <c r="D308" s="160" t="str">
        <f>'900000'!$U$19</f>
        <v>C09901019</v>
      </c>
      <c r="E308" s="505">
        <f>'900000'!$U28</f>
        <v>0</v>
      </c>
      <c r="F308" s="27" t="s">
        <v>19081</v>
      </c>
    </row>
    <row r="309" spans="1:7">
      <c r="A309" s="27" t="str">
        <f>Resultados!$K$3</f>
        <v/>
      </c>
      <c r="B309" s="27" t="str">
        <f>Resultados!$K$4</f>
        <v/>
      </c>
      <c r="C309" s="505" t="str">
        <f>'900000'!$B29</f>
        <v>09901009</v>
      </c>
      <c r="D309" s="160" t="str">
        <f>'900000'!$U$19</f>
        <v>C09901019</v>
      </c>
      <c r="E309" s="505">
        <f>'900000'!$U29</f>
        <v>0</v>
      </c>
      <c r="F309" s="27" t="s">
        <v>19081</v>
      </c>
    </row>
    <row r="310" spans="1:7">
      <c r="A310" s="27" t="str">
        <f>Resultados!$K$3</f>
        <v/>
      </c>
      <c r="B310" s="27" t="str">
        <f>Resultados!$K$4</f>
        <v/>
      </c>
      <c r="C310" s="505" t="str">
        <f>'900000'!$B30</f>
        <v>09901010</v>
      </c>
      <c r="D310" s="160" t="str">
        <f>'900000'!$U$19</f>
        <v>C09901019</v>
      </c>
      <c r="E310" s="505">
        <f>'900000'!$U30</f>
        <v>0</v>
      </c>
      <c r="F310" s="27" t="s">
        <v>19081</v>
      </c>
    </row>
    <row r="311" spans="1:7">
      <c r="A311" s="27" t="str">
        <f>Resultados!$K$3</f>
        <v/>
      </c>
      <c r="B311" s="27" t="str">
        <f>Resultados!$K$4</f>
        <v/>
      </c>
      <c r="C311" s="505" t="str">
        <f>'900000'!$B31</f>
        <v>09901011</v>
      </c>
      <c r="D311" s="160" t="str">
        <f>'900000'!$U$19</f>
        <v>C09901019</v>
      </c>
      <c r="E311" s="505">
        <f>'900000'!$U31</f>
        <v>0</v>
      </c>
      <c r="F311" s="27" t="s">
        <v>19081</v>
      </c>
    </row>
    <row r="312" spans="1:7">
      <c r="A312" s="27" t="str">
        <f>Resultados!$K$3</f>
        <v/>
      </c>
      <c r="B312" s="27" t="str">
        <f>Resultados!$K$4</f>
        <v/>
      </c>
      <c r="C312" s="505" t="str">
        <f>'900000'!$B32</f>
        <v>09901012</v>
      </c>
      <c r="D312" s="160" t="str">
        <f>'900000'!$U$19</f>
        <v>C09901019</v>
      </c>
      <c r="E312" s="505">
        <f>'900000'!$U32</f>
        <v>0</v>
      </c>
      <c r="F312" s="27" t="s">
        <v>19081</v>
      </c>
    </row>
    <row r="313" spans="1:7">
      <c r="A313" s="27" t="str">
        <f>Resultados!$K$3</f>
        <v/>
      </c>
      <c r="B313" s="27" t="str">
        <f>Resultados!$K$4</f>
        <v/>
      </c>
      <c r="C313" s="505" t="str">
        <f>'900000'!$B33</f>
        <v>09901013</v>
      </c>
      <c r="D313" s="160" t="str">
        <f>'900000'!$U$19</f>
        <v>C09901019</v>
      </c>
      <c r="E313" s="505">
        <f>'900000'!$U33</f>
        <v>0</v>
      </c>
      <c r="F313" s="27" t="s">
        <v>19081</v>
      </c>
    </row>
    <row r="314" spans="1:7">
      <c r="A314" s="27" t="str">
        <f>Resultados!$K$3</f>
        <v/>
      </c>
      <c r="B314" s="27" t="str">
        <f>Resultados!$K$4</f>
        <v/>
      </c>
      <c r="C314" s="505" t="str">
        <f>'900000'!$B34</f>
        <v>09901014</v>
      </c>
      <c r="D314" s="160" t="str">
        <f>'900000'!$U$19</f>
        <v>C09901019</v>
      </c>
      <c r="E314" s="505">
        <f>'900000'!$U34</f>
        <v>0</v>
      </c>
      <c r="F314" s="27" t="s">
        <v>19081</v>
      </c>
    </row>
    <row r="315" spans="1:7">
      <c r="A315" s="27" t="str">
        <f>Resultados!$K$3</f>
        <v/>
      </c>
      <c r="B315" s="27" t="str">
        <f>Resultados!$K$4</f>
        <v/>
      </c>
      <c r="C315" s="505" t="str">
        <f>'900000'!$B35</f>
        <v>09901015</v>
      </c>
      <c r="D315" s="160" t="str">
        <f>'900000'!$U$19</f>
        <v>C09901019</v>
      </c>
      <c r="E315" s="505">
        <f>'900000'!$U35</f>
        <v>0</v>
      </c>
      <c r="F315" s="27" t="s">
        <v>19081</v>
      </c>
    </row>
    <row r="316" spans="1:7">
      <c r="A316" s="27" t="str">
        <f>Resultados!$K$3</f>
        <v/>
      </c>
      <c r="B316" s="27" t="str">
        <f>Resultados!$K$4</f>
        <v/>
      </c>
      <c r="C316" s="505" t="str">
        <f>'900000'!$B36</f>
        <v>09901016</v>
      </c>
      <c r="D316" s="160" t="str">
        <f>'900000'!$U$19</f>
        <v>C09901019</v>
      </c>
      <c r="E316" s="505">
        <f>'900000'!$U36</f>
        <v>0</v>
      </c>
      <c r="F316" s="27" t="s">
        <v>19081</v>
      </c>
    </row>
    <row r="317" spans="1:7">
      <c r="A317" s="27" t="str">
        <f>Resultados!$K$3</f>
        <v/>
      </c>
      <c r="B317" s="27" t="str">
        <f>Resultados!$K$4</f>
        <v/>
      </c>
      <c r="C317" s="505" t="str">
        <f>'900000'!$B37</f>
        <v>09901017</v>
      </c>
      <c r="D317" s="160" t="str">
        <f>'900000'!$U$19</f>
        <v>C09901019</v>
      </c>
      <c r="E317" s="505">
        <f>'900000'!$U37</f>
        <v>0</v>
      </c>
      <c r="F317" s="27" t="s">
        <v>19081</v>
      </c>
    </row>
    <row r="318" spans="1:7">
      <c r="A318" s="27" t="str">
        <f>Resultados!$K$3</f>
        <v/>
      </c>
      <c r="B318" s="27" t="str">
        <f>Resultados!$K$4</f>
        <v/>
      </c>
      <c r="C318" s="505" t="str">
        <f>'900000'!$B38</f>
        <v>09901018</v>
      </c>
      <c r="D318" s="160" t="str">
        <f>'900000'!$U$19</f>
        <v>C09901019</v>
      </c>
      <c r="E318" s="505">
        <f>'900000'!$U38</f>
        <v>0</v>
      </c>
      <c r="F318" s="27" t="s">
        <v>19081</v>
      </c>
    </row>
    <row r="319" spans="1:7">
      <c r="A319" s="27" t="str">
        <f>Resultados!$K$3</f>
        <v/>
      </c>
      <c r="B319" s="27" t="str">
        <f>Resultados!$K$4</f>
        <v/>
      </c>
      <c r="C319" s="505" t="str">
        <f>'900000'!$B39</f>
        <v>09901019</v>
      </c>
      <c r="D319" s="160" t="str">
        <f>'900000'!$U$19</f>
        <v>C09901019</v>
      </c>
      <c r="E319" s="505">
        <f>'900000'!$U39</f>
        <v>0</v>
      </c>
      <c r="F319" s="27" t="s">
        <v>19081</v>
      </c>
    </row>
    <row r="320" spans="1:7">
      <c r="A320" s="27" t="str">
        <f>Resultados!$K$3</f>
        <v/>
      </c>
      <c r="B320" s="27" t="str">
        <f>Resultados!$K$4</f>
        <v/>
      </c>
      <c r="C320" s="505" t="str">
        <f>'900000'!$B40</f>
        <v>09901020</v>
      </c>
      <c r="D320" s="160" t="str">
        <f>'900000'!$U$19</f>
        <v>C09901019</v>
      </c>
      <c r="E320" s="505">
        <f>'900000'!$U40</f>
        <v>0</v>
      </c>
      <c r="F320" s="27" t="s">
        <v>19081</v>
      </c>
    </row>
    <row r="321" spans="1:6">
      <c r="A321" s="27" t="str">
        <f>Resultados!$K$3</f>
        <v/>
      </c>
      <c r="B321" s="27" t="str">
        <f>Resultados!$K$4</f>
        <v/>
      </c>
      <c r="C321" s="505" t="str">
        <f>'900000'!$B41</f>
        <v>09901021</v>
      </c>
      <c r="D321" s="160" t="str">
        <f>'900000'!$U$19</f>
        <v>C09901019</v>
      </c>
      <c r="E321" s="505">
        <f>'900000'!$U41</f>
        <v>0</v>
      </c>
      <c r="F321" s="27" t="s">
        <v>19081</v>
      </c>
    </row>
    <row r="322" spans="1:6">
      <c r="A322" s="27" t="str">
        <f>Resultados!$K$3</f>
        <v/>
      </c>
      <c r="B322" s="27" t="str">
        <f>Resultados!$K$4</f>
        <v/>
      </c>
      <c r="C322" s="505" t="str">
        <f>'900000'!$B42</f>
        <v>09901022</v>
      </c>
      <c r="D322" s="160" t="str">
        <f>'900000'!$U$19</f>
        <v>C09901019</v>
      </c>
      <c r="E322" s="505">
        <f>'900000'!$U42</f>
        <v>0</v>
      </c>
      <c r="F322" s="27" t="s">
        <v>19081</v>
      </c>
    </row>
    <row r="323" spans="1:6">
      <c r="A323" s="27" t="str">
        <f>Resultados!$K$3</f>
        <v/>
      </c>
      <c r="B323" s="27" t="str">
        <f>Resultados!$K$4</f>
        <v/>
      </c>
      <c r="C323" s="505" t="str">
        <f>'900000'!$B43</f>
        <v>09901023</v>
      </c>
      <c r="D323" s="160" t="str">
        <f>'900000'!$U$19</f>
        <v>C09901019</v>
      </c>
      <c r="E323" s="505">
        <f>'900000'!$U43</f>
        <v>0</v>
      </c>
      <c r="F323" s="27" t="s">
        <v>19081</v>
      </c>
    </row>
    <row r="324" spans="1:6">
      <c r="A324" s="27" t="str">
        <f>Resultados!$K$3</f>
        <v/>
      </c>
      <c r="B324" s="27" t="str">
        <f>Resultados!$K$4</f>
        <v/>
      </c>
      <c r="C324" s="505" t="str">
        <f>'900000'!$B44</f>
        <v>09901024</v>
      </c>
      <c r="D324" s="160" t="str">
        <f>'900000'!$U$19</f>
        <v>C09901019</v>
      </c>
      <c r="E324" s="505">
        <f>'900000'!$U44</f>
        <v>0</v>
      </c>
      <c r="F324" s="27" t="s">
        <v>19081</v>
      </c>
    </row>
    <row r="325" spans="1:6">
      <c r="A325" s="27" t="str">
        <f>Resultados!$K$3</f>
        <v/>
      </c>
      <c r="B325" s="27" t="str">
        <f>Resultados!$K$4</f>
        <v/>
      </c>
      <c r="C325" s="505" t="str">
        <f>'900000'!$B45</f>
        <v>09901025</v>
      </c>
      <c r="D325" s="160" t="str">
        <f>'900000'!$U$19</f>
        <v>C09901019</v>
      </c>
      <c r="E325" s="505">
        <f>'900000'!$U45</f>
        <v>0</v>
      </c>
      <c r="F325" s="27" t="s">
        <v>19081</v>
      </c>
    </row>
    <row r="326" spans="1:6">
      <c r="A326" s="27" t="str">
        <f>Resultados!$K$3</f>
        <v/>
      </c>
      <c r="B326" s="27" t="str">
        <f>Resultados!$K$4</f>
        <v/>
      </c>
      <c r="C326" s="505" t="str">
        <f>'900000'!$B46</f>
        <v>09901026</v>
      </c>
      <c r="D326" s="160" t="str">
        <f>'900000'!$U$19</f>
        <v>C09901019</v>
      </c>
      <c r="E326" s="505">
        <f>'900000'!$U46</f>
        <v>0</v>
      </c>
      <c r="F326" s="27" t="s">
        <v>19081</v>
      </c>
    </row>
    <row r="327" spans="1:6">
      <c r="A327" s="27" t="str">
        <f>Resultados!$K$3</f>
        <v/>
      </c>
      <c r="B327" s="27" t="str">
        <f>Resultados!$K$4</f>
        <v/>
      </c>
      <c r="C327" s="505" t="str">
        <f>'900000'!$B47</f>
        <v>09901027</v>
      </c>
      <c r="D327" s="160" t="str">
        <f>'900000'!$U$19</f>
        <v>C09901019</v>
      </c>
      <c r="E327" s="505">
        <f>'900000'!$U47</f>
        <v>0</v>
      </c>
      <c r="F327" s="27" t="s">
        <v>19081</v>
      </c>
    </row>
    <row r="328" spans="1:6">
      <c r="A328" s="27" t="str">
        <f>Resultados!$K$3</f>
        <v/>
      </c>
      <c r="B328" s="27" t="str">
        <f>Resultados!$K$4</f>
        <v/>
      </c>
      <c r="C328" s="505" t="str">
        <f>'900000'!$B48</f>
        <v>09901028</v>
      </c>
      <c r="D328" s="160" t="str">
        <f>'900000'!$U$19</f>
        <v>C09901019</v>
      </c>
      <c r="E328" s="505">
        <f>'900000'!$U48</f>
        <v>0</v>
      </c>
      <c r="F328" s="27" t="s">
        <v>19081</v>
      </c>
    </row>
    <row r="329" spans="1:6">
      <c r="A329" s="27" t="str">
        <f>Resultados!$K$3</f>
        <v/>
      </c>
      <c r="B329" s="27" t="str">
        <f>Resultados!$K$4</f>
        <v/>
      </c>
      <c r="C329" s="505" t="str">
        <f>'900000'!$B49</f>
        <v>09901029</v>
      </c>
      <c r="D329" s="160" t="str">
        <f>'900000'!$U$19</f>
        <v>C09901019</v>
      </c>
      <c r="E329" s="505">
        <f>'900000'!$U49</f>
        <v>0</v>
      </c>
      <c r="F329" s="27" t="s">
        <v>19081</v>
      </c>
    </row>
    <row r="330" spans="1:6">
      <c r="A330" s="27" t="str">
        <f>Resultados!$K$3</f>
        <v/>
      </c>
      <c r="B330" s="27" t="str">
        <f>Resultados!$K$4</f>
        <v/>
      </c>
      <c r="C330" s="505" t="str">
        <f>'900000'!$B50</f>
        <v>09901030</v>
      </c>
      <c r="D330" s="160" t="str">
        <f>'900000'!$U$19</f>
        <v>C09901019</v>
      </c>
      <c r="E330" s="505">
        <f>'900000'!$U50</f>
        <v>0</v>
      </c>
      <c r="F330" s="27" t="s">
        <v>19081</v>
      </c>
    </row>
    <row r="331" spans="1:6">
      <c r="A331" s="27" t="str">
        <f>Resultados!$K$3</f>
        <v/>
      </c>
      <c r="B331" s="27" t="str">
        <f>Resultados!$K$4</f>
        <v/>
      </c>
      <c r="C331" s="505" t="str">
        <f>'900000'!$B51</f>
        <v>09901031</v>
      </c>
      <c r="D331" s="160" t="str">
        <f>'900000'!$U$19</f>
        <v>C09901019</v>
      </c>
      <c r="E331" s="505">
        <f>'900000'!$U51</f>
        <v>0</v>
      </c>
      <c r="F331" s="27" t="s">
        <v>19081</v>
      </c>
    </row>
    <row r="332" spans="1:6">
      <c r="A332" s="27" t="str">
        <f>Resultados!$K$3</f>
        <v/>
      </c>
      <c r="B332" s="27" t="str">
        <f>Resultados!$K$4</f>
        <v/>
      </c>
      <c r="C332" s="505" t="str">
        <f>'900000'!$B52</f>
        <v>09901032</v>
      </c>
      <c r="D332" s="160" t="str">
        <f>'900000'!$U$19</f>
        <v>C09901019</v>
      </c>
      <c r="E332" s="505">
        <f>'900000'!$U52</f>
        <v>0</v>
      </c>
      <c r="F332" s="27" t="s">
        <v>19081</v>
      </c>
    </row>
    <row r="333" spans="1:6">
      <c r="A333" s="27" t="str">
        <f>Resultados!$K$3</f>
        <v/>
      </c>
      <c r="B333" s="27" t="str">
        <f>Resultados!$K$4</f>
        <v/>
      </c>
      <c r="C333" s="505" t="str">
        <f>'900000'!$B53</f>
        <v>09901033</v>
      </c>
      <c r="D333" s="160" t="str">
        <f>'900000'!$U$19</f>
        <v>C09901019</v>
      </c>
      <c r="E333" s="505">
        <f>'900000'!$U53</f>
        <v>0</v>
      </c>
      <c r="F333" s="27" t="s">
        <v>19081</v>
      </c>
    </row>
    <row r="334" spans="1:6">
      <c r="A334" s="27" t="str">
        <f>Resultados!$K$3</f>
        <v/>
      </c>
      <c r="B334" s="27" t="str">
        <f>Resultados!$K$4</f>
        <v/>
      </c>
      <c r="C334" s="505" t="str">
        <f>'900000'!$B54</f>
        <v>09901034</v>
      </c>
      <c r="D334" s="160" t="str">
        <f>'900000'!$U$19</f>
        <v>C09901019</v>
      </c>
      <c r="E334" s="505">
        <f>'900000'!$U54</f>
        <v>0</v>
      </c>
      <c r="F334" s="27" t="s">
        <v>19081</v>
      </c>
    </row>
    <row r="335" spans="1:6">
      <c r="A335" s="27" t="str">
        <f>Resultados!$K$3</f>
        <v/>
      </c>
      <c r="B335" s="27" t="str">
        <f>Resultados!$K$4</f>
        <v/>
      </c>
      <c r="C335" s="505" t="str">
        <f>'900000'!$B55</f>
        <v>09901035</v>
      </c>
      <c r="D335" s="160" t="str">
        <f>'900000'!$U$19</f>
        <v>C09901019</v>
      </c>
      <c r="E335" s="505">
        <f>'900000'!$U55</f>
        <v>0</v>
      </c>
      <c r="F335" s="27" t="s">
        <v>19081</v>
      </c>
    </row>
    <row r="336" spans="1:6">
      <c r="A336" s="27" t="str">
        <f>Resultados!$K$3</f>
        <v/>
      </c>
      <c r="B336" s="27" t="str">
        <f>Resultados!$K$4</f>
        <v/>
      </c>
      <c r="C336" s="505" t="str">
        <f>'900000'!$B56</f>
        <v>09901036</v>
      </c>
      <c r="D336" s="160" t="str">
        <f>'900000'!$U$19</f>
        <v>C09901019</v>
      </c>
      <c r="E336" s="505">
        <f>'900000'!$U56</f>
        <v>0</v>
      </c>
      <c r="F336" s="27" t="s">
        <v>19081</v>
      </c>
    </row>
    <row r="337" spans="1:6">
      <c r="A337" s="27" t="str">
        <f>Resultados!$K$3</f>
        <v/>
      </c>
      <c r="B337" s="27" t="str">
        <f>Resultados!$K$4</f>
        <v/>
      </c>
      <c r="C337" s="505" t="str">
        <f>'900000'!$B57</f>
        <v>09901037</v>
      </c>
      <c r="D337" s="160" t="str">
        <f>'900000'!$U$19</f>
        <v>C09901019</v>
      </c>
      <c r="E337" s="505">
        <f>'900000'!$U57</f>
        <v>0</v>
      </c>
      <c r="F337" s="27" t="s">
        <v>19081</v>
      </c>
    </row>
    <row r="338" spans="1:6">
      <c r="A338" s="27" t="str">
        <f>Resultados!$K$3</f>
        <v/>
      </c>
      <c r="B338" s="27" t="str">
        <f>Resultados!$K$4</f>
        <v/>
      </c>
      <c r="C338" s="505" t="str">
        <f>'900000'!$B58</f>
        <v>09901038</v>
      </c>
      <c r="D338" s="160" t="str">
        <f>'900000'!$U$19</f>
        <v>C09901019</v>
      </c>
      <c r="E338" s="505">
        <f>'900000'!$U58</f>
        <v>0</v>
      </c>
      <c r="F338" s="27" t="s">
        <v>19081</v>
      </c>
    </row>
    <row r="339" spans="1:6">
      <c r="A339" s="27" t="str">
        <f>Resultados!$K$3</f>
        <v/>
      </c>
      <c r="B339" s="27" t="str">
        <f>Resultados!$K$4</f>
        <v/>
      </c>
      <c r="C339" s="505" t="str">
        <f>'900000'!$B59</f>
        <v>09901039</v>
      </c>
      <c r="D339" s="160" t="str">
        <f>'900000'!$U$19</f>
        <v>C09901019</v>
      </c>
      <c r="E339" s="505">
        <f>'900000'!$U59</f>
        <v>0</v>
      </c>
      <c r="F339" s="27" t="s">
        <v>19081</v>
      </c>
    </row>
    <row r="340" spans="1:6">
      <c r="A340" s="27" t="str">
        <f>Resultados!$K$3</f>
        <v/>
      </c>
      <c r="B340" s="27" t="str">
        <f>Resultados!$K$4</f>
        <v/>
      </c>
      <c r="C340" s="505" t="str">
        <f>'900000'!$B60</f>
        <v>09901040</v>
      </c>
      <c r="D340" s="160" t="str">
        <f>'900000'!$U$19</f>
        <v>C09901019</v>
      </c>
      <c r="E340" s="505">
        <f>'900000'!$U60</f>
        <v>0</v>
      </c>
      <c r="F340" s="27" t="s">
        <v>19081</v>
      </c>
    </row>
    <row r="341" spans="1:6">
      <c r="A341" s="27" t="str">
        <f>Resultados!$K$3</f>
        <v/>
      </c>
      <c r="B341" s="27" t="str">
        <f>Resultados!$K$4</f>
        <v/>
      </c>
      <c r="C341" s="505" t="str">
        <f>'900000'!$B61</f>
        <v>09901041</v>
      </c>
      <c r="D341" s="160" t="str">
        <f>'900000'!$U$19</f>
        <v>C09901019</v>
      </c>
      <c r="E341" s="505">
        <f>'900000'!$U61</f>
        <v>0</v>
      </c>
      <c r="F341" s="27" t="s">
        <v>19081</v>
      </c>
    </row>
    <row r="342" spans="1:6">
      <c r="A342" s="27" t="str">
        <f>Resultados!$K$3</f>
        <v/>
      </c>
      <c r="B342" s="27" t="str">
        <f>Resultados!$K$4</f>
        <v/>
      </c>
      <c r="C342" s="505" t="str">
        <f>'900000'!$B62</f>
        <v>09901042</v>
      </c>
      <c r="D342" s="160" t="str">
        <f>'900000'!$U$19</f>
        <v>C09901019</v>
      </c>
      <c r="E342" s="505">
        <f>'900000'!$U62</f>
        <v>0</v>
      </c>
      <c r="F342" s="27" t="s">
        <v>19081</v>
      </c>
    </row>
    <row r="343" spans="1:6">
      <c r="A343" s="27" t="str">
        <f>Resultados!$K$3</f>
        <v/>
      </c>
      <c r="B343" s="27" t="str">
        <f>Resultados!$K$4</f>
        <v/>
      </c>
      <c r="C343" s="505" t="str">
        <f>'900000'!$B63</f>
        <v>09901043</v>
      </c>
      <c r="D343" s="160" t="str">
        <f>'900000'!$U$19</f>
        <v>C09901019</v>
      </c>
      <c r="E343" s="505">
        <f>'900000'!$U63</f>
        <v>0</v>
      </c>
      <c r="F343" s="27" t="s">
        <v>19081</v>
      </c>
    </row>
    <row r="344" spans="1:6">
      <c r="A344" s="27" t="str">
        <f>Resultados!$K$3</f>
        <v/>
      </c>
      <c r="B344" s="27" t="str">
        <f>Resultados!$K$4</f>
        <v/>
      </c>
      <c r="C344" s="505" t="str">
        <f>'900000'!$B64</f>
        <v>09901044</v>
      </c>
      <c r="D344" s="160" t="str">
        <f>'900000'!$U$19</f>
        <v>C09901019</v>
      </c>
      <c r="E344" s="505">
        <f>'900000'!$U64</f>
        <v>0</v>
      </c>
      <c r="F344" s="27" t="s">
        <v>19081</v>
      </c>
    </row>
    <row r="345" spans="1:6">
      <c r="A345" s="27" t="str">
        <f>Resultados!$K$3</f>
        <v/>
      </c>
      <c r="B345" s="27" t="str">
        <f>Resultados!$K$4</f>
        <v/>
      </c>
      <c r="C345" s="505" t="str">
        <f>'900000'!$B65</f>
        <v>09901045</v>
      </c>
      <c r="D345" s="160" t="str">
        <f>'900000'!$U$19</f>
        <v>C09901019</v>
      </c>
      <c r="E345" s="505">
        <f>'900000'!$U65</f>
        <v>0</v>
      </c>
      <c r="F345" s="27" t="s">
        <v>19081</v>
      </c>
    </row>
    <row r="346" spans="1:6">
      <c r="A346" s="27" t="str">
        <f>Resultados!$K$3</f>
        <v/>
      </c>
      <c r="B346" s="27" t="str">
        <f>Resultados!$K$4</f>
        <v/>
      </c>
      <c r="C346" s="505" t="str">
        <f>'900000'!$B66</f>
        <v>09901046</v>
      </c>
      <c r="D346" s="160" t="str">
        <f>'900000'!$U$19</f>
        <v>C09901019</v>
      </c>
      <c r="E346" s="505">
        <f>'900000'!$U66</f>
        <v>0</v>
      </c>
      <c r="F346" s="27" t="s">
        <v>19081</v>
      </c>
    </row>
    <row r="347" spans="1:6">
      <c r="A347" s="27" t="str">
        <f>Resultados!$K$3</f>
        <v/>
      </c>
      <c r="B347" s="27" t="str">
        <f>Resultados!$K$4</f>
        <v/>
      </c>
      <c r="C347" s="505" t="str">
        <f>'900000'!$B67</f>
        <v>09901047</v>
      </c>
      <c r="D347" s="160" t="str">
        <f>'900000'!$U$19</f>
        <v>C09901019</v>
      </c>
      <c r="E347" s="505">
        <f>'900000'!$U67</f>
        <v>0</v>
      </c>
      <c r="F347" s="27" t="s">
        <v>19081</v>
      </c>
    </row>
    <row r="348" spans="1:6">
      <c r="A348" s="27" t="str">
        <f>Resultados!$K$3</f>
        <v/>
      </c>
      <c r="B348" s="27" t="str">
        <f>Resultados!$K$4</f>
        <v/>
      </c>
      <c r="C348" s="505" t="str">
        <f>'900000'!$B68</f>
        <v>09901048</v>
      </c>
      <c r="D348" s="160" t="str">
        <f>'900000'!$U$19</f>
        <v>C09901019</v>
      </c>
      <c r="E348" s="505">
        <f>'900000'!$U68</f>
        <v>0</v>
      </c>
      <c r="F348" s="27" t="s">
        <v>19081</v>
      </c>
    </row>
    <row r="349" spans="1:6">
      <c r="A349" s="27" t="str">
        <f>Resultados!$K$3</f>
        <v/>
      </c>
      <c r="B349" s="27" t="str">
        <f>Resultados!$K$4</f>
        <v/>
      </c>
      <c r="C349" s="505" t="str">
        <f>'900000'!$B69</f>
        <v>09901049</v>
      </c>
      <c r="D349" s="160" t="str">
        <f>'900000'!$U$19</f>
        <v>C09901019</v>
      </c>
      <c r="E349" s="505">
        <f>'900000'!$U69</f>
        <v>0</v>
      </c>
      <c r="F349" s="27" t="s">
        <v>19081</v>
      </c>
    </row>
    <row r="350" spans="1:6">
      <c r="A350" s="27" t="str">
        <f>Resultados!$K$3</f>
        <v/>
      </c>
      <c r="B350" s="27" t="str">
        <f>Resultados!$K$4</f>
        <v/>
      </c>
      <c r="C350" s="505" t="str">
        <f>'900000'!$B70</f>
        <v>09901050</v>
      </c>
      <c r="D350" s="160" t="str">
        <f>'900000'!$U$19</f>
        <v>C09901019</v>
      </c>
      <c r="E350" s="505">
        <f>'900000'!$U70</f>
        <v>0</v>
      </c>
      <c r="F350" s="27" t="s">
        <v>19081</v>
      </c>
    </row>
    <row r="351" spans="1:6">
      <c r="A351" s="27" t="str">
        <f>Resultados!$K$3</f>
        <v/>
      </c>
      <c r="B351" s="27" t="str">
        <f>Resultados!$K$4</f>
        <v/>
      </c>
      <c r="C351" s="505" t="str">
        <f>'900000'!$B71</f>
        <v>09901051</v>
      </c>
      <c r="D351" s="160" t="str">
        <f>'900000'!$U$19</f>
        <v>C09901019</v>
      </c>
      <c r="E351" s="505">
        <f>'900000'!$U71</f>
        <v>0</v>
      </c>
      <c r="F351" s="27" t="s">
        <v>19081</v>
      </c>
    </row>
    <row r="352" spans="1:6">
      <c r="A352" s="27" t="str">
        <f>Resultados!$K$3</f>
        <v/>
      </c>
      <c r="B352" s="27" t="str">
        <f>Resultados!$K$4</f>
        <v/>
      </c>
      <c r="C352" s="505" t="str">
        <f>'900000'!$B72</f>
        <v>09901052</v>
      </c>
      <c r="D352" s="160" t="str">
        <f>'900000'!$U$19</f>
        <v>C09901019</v>
      </c>
      <c r="E352" s="505">
        <f>'900000'!$U72</f>
        <v>0</v>
      </c>
      <c r="F352" s="27" t="s">
        <v>19081</v>
      </c>
    </row>
    <row r="353" spans="1:6">
      <c r="A353" s="27" t="str">
        <f>Resultados!$K$3</f>
        <v/>
      </c>
      <c r="B353" s="27" t="str">
        <f>Resultados!$K$4</f>
        <v/>
      </c>
      <c r="C353" s="505" t="str">
        <f>'900000'!$B73</f>
        <v>09901053</v>
      </c>
      <c r="D353" s="160" t="str">
        <f>'900000'!$U$19</f>
        <v>C09901019</v>
      </c>
      <c r="E353" s="505">
        <f>'900000'!$U73</f>
        <v>0</v>
      </c>
      <c r="F353" s="27" t="s">
        <v>19081</v>
      </c>
    </row>
    <row r="354" spans="1:6">
      <c r="A354" s="27" t="str">
        <f>Resultados!$K$3</f>
        <v/>
      </c>
      <c r="B354" s="27" t="str">
        <f>Resultados!$K$4</f>
        <v/>
      </c>
      <c r="C354" s="505" t="str">
        <f>'900000'!$B74</f>
        <v>09901054</v>
      </c>
      <c r="D354" s="160" t="str">
        <f>'900000'!$U$19</f>
        <v>C09901019</v>
      </c>
      <c r="E354" s="505">
        <f>'900000'!$U74</f>
        <v>0</v>
      </c>
      <c r="F354" s="27" t="s">
        <v>19081</v>
      </c>
    </row>
    <row r="355" spans="1:6">
      <c r="A355" s="27" t="str">
        <f>Resultados!$K$3</f>
        <v/>
      </c>
      <c r="B355" s="27" t="str">
        <f>Resultados!$K$4</f>
        <v/>
      </c>
      <c r="C355" s="505" t="str">
        <f>'900000'!$B75</f>
        <v>09901055</v>
      </c>
      <c r="D355" s="160" t="str">
        <f>'900000'!$U$19</f>
        <v>C09901019</v>
      </c>
      <c r="E355" s="505">
        <f>'900000'!$U75</f>
        <v>0</v>
      </c>
      <c r="F355" s="27" t="s">
        <v>19081</v>
      </c>
    </row>
    <row r="356" spans="1:6">
      <c r="A356" s="27" t="str">
        <f>Resultados!$K$3</f>
        <v/>
      </c>
      <c r="B356" s="27" t="str">
        <f>Resultados!$K$4</f>
        <v/>
      </c>
      <c r="C356" s="505" t="str">
        <f>'900000'!$B76</f>
        <v>09901056</v>
      </c>
      <c r="D356" s="160" t="str">
        <f>'900000'!$U$19</f>
        <v>C09901019</v>
      </c>
      <c r="E356" s="505">
        <f>'900000'!$U76</f>
        <v>0</v>
      </c>
      <c r="F356" s="27" t="s">
        <v>19081</v>
      </c>
    </row>
    <row r="357" spans="1:6">
      <c r="A357" s="27" t="str">
        <f>Resultados!$K$3</f>
        <v/>
      </c>
      <c r="B357" s="27" t="str">
        <f>Resultados!$K$4</f>
        <v/>
      </c>
      <c r="C357" s="505" t="str">
        <f>'900000'!$B77</f>
        <v>09901057</v>
      </c>
      <c r="D357" s="160" t="str">
        <f>'900000'!$U$19</f>
        <v>C09901019</v>
      </c>
      <c r="E357" s="505">
        <f>'900000'!$U77</f>
        <v>0</v>
      </c>
      <c r="F357" s="27" t="s">
        <v>19081</v>
      </c>
    </row>
    <row r="358" spans="1:6">
      <c r="A358" s="27" t="str">
        <f>Resultados!$K$3</f>
        <v/>
      </c>
      <c r="B358" s="27" t="str">
        <f>Resultados!$K$4</f>
        <v/>
      </c>
      <c r="C358" s="505" t="str">
        <f>'900000'!$B78</f>
        <v>09901058</v>
      </c>
      <c r="D358" s="160" t="str">
        <f>'900000'!$U$19</f>
        <v>C09901019</v>
      </c>
      <c r="E358" s="505">
        <f>'900000'!$U78</f>
        <v>0</v>
      </c>
      <c r="F358" s="27" t="s">
        <v>19081</v>
      </c>
    </row>
    <row r="359" spans="1:6">
      <c r="A359" s="27" t="str">
        <f>Resultados!$K$3</f>
        <v/>
      </c>
      <c r="B359" s="27" t="str">
        <f>Resultados!$K$4</f>
        <v/>
      </c>
      <c r="C359" s="505" t="str">
        <f>'900000'!$B79</f>
        <v>09901059</v>
      </c>
      <c r="D359" s="160" t="str">
        <f>'900000'!$U$19</f>
        <v>C09901019</v>
      </c>
      <c r="E359" s="505">
        <f>'900000'!$U79</f>
        <v>0</v>
      </c>
      <c r="F359" s="27" t="s">
        <v>19081</v>
      </c>
    </row>
    <row r="360" spans="1:6">
      <c r="A360" s="27" t="str">
        <f>Resultados!$K$3</f>
        <v/>
      </c>
      <c r="B360" s="27" t="str">
        <f>Resultados!$K$4</f>
        <v/>
      </c>
      <c r="C360" s="505" t="str">
        <f>'900000'!$B80</f>
        <v>09901060</v>
      </c>
      <c r="D360" s="160" t="str">
        <f>'900000'!$U$19</f>
        <v>C09901019</v>
      </c>
      <c r="E360" s="505">
        <f>'900000'!$U80</f>
        <v>0</v>
      </c>
      <c r="F360" s="27" t="s">
        <v>19081</v>
      </c>
    </row>
    <row r="361" spans="1:6">
      <c r="A361" s="27" t="str">
        <f>Resultados!$K$3</f>
        <v/>
      </c>
      <c r="B361" s="27" t="str">
        <f>Resultados!$K$4</f>
        <v/>
      </c>
      <c r="C361" s="505" t="str">
        <f>'900000'!$B81</f>
        <v>09901061</v>
      </c>
      <c r="D361" s="160" t="str">
        <f>'900000'!$U$19</f>
        <v>C09901019</v>
      </c>
      <c r="E361" s="505">
        <f>'900000'!$U81</f>
        <v>0</v>
      </c>
      <c r="F361" s="27" t="s">
        <v>19081</v>
      </c>
    </row>
    <row r="362" spans="1:6">
      <c r="A362" s="27" t="str">
        <f>Resultados!$K$3</f>
        <v/>
      </c>
      <c r="B362" s="27" t="str">
        <f>Resultados!$K$4</f>
        <v/>
      </c>
      <c r="C362" s="505" t="str">
        <f>'900000'!$B82</f>
        <v>09901062</v>
      </c>
      <c r="D362" s="160" t="str">
        <f>'900000'!$U$19</f>
        <v>C09901019</v>
      </c>
      <c r="E362" s="505">
        <f>'900000'!$U82</f>
        <v>0</v>
      </c>
      <c r="F362" s="27" t="s">
        <v>19081</v>
      </c>
    </row>
    <row r="363" spans="1:6">
      <c r="A363" s="27" t="str">
        <f>Resultados!$K$3</f>
        <v/>
      </c>
      <c r="B363" s="27" t="str">
        <f>Resultados!$K$4</f>
        <v/>
      </c>
      <c r="C363" s="505" t="str">
        <f>'900000'!$B83</f>
        <v>09901063</v>
      </c>
      <c r="D363" s="160" t="str">
        <f>'900000'!$U$19</f>
        <v>C09901019</v>
      </c>
      <c r="E363" s="505">
        <f>'900000'!$U83</f>
        <v>0</v>
      </c>
      <c r="F363" s="27" t="s">
        <v>19081</v>
      </c>
    </row>
    <row r="364" spans="1:6">
      <c r="A364" s="27" t="str">
        <f>Resultados!$K$3</f>
        <v/>
      </c>
      <c r="B364" s="27" t="str">
        <f>Resultados!$K$4</f>
        <v/>
      </c>
      <c r="C364" s="505" t="str">
        <f>'900000'!$B84</f>
        <v>09901064</v>
      </c>
      <c r="D364" s="160" t="str">
        <f>'900000'!$U$19</f>
        <v>C09901019</v>
      </c>
      <c r="E364" s="505">
        <f>'900000'!$U84</f>
        <v>0</v>
      </c>
      <c r="F364" s="27" t="s">
        <v>19081</v>
      </c>
    </row>
    <row r="365" spans="1:6">
      <c r="A365" s="27" t="str">
        <f>Resultados!$K$3</f>
        <v/>
      </c>
      <c r="B365" s="27" t="str">
        <f>Resultados!$K$4</f>
        <v/>
      </c>
      <c r="C365" s="505" t="str">
        <f>'900000'!$B85</f>
        <v>09901065</v>
      </c>
      <c r="D365" s="160" t="str">
        <f>'900000'!$U$19</f>
        <v>C09901019</v>
      </c>
      <c r="E365" s="505">
        <f>'900000'!$U85</f>
        <v>0</v>
      </c>
      <c r="F365" s="27" t="s">
        <v>19081</v>
      </c>
    </row>
    <row r="366" spans="1:6">
      <c r="A366" s="27" t="str">
        <f>Resultados!$K$3</f>
        <v/>
      </c>
      <c r="B366" s="27" t="str">
        <f>Resultados!$K$4</f>
        <v/>
      </c>
      <c r="C366" s="505" t="str">
        <f>'900000'!$B86</f>
        <v>09901066</v>
      </c>
      <c r="D366" s="160" t="str">
        <f>'900000'!$U$19</f>
        <v>C09901019</v>
      </c>
      <c r="E366" s="505">
        <f>'900000'!$U86</f>
        <v>0</v>
      </c>
      <c r="F366" s="27" t="s">
        <v>19081</v>
      </c>
    </row>
    <row r="367" spans="1:6">
      <c r="A367" s="27" t="str">
        <f>Resultados!$K$3</f>
        <v/>
      </c>
      <c r="B367" s="27" t="str">
        <f>Resultados!$K$4</f>
        <v/>
      </c>
      <c r="C367" s="505" t="str">
        <f>'900000'!$B87</f>
        <v>09901067</v>
      </c>
      <c r="D367" s="160" t="str">
        <f>'900000'!$U$19</f>
        <v>C09901019</v>
      </c>
      <c r="E367" s="505">
        <f>'900000'!$U87</f>
        <v>0</v>
      </c>
      <c r="F367" s="27" t="s">
        <v>19081</v>
      </c>
    </row>
    <row r="368" spans="1:6">
      <c r="A368" s="27" t="str">
        <f>Resultados!$K$3</f>
        <v/>
      </c>
      <c r="B368" s="27" t="str">
        <f>Resultados!$K$4</f>
        <v/>
      </c>
      <c r="C368" s="505" t="str">
        <f>'900000'!$B88</f>
        <v>09901068</v>
      </c>
      <c r="D368" s="160" t="str">
        <f>'900000'!$U$19</f>
        <v>C09901019</v>
      </c>
      <c r="E368" s="505">
        <f>'900000'!$U88</f>
        <v>0</v>
      </c>
      <c r="F368" s="27" t="s">
        <v>19081</v>
      </c>
    </row>
    <row r="369" spans="1:6">
      <c r="A369" s="27" t="str">
        <f>Resultados!$K$3</f>
        <v/>
      </c>
      <c r="B369" s="27" t="str">
        <f>Resultados!$K$4</f>
        <v/>
      </c>
      <c r="C369" s="505" t="str">
        <f>'900000'!$B89</f>
        <v>09901069</v>
      </c>
      <c r="D369" s="160" t="str">
        <f>'900000'!$U$19</f>
        <v>C09901019</v>
      </c>
      <c r="E369" s="505">
        <f>'900000'!$U89</f>
        <v>0</v>
      </c>
      <c r="F369" s="27" t="s">
        <v>19081</v>
      </c>
    </row>
    <row r="370" spans="1:6">
      <c r="A370" s="27" t="str">
        <f>Resultados!$K$3</f>
        <v/>
      </c>
      <c r="B370" s="27" t="str">
        <f>Resultados!$K$4</f>
        <v/>
      </c>
      <c r="C370" s="505" t="str">
        <f>'900000'!$B90</f>
        <v>09901070</v>
      </c>
      <c r="D370" s="160" t="str">
        <f>'900000'!$U$19</f>
        <v>C09901019</v>
      </c>
      <c r="E370" s="505">
        <f>'900000'!$U90</f>
        <v>0</v>
      </c>
      <c r="F370" s="27" t="s">
        <v>19081</v>
      </c>
    </row>
    <row r="371" spans="1:6">
      <c r="A371" s="27" t="str">
        <f>Resultados!$K$3</f>
        <v/>
      </c>
      <c r="B371" s="27" t="str">
        <f>Resultados!$K$4</f>
        <v/>
      </c>
      <c r="C371" s="505" t="str">
        <f>'900000'!$B91</f>
        <v>09901071</v>
      </c>
      <c r="D371" s="160" t="str">
        <f>'900000'!$U$19</f>
        <v>C09901019</v>
      </c>
      <c r="E371" s="505">
        <f>'900000'!$U91</f>
        <v>0</v>
      </c>
      <c r="F371" s="27" t="s">
        <v>19081</v>
      </c>
    </row>
    <row r="372" spans="1:6">
      <c r="A372" s="27" t="str">
        <f>Resultados!$K$3</f>
        <v/>
      </c>
      <c r="B372" s="27" t="str">
        <f>Resultados!$K$4</f>
        <v/>
      </c>
      <c r="C372" s="505" t="str">
        <f>'900000'!$B92</f>
        <v>09901072</v>
      </c>
      <c r="D372" s="160" t="str">
        <f>'900000'!$U$19</f>
        <v>C09901019</v>
      </c>
      <c r="E372" s="505">
        <f>'900000'!$U92</f>
        <v>0</v>
      </c>
      <c r="F372" s="27" t="s">
        <v>19081</v>
      </c>
    </row>
    <row r="373" spans="1:6">
      <c r="A373" s="27" t="str">
        <f>Resultados!$K$3</f>
        <v/>
      </c>
      <c r="B373" s="27" t="str">
        <f>Resultados!$K$4</f>
        <v/>
      </c>
      <c r="C373" s="505" t="str">
        <f>'900000'!$B93</f>
        <v>09901073</v>
      </c>
      <c r="D373" s="160" t="str">
        <f>'900000'!$U$19</f>
        <v>C09901019</v>
      </c>
      <c r="E373" s="505">
        <f>'900000'!$U93</f>
        <v>0</v>
      </c>
      <c r="F373" s="27" t="s">
        <v>19081</v>
      </c>
    </row>
    <row r="374" spans="1:6">
      <c r="A374" s="27" t="str">
        <f>Resultados!$K$3</f>
        <v/>
      </c>
      <c r="B374" s="27" t="str">
        <f>Resultados!$K$4</f>
        <v/>
      </c>
      <c r="C374" s="505" t="str">
        <f>'900000'!$B94</f>
        <v>09901074</v>
      </c>
      <c r="D374" s="160" t="str">
        <f>'900000'!$U$19</f>
        <v>C09901019</v>
      </c>
      <c r="E374" s="505">
        <f>'900000'!$U94</f>
        <v>0</v>
      </c>
      <c r="F374" s="27" t="s">
        <v>19081</v>
      </c>
    </row>
    <row r="375" spans="1:6">
      <c r="A375" s="27" t="str">
        <f>Resultados!$K$3</f>
        <v/>
      </c>
      <c r="B375" s="27" t="str">
        <f>Resultados!$K$4</f>
        <v/>
      </c>
      <c r="C375" s="505" t="str">
        <f>'900000'!$B95</f>
        <v>09901075</v>
      </c>
      <c r="D375" s="160" t="str">
        <f>'900000'!$U$19</f>
        <v>C09901019</v>
      </c>
      <c r="E375" s="505">
        <f>'900000'!$U95</f>
        <v>0</v>
      </c>
      <c r="F375" s="27" t="s">
        <v>19081</v>
      </c>
    </row>
    <row r="376" spans="1:6">
      <c r="A376" s="27" t="str">
        <f>Resultados!$K$3</f>
        <v/>
      </c>
      <c r="B376" s="27" t="str">
        <f>Resultados!$K$4</f>
        <v/>
      </c>
      <c r="C376" s="505" t="str">
        <f>'900000'!$B96</f>
        <v>09901076</v>
      </c>
      <c r="D376" s="160" t="str">
        <f>'900000'!$U$19</f>
        <v>C09901019</v>
      </c>
      <c r="E376" s="505">
        <f>'900000'!$U96</f>
        <v>0</v>
      </c>
      <c r="F376" s="27" t="s">
        <v>19081</v>
      </c>
    </row>
    <row r="377" spans="1:6">
      <c r="A377" s="27" t="str">
        <f>Resultados!$K$3</f>
        <v/>
      </c>
      <c r="B377" s="27" t="str">
        <f>Resultados!$K$4</f>
        <v/>
      </c>
      <c r="C377" s="505" t="str">
        <f>'900000'!$B97</f>
        <v>09901077</v>
      </c>
      <c r="D377" s="160" t="str">
        <f>'900000'!$U$19</f>
        <v>C09901019</v>
      </c>
      <c r="E377" s="505">
        <f>'900000'!$U97</f>
        <v>0</v>
      </c>
      <c r="F377" s="27" t="s">
        <v>19081</v>
      </c>
    </row>
    <row r="378" spans="1:6">
      <c r="A378" s="27" t="str">
        <f>Resultados!$K$3</f>
        <v/>
      </c>
      <c r="B378" s="27" t="str">
        <f>Resultados!$K$4</f>
        <v/>
      </c>
      <c r="C378" s="505" t="str">
        <f>'900000'!$B98</f>
        <v>09901078</v>
      </c>
      <c r="D378" s="160" t="str">
        <f>'900000'!$U$19</f>
        <v>C09901019</v>
      </c>
      <c r="E378" s="505">
        <f>'900000'!$U98</f>
        <v>0</v>
      </c>
      <c r="F378" s="27" t="s">
        <v>19081</v>
      </c>
    </row>
    <row r="379" spans="1:6">
      <c r="A379" s="27" t="str">
        <f>Resultados!$K$3</f>
        <v/>
      </c>
      <c r="B379" s="27" t="str">
        <f>Resultados!$K$4</f>
        <v/>
      </c>
      <c r="C379" s="505" t="str">
        <f>'900000'!$B99</f>
        <v>09901079</v>
      </c>
      <c r="D379" s="160" t="str">
        <f>'900000'!$U$19</f>
        <v>C09901019</v>
      </c>
      <c r="E379" s="505">
        <f>'900000'!$U99</f>
        <v>0</v>
      </c>
      <c r="F379" s="27" t="s">
        <v>19081</v>
      </c>
    </row>
    <row r="380" spans="1:6">
      <c r="A380" s="27" t="str">
        <f>Resultados!$K$3</f>
        <v/>
      </c>
      <c r="B380" s="27" t="str">
        <f>Resultados!$K$4</f>
        <v/>
      </c>
      <c r="C380" s="505" t="str">
        <f>'900000'!$B100</f>
        <v>09901080</v>
      </c>
      <c r="D380" s="160" t="str">
        <f>'900000'!$U$19</f>
        <v>C09901019</v>
      </c>
      <c r="E380" s="505">
        <f>'900000'!$U100</f>
        <v>0</v>
      </c>
      <c r="F380" s="27" t="s">
        <v>19081</v>
      </c>
    </row>
    <row r="381" spans="1:6">
      <c r="A381" s="27" t="str">
        <f>Resultados!$K$3</f>
        <v/>
      </c>
      <c r="B381" s="27" t="str">
        <f>Resultados!$K$4</f>
        <v/>
      </c>
      <c r="C381" s="505" t="str">
        <f>'900000'!$B101</f>
        <v>09901081</v>
      </c>
      <c r="D381" s="160" t="str">
        <f>'900000'!$U$19</f>
        <v>C09901019</v>
      </c>
      <c r="E381" s="505">
        <f>'900000'!$U101</f>
        <v>0</v>
      </c>
      <c r="F381" s="27" t="s">
        <v>19081</v>
      </c>
    </row>
    <row r="382" spans="1:6">
      <c r="A382" s="27" t="str">
        <f>Resultados!$K$3</f>
        <v/>
      </c>
      <c r="B382" s="27" t="str">
        <f>Resultados!$K$4</f>
        <v/>
      </c>
      <c r="C382" s="505" t="str">
        <f>'900000'!$B102</f>
        <v>09901082</v>
      </c>
      <c r="D382" s="160" t="str">
        <f>'900000'!$U$19</f>
        <v>C09901019</v>
      </c>
      <c r="E382" s="505">
        <f>'900000'!$U102</f>
        <v>0</v>
      </c>
      <c r="F382" s="27" t="s">
        <v>19081</v>
      </c>
    </row>
    <row r="383" spans="1:6">
      <c r="A383" s="27" t="str">
        <f>Resultados!$K$3</f>
        <v/>
      </c>
      <c r="B383" s="27" t="str">
        <f>Resultados!$K$4</f>
        <v/>
      </c>
      <c r="C383" s="505" t="str">
        <f>'900000'!$B103</f>
        <v>09901083</v>
      </c>
      <c r="D383" s="160" t="str">
        <f>'900000'!$U$19</f>
        <v>C09901019</v>
      </c>
      <c r="E383" s="505">
        <f>'900000'!$U103</f>
        <v>0</v>
      </c>
      <c r="F383" s="27" t="s">
        <v>19081</v>
      </c>
    </row>
    <row r="384" spans="1:6">
      <c r="A384" s="27" t="str">
        <f>Resultados!$K$3</f>
        <v/>
      </c>
      <c r="B384" s="27" t="str">
        <f>Resultados!$K$4</f>
        <v/>
      </c>
      <c r="C384" s="505" t="str">
        <f>'900000'!$B104</f>
        <v>09901084</v>
      </c>
      <c r="D384" s="160" t="str">
        <f>'900000'!$U$19</f>
        <v>C09901019</v>
      </c>
      <c r="E384" s="505">
        <f>'900000'!$U104</f>
        <v>0</v>
      </c>
      <c r="F384" s="27" t="s">
        <v>19081</v>
      </c>
    </row>
    <row r="385" spans="1:6">
      <c r="A385" s="27" t="str">
        <f>Resultados!$K$3</f>
        <v/>
      </c>
      <c r="B385" s="27" t="str">
        <f>Resultados!$K$4</f>
        <v/>
      </c>
      <c r="C385" s="505" t="str">
        <f>'900000'!$B105</f>
        <v>09901085</v>
      </c>
      <c r="D385" s="160" t="str">
        <f>'900000'!$U$19</f>
        <v>C09901019</v>
      </c>
      <c r="E385" s="505">
        <f>'900000'!$U105</f>
        <v>0</v>
      </c>
      <c r="F385" s="27" t="s">
        <v>19081</v>
      </c>
    </row>
    <row r="386" spans="1:6">
      <c r="A386" s="27" t="str">
        <f>Resultados!$K$3</f>
        <v/>
      </c>
      <c r="B386" s="27" t="str">
        <f>Resultados!$K$4</f>
        <v/>
      </c>
      <c r="C386" s="505" t="str">
        <f>'900000'!$B106</f>
        <v>09901086</v>
      </c>
      <c r="D386" s="160" t="str">
        <f>'900000'!$U$19</f>
        <v>C09901019</v>
      </c>
      <c r="E386" s="505">
        <f>'900000'!$U106</f>
        <v>0</v>
      </c>
      <c r="F386" s="27" t="s">
        <v>19081</v>
      </c>
    </row>
    <row r="387" spans="1:6">
      <c r="A387" s="27" t="str">
        <f>Resultados!$K$3</f>
        <v/>
      </c>
      <c r="B387" s="27" t="str">
        <f>Resultados!$K$4</f>
        <v/>
      </c>
      <c r="C387" s="505" t="str">
        <f>'900000'!$B107</f>
        <v>09901087</v>
      </c>
      <c r="D387" s="160" t="str">
        <f>'900000'!$U$19</f>
        <v>C09901019</v>
      </c>
      <c r="E387" s="505">
        <f>'900000'!$U107</f>
        <v>0</v>
      </c>
      <c r="F387" s="27" t="s">
        <v>19081</v>
      </c>
    </row>
    <row r="388" spans="1:6">
      <c r="A388" s="27" t="str">
        <f>Resultados!$K$3</f>
        <v/>
      </c>
      <c r="B388" s="27" t="str">
        <f>Resultados!$K$4</f>
        <v/>
      </c>
      <c r="C388" s="505" t="str">
        <f>'900000'!$B108</f>
        <v>09901088</v>
      </c>
      <c r="D388" s="160" t="str">
        <f>'900000'!$U$19</f>
        <v>C09901019</v>
      </c>
      <c r="E388" s="505">
        <f>'900000'!$U108</f>
        <v>0</v>
      </c>
      <c r="F388" s="27" t="s">
        <v>19081</v>
      </c>
    </row>
    <row r="389" spans="1:6">
      <c r="A389" s="27" t="str">
        <f>Resultados!$K$3</f>
        <v/>
      </c>
      <c r="B389" s="27" t="str">
        <f>Resultados!$K$4</f>
        <v/>
      </c>
      <c r="C389" s="505" t="str">
        <f>'900000'!$B109</f>
        <v>09901089</v>
      </c>
      <c r="D389" s="160" t="str">
        <f>'900000'!$U$19</f>
        <v>C09901019</v>
      </c>
      <c r="E389" s="505">
        <f>'900000'!$U109</f>
        <v>0</v>
      </c>
      <c r="F389" s="27" t="s">
        <v>19081</v>
      </c>
    </row>
    <row r="390" spans="1:6">
      <c r="A390" s="27" t="str">
        <f>Resultados!$K$3</f>
        <v/>
      </c>
      <c r="B390" s="27" t="str">
        <f>Resultados!$K$4</f>
        <v/>
      </c>
      <c r="C390" s="505" t="str">
        <f>'900000'!$B110</f>
        <v>09901090</v>
      </c>
      <c r="D390" s="160" t="str">
        <f>'900000'!$U$19</f>
        <v>C09901019</v>
      </c>
      <c r="E390" s="505">
        <f>'900000'!$U110</f>
        <v>0</v>
      </c>
      <c r="F390" s="27" t="s">
        <v>19081</v>
      </c>
    </row>
    <row r="391" spans="1:6">
      <c r="A391" s="27" t="str">
        <f>Resultados!$K$3</f>
        <v/>
      </c>
      <c r="B391" s="27" t="str">
        <f>Resultados!$K$4</f>
        <v/>
      </c>
      <c r="C391" s="505" t="str">
        <f>'900000'!$B111</f>
        <v>09901091</v>
      </c>
      <c r="D391" s="160" t="str">
        <f>'900000'!$U$19</f>
        <v>C09901019</v>
      </c>
      <c r="E391" s="505">
        <f>'900000'!$U111</f>
        <v>0</v>
      </c>
      <c r="F391" s="27" t="s">
        <v>19081</v>
      </c>
    </row>
    <row r="392" spans="1:6">
      <c r="A392" s="27" t="str">
        <f>Resultados!$K$3</f>
        <v/>
      </c>
      <c r="B392" s="27" t="str">
        <f>Resultados!$K$4</f>
        <v/>
      </c>
      <c r="C392" s="505" t="str">
        <f>'900000'!$B112</f>
        <v>09901092</v>
      </c>
      <c r="D392" s="160" t="str">
        <f>'900000'!$U$19</f>
        <v>C09901019</v>
      </c>
      <c r="E392" s="505">
        <f>'900000'!$U112</f>
        <v>0</v>
      </c>
      <c r="F392" s="27" t="s">
        <v>19081</v>
      </c>
    </row>
    <row r="393" spans="1:6">
      <c r="A393" s="27" t="str">
        <f>Resultados!$K$3</f>
        <v/>
      </c>
      <c r="B393" s="27" t="str">
        <f>Resultados!$K$4</f>
        <v/>
      </c>
      <c r="C393" s="505" t="str">
        <f>'900000'!$B113</f>
        <v>09901093</v>
      </c>
      <c r="D393" s="160" t="str">
        <f>'900000'!$U$19</f>
        <v>C09901019</v>
      </c>
      <c r="E393" s="505">
        <f>'900000'!$U113</f>
        <v>0</v>
      </c>
      <c r="F393" s="27" t="s">
        <v>19081</v>
      </c>
    </row>
    <row r="394" spans="1:6">
      <c r="A394" s="27" t="str">
        <f>Resultados!$K$3</f>
        <v/>
      </c>
      <c r="B394" s="27" t="str">
        <f>Resultados!$K$4</f>
        <v/>
      </c>
      <c r="C394" s="505" t="str">
        <f>'900000'!$B114</f>
        <v>09901094</v>
      </c>
      <c r="D394" s="160" t="str">
        <f>'900000'!$U$19</f>
        <v>C09901019</v>
      </c>
      <c r="E394" s="505">
        <f>'900000'!$U114</f>
        <v>0</v>
      </c>
      <c r="F394" s="27" t="s">
        <v>19081</v>
      </c>
    </row>
    <row r="395" spans="1:6">
      <c r="A395" s="27" t="str">
        <f>Resultados!$K$3</f>
        <v/>
      </c>
      <c r="B395" s="27" t="str">
        <f>Resultados!$K$4</f>
        <v/>
      </c>
      <c r="C395" s="505" t="str">
        <f>'900000'!$B115</f>
        <v>09901095</v>
      </c>
      <c r="D395" s="160" t="str">
        <f>'900000'!$U$19</f>
        <v>C09901019</v>
      </c>
      <c r="E395" s="505">
        <f>'900000'!$U115</f>
        <v>0</v>
      </c>
      <c r="F395" s="27" t="s">
        <v>19081</v>
      </c>
    </row>
    <row r="396" spans="1:6">
      <c r="A396" s="27" t="str">
        <f>Resultados!$K$3</f>
        <v/>
      </c>
      <c r="B396" s="27" t="str">
        <f>Resultados!$K$4</f>
        <v/>
      </c>
      <c r="C396" s="505" t="str">
        <f>'900000'!$B116</f>
        <v>09901096</v>
      </c>
      <c r="D396" s="160" t="str">
        <f>'900000'!$U$19</f>
        <v>C09901019</v>
      </c>
      <c r="E396" s="505">
        <f>'900000'!$U116</f>
        <v>0</v>
      </c>
      <c r="F396" s="27" t="s">
        <v>19081</v>
      </c>
    </row>
    <row r="397" spans="1:6">
      <c r="A397" s="27" t="str">
        <f>Resultados!$K$3</f>
        <v/>
      </c>
      <c r="B397" s="27" t="str">
        <f>Resultados!$K$4</f>
        <v/>
      </c>
      <c r="C397" s="505" t="str">
        <f>'900000'!$B117</f>
        <v>09901097</v>
      </c>
      <c r="D397" s="160" t="str">
        <f>'900000'!$U$19</f>
        <v>C09901019</v>
      </c>
      <c r="E397" s="505">
        <f>'900000'!$U117</f>
        <v>0</v>
      </c>
      <c r="F397" s="27" t="s">
        <v>19081</v>
      </c>
    </row>
    <row r="398" spans="1:6">
      <c r="A398" s="27" t="str">
        <f>Resultados!$K$3</f>
        <v/>
      </c>
      <c r="B398" s="27" t="str">
        <f>Resultados!$K$4</f>
        <v/>
      </c>
      <c r="C398" s="505" t="str">
        <f>'900000'!$B118</f>
        <v>09901098</v>
      </c>
      <c r="D398" s="160" t="str">
        <f>'900000'!$U$19</f>
        <v>C09901019</v>
      </c>
      <c r="E398" s="505">
        <f>'900000'!$U118</f>
        <v>0</v>
      </c>
      <c r="F398" s="27" t="s">
        <v>19081</v>
      </c>
    </row>
    <row r="399" spans="1:6">
      <c r="A399" s="27" t="str">
        <f>Resultados!$K$3</f>
        <v/>
      </c>
      <c r="B399" s="27" t="str">
        <f>Resultados!$K$4</f>
        <v/>
      </c>
      <c r="C399" s="505" t="str">
        <f>'900000'!$B119</f>
        <v>09901099</v>
      </c>
      <c r="D399" s="160" t="str">
        <f>'900000'!$U$19</f>
        <v>C09901019</v>
      </c>
      <c r="E399" s="505">
        <f>'900000'!$U119</f>
        <v>0</v>
      </c>
      <c r="F399" s="27" t="s">
        <v>19081</v>
      </c>
    </row>
    <row r="400" spans="1:6">
      <c r="A400" s="27" t="str">
        <f>Resultados!$K$3</f>
        <v/>
      </c>
      <c r="B400" s="27" t="str">
        <f>Resultados!$K$4</f>
        <v/>
      </c>
      <c r="C400" s="505" t="str">
        <f>'900000'!$B120</f>
        <v>09901100</v>
      </c>
      <c r="D400" s="160" t="str">
        <f>'900000'!$U$19</f>
        <v>C09901019</v>
      </c>
      <c r="E400" s="505">
        <f>'900000'!$U120</f>
        <v>0</v>
      </c>
      <c r="F400" s="27" t="s">
        <v>19081</v>
      </c>
    </row>
    <row r="401" spans="1:7">
      <c r="A401" s="27" t="str">
        <f>Resultados!$K$3</f>
        <v/>
      </c>
      <c r="B401" s="27" t="str">
        <f>Resultados!$K$4</f>
        <v/>
      </c>
      <c r="C401" s="505" t="str">
        <f>'900000'!$B121</f>
        <v>09901101</v>
      </c>
      <c r="D401" s="160" t="str">
        <f>'900000'!$U$19</f>
        <v>C09901019</v>
      </c>
      <c r="E401" s="505">
        <f>'900000'!$U121</f>
        <v>0</v>
      </c>
      <c r="F401" s="27" t="s">
        <v>19081</v>
      </c>
      <c r="G401" s="27"/>
    </row>
    <row r="402" spans="1:7">
      <c r="A402" s="27" t="str">
        <f>Resultados!$K$3</f>
        <v/>
      </c>
      <c r="B402" s="27" t="str">
        <f>Resultados!$K$4</f>
        <v/>
      </c>
      <c r="C402" s="568" t="str">
        <f>'900000'!$B22</f>
        <v>09901002</v>
      </c>
      <c r="D402" s="160" t="str">
        <f>'900000'!$V$19</f>
        <v>C09901020</v>
      </c>
      <c r="E402">
        <f>'900000'!$V22</f>
        <v>0</v>
      </c>
      <c r="F402" s="27" t="s">
        <v>19081</v>
      </c>
      <c r="G402" s="27"/>
    </row>
    <row r="403" spans="1:7">
      <c r="A403" s="27" t="str">
        <f>Resultados!$K$3</f>
        <v/>
      </c>
      <c r="B403" s="27" t="str">
        <f>Resultados!$K$4</f>
        <v/>
      </c>
      <c r="C403" s="568" t="str">
        <f>'900000'!$B23</f>
        <v>09901003</v>
      </c>
      <c r="D403" s="160" t="str">
        <f>'900000'!$V$19</f>
        <v>C09901020</v>
      </c>
      <c r="E403" s="27">
        <f>'900000'!$V23</f>
        <v>0</v>
      </c>
      <c r="F403" s="27" t="s">
        <v>19081</v>
      </c>
    </row>
    <row r="404" spans="1:7">
      <c r="A404" s="27" t="str">
        <f>Resultados!$K$3</f>
        <v/>
      </c>
      <c r="B404" s="27" t="str">
        <f>Resultados!$K$4</f>
        <v/>
      </c>
      <c r="C404" s="568" t="str">
        <f>'900000'!$B24</f>
        <v>09901004</v>
      </c>
      <c r="D404" s="160" t="str">
        <f>'900000'!$V$19</f>
        <v>C09901020</v>
      </c>
      <c r="E404" s="27">
        <f>'900000'!$V24</f>
        <v>0</v>
      </c>
      <c r="F404" s="27" t="s">
        <v>19081</v>
      </c>
    </row>
    <row r="405" spans="1:7">
      <c r="A405" s="27" t="str">
        <f>Resultados!$K$3</f>
        <v/>
      </c>
      <c r="B405" s="27" t="str">
        <f>Resultados!$K$4</f>
        <v/>
      </c>
      <c r="C405" s="568" t="str">
        <f>'900000'!$B25</f>
        <v>09901005</v>
      </c>
      <c r="D405" s="160" t="str">
        <f>'900000'!$V$19</f>
        <v>C09901020</v>
      </c>
      <c r="E405" s="27">
        <f>'900000'!$V25</f>
        <v>0</v>
      </c>
      <c r="F405" s="27" t="s">
        <v>19081</v>
      </c>
    </row>
    <row r="406" spans="1:7">
      <c r="A406" s="27" t="str">
        <f>Resultados!$K$3</f>
        <v/>
      </c>
      <c r="B406" s="27" t="str">
        <f>Resultados!$K$4</f>
        <v/>
      </c>
      <c r="C406" s="568" t="str">
        <f>'900000'!$B26</f>
        <v>09901006</v>
      </c>
      <c r="D406" s="160" t="str">
        <f>'900000'!$V$19</f>
        <v>C09901020</v>
      </c>
      <c r="E406" s="27">
        <f>'900000'!$V26</f>
        <v>0</v>
      </c>
      <c r="F406" s="27" t="s">
        <v>19081</v>
      </c>
    </row>
    <row r="407" spans="1:7">
      <c r="A407" s="27" t="str">
        <f>Resultados!$K$3</f>
        <v/>
      </c>
      <c r="B407" s="27" t="str">
        <f>Resultados!$K$4</f>
        <v/>
      </c>
      <c r="C407" s="568" t="str">
        <f>'900000'!$B27</f>
        <v>09901007</v>
      </c>
      <c r="D407" s="160" t="str">
        <f>'900000'!$V$19</f>
        <v>C09901020</v>
      </c>
      <c r="E407" s="27">
        <f>'900000'!$V27</f>
        <v>0</v>
      </c>
      <c r="F407" s="27" t="s">
        <v>19081</v>
      </c>
    </row>
    <row r="408" spans="1:7">
      <c r="A408" s="27" t="str">
        <f>Resultados!$K$3</f>
        <v/>
      </c>
      <c r="B408" s="27" t="str">
        <f>Resultados!$K$4</f>
        <v/>
      </c>
      <c r="C408" s="568" t="str">
        <f>'900000'!$B28</f>
        <v>09901008</v>
      </c>
      <c r="D408" s="160" t="str">
        <f>'900000'!$V$19</f>
        <v>C09901020</v>
      </c>
      <c r="E408" s="27">
        <f>'900000'!$V28</f>
        <v>0</v>
      </c>
      <c r="F408" s="27" t="s">
        <v>19081</v>
      </c>
    </row>
    <row r="409" spans="1:7">
      <c r="A409" s="27" t="str">
        <f>Resultados!$K$3</f>
        <v/>
      </c>
      <c r="B409" s="27" t="str">
        <f>Resultados!$K$4</f>
        <v/>
      </c>
      <c r="C409" s="568" t="str">
        <f>'900000'!$B29</f>
        <v>09901009</v>
      </c>
      <c r="D409" s="160" t="str">
        <f>'900000'!$V$19</f>
        <v>C09901020</v>
      </c>
      <c r="E409" s="27">
        <f>'900000'!$V29</f>
        <v>0</v>
      </c>
      <c r="F409" s="27" t="s">
        <v>19081</v>
      </c>
    </row>
    <row r="410" spans="1:7">
      <c r="A410" s="27" t="str">
        <f>Resultados!$K$3</f>
        <v/>
      </c>
      <c r="B410" s="27" t="str">
        <f>Resultados!$K$4</f>
        <v/>
      </c>
      <c r="C410" s="568" t="str">
        <f>'900000'!$B30</f>
        <v>09901010</v>
      </c>
      <c r="D410" s="160" t="str">
        <f>'900000'!$V$19</f>
        <v>C09901020</v>
      </c>
      <c r="E410" s="27">
        <f>'900000'!$V30</f>
        <v>0</v>
      </c>
      <c r="F410" s="27" t="s">
        <v>19081</v>
      </c>
    </row>
    <row r="411" spans="1:7">
      <c r="A411" s="27" t="str">
        <f>Resultados!$K$3</f>
        <v/>
      </c>
      <c r="B411" s="27" t="str">
        <f>Resultados!$K$4</f>
        <v/>
      </c>
      <c r="C411" s="568" t="str">
        <f>'900000'!$B31</f>
        <v>09901011</v>
      </c>
      <c r="D411" s="160" t="str">
        <f>'900000'!$V$19</f>
        <v>C09901020</v>
      </c>
      <c r="E411" s="27">
        <f>'900000'!$V31</f>
        <v>0</v>
      </c>
      <c r="F411" s="27" t="s">
        <v>19081</v>
      </c>
    </row>
    <row r="412" spans="1:7">
      <c r="A412" s="27" t="str">
        <f>Resultados!$K$3</f>
        <v/>
      </c>
      <c r="B412" s="27" t="str">
        <f>Resultados!$K$4</f>
        <v/>
      </c>
      <c r="C412" s="568" t="str">
        <f>'900000'!$B32</f>
        <v>09901012</v>
      </c>
      <c r="D412" s="160" t="str">
        <f>'900000'!$V$19</f>
        <v>C09901020</v>
      </c>
      <c r="E412" s="27">
        <f>'900000'!$V32</f>
        <v>0</v>
      </c>
      <c r="F412" s="27" t="s">
        <v>19081</v>
      </c>
    </row>
    <row r="413" spans="1:7">
      <c r="A413" s="27" t="str">
        <f>Resultados!$K$3</f>
        <v/>
      </c>
      <c r="B413" s="27" t="str">
        <f>Resultados!$K$4</f>
        <v/>
      </c>
      <c r="C413" s="568" t="str">
        <f>'900000'!$B33</f>
        <v>09901013</v>
      </c>
      <c r="D413" s="160" t="str">
        <f>'900000'!$V$19</f>
        <v>C09901020</v>
      </c>
      <c r="E413" s="27">
        <f>'900000'!$V33</f>
        <v>0</v>
      </c>
      <c r="F413" s="27" t="s">
        <v>19081</v>
      </c>
    </row>
    <row r="414" spans="1:7">
      <c r="A414" s="27" t="str">
        <f>Resultados!$K$3</f>
        <v/>
      </c>
      <c r="B414" s="27" t="str">
        <f>Resultados!$K$4</f>
        <v/>
      </c>
      <c r="C414" s="568" t="str">
        <f>'900000'!$B34</f>
        <v>09901014</v>
      </c>
      <c r="D414" s="160" t="str">
        <f>'900000'!$V$19</f>
        <v>C09901020</v>
      </c>
      <c r="E414" s="27">
        <f>'900000'!$V34</f>
        <v>0</v>
      </c>
      <c r="F414" s="27" t="s">
        <v>19081</v>
      </c>
    </row>
    <row r="415" spans="1:7">
      <c r="A415" s="27" t="str">
        <f>Resultados!$K$3</f>
        <v/>
      </c>
      <c r="B415" s="27" t="str">
        <f>Resultados!$K$4</f>
        <v/>
      </c>
      <c r="C415" s="568" t="str">
        <f>'900000'!$B35</f>
        <v>09901015</v>
      </c>
      <c r="D415" s="160" t="str">
        <f>'900000'!$V$19</f>
        <v>C09901020</v>
      </c>
      <c r="E415" s="27">
        <f>'900000'!$V35</f>
        <v>0</v>
      </c>
      <c r="F415" s="27" t="s">
        <v>19081</v>
      </c>
    </row>
    <row r="416" spans="1:7">
      <c r="A416" s="27" t="str">
        <f>Resultados!$K$3</f>
        <v/>
      </c>
      <c r="B416" s="27" t="str">
        <f>Resultados!$K$4</f>
        <v/>
      </c>
      <c r="C416" s="568" t="str">
        <f>'900000'!$B36</f>
        <v>09901016</v>
      </c>
      <c r="D416" s="160" t="str">
        <f>'900000'!$V$19</f>
        <v>C09901020</v>
      </c>
      <c r="E416" s="27">
        <f>'900000'!$V36</f>
        <v>0</v>
      </c>
      <c r="F416" s="27" t="s">
        <v>19081</v>
      </c>
    </row>
    <row r="417" spans="1:6">
      <c r="A417" s="27" t="str">
        <f>Resultados!$K$3</f>
        <v/>
      </c>
      <c r="B417" s="27" t="str">
        <f>Resultados!$K$4</f>
        <v/>
      </c>
      <c r="C417" s="568" t="str">
        <f>'900000'!$B37</f>
        <v>09901017</v>
      </c>
      <c r="D417" s="160" t="str">
        <f>'900000'!$V$19</f>
        <v>C09901020</v>
      </c>
      <c r="E417" s="27">
        <f>'900000'!$V37</f>
        <v>0</v>
      </c>
      <c r="F417" s="27" t="s">
        <v>19081</v>
      </c>
    </row>
    <row r="418" spans="1:6">
      <c r="A418" s="27" t="str">
        <f>Resultados!$K$3</f>
        <v/>
      </c>
      <c r="B418" s="27" t="str">
        <f>Resultados!$K$4</f>
        <v/>
      </c>
      <c r="C418" s="568" t="str">
        <f>'900000'!$B38</f>
        <v>09901018</v>
      </c>
      <c r="D418" s="160" t="str">
        <f>'900000'!$V$19</f>
        <v>C09901020</v>
      </c>
      <c r="E418" s="27">
        <f>'900000'!$V38</f>
        <v>0</v>
      </c>
      <c r="F418" s="27" t="s">
        <v>19081</v>
      </c>
    </row>
    <row r="419" spans="1:6">
      <c r="A419" s="27" t="str">
        <f>Resultados!$K$3</f>
        <v/>
      </c>
      <c r="B419" s="27" t="str">
        <f>Resultados!$K$4</f>
        <v/>
      </c>
      <c r="C419" s="568" t="str">
        <f>'900000'!$B39</f>
        <v>09901019</v>
      </c>
      <c r="D419" s="160" t="str">
        <f>'900000'!$V$19</f>
        <v>C09901020</v>
      </c>
      <c r="E419" s="27">
        <f>'900000'!$V39</f>
        <v>0</v>
      </c>
      <c r="F419" s="27" t="s">
        <v>19081</v>
      </c>
    </row>
    <row r="420" spans="1:6">
      <c r="A420" s="27" t="str">
        <f>Resultados!$K$3</f>
        <v/>
      </c>
      <c r="B420" s="27" t="str">
        <f>Resultados!$K$4</f>
        <v/>
      </c>
      <c r="C420" s="568" t="str">
        <f>'900000'!$B40</f>
        <v>09901020</v>
      </c>
      <c r="D420" s="160" t="str">
        <f>'900000'!$V$19</f>
        <v>C09901020</v>
      </c>
      <c r="E420" s="27">
        <f>'900000'!$V40</f>
        <v>0</v>
      </c>
      <c r="F420" s="27" t="s">
        <v>19081</v>
      </c>
    </row>
    <row r="421" spans="1:6">
      <c r="A421" s="27" t="str">
        <f>Resultados!$K$3</f>
        <v/>
      </c>
      <c r="B421" s="27" t="str">
        <f>Resultados!$K$4</f>
        <v/>
      </c>
      <c r="C421" s="568" t="str">
        <f>'900000'!$B41</f>
        <v>09901021</v>
      </c>
      <c r="D421" s="160" t="str">
        <f>'900000'!$V$19</f>
        <v>C09901020</v>
      </c>
      <c r="E421" s="27">
        <f>'900000'!$V41</f>
        <v>0</v>
      </c>
      <c r="F421" s="27" t="s">
        <v>19081</v>
      </c>
    </row>
    <row r="422" spans="1:6">
      <c r="A422" s="27" t="str">
        <f>Resultados!$K$3</f>
        <v/>
      </c>
      <c r="B422" s="27" t="str">
        <f>Resultados!$K$4</f>
        <v/>
      </c>
      <c r="C422" s="568" t="str">
        <f>'900000'!$B42</f>
        <v>09901022</v>
      </c>
      <c r="D422" s="160" t="str">
        <f>'900000'!$V$19</f>
        <v>C09901020</v>
      </c>
      <c r="E422" s="27">
        <f>'900000'!$V42</f>
        <v>0</v>
      </c>
      <c r="F422" s="27" t="s">
        <v>19081</v>
      </c>
    </row>
    <row r="423" spans="1:6">
      <c r="A423" s="27" t="str">
        <f>Resultados!$K$3</f>
        <v/>
      </c>
      <c r="B423" s="27" t="str">
        <f>Resultados!$K$4</f>
        <v/>
      </c>
      <c r="C423" s="568" t="str">
        <f>'900000'!$B43</f>
        <v>09901023</v>
      </c>
      <c r="D423" s="160" t="str">
        <f>'900000'!$V$19</f>
        <v>C09901020</v>
      </c>
      <c r="E423" s="27">
        <f>'900000'!$V43</f>
        <v>0</v>
      </c>
      <c r="F423" s="27" t="s">
        <v>19081</v>
      </c>
    </row>
    <row r="424" spans="1:6">
      <c r="A424" s="27" t="str">
        <f>Resultados!$K$3</f>
        <v/>
      </c>
      <c r="B424" s="27" t="str">
        <f>Resultados!$K$4</f>
        <v/>
      </c>
      <c r="C424" s="568" t="str">
        <f>'900000'!$B44</f>
        <v>09901024</v>
      </c>
      <c r="D424" s="160" t="str">
        <f>'900000'!$V$19</f>
        <v>C09901020</v>
      </c>
      <c r="E424" s="27">
        <f>'900000'!$V44</f>
        <v>0</v>
      </c>
      <c r="F424" s="27" t="s">
        <v>19081</v>
      </c>
    </row>
    <row r="425" spans="1:6">
      <c r="A425" s="27" t="str">
        <f>Resultados!$K$3</f>
        <v/>
      </c>
      <c r="B425" s="27" t="str">
        <f>Resultados!$K$4</f>
        <v/>
      </c>
      <c r="C425" s="568" t="str">
        <f>'900000'!$B45</f>
        <v>09901025</v>
      </c>
      <c r="D425" s="160" t="str">
        <f>'900000'!$V$19</f>
        <v>C09901020</v>
      </c>
      <c r="E425" s="27">
        <f>'900000'!$V45</f>
        <v>0</v>
      </c>
      <c r="F425" s="27" t="s">
        <v>19081</v>
      </c>
    </row>
    <row r="426" spans="1:6">
      <c r="A426" s="27" t="str">
        <f>Resultados!$K$3</f>
        <v/>
      </c>
      <c r="B426" s="27" t="str">
        <f>Resultados!$K$4</f>
        <v/>
      </c>
      <c r="C426" s="568" t="str">
        <f>'900000'!$B46</f>
        <v>09901026</v>
      </c>
      <c r="D426" s="160" t="str">
        <f>'900000'!$V$19</f>
        <v>C09901020</v>
      </c>
      <c r="E426" s="27">
        <f>'900000'!$V46</f>
        <v>0</v>
      </c>
      <c r="F426" s="27" t="s">
        <v>19081</v>
      </c>
    </row>
    <row r="427" spans="1:6">
      <c r="A427" s="27" t="str">
        <f>Resultados!$K$3</f>
        <v/>
      </c>
      <c r="B427" s="27" t="str">
        <f>Resultados!$K$4</f>
        <v/>
      </c>
      <c r="C427" s="568" t="str">
        <f>'900000'!$B47</f>
        <v>09901027</v>
      </c>
      <c r="D427" s="160" t="str">
        <f>'900000'!$V$19</f>
        <v>C09901020</v>
      </c>
      <c r="E427" s="27">
        <f>'900000'!$V47</f>
        <v>0</v>
      </c>
      <c r="F427" s="27" t="s">
        <v>19081</v>
      </c>
    </row>
    <row r="428" spans="1:6">
      <c r="A428" s="27" t="str">
        <f>Resultados!$K$3</f>
        <v/>
      </c>
      <c r="B428" s="27" t="str">
        <f>Resultados!$K$4</f>
        <v/>
      </c>
      <c r="C428" s="568" t="str">
        <f>'900000'!$B48</f>
        <v>09901028</v>
      </c>
      <c r="D428" s="160" t="str">
        <f>'900000'!$V$19</f>
        <v>C09901020</v>
      </c>
      <c r="E428" s="27">
        <f>'900000'!$V48</f>
        <v>0</v>
      </c>
      <c r="F428" s="27" t="s">
        <v>19081</v>
      </c>
    </row>
    <row r="429" spans="1:6">
      <c r="A429" s="27" t="str">
        <f>Resultados!$K$3</f>
        <v/>
      </c>
      <c r="B429" s="27" t="str">
        <f>Resultados!$K$4</f>
        <v/>
      </c>
      <c r="C429" s="568" t="str">
        <f>'900000'!$B49</f>
        <v>09901029</v>
      </c>
      <c r="D429" s="160" t="str">
        <f>'900000'!$V$19</f>
        <v>C09901020</v>
      </c>
      <c r="E429" s="27">
        <f>'900000'!$V49</f>
        <v>0</v>
      </c>
      <c r="F429" s="27" t="s">
        <v>19081</v>
      </c>
    </row>
    <row r="430" spans="1:6">
      <c r="A430" s="27" t="str">
        <f>Resultados!$K$3</f>
        <v/>
      </c>
      <c r="B430" s="27" t="str">
        <f>Resultados!$K$4</f>
        <v/>
      </c>
      <c r="C430" s="568" t="str">
        <f>'900000'!$B50</f>
        <v>09901030</v>
      </c>
      <c r="D430" s="160" t="str">
        <f>'900000'!$V$19</f>
        <v>C09901020</v>
      </c>
      <c r="E430" s="27">
        <f>'900000'!$V50</f>
        <v>0</v>
      </c>
      <c r="F430" s="27" t="s">
        <v>19081</v>
      </c>
    </row>
    <row r="431" spans="1:6">
      <c r="A431" s="27" t="str">
        <f>Resultados!$K$3</f>
        <v/>
      </c>
      <c r="B431" s="27" t="str">
        <f>Resultados!$K$4</f>
        <v/>
      </c>
      <c r="C431" s="568" t="str">
        <f>'900000'!$B51</f>
        <v>09901031</v>
      </c>
      <c r="D431" s="160" t="str">
        <f>'900000'!$V$19</f>
        <v>C09901020</v>
      </c>
      <c r="E431" s="27">
        <f>'900000'!$V51</f>
        <v>0</v>
      </c>
      <c r="F431" s="27" t="s">
        <v>19081</v>
      </c>
    </row>
    <row r="432" spans="1:6">
      <c r="A432" s="27" t="str">
        <f>Resultados!$K$3</f>
        <v/>
      </c>
      <c r="B432" s="27" t="str">
        <f>Resultados!$K$4</f>
        <v/>
      </c>
      <c r="C432" s="568" t="str">
        <f>'900000'!$B52</f>
        <v>09901032</v>
      </c>
      <c r="D432" s="160" t="str">
        <f>'900000'!$V$19</f>
        <v>C09901020</v>
      </c>
      <c r="E432" s="27">
        <f>'900000'!$V52</f>
        <v>0</v>
      </c>
      <c r="F432" s="27" t="s">
        <v>19081</v>
      </c>
    </row>
    <row r="433" spans="1:6">
      <c r="A433" s="27" t="str">
        <f>Resultados!$K$3</f>
        <v/>
      </c>
      <c r="B433" s="27" t="str">
        <f>Resultados!$K$4</f>
        <v/>
      </c>
      <c r="C433" s="568" t="str">
        <f>'900000'!$B53</f>
        <v>09901033</v>
      </c>
      <c r="D433" s="160" t="str">
        <f>'900000'!$V$19</f>
        <v>C09901020</v>
      </c>
      <c r="E433" s="27">
        <f>'900000'!$V53</f>
        <v>0</v>
      </c>
      <c r="F433" s="27" t="s">
        <v>19081</v>
      </c>
    </row>
    <row r="434" spans="1:6">
      <c r="A434" s="27" t="str">
        <f>Resultados!$K$3</f>
        <v/>
      </c>
      <c r="B434" s="27" t="str">
        <f>Resultados!$K$4</f>
        <v/>
      </c>
      <c r="C434" s="568" t="str">
        <f>'900000'!$B54</f>
        <v>09901034</v>
      </c>
      <c r="D434" s="160" t="str">
        <f>'900000'!$V$19</f>
        <v>C09901020</v>
      </c>
      <c r="E434" s="27">
        <f>'900000'!$V54</f>
        <v>0</v>
      </c>
      <c r="F434" s="27" t="s">
        <v>19081</v>
      </c>
    </row>
    <row r="435" spans="1:6">
      <c r="A435" s="27" t="str">
        <f>Resultados!$K$3</f>
        <v/>
      </c>
      <c r="B435" s="27" t="str">
        <f>Resultados!$K$4</f>
        <v/>
      </c>
      <c r="C435" s="568" t="str">
        <f>'900000'!$B55</f>
        <v>09901035</v>
      </c>
      <c r="D435" s="160" t="str">
        <f>'900000'!$V$19</f>
        <v>C09901020</v>
      </c>
      <c r="E435" s="27">
        <f>'900000'!$V55</f>
        <v>0</v>
      </c>
      <c r="F435" s="27" t="s">
        <v>19081</v>
      </c>
    </row>
    <row r="436" spans="1:6">
      <c r="A436" s="27" t="str">
        <f>Resultados!$K$3</f>
        <v/>
      </c>
      <c r="B436" s="27" t="str">
        <f>Resultados!$K$4</f>
        <v/>
      </c>
      <c r="C436" s="568" t="str">
        <f>'900000'!$B56</f>
        <v>09901036</v>
      </c>
      <c r="D436" s="160" t="str">
        <f>'900000'!$V$19</f>
        <v>C09901020</v>
      </c>
      <c r="E436" s="27">
        <f>'900000'!$V56</f>
        <v>0</v>
      </c>
      <c r="F436" s="27" t="s">
        <v>19081</v>
      </c>
    </row>
    <row r="437" spans="1:6">
      <c r="A437" s="27" t="str">
        <f>Resultados!$K$3</f>
        <v/>
      </c>
      <c r="B437" s="27" t="str">
        <f>Resultados!$K$4</f>
        <v/>
      </c>
      <c r="C437" s="568" t="str">
        <f>'900000'!$B57</f>
        <v>09901037</v>
      </c>
      <c r="D437" s="160" t="str">
        <f>'900000'!$V$19</f>
        <v>C09901020</v>
      </c>
      <c r="E437" s="27">
        <f>'900000'!$V57</f>
        <v>0</v>
      </c>
      <c r="F437" s="27" t="s">
        <v>19081</v>
      </c>
    </row>
    <row r="438" spans="1:6">
      <c r="A438" s="27" t="str">
        <f>Resultados!$K$3</f>
        <v/>
      </c>
      <c r="B438" s="27" t="str">
        <f>Resultados!$K$4</f>
        <v/>
      </c>
      <c r="C438" s="568" t="str">
        <f>'900000'!$B58</f>
        <v>09901038</v>
      </c>
      <c r="D438" s="160" t="str">
        <f>'900000'!$V$19</f>
        <v>C09901020</v>
      </c>
      <c r="E438" s="27">
        <f>'900000'!$V58</f>
        <v>0</v>
      </c>
      <c r="F438" s="27" t="s">
        <v>19081</v>
      </c>
    </row>
    <row r="439" spans="1:6">
      <c r="A439" s="27" t="str">
        <f>Resultados!$K$3</f>
        <v/>
      </c>
      <c r="B439" s="27" t="str">
        <f>Resultados!$K$4</f>
        <v/>
      </c>
      <c r="C439" s="568" t="str">
        <f>'900000'!$B59</f>
        <v>09901039</v>
      </c>
      <c r="D439" s="160" t="str">
        <f>'900000'!$V$19</f>
        <v>C09901020</v>
      </c>
      <c r="E439" s="27">
        <f>'900000'!$V59</f>
        <v>0</v>
      </c>
      <c r="F439" s="27" t="s">
        <v>19081</v>
      </c>
    </row>
    <row r="440" spans="1:6">
      <c r="A440" s="27" t="str">
        <f>Resultados!$K$3</f>
        <v/>
      </c>
      <c r="B440" s="27" t="str">
        <f>Resultados!$K$4</f>
        <v/>
      </c>
      <c r="C440" s="568" t="str">
        <f>'900000'!$B60</f>
        <v>09901040</v>
      </c>
      <c r="D440" s="160" t="str">
        <f>'900000'!$V$19</f>
        <v>C09901020</v>
      </c>
      <c r="E440" s="27">
        <f>'900000'!$V60</f>
        <v>0</v>
      </c>
      <c r="F440" s="27" t="s">
        <v>19081</v>
      </c>
    </row>
    <row r="441" spans="1:6">
      <c r="A441" s="27" t="str">
        <f>Resultados!$K$3</f>
        <v/>
      </c>
      <c r="B441" s="27" t="str">
        <f>Resultados!$K$4</f>
        <v/>
      </c>
      <c r="C441" s="568" t="str">
        <f>'900000'!$B61</f>
        <v>09901041</v>
      </c>
      <c r="D441" s="160" t="str">
        <f>'900000'!$V$19</f>
        <v>C09901020</v>
      </c>
      <c r="E441" s="27">
        <f>'900000'!$V61</f>
        <v>0</v>
      </c>
      <c r="F441" s="27" t="s">
        <v>19081</v>
      </c>
    </row>
    <row r="442" spans="1:6">
      <c r="A442" s="27" t="str">
        <f>Resultados!$K$3</f>
        <v/>
      </c>
      <c r="B442" s="27" t="str">
        <f>Resultados!$K$4</f>
        <v/>
      </c>
      <c r="C442" s="568" t="str">
        <f>'900000'!$B62</f>
        <v>09901042</v>
      </c>
      <c r="D442" s="160" t="str">
        <f>'900000'!$V$19</f>
        <v>C09901020</v>
      </c>
      <c r="E442" s="27">
        <f>'900000'!$V62</f>
        <v>0</v>
      </c>
      <c r="F442" s="27" t="s">
        <v>19081</v>
      </c>
    </row>
    <row r="443" spans="1:6">
      <c r="A443" s="27" t="str">
        <f>Resultados!$K$3</f>
        <v/>
      </c>
      <c r="B443" s="27" t="str">
        <f>Resultados!$K$4</f>
        <v/>
      </c>
      <c r="C443" s="568" t="str">
        <f>'900000'!$B63</f>
        <v>09901043</v>
      </c>
      <c r="D443" s="160" t="str">
        <f>'900000'!$V$19</f>
        <v>C09901020</v>
      </c>
      <c r="E443" s="27">
        <f>'900000'!$V63</f>
        <v>0</v>
      </c>
      <c r="F443" s="27" t="s">
        <v>19081</v>
      </c>
    </row>
    <row r="444" spans="1:6">
      <c r="A444" s="27" t="str">
        <f>Resultados!$K$3</f>
        <v/>
      </c>
      <c r="B444" s="27" t="str">
        <f>Resultados!$K$4</f>
        <v/>
      </c>
      <c r="C444" s="568" t="str">
        <f>'900000'!$B64</f>
        <v>09901044</v>
      </c>
      <c r="D444" s="160" t="str">
        <f>'900000'!$V$19</f>
        <v>C09901020</v>
      </c>
      <c r="E444" s="27">
        <f>'900000'!$V64</f>
        <v>0</v>
      </c>
      <c r="F444" s="27" t="s">
        <v>19081</v>
      </c>
    </row>
    <row r="445" spans="1:6">
      <c r="A445" s="27" t="str">
        <f>Resultados!$K$3</f>
        <v/>
      </c>
      <c r="B445" s="27" t="str">
        <f>Resultados!$K$4</f>
        <v/>
      </c>
      <c r="C445" s="568" t="str">
        <f>'900000'!$B65</f>
        <v>09901045</v>
      </c>
      <c r="D445" s="160" t="str">
        <f>'900000'!$V$19</f>
        <v>C09901020</v>
      </c>
      <c r="E445" s="27">
        <f>'900000'!$V65</f>
        <v>0</v>
      </c>
      <c r="F445" s="27" t="s">
        <v>19081</v>
      </c>
    </row>
    <row r="446" spans="1:6">
      <c r="A446" s="27" t="str">
        <f>Resultados!$K$3</f>
        <v/>
      </c>
      <c r="B446" s="27" t="str">
        <f>Resultados!$K$4</f>
        <v/>
      </c>
      <c r="C446" s="568" t="str">
        <f>'900000'!$B66</f>
        <v>09901046</v>
      </c>
      <c r="D446" s="160" t="str">
        <f>'900000'!$V$19</f>
        <v>C09901020</v>
      </c>
      <c r="E446" s="27">
        <f>'900000'!$V66</f>
        <v>0</v>
      </c>
      <c r="F446" s="27" t="s">
        <v>19081</v>
      </c>
    </row>
    <row r="447" spans="1:6">
      <c r="A447" s="27" t="str">
        <f>Resultados!$K$3</f>
        <v/>
      </c>
      <c r="B447" s="27" t="str">
        <f>Resultados!$K$4</f>
        <v/>
      </c>
      <c r="C447" s="568" t="str">
        <f>'900000'!$B67</f>
        <v>09901047</v>
      </c>
      <c r="D447" s="160" t="str">
        <f>'900000'!$V$19</f>
        <v>C09901020</v>
      </c>
      <c r="E447" s="27">
        <f>'900000'!$V67</f>
        <v>0</v>
      </c>
      <c r="F447" s="27" t="s">
        <v>19081</v>
      </c>
    </row>
    <row r="448" spans="1:6">
      <c r="A448" s="27" t="str">
        <f>Resultados!$K$3</f>
        <v/>
      </c>
      <c r="B448" s="27" t="str">
        <f>Resultados!$K$4</f>
        <v/>
      </c>
      <c r="C448" s="568" t="str">
        <f>'900000'!$B68</f>
        <v>09901048</v>
      </c>
      <c r="D448" s="160" t="str">
        <f>'900000'!$V$19</f>
        <v>C09901020</v>
      </c>
      <c r="E448" s="27">
        <f>'900000'!$V68</f>
        <v>0</v>
      </c>
      <c r="F448" s="27" t="s">
        <v>19081</v>
      </c>
    </row>
    <row r="449" spans="1:6">
      <c r="A449" s="27" t="str">
        <f>Resultados!$K$3</f>
        <v/>
      </c>
      <c r="B449" s="27" t="str">
        <f>Resultados!$K$4</f>
        <v/>
      </c>
      <c r="C449" s="568" t="str">
        <f>'900000'!$B69</f>
        <v>09901049</v>
      </c>
      <c r="D449" s="160" t="str">
        <f>'900000'!$V$19</f>
        <v>C09901020</v>
      </c>
      <c r="E449" s="27">
        <f>'900000'!$V69</f>
        <v>0</v>
      </c>
      <c r="F449" s="27" t="s">
        <v>19081</v>
      </c>
    </row>
    <row r="450" spans="1:6">
      <c r="A450" s="27" t="str">
        <f>Resultados!$K$3</f>
        <v/>
      </c>
      <c r="B450" s="27" t="str">
        <f>Resultados!$K$4</f>
        <v/>
      </c>
      <c r="C450" s="568" t="str">
        <f>'900000'!$B70</f>
        <v>09901050</v>
      </c>
      <c r="D450" s="160" t="str">
        <f>'900000'!$V$19</f>
        <v>C09901020</v>
      </c>
      <c r="E450" s="27">
        <f>'900000'!$V70</f>
        <v>0</v>
      </c>
      <c r="F450" s="27" t="s">
        <v>19081</v>
      </c>
    </row>
    <row r="451" spans="1:6">
      <c r="A451" s="27" t="str">
        <f>Resultados!$K$3</f>
        <v/>
      </c>
      <c r="B451" s="27" t="str">
        <f>Resultados!$K$4</f>
        <v/>
      </c>
      <c r="C451" s="568" t="str">
        <f>'900000'!$B71</f>
        <v>09901051</v>
      </c>
      <c r="D451" s="160" t="str">
        <f>'900000'!$V$19</f>
        <v>C09901020</v>
      </c>
      <c r="E451" s="27">
        <f>'900000'!$V71</f>
        <v>0</v>
      </c>
      <c r="F451" s="27" t="s">
        <v>19081</v>
      </c>
    </row>
    <row r="452" spans="1:6">
      <c r="A452" s="27" t="str">
        <f>Resultados!$K$3</f>
        <v/>
      </c>
      <c r="B452" s="27" t="str">
        <f>Resultados!$K$4</f>
        <v/>
      </c>
      <c r="C452" s="568" t="str">
        <f>'900000'!$B72</f>
        <v>09901052</v>
      </c>
      <c r="D452" s="160" t="str">
        <f>'900000'!$V$19</f>
        <v>C09901020</v>
      </c>
      <c r="E452" s="27">
        <f>'900000'!$V72</f>
        <v>0</v>
      </c>
      <c r="F452" s="27" t="s">
        <v>19081</v>
      </c>
    </row>
    <row r="453" spans="1:6">
      <c r="A453" s="27" t="str">
        <f>Resultados!$K$3</f>
        <v/>
      </c>
      <c r="B453" s="27" t="str">
        <f>Resultados!$K$4</f>
        <v/>
      </c>
      <c r="C453" s="568" t="str">
        <f>'900000'!$B73</f>
        <v>09901053</v>
      </c>
      <c r="D453" s="160" t="str">
        <f>'900000'!$V$19</f>
        <v>C09901020</v>
      </c>
      <c r="E453" s="27">
        <f>'900000'!$V73</f>
        <v>0</v>
      </c>
      <c r="F453" s="27" t="s">
        <v>19081</v>
      </c>
    </row>
    <row r="454" spans="1:6">
      <c r="A454" s="27" t="str">
        <f>Resultados!$K$3</f>
        <v/>
      </c>
      <c r="B454" s="27" t="str">
        <f>Resultados!$K$4</f>
        <v/>
      </c>
      <c r="C454" s="568" t="str">
        <f>'900000'!$B74</f>
        <v>09901054</v>
      </c>
      <c r="D454" s="160" t="str">
        <f>'900000'!$V$19</f>
        <v>C09901020</v>
      </c>
      <c r="E454" s="27">
        <f>'900000'!$V74</f>
        <v>0</v>
      </c>
      <c r="F454" s="27" t="s">
        <v>19081</v>
      </c>
    </row>
    <row r="455" spans="1:6">
      <c r="A455" s="27" t="str">
        <f>Resultados!$K$3</f>
        <v/>
      </c>
      <c r="B455" s="27" t="str">
        <f>Resultados!$K$4</f>
        <v/>
      </c>
      <c r="C455" s="568" t="str">
        <f>'900000'!$B75</f>
        <v>09901055</v>
      </c>
      <c r="D455" s="160" t="str">
        <f>'900000'!$V$19</f>
        <v>C09901020</v>
      </c>
      <c r="E455" s="27">
        <f>'900000'!$V75</f>
        <v>0</v>
      </c>
      <c r="F455" s="27" t="s">
        <v>19081</v>
      </c>
    </row>
    <row r="456" spans="1:6">
      <c r="A456" s="27" t="str">
        <f>Resultados!$K$3</f>
        <v/>
      </c>
      <c r="B456" s="27" t="str">
        <f>Resultados!$K$4</f>
        <v/>
      </c>
      <c r="C456" s="568" t="str">
        <f>'900000'!$B76</f>
        <v>09901056</v>
      </c>
      <c r="D456" s="160" t="str">
        <f>'900000'!$V$19</f>
        <v>C09901020</v>
      </c>
      <c r="E456" s="27">
        <f>'900000'!$V76</f>
        <v>0</v>
      </c>
      <c r="F456" s="27" t="s">
        <v>19081</v>
      </c>
    </row>
    <row r="457" spans="1:6">
      <c r="A457" s="27" t="str">
        <f>Resultados!$K$3</f>
        <v/>
      </c>
      <c r="B457" s="27" t="str">
        <f>Resultados!$K$4</f>
        <v/>
      </c>
      <c r="C457" s="568" t="str">
        <f>'900000'!$B77</f>
        <v>09901057</v>
      </c>
      <c r="D457" s="160" t="str">
        <f>'900000'!$V$19</f>
        <v>C09901020</v>
      </c>
      <c r="E457" s="27">
        <f>'900000'!$V77</f>
        <v>0</v>
      </c>
      <c r="F457" s="27" t="s">
        <v>19081</v>
      </c>
    </row>
    <row r="458" spans="1:6">
      <c r="A458" s="27" t="str">
        <f>Resultados!$K$3</f>
        <v/>
      </c>
      <c r="B458" s="27" t="str">
        <f>Resultados!$K$4</f>
        <v/>
      </c>
      <c r="C458" s="568" t="str">
        <f>'900000'!$B78</f>
        <v>09901058</v>
      </c>
      <c r="D458" s="160" t="str">
        <f>'900000'!$V$19</f>
        <v>C09901020</v>
      </c>
      <c r="E458" s="27">
        <f>'900000'!$V78</f>
        <v>0</v>
      </c>
      <c r="F458" s="27" t="s">
        <v>19081</v>
      </c>
    </row>
    <row r="459" spans="1:6">
      <c r="A459" s="27" t="str">
        <f>Resultados!$K$3</f>
        <v/>
      </c>
      <c r="B459" s="27" t="str">
        <f>Resultados!$K$4</f>
        <v/>
      </c>
      <c r="C459" s="568" t="str">
        <f>'900000'!$B79</f>
        <v>09901059</v>
      </c>
      <c r="D459" s="160" t="str">
        <f>'900000'!$V$19</f>
        <v>C09901020</v>
      </c>
      <c r="E459" s="27">
        <f>'900000'!$V79</f>
        <v>0</v>
      </c>
      <c r="F459" s="27" t="s">
        <v>19081</v>
      </c>
    </row>
    <row r="460" spans="1:6">
      <c r="A460" s="27" t="str">
        <f>Resultados!$K$3</f>
        <v/>
      </c>
      <c r="B460" s="27" t="str">
        <f>Resultados!$K$4</f>
        <v/>
      </c>
      <c r="C460" s="568" t="str">
        <f>'900000'!$B80</f>
        <v>09901060</v>
      </c>
      <c r="D460" s="160" t="str">
        <f>'900000'!$V$19</f>
        <v>C09901020</v>
      </c>
      <c r="E460" s="27">
        <f>'900000'!$V80</f>
        <v>0</v>
      </c>
      <c r="F460" s="27" t="s">
        <v>19081</v>
      </c>
    </row>
    <row r="461" spans="1:6">
      <c r="A461" s="27" t="str">
        <f>Resultados!$K$3</f>
        <v/>
      </c>
      <c r="B461" s="27" t="str">
        <f>Resultados!$K$4</f>
        <v/>
      </c>
      <c r="C461" s="568" t="str">
        <f>'900000'!$B81</f>
        <v>09901061</v>
      </c>
      <c r="D461" s="160" t="str">
        <f>'900000'!$V$19</f>
        <v>C09901020</v>
      </c>
      <c r="E461" s="27">
        <f>'900000'!$V81</f>
        <v>0</v>
      </c>
      <c r="F461" s="27" t="s">
        <v>19081</v>
      </c>
    </row>
    <row r="462" spans="1:6">
      <c r="A462" s="27" t="str">
        <f>Resultados!$K$3</f>
        <v/>
      </c>
      <c r="B462" s="27" t="str">
        <f>Resultados!$K$4</f>
        <v/>
      </c>
      <c r="C462" s="568" t="str">
        <f>'900000'!$B82</f>
        <v>09901062</v>
      </c>
      <c r="D462" s="160" t="str">
        <f>'900000'!$V$19</f>
        <v>C09901020</v>
      </c>
      <c r="E462" s="27">
        <f>'900000'!$V82</f>
        <v>0</v>
      </c>
      <c r="F462" s="27" t="s">
        <v>19081</v>
      </c>
    </row>
    <row r="463" spans="1:6">
      <c r="A463" s="27" t="str">
        <f>Resultados!$K$3</f>
        <v/>
      </c>
      <c r="B463" s="27" t="str">
        <f>Resultados!$K$4</f>
        <v/>
      </c>
      <c r="C463" s="568" t="str">
        <f>'900000'!$B83</f>
        <v>09901063</v>
      </c>
      <c r="D463" s="160" t="str">
        <f>'900000'!$V$19</f>
        <v>C09901020</v>
      </c>
      <c r="E463" s="27">
        <f>'900000'!$V83</f>
        <v>0</v>
      </c>
      <c r="F463" s="27" t="s">
        <v>19081</v>
      </c>
    </row>
    <row r="464" spans="1:6">
      <c r="A464" s="27" t="str">
        <f>Resultados!$K$3</f>
        <v/>
      </c>
      <c r="B464" s="27" t="str">
        <f>Resultados!$K$4</f>
        <v/>
      </c>
      <c r="C464" s="568" t="str">
        <f>'900000'!$B84</f>
        <v>09901064</v>
      </c>
      <c r="D464" s="160" t="str">
        <f>'900000'!$V$19</f>
        <v>C09901020</v>
      </c>
      <c r="E464" s="27">
        <f>'900000'!$V84</f>
        <v>0</v>
      </c>
      <c r="F464" s="27" t="s">
        <v>19081</v>
      </c>
    </row>
    <row r="465" spans="1:6">
      <c r="A465" s="27" t="str">
        <f>Resultados!$K$3</f>
        <v/>
      </c>
      <c r="B465" s="27" t="str">
        <f>Resultados!$K$4</f>
        <v/>
      </c>
      <c r="C465" s="568" t="str">
        <f>'900000'!$B85</f>
        <v>09901065</v>
      </c>
      <c r="D465" s="160" t="str">
        <f>'900000'!$V$19</f>
        <v>C09901020</v>
      </c>
      <c r="E465" s="27">
        <f>'900000'!$V85</f>
        <v>0</v>
      </c>
      <c r="F465" s="27" t="s">
        <v>19081</v>
      </c>
    </row>
    <row r="466" spans="1:6">
      <c r="A466" s="27" t="str">
        <f>Resultados!$K$3</f>
        <v/>
      </c>
      <c r="B466" s="27" t="str">
        <f>Resultados!$K$4</f>
        <v/>
      </c>
      <c r="C466" s="568" t="str">
        <f>'900000'!$B86</f>
        <v>09901066</v>
      </c>
      <c r="D466" s="160" t="str">
        <f>'900000'!$V$19</f>
        <v>C09901020</v>
      </c>
      <c r="E466" s="27">
        <f>'900000'!$V86</f>
        <v>0</v>
      </c>
      <c r="F466" s="27" t="s">
        <v>19081</v>
      </c>
    </row>
    <row r="467" spans="1:6">
      <c r="A467" s="27" t="str">
        <f>Resultados!$K$3</f>
        <v/>
      </c>
      <c r="B467" s="27" t="str">
        <f>Resultados!$K$4</f>
        <v/>
      </c>
      <c r="C467" s="568" t="str">
        <f>'900000'!$B87</f>
        <v>09901067</v>
      </c>
      <c r="D467" s="160" t="str">
        <f>'900000'!$V$19</f>
        <v>C09901020</v>
      </c>
      <c r="E467" s="27">
        <f>'900000'!$V87</f>
        <v>0</v>
      </c>
      <c r="F467" s="27" t="s">
        <v>19081</v>
      </c>
    </row>
    <row r="468" spans="1:6">
      <c r="A468" s="27" t="str">
        <f>Resultados!$K$3</f>
        <v/>
      </c>
      <c r="B468" s="27" t="str">
        <f>Resultados!$K$4</f>
        <v/>
      </c>
      <c r="C468" s="568" t="str">
        <f>'900000'!$B88</f>
        <v>09901068</v>
      </c>
      <c r="D468" s="160" t="str">
        <f>'900000'!$V$19</f>
        <v>C09901020</v>
      </c>
      <c r="E468" s="27">
        <f>'900000'!$V88</f>
        <v>0</v>
      </c>
      <c r="F468" s="27" t="s">
        <v>19081</v>
      </c>
    </row>
    <row r="469" spans="1:6">
      <c r="A469" s="27" t="str">
        <f>Resultados!$K$3</f>
        <v/>
      </c>
      <c r="B469" s="27" t="str">
        <f>Resultados!$K$4</f>
        <v/>
      </c>
      <c r="C469" s="568" t="str">
        <f>'900000'!$B89</f>
        <v>09901069</v>
      </c>
      <c r="D469" s="160" t="str">
        <f>'900000'!$V$19</f>
        <v>C09901020</v>
      </c>
      <c r="E469" s="27">
        <f>'900000'!$V89</f>
        <v>0</v>
      </c>
      <c r="F469" s="27" t="s">
        <v>19081</v>
      </c>
    </row>
    <row r="470" spans="1:6">
      <c r="A470" s="27" t="str">
        <f>Resultados!$K$3</f>
        <v/>
      </c>
      <c r="B470" s="27" t="str">
        <f>Resultados!$K$4</f>
        <v/>
      </c>
      <c r="C470" s="568" t="str">
        <f>'900000'!$B90</f>
        <v>09901070</v>
      </c>
      <c r="D470" s="160" t="str">
        <f>'900000'!$V$19</f>
        <v>C09901020</v>
      </c>
      <c r="E470" s="27">
        <f>'900000'!$V90</f>
        <v>0</v>
      </c>
      <c r="F470" s="27" t="s">
        <v>19081</v>
      </c>
    </row>
    <row r="471" spans="1:6">
      <c r="A471" s="27" t="str">
        <f>Resultados!$K$3</f>
        <v/>
      </c>
      <c r="B471" s="27" t="str">
        <f>Resultados!$K$4</f>
        <v/>
      </c>
      <c r="C471" s="568" t="str">
        <f>'900000'!$B91</f>
        <v>09901071</v>
      </c>
      <c r="D471" s="160" t="str">
        <f>'900000'!$V$19</f>
        <v>C09901020</v>
      </c>
      <c r="E471" s="27">
        <f>'900000'!$V91</f>
        <v>0</v>
      </c>
      <c r="F471" s="27" t="s">
        <v>19081</v>
      </c>
    </row>
    <row r="472" spans="1:6">
      <c r="A472" s="27" t="str">
        <f>Resultados!$K$3</f>
        <v/>
      </c>
      <c r="B472" s="27" t="str">
        <f>Resultados!$K$4</f>
        <v/>
      </c>
      <c r="C472" s="568" t="str">
        <f>'900000'!$B92</f>
        <v>09901072</v>
      </c>
      <c r="D472" s="160" t="str">
        <f>'900000'!$V$19</f>
        <v>C09901020</v>
      </c>
      <c r="E472" s="27">
        <f>'900000'!$V92</f>
        <v>0</v>
      </c>
      <c r="F472" s="27" t="s">
        <v>19081</v>
      </c>
    </row>
    <row r="473" spans="1:6">
      <c r="A473" s="27" t="str">
        <f>Resultados!$K$3</f>
        <v/>
      </c>
      <c r="B473" s="27" t="str">
        <f>Resultados!$K$4</f>
        <v/>
      </c>
      <c r="C473" s="568" t="str">
        <f>'900000'!$B93</f>
        <v>09901073</v>
      </c>
      <c r="D473" s="160" t="str">
        <f>'900000'!$V$19</f>
        <v>C09901020</v>
      </c>
      <c r="E473" s="27">
        <f>'900000'!$V93</f>
        <v>0</v>
      </c>
      <c r="F473" s="27" t="s">
        <v>19081</v>
      </c>
    </row>
    <row r="474" spans="1:6">
      <c r="A474" s="27" t="str">
        <f>Resultados!$K$3</f>
        <v/>
      </c>
      <c r="B474" s="27" t="str">
        <f>Resultados!$K$4</f>
        <v/>
      </c>
      <c r="C474" s="568" t="str">
        <f>'900000'!$B94</f>
        <v>09901074</v>
      </c>
      <c r="D474" s="160" t="str">
        <f>'900000'!$V$19</f>
        <v>C09901020</v>
      </c>
      <c r="E474" s="27">
        <f>'900000'!$V94</f>
        <v>0</v>
      </c>
      <c r="F474" s="27" t="s">
        <v>19081</v>
      </c>
    </row>
    <row r="475" spans="1:6">
      <c r="A475" s="27" t="str">
        <f>Resultados!$K$3</f>
        <v/>
      </c>
      <c r="B475" s="27" t="str">
        <f>Resultados!$K$4</f>
        <v/>
      </c>
      <c r="C475" s="568" t="str">
        <f>'900000'!$B95</f>
        <v>09901075</v>
      </c>
      <c r="D475" s="160" t="str">
        <f>'900000'!$V$19</f>
        <v>C09901020</v>
      </c>
      <c r="E475" s="27">
        <f>'900000'!$V95</f>
        <v>0</v>
      </c>
      <c r="F475" s="27" t="s">
        <v>19081</v>
      </c>
    </row>
    <row r="476" spans="1:6">
      <c r="A476" s="27" t="str">
        <f>Resultados!$K$3</f>
        <v/>
      </c>
      <c r="B476" s="27" t="str">
        <f>Resultados!$K$4</f>
        <v/>
      </c>
      <c r="C476" s="568" t="str">
        <f>'900000'!$B96</f>
        <v>09901076</v>
      </c>
      <c r="D476" s="160" t="str">
        <f>'900000'!$V$19</f>
        <v>C09901020</v>
      </c>
      <c r="E476" s="27">
        <f>'900000'!$V96</f>
        <v>0</v>
      </c>
      <c r="F476" s="27" t="s">
        <v>19081</v>
      </c>
    </row>
    <row r="477" spans="1:6">
      <c r="A477" s="27" t="str">
        <f>Resultados!$K$3</f>
        <v/>
      </c>
      <c r="B477" s="27" t="str">
        <f>Resultados!$K$4</f>
        <v/>
      </c>
      <c r="C477" s="568" t="str">
        <f>'900000'!$B97</f>
        <v>09901077</v>
      </c>
      <c r="D477" s="160" t="str">
        <f>'900000'!$V$19</f>
        <v>C09901020</v>
      </c>
      <c r="E477" s="27">
        <f>'900000'!$V97</f>
        <v>0</v>
      </c>
      <c r="F477" s="27" t="s">
        <v>19081</v>
      </c>
    </row>
    <row r="478" spans="1:6">
      <c r="A478" s="27" t="str">
        <f>Resultados!$K$3</f>
        <v/>
      </c>
      <c r="B478" s="27" t="str">
        <f>Resultados!$K$4</f>
        <v/>
      </c>
      <c r="C478" s="568" t="str">
        <f>'900000'!$B98</f>
        <v>09901078</v>
      </c>
      <c r="D478" s="160" t="str">
        <f>'900000'!$V$19</f>
        <v>C09901020</v>
      </c>
      <c r="E478" s="27">
        <f>'900000'!$V98</f>
        <v>0</v>
      </c>
      <c r="F478" s="27" t="s">
        <v>19081</v>
      </c>
    </row>
    <row r="479" spans="1:6">
      <c r="A479" s="27" t="str">
        <f>Resultados!$K$3</f>
        <v/>
      </c>
      <c r="B479" s="27" t="str">
        <f>Resultados!$K$4</f>
        <v/>
      </c>
      <c r="C479" s="568" t="str">
        <f>'900000'!$B99</f>
        <v>09901079</v>
      </c>
      <c r="D479" s="160" t="str">
        <f>'900000'!$V$19</f>
        <v>C09901020</v>
      </c>
      <c r="E479" s="27">
        <f>'900000'!$V99</f>
        <v>0</v>
      </c>
      <c r="F479" s="27" t="s">
        <v>19081</v>
      </c>
    </row>
    <row r="480" spans="1:6">
      <c r="A480" s="27" t="str">
        <f>Resultados!$K$3</f>
        <v/>
      </c>
      <c r="B480" s="27" t="str">
        <f>Resultados!$K$4</f>
        <v/>
      </c>
      <c r="C480" s="568" t="str">
        <f>'900000'!$B100</f>
        <v>09901080</v>
      </c>
      <c r="D480" s="160" t="str">
        <f>'900000'!$V$19</f>
        <v>C09901020</v>
      </c>
      <c r="E480" s="27">
        <f>'900000'!$V100</f>
        <v>0</v>
      </c>
      <c r="F480" s="27" t="s">
        <v>19081</v>
      </c>
    </row>
    <row r="481" spans="1:6">
      <c r="A481" s="27" t="str">
        <f>Resultados!$K$3</f>
        <v/>
      </c>
      <c r="B481" s="27" t="str">
        <f>Resultados!$K$4</f>
        <v/>
      </c>
      <c r="C481" s="568" t="str">
        <f>'900000'!$B101</f>
        <v>09901081</v>
      </c>
      <c r="D481" s="160" t="str">
        <f>'900000'!$V$19</f>
        <v>C09901020</v>
      </c>
      <c r="E481" s="27">
        <f>'900000'!$V101</f>
        <v>0</v>
      </c>
      <c r="F481" s="27" t="s">
        <v>19081</v>
      </c>
    </row>
    <row r="482" spans="1:6">
      <c r="A482" s="27" t="str">
        <f>Resultados!$K$3</f>
        <v/>
      </c>
      <c r="B482" s="27" t="str">
        <f>Resultados!$K$4</f>
        <v/>
      </c>
      <c r="C482" s="568" t="str">
        <f>'900000'!$B102</f>
        <v>09901082</v>
      </c>
      <c r="D482" s="160" t="str">
        <f>'900000'!$V$19</f>
        <v>C09901020</v>
      </c>
      <c r="E482" s="27">
        <f>'900000'!$V102</f>
        <v>0</v>
      </c>
      <c r="F482" s="27" t="s">
        <v>19081</v>
      </c>
    </row>
    <row r="483" spans="1:6">
      <c r="A483" s="27" t="str">
        <f>Resultados!$K$3</f>
        <v/>
      </c>
      <c r="B483" s="27" t="str">
        <f>Resultados!$K$4</f>
        <v/>
      </c>
      <c r="C483" s="568" t="str">
        <f>'900000'!$B103</f>
        <v>09901083</v>
      </c>
      <c r="D483" s="160" t="str">
        <f>'900000'!$V$19</f>
        <v>C09901020</v>
      </c>
      <c r="E483" s="27">
        <f>'900000'!$V103</f>
        <v>0</v>
      </c>
      <c r="F483" s="27" t="s">
        <v>19081</v>
      </c>
    </row>
    <row r="484" spans="1:6">
      <c r="A484" s="27" t="str">
        <f>Resultados!$K$3</f>
        <v/>
      </c>
      <c r="B484" s="27" t="str">
        <f>Resultados!$K$4</f>
        <v/>
      </c>
      <c r="C484" s="568" t="str">
        <f>'900000'!$B104</f>
        <v>09901084</v>
      </c>
      <c r="D484" s="160" t="str">
        <f>'900000'!$V$19</f>
        <v>C09901020</v>
      </c>
      <c r="E484" s="27">
        <f>'900000'!$V104</f>
        <v>0</v>
      </c>
      <c r="F484" s="27" t="s">
        <v>19081</v>
      </c>
    </row>
    <row r="485" spans="1:6">
      <c r="A485" s="27" t="str">
        <f>Resultados!$K$3</f>
        <v/>
      </c>
      <c r="B485" s="27" t="str">
        <f>Resultados!$K$4</f>
        <v/>
      </c>
      <c r="C485" s="568" t="str">
        <f>'900000'!$B105</f>
        <v>09901085</v>
      </c>
      <c r="D485" s="160" t="str">
        <f>'900000'!$V$19</f>
        <v>C09901020</v>
      </c>
      <c r="E485" s="27">
        <f>'900000'!$V105</f>
        <v>0</v>
      </c>
      <c r="F485" s="27" t="s">
        <v>19081</v>
      </c>
    </row>
    <row r="486" spans="1:6">
      <c r="A486" s="27" t="str">
        <f>Resultados!$K$3</f>
        <v/>
      </c>
      <c r="B486" s="27" t="str">
        <f>Resultados!$K$4</f>
        <v/>
      </c>
      <c r="C486" s="568" t="str">
        <f>'900000'!$B106</f>
        <v>09901086</v>
      </c>
      <c r="D486" s="160" t="str">
        <f>'900000'!$V$19</f>
        <v>C09901020</v>
      </c>
      <c r="E486" s="27">
        <f>'900000'!$V106</f>
        <v>0</v>
      </c>
      <c r="F486" s="27" t="s">
        <v>19081</v>
      </c>
    </row>
    <row r="487" spans="1:6">
      <c r="A487" s="27" t="str">
        <f>Resultados!$K$3</f>
        <v/>
      </c>
      <c r="B487" s="27" t="str">
        <f>Resultados!$K$4</f>
        <v/>
      </c>
      <c r="C487" s="568" t="str">
        <f>'900000'!$B107</f>
        <v>09901087</v>
      </c>
      <c r="D487" s="160" t="str">
        <f>'900000'!$V$19</f>
        <v>C09901020</v>
      </c>
      <c r="E487" s="27">
        <f>'900000'!$V107</f>
        <v>0</v>
      </c>
      <c r="F487" s="27" t="s">
        <v>19081</v>
      </c>
    </row>
    <row r="488" spans="1:6">
      <c r="A488" s="27" t="str">
        <f>Resultados!$K$3</f>
        <v/>
      </c>
      <c r="B488" s="27" t="str">
        <f>Resultados!$K$4</f>
        <v/>
      </c>
      <c r="C488" s="568" t="str">
        <f>'900000'!$B108</f>
        <v>09901088</v>
      </c>
      <c r="D488" s="160" t="str">
        <f>'900000'!$V$19</f>
        <v>C09901020</v>
      </c>
      <c r="E488" s="27">
        <f>'900000'!$V108</f>
        <v>0</v>
      </c>
      <c r="F488" s="27" t="s">
        <v>19081</v>
      </c>
    </row>
    <row r="489" spans="1:6">
      <c r="A489" s="27" t="str">
        <f>Resultados!$K$3</f>
        <v/>
      </c>
      <c r="B489" s="27" t="str">
        <f>Resultados!$K$4</f>
        <v/>
      </c>
      <c r="C489" s="568" t="str">
        <f>'900000'!$B109</f>
        <v>09901089</v>
      </c>
      <c r="D489" s="160" t="str">
        <f>'900000'!$V$19</f>
        <v>C09901020</v>
      </c>
      <c r="E489" s="27">
        <f>'900000'!$V109</f>
        <v>0</v>
      </c>
      <c r="F489" s="27" t="s">
        <v>19081</v>
      </c>
    </row>
    <row r="490" spans="1:6">
      <c r="A490" s="27" t="str">
        <f>Resultados!$K$3</f>
        <v/>
      </c>
      <c r="B490" s="27" t="str">
        <f>Resultados!$K$4</f>
        <v/>
      </c>
      <c r="C490" s="568" t="str">
        <f>'900000'!$B110</f>
        <v>09901090</v>
      </c>
      <c r="D490" s="160" t="str">
        <f>'900000'!$V$19</f>
        <v>C09901020</v>
      </c>
      <c r="E490" s="27">
        <f>'900000'!$V110</f>
        <v>0</v>
      </c>
      <c r="F490" s="27" t="s">
        <v>19081</v>
      </c>
    </row>
    <row r="491" spans="1:6">
      <c r="A491" s="27" t="str">
        <f>Resultados!$K$3</f>
        <v/>
      </c>
      <c r="B491" s="27" t="str">
        <f>Resultados!$K$4</f>
        <v/>
      </c>
      <c r="C491" s="568" t="str">
        <f>'900000'!$B111</f>
        <v>09901091</v>
      </c>
      <c r="D491" s="160" t="str">
        <f>'900000'!$V$19</f>
        <v>C09901020</v>
      </c>
      <c r="E491" s="27">
        <f>'900000'!$V111</f>
        <v>0</v>
      </c>
      <c r="F491" s="27" t="s">
        <v>19081</v>
      </c>
    </row>
    <row r="492" spans="1:6">
      <c r="A492" s="27" t="str">
        <f>Resultados!$K$3</f>
        <v/>
      </c>
      <c r="B492" s="27" t="str">
        <f>Resultados!$K$4</f>
        <v/>
      </c>
      <c r="C492" s="568" t="str">
        <f>'900000'!$B112</f>
        <v>09901092</v>
      </c>
      <c r="D492" s="160" t="str">
        <f>'900000'!$V$19</f>
        <v>C09901020</v>
      </c>
      <c r="E492" s="27">
        <f>'900000'!$V112</f>
        <v>0</v>
      </c>
      <c r="F492" s="27" t="s">
        <v>19081</v>
      </c>
    </row>
    <row r="493" spans="1:6">
      <c r="A493" s="27" t="str">
        <f>Resultados!$K$3</f>
        <v/>
      </c>
      <c r="B493" s="27" t="str">
        <f>Resultados!$K$4</f>
        <v/>
      </c>
      <c r="C493" s="568" t="str">
        <f>'900000'!$B113</f>
        <v>09901093</v>
      </c>
      <c r="D493" s="160" t="str">
        <f>'900000'!$V$19</f>
        <v>C09901020</v>
      </c>
      <c r="E493" s="27">
        <f>'900000'!$V113</f>
        <v>0</v>
      </c>
      <c r="F493" s="27" t="s">
        <v>19081</v>
      </c>
    </row>
    <row r="494" spans="1:6">
      <c r="A494" s="27" t="str">
        <f>Resultados!$K$3</f>
        <v/>
      </c>
      <c r="B494" s="27" t="str">
        <f>Resultados!$K$4</f>
        <v/>
      </c>
      <c r="C494" s="568" t="str">
        <f>'900000'!$B114</f>
        <v>09901094</v>
      </c>
      <c r="D494" s="160" t="str">
        <f>'900000'!$V$19</f>
        <v>C09901020</v>
      </c>
      <c r="E494" s="27">
        <f>'900000'!$V114</f>
        <v>0</v>
      </c>
      <c r="F494" s="27" t="s">
        <v>19081</v>
      </c>
    </row>
    <row r="495" spans="1:6">
      <c r="A495" s="27" t="str">
        <f>Resultados!$K$3</f>
        <v/>
      </c>
      <c r="B495" s="27" t="str">
        <f>Resultados!$K$4</f>
        <v/>
      </c>
      <c r="C495" s="568" t="str">
        <f>'900000'!$B115</f>
        <v>09901095</v>
      </c>
      <c r="D495" s="160" t="str">
        <f>'900000'!$V$19</f>
        <v>C09901020</v>
      </c>
      <c r="E495" s="27">
        <f>'900000'!$V115</f>
        <v>0</v>
      </c>
      <c r="F495" s="27" t="s">
        <v>19081</v>
      </c>
    </row>
    <row r="496" spans="1:6">
      <c r="A496" s="27" t="str">
        <f>Resultados!$K$3</f>
        <v/>
      </c>
      <c r="B496" s="27" t="str">
        <f>Resultados!$K$4</f>
        <v/>
      </c>
      <c r="C496" s="568" t="str">
        <f>'900000'!$B116</f>
        <v>09901096</v>
      </c>
      <c r="D496" s="160" t="str">
        <f>'900000'!$V$19</f>
        <v>C09901020</v>
      </c>
      <c r="E496" s="27">
        <f>'900000'!$V116</f>
        <v>0</v>
      </c>
      <c r="F496" s="27" t="s">
        <v>19081</v>
      </c>
    </row>
    <row r="497" spans="1:6">
      <c r="A497" s="27" t="str">
        <f>Resultados!$K$3</f>
        <v/>
      </c>
      <c r="B497" s="27" t="str">
        <f>Resultados!$K$4</f>
        <v/>
      </c>
      <c r="C497" s="568" t="str">
        <f>'900000'!$B117</f>
        <v>09901097</v>
      </c>
      <c r="D497" s="160" t="str">
        <f>'900000'!$V$19</f>
        <v>C09901020</v>
      </c>
      <c r="E497" s="27">
        <f>'900000'!$V117</f>
        <v>0</v>
      </c>
      <c r="F497" s="27" t="s">
        <v>19081</v>
      </c>
    </row>
    <row r="498" spans="1:6">
      <c r="A498" s="27" t="str">
        <f>Resultados!$K$3</f>
        <v/>
      </c>
      <c r="B498" s="27" t="str">
        <f>Resultados!$K$4</f>
        <v/>
      </c>
      <c r="C498" s="568" t="str">
        <f>'900000'!$B118</f>
        <v>09901098</v>
      </c>
      <c r="D498" s="160" t="str">
        <f>'900000'!$V$19</f>
        <v>C09901020</v>
      </c>
      <c r="E498" s="27">
        <f>'900000'!$V118</f>
        <v>0</v>
      </c>
      <c r="F498" s="27" t="s">
        <v>19081</v>
      </c>
    </row>
    <row r="499" spans="1:6">
      <c r="A499" s="27" t="str">
        <f>Resultados!$K$3</f>
        <v/>
      </c>
      <c r="B499" s="27" t="str">
        <f>Resultados!$K$4</f>
        <v/>
      </c>
      <c r="C499" s="568" t="str">
        <f>'900000'!$B119</f>
        <v>09901099</v>
      </c>
      <c r="D499" s="160" t="str">
        <f>'900000'!$V$19</f>
        <v>C09901020</v>
      </c>
      <c r="E499" s="27">
        <f>'900000'!$V119</f>
        <v>0</v>
      </c>
      <c r="F499" s="27" t="s">
        <v>19081</v>
      </c>
    </row>
    <row r="500" spans="1:6">
      <c r="A500" s="27" t="str">
        <f>Resultados!$K$3</f>
        <v/>
      </c>
      <c r="B500" s="27" t="str">
        <f>Resultados!$K$4</f>
        <v/>
      </c>
      <c r="C500" s="568" t="str">
        <f>'900000'!$B120</f>
        <v>09901100</v>
      </c>
      <c r="D500" s="160" t="str">
        <f>'900000'!$V$19</f>
        <v>C09901020</v>
      </c>
      <c r="E500" s="27">
        <f>'900000'!$V120</f>
        <v>0</v>
      </c>
      <c r="F500" s="27" t="s">
        <v>19081</v>
      </c>
    </row>
    <row r="501" spans="1:6">
      <c r="A501" s="27" t="str">
        <f>Resultados!$K$3</f>
        <v/>
      </c>
      <c r="B501" s="27" t="str">
        <f>Resultados!$K$4</f>
        <v/>
      </c>
      <c r="C501" s="568" t="str">
        <f>'900000'!$B121</f>
        <v>09901101</v>
      </c>
      <c r="D501" s="160" t="str">
        <f>'900000'!$V$19</f>
        <v>C09901020</v>
      </c>
      <c r="E501" s="27">
        <f>'900000'!$V121</f>
        <v>0</v>
      </c>
      <c r="F501" s="27" t="s">
        <v>19081</v>
      </c>
    </row>
    <row r="502" spans="1:6">
      <c r="A502" s="27" t="str">
        <f>Resultados!$K$3</f>
        <v/>
      </c>
      <c r="B502" s="27" t="str">
        <f>Resultados!$K$4</f>
        <v/>
      </c>
      <c r="C502" s="568" t="str">
        <f>'900000'!$B22</f>
        <v>09901002</v>
      </c>
      <c r="D502" s="160" t="str">
        <f>'900000'!$Y$18</f>
        <v>C09902003</v>
      </c>
      <c r="E502" s="568">
        <f>'900000'!$Y22</f>
        <v>0</v>
      </c>
      <c r="F502" s="27" t="s">
        <v>19081</v>
      </c>
    </row>
    <row r="503" spans="1:6">
      <c r="A503" s="27" t="str">
        <f>Resultados!$K$3</f>
        <v/>
      </c>
      <c r="B503" s="27" t="str">
        <f>Resultados!$K$4</f>
        <v/>
      </c>
      <c r="C503" s="568" t="str">
        <f>'900000'!$B23</f>
        <v>09901003</v>
      </c>
      <c r="D503" s="160" t="str">
        <f>'900000'!$Y$18</f>
        <v>C09902003</v>
      </c>
      <c r="E503" s="568">
        <f>'900000'!$Y23</f>
        <v>0</v>
      </c>
      <c r="F503" s="27" t="s">
        <v>19081</v>
      </c>
    </row>
    <row r="504" spans="1:6">
      <c r="A504" s="27" t="str">
        <f>Resultados!$K$3</f>
        <v/>
      </c>
      <c r="B504" s="27" t="str">
        <f>Resultados!$K$4</f>
        <v/>
      </c>
      <c r="C504" s="568" t="str">
        <f>'900000'!$B24</f>
        <v>09901004</v>
      </c>
      <c r="D504" s="160" t="str">
        <f>'900000'!$Y$18</f>
        <v>C09902003</v>
      </c>
      <c r="E504" s="568">
        <f>'900000'!$Y24</f>
        <v>0</v>
      </c>
      <c r="F504" s="27" t="s">
        <v>19081</v>
      </c>
    </row>
    <row r="505" spans="1:6">
      <c r="A505" s="27" t="str">
        <f>Resultados!$K$3</f>
        <v/>
      </c>
      <c r="B505" s="27" t="str">
        <f>Resultados!$K$4</f>
        <v/>
      </c>
      <c r="C505" s="568" t="str">
        <f>'900000'!$B25</f>
        <v>09901005</v>
      </c>
      <c r="D505" s="160" t="str">
        <f>'900000'!$Y$18</f>
        <v>C09902003</v>
      </c>
      <c r="E505" s="568">
        <f>'900000'!$Y25</f>
        <v>0</v>
      </c>
      <c r="F505" s="27" t="s">
        <v>19081</v>
      </c>
    </row>
    <row r="506" spans="1:6">
      <c r="A506" s="27" t="str">
        <f>Resultados!$K$3</f>
        <v/>
      </c>
      <c r="B506" s="27" t="str">
        <f>Resultados!$K$4</f>
        <v/>
      </c>
      <c r="C506" s="568" t="str">
        <f>'900000'!$B26</f>
        <v>09901006</v>
      </c>
      <c r="D506" s="160" t="str">
        <f>'900000'!$Y$18</f>
        <v>C09902003</v>
      </c>
      <c r="E506" s="568">
        <f>'900000'!$Y26</f>
        <v>0</v>
      </c>
      <c r="F506" s="27" t="s">
        <v>19081</v>
      </c>
    </row>
    <row r="507" spans="1:6">
      <c r="A507" s="27" t="str">
        <f>Resultados!$K$3</f>
        <v/>
      </c>
      <c r="B507" s="27" t="str">
        <f>Resultados!$K$4</f>
        <v/>
      </c>
      <c r="C507" s="568" t="str">
        <f>'900000'!$B27</f>
        <v>09901007</v>
      </c>
      <c r="D507" s="160" t="str">
        <f>'900000'!$Y$18</f>
        <v>C09902003</v>
      </c>
      <c r="E507" s="568">
        <f>'900000'!$Y27</f>
        <v>0</v>
      </c>
      <c r="F507" s="27" t="s">
        <v>19081</v>
      </c>
    </row>
    <row r="508" spans="1:6">
      <c r="A508" s="27" t="str">
        <f>Resultados!$K$3</f>
        <v/>
      </c>
      <c r="B508" s="27" t="str">
        <f>Resultados!$K$4</f>
        <v/>
      </c>
      <c r="C508" s="568" t="str">
        <f>'900000'!$B28</f>
        <v>09901008</v>
      </c>
      <c r="D508" s="160" t="str">
        <f>'900000'!$Y$18</f>
        <v>C09902003</v>
      </c>
      <c r="E508" s="568">
        <f>'900000'!$Y28</f>
        <v>0</v>
      </c>
      <c r="F508" s="27" t="s">
        <v>19081</v>
      </c>
    </row>
    <row r="509" spans="1:6">
      <c r="A509" s="27" t="str">
        <f>Resultados!$K$3</f>
        <v/>
      </c>
      <c r="B509" s="27" t="str">
        <f>Resultados!$K$4</f>
        <v/>
      </c>
      <c r="C509" s="568" t="str">
        <f>'900000'!$B29</f>
        <v>09901009</v>
      </c>
      <c r="D509" s="160" t="str">
        <f>'900000'!$Y$18</f>
        <v>C09902003</v>
      </c>
      <c r="E509" s="568">
        <f>'900000'!$Y29</f>
        <v>0</v>
      </c>
      <c r="F509" s="27" t="s">
        <v>19081</v>
      </c>
    </row>
    <row r="510" spans="1:6">
      <c r="A510" s="27" t="str">
        <f>Resultados!$K$3</f>
        <v/>
      </c>
      <c r="B510" s="27" t="str">
        <f>Resultados!$K$4</f>
        <v/>
      </c>
      <c r="C510" s="568" t="str">
        <f>'900000'!$B30</f>
        <v>09901010</v>
      </c>
      <c r="D510" s="160" t="str">
        <f>'900000'!$Y$18</f>
        <v>C09902003</v>
      </c>
      <c r="E510" s="568">
        <f>'900000'!$Y30</f>
        <v>0</v>
      </c>
      <c r="F510" s="27" t="s">
        <v>19081</v>
      </c>
    </row>
    <row r="511" spans="1:6">
      <c r="A511" s="27" t="str">
        <f>Resultados!$K$3</f>
        <v/>
      </c>
      <c r="B511" s="27" t="str">
        <f>Resultados!$K$4</f>
        <v/>
      </c>
      <c r="C511" s="568" t="str">
        <f>'900000'!$B31</f>
        <v>09901011</v>
      </c>
      <c r="D511" s="160" t="str">
        <f>'900000'!$Y$18</f>
        <v>C09902003</v>
      </c>
      <c r="E511" s="568">
        <f>'900000'!$Y31</f>
        <v>0</v>
      </c>
      <c r="F511" s="27" t="s">
        <v>19081</v>
      </c>
    </row>
    <row r="512" spans="1:6">
      <c r="A512" s="27" t="str">
        <f>Resultados!$K$3</f>
        <v/>
      </c>
      <c r="B512" s="27" t="str">
        <f>Resultados!$K$4</f>
        <v/>
      </c>
      <c r="C512" s="568" t="str">
        <f>'900000'!$B32</f>
        <v>09901012</v>
      </c>
      <c r="D512" s="160" t="str">
        <f>'900000'!$Y$18</f>
        <v>C09902003</v>
      </c>
      <c r="E512" s="568">
        <f>'900000'!$Y32</f>
        <v>0</v>
      </c>
      <c r="F512" s="27" t="s">
        <v>19081</v>
      </c>
    </row>
    <row r="513" spans="1:6">
      <c r="A513" s="27" t="str">
        <f>Resultados!$K$3</f>
        <v/>
      </c>
      <c r="B513" s="27" t="str">
        <f>Resultados!$K$4</f>
        <v/>
      </c>
      <c r="C513" s="568" t="str">
        <f>'900000'!$B33</f>
        <v>09901013</v>
      </c>
      <c r="D513" s="160" t="str">
        <f>'900000'!$Y$18</f>
        <v>C09902003</v>
      </c>
      <c r="E513" s="568">
        <f>'900000'!$Y33</f>
        <v>0</v>
      </c>
      <c r="F513" s="27" t="s">
        <v>19081</v>
      </c>
    </row>
    <row r="514" spans="1:6">
      <c r="A514" s="27" t="str">
        <f>Resultados!$K$3</f>
        <v/>
      </c>
      <c r="B514" s="27" t="str">
        <f>Resultados!$K$4</f>
        <v/>
      </c>
      <c r="C514" s="568" t="str">
        <f>'900000'!$B34</f>
        <v>09901014</v>
      </c>
      <c r="D514" s="160" t="str">
        <f>'900000'!$Y$18</f>
        <v>C09902003</v>
      </c>
      <c r="E514" s="568">
        <f>'900000'!$Y34</f>
        <v>0</v>
      </c>
      <c r="F514" s="27" t="s">
        <v>19081</v>
      </c>
    </row>
    <row r="515" spans="1:6">
      <c r="A515" s="27" t="str">
        <f>Resultados!$K$3</f>
        <v/>
      </c>
      <c r="B515" s="27" t="str">
        <f>Resultados!$K$4</f>
        <v/>
      </c>
      <c r="C515" s="568" t="str">
        <f>'900000'!$B35</f>
        <v>09901015</v>
      </c>
      <c r="D515" s="160" t="str">
        <f>'900000'!$Y$18</f>
        <v>C09902003</v>
      </c>
      <c r="E515" s="568">
        <f>'900000'!$Y35</f>
        <v>0</v>
      </c>
      <c r="F515" s="27" t="s">
        <v>19081</v>
      </c>
    </row>
    <row r="516" spans="1:6">
      <c r="A516" s="27" t="str">
        <f>Resultados!$K$3</f>
        <v/>
      </c>
      <c r="B516" s="27" t="str">
        <f>Resultados!$K$4</f>
        <v/>
      </c>
      <c r="C516" s="568" t="str">
        <f>'900000'!$B36</f>
        <v>09901016</v>
      </c>
      <c r="D516" s="160" t="str">
        <f>'900000'!$Y$18</f>
        <v>C09902003</v>
      </c>
      <c r="E516" s="568">
        <f>'900000'!$Y36</f>
        <v>0</v>
      </c>
      <c r="F516" s="27" t="s">
        <v>19081</v>
      </c>
    </row>
    <row r="517" spans="1:6">
      <c r="A517" s="27" t="str">
        <f>Resultados!$K$3</f>
        <v/>
      </c>
      <c r="B517" s="27" t="str">
        <f>Resultados!$K$4</f>
        <v/>
      </c>
      <c r="C517" s="568" t="str">
        <f>'900000'!$B37</f>
        <v>09901017</v>
      </c>
      <c r="D517" s="160" t="str">
        <f>'900000'!$Y$18</f>
        <v>C09902003</v>
      </c>
      <c r="E517" s="568">
        <f>'900000'!$Y37</f>
        <v>0</v>
      </c>
      <c r="F517" s="27" t="s">
        <v>19081</v>
      </c>
    </row>
    <row r="518" spans="1:6">
      <c r="A518" s="27" t="str">
        <f>Resultados!$K$3</f>
        <v/>
      </c>
      <c r="B518" s="27" t="str">
        <f>Resultados!$K$4</f>
        <v/>
      </c>
      <c r="C518" s="568" t="str">
        <f>'900000'!$B38</f>
        <v>09901018</v>
      </c>
      <c r="D518" s="160" t="str">
        <f>'900000'!$Y$18</f>
        <v>C09902003</v>
      </c>
      <c r="E518" s="568">
        <f>'900000'!$Y38</f>
        <v>0</v>
      </c>
      <c r="F518" s="27" t="s">
        <v>19081</v>
      </c>
    </row>
    <row r="519" spans="1:6">
      <c r="A519" s="27" t="str">
        <f>Resultados!$K$3</f>
        <v/>
      </c>
      <c r="B519" s="27" t="str">
        <f>Resultados!$K$4</f>
        <v/>
      </c>
      <c r="C519" s="568" t="str">
        <f>'900000'!$B39</f>
        <v>09901019</v>
      </c>
      <c r="D519" s="160" t="str">
        <f>'900000'!$Y$18</f>
        <v>C09902003</v>
      </c>
      <c r="E519" s="568">
        <f>'900000'!$Y39</f>
        <v>0</v>
      </c>
      <c r="F519" s="27" t="s">
        <v>19081</v>
      </c>
    </row>
    <row r="520" spans="1:6">
      <c r="A520" s="27" t="str">
        <f>Resultados!$K$3</f>
        <v/>
      </c>
      <c r="B520" s="27" t="str">
        <f>Resultados!$K$4</f>
        <v/>
      </c>
      <c r="C520" s="568" t="str">
        <f>'900000'!$B40</f>
        <v>09901020</v>
      </c>
      <c r="D520" s="160" t="str">
        <f>'900000'!$Y$18</f>
        <v>C09902003</v>
      </c>
      <c r="E520" s="568">
        <f>'900000'!$Y40</f>
        <v>0</v>
      </c>
      <c r="F520" s="27" t="s">
        <v>19081</v>
      </c>
    </row>
    <row r="521" spans="1:6">
      <c r="A521" s="27" t="str">
        <f>Resultados!$K$3</f>
        <v/>
      </c>
      <c r="B521" s="27" t="str">
        <f>Resultados!$K$4</f>
        <v/>
      </c>
      <c r="C521" s="568" t="str">
        <f>'900000'!$B41</f>
        <v>09901021</v>
      </c>
      <c r="D521" s="160" t="str">
        <f>'900000'!$Y$18</f>
        <v>C09902003</v>
      </c>
      <c r="E521" s="568">
        <f>'900000'!$Y41</f>
        <v>0</v>
      </c>
      <c r="F521" s="27" t="s">
        <v>19081</v>
      </c>
    </row>
    <row r="522" spans="1:6">
      <c r="A522" s="27" t="str">
        <f>Resultados!$K$3</f>
        <v/>
      </c>
      <c r="B522" s="27" t="str">
        <f>Resultados!$K$4</f>
        <v/>
      </c>
      <c r="C522" s="568" t="str">
        <f>'900000'!$B42</f>
        <v>09901022</v>
      </c>
      <c r="D522" s="160" t="str">
        <f>'900000'!$Y$18</f>
        <v>C09902003</v>
      </c>
      <c r="E522" s="568">
        <f>'900000'!$Y42</f>
        <v>0</v>
      </c>
      <c r="F522" s="27" t="s">
        <v>19081</v>
      </c>
    </row>
    <row r="523" spans="1:6">
      <c r="A523" s="27" t="str">
        <f>Resultados!$K$3</f>
        <v/>
      </c>
      <c r="B523" s="27" t="str">
        <f>Resultados!$K$4</f>
        <v/>
      </c>
      <c r="C523" s="568" t="str">
        <f>'900000'!$B43</f>
        <v>09901023</v>
      </c>
      <c r="D523" s="160" t="str">
        <f>'900000'!$Y$18</f>
        <v>C09902003</v>
      </c>
      <c r="E523" s="568">
        <f>'900000'!$Y43</f>
        <v>0</v>
      </c>
      <c r="F523" s="27" t="s">
        <v>19081</v>
      </c>
    </row>
    <row r="524" spans="1:6">
      <c r="A524" s="27" t="str">
        <f>Resultados!$K$3</f>
        <v/>
      </c>
      <c r="B524" s="27" t="str">
        <f>Resultados!$K$4</f>
        <v/>
      </c>
      <c r="C524" s="568" t="str">
        <f>'900000'!$B44</f>
        <v>09901024</v>
      </c>
      <c r="D524" s="160" t="str">
        <f>'900000'!$Y$18</f>
        <v>C09902003</v>
      </c>
      <c r="E524" s="568">
        <f>'900000'!$Y44</f>
        <v>0</v>
      </c>
      <c r="F524" s="27" t="s">
        <v>19081</v>
      </c>
    </row>
    <row r="525" spans="1:6">
      <c r="A525" s="27" t="str">
        <f>Resultados!$K$3</f>
        <v/>
      </c>
      <c r="B525" s="27" t="str">
        <f>Resultados!$K$4</f>
        <v/>
      </c>
      <c r="C525" s="568" t="str">
        <f>'900000'!$B45</f>
        <v>09901025</v>
      </c>
      <c r="D525" s="160" t="str">
        <f>'900000'!$Y$18</f>
        <v>C09902003</v>
      </c>
      <c r="E525" s="568">
        <f>'900000'!$Y45</f>
        <v>0</v>
      </c>
      <c r="F525" s="27" t="s">
        <v>19081</v>
      </c>
    </row>
    <row r="526" spans="1:6">
      <c r="A526" s="27" t="str">
        <f>Resultados!$K$3</f>
        <v/>
      </c>
      <c r="B526" s="27" t="str">
        <f>Resultados!$K$4</f>
        <v/>
      </c>
      <c r="C526" s="568" t="str">
        <f>'900000'!$B46</f>
        <v>09901026</v>
      </c>
      <c r="D526" s="160" t="str">
        <f>'900000'!$Y$18</f>
        <v>C09902003</v>
      </c>
      <c r="E526" s="568">
        <f>'900000'!$Y46</f>
        <v>0</v>
      </c>
      <c r="F526" s="27" t="s">
        <v>19081</v>
      </c>
    </row>
    <row r="527" spans="1:6">
      <c r="A527" s="27" t="str">
        <f>Resultados!$K$3</f>
        <v/>
      </c>
      <c r="B527" s="27" t="str">
        <f>Resultados!$K$4</f>
        <v/>
      </c>
      <c r="C527" s="568" t="str">
        <f>'900000'!$B47</f>
        <v>09901027</v>
      </c>
      <c r="D527" s="160" t="str">
        <f>'900000'!$Y$18</f>
        <v>C09902003</v>
      </c>
      <c r="E527" s="568">
        <f>'900000'!$Y47</f>
        <v>0</v>
      </c>
      <c r="F527" s="27" t="s">
        <v>19081</v>
      </c>
    </row>
    <row r="528" spans="1:6">
      <c r="A528" s="27" t="str">
        <f>Resultados!$K$3</f>
        <v/>
      </c>
      <c r="B528" s="27" t="str">
        <f>Resultados!$K$4</f>
        <v/>
      </c>
      <c r="C528" s="568" t="str">
        <f>'900000'!$B48</f>
        <v>09901028</v>
      </c>
      <c r="D528" s="160" t="str">
        <f>'900000'!$Y$18</f>
        <v>C09902003</v>
      </c>
      <c r="E528" s="568">
        <f>'900000'!$Y48</f>
        <v>0</v>
      </c>
      <c r="F528" s="27" t="s">
        <v>19081</v>
      </c>
    </row>
    <row r="529" spans="1:6">
      <c r="A529" s="27" t="str">
        <f>Resultados!$K$3</f>
        <v/>
      </c>
      <c r="B529" s="27" t="str">
        <f>Resultados!$K$4</f>
        <v/>
      </c>
      <c r="C529" s="568" t="str">
        <f>'900000'!$B49</f>
        <v>09901029</v>
      </c>
      <c r="D529" s="160" t="str">
        <f>'900000'!$Y$18</f>
        <v>C09902003</v>
      </c>
      <c r="E529" s="568">
        <f>'900000'!$Y49</f>
        <v>0</v>
      </c>
      <c r="F529" s="27" t="s">
        <v>19081</v>
      </c>
    </row>
    <row r="530" spans="1:6">
      <c r="A530" s="27" t="str">
        <f>Resultados!$K$3</f>
        <v/>
      </c>
      <c r="B530" s="27" t="str">
        <f>Resultados!$K$4</f>
        <v/>
      </c>
      <c r="C530" s="568" t="str">
        <f>'900000'!$B50</f>
        <v>09901030</v>
      </c>
      <c r="D530" s="160" t="str">
        <f>'900000'!$Y$18</f>
        <v>C09902003</v>
      </c>
      <c r="E530" s="568">
        <f>'900000'!$Y50</f>
        <v>0</v>
      </c>
      <c r="F530" s="27" t="s">
        <v>19081</v>
      </c>
    </row>
    <row r="531" spans="1:6">
      <c r="A531" s="27" t="str">
        <f>Resultados!$K$3</f>
        <v/>
      </c>
      <c r="B531" s="27" t="str">
        <f>Resultados!$K$4</f>
        <v/>
      </c>
      <c r="C531" s="568" t="str">
        <f>'900000'!$B51</f>
        <v>09901031</v>
      </c>
      <c r="D531" s="160" t="str">
        <f>'900000'!$Y$18</f>
        <v>C09902003</v>
      </c>
      <c r="E531" s="568">
        <f>'900000'!$Y51</f>
        <v>0</v>
      </c>
      <c r="F531" s="27" t="s">
        <v>19081</v>
      </c>
    </row>
    <row r="532" spans="1:6">
      <c r="A532" s="27" t="str">
        <f>Resultados!$K$3</f>
        <v/>
      </c>
      <c r="B532" s="27" t="str">
        <f>Resultados!$K$4</f>
        <v/>
      </c>
      <c r="C532" s="568" t="str">
        <f>'900000'!$B52</f>
        <v>09901032</v>
      </c>
      <c r="D532" s="160" t="str">
        <f>'900000'!$Y$18</f>
        <v>C09902003</v>
      </c>
      <c r="E532" s="568">
        <f>'900000'!$Y52</f>
        <v>0</v>
      </c>
      <c r="F532" s="27" t="s">
        <v>19081</v>
      </c>
    </row>
    <row r="533" spans="1:6">
      <c r="A533" s="27" t="str">
        <f>Resultados!$K$3</f>
        <v/>
      </c>
      <c r="B533" s="27" t="str">
        <f>Resultados!$K$4</f>
        <v/>
      </c>
      <c r="C533" s="568" t="str">
        <f>'900000'!$B53</f>
        <v>09901033</v>
      </c>
      <c r="D533" s="160" t="str">
        <f>'900000'!$Y$18</f>
        <v>C09902003</v>
      </c>
      <c r="E533" s="568">
        <f>'900000'!$Y53</f>
        <v>0</v>
      </c>
      <c r="F533" s="27" t="s">
        <v>19081</v>
      </c>
    </row>
    <row r="534" spans="1:6">
      <c r="A534" s="27" t="str">
        <f>Resultados!$K$3</f>
        <v/>
      </c>
      <c r="B534" s="27" t="str">
        <f>Resultados!$K$4</f>
        <v/>
      </c>
      <c r="C534" s="568" t="str">
        <f>'900000'!$B54</f>
        <v>09901034</v>
      </c>
      <c r="D534" s="160" t="str">
        <f>'900000'!$Y$18</f>
        <v>C09902003</v>
      </c>
      <c r="E534" s="568">
        <f>'900000'!$Y54</f>
        <v>0</v>
      </c>
      <c r="F534" s="27" t="s">
        <v>19081</v>
      </c>
    </row>
    <row r="535" spans="1:6">
      <c r="A535" s="27" t="str">
        <f>Resultados!$K$3</f>
        <v/>
      </c>
      <c r="B535" s="27" t="str">
        <f>Resultados!$K$4</f>
        <v/>
      </c>
      <c r="C535" s="568" t="str">
        <f>'900000'!$B55</f>
        <v>09901035</v>
      </c>
      <c r="D535" s="160" t="str">
        <f>'900000'!$Y$18</f>
        <v>C09902003</v>
      </c>
      <c r="E535" s="568">
        <f>'900000'!$Y55</f>
        <v>0</v>
      </c>
      <c r="F535" s="27" t="s">
        <v>19081</v>
      </c>
    </row>
    <row r="536" spans="1:6">
      <c r="A536" s="27" t="str">
        <f>Resultados!$K$3</f>
        <v/>
      </c>
      <c r="B536" s="27" t="str">
        <f>Resultados!$K$4</f>
        <v/>
      </c>
      <c r="C536" s="568" t="str">
        <f>'900000'!$B56</f>
        <v>09901036</v>
      </c>
      <c r="D536" s="160" t="str">
        <f>'900000'!$Y$18</f>
        <v>C09902003</v>
      </c>
      <c r="E536" s="568">
        <f>'900000'!$Y56</f>
        <v>0</v>
      </c>
      <c r="F536" s="27" t="s">
        <v>19081</v>
      </c>
    </row>
    <row r="537" spans="1:6">
      <c r="A537" s="27" t="str">
        <f>Resultados!$K$3</f>
        <v/>
      </c>
      <c r="B537" s="27" t="str">
        <f>Resultados!$K$4</f>
        <v/>
      </c>
      <c r="C537" s="568" t="str">
        <f>'900000'!$B57</f>
        <v>09901037</v>
      </c>
      <c r="D537" s="160" t="str">
        <f>'900000'!$Y$18</f>
        <v>C09902003</v>
      </c>
      <c r="E537" s="568">
        <f>'900000'!$Y57</f>
        <v>0</v>
      </c>
      <c r="F537" s="27" t="s">
        <v>19081</v>
      </c>
    </row>
    <row r="538" spans="1:6">
      <c r="A538" s="27" t="str">
        <f>Resultados!$K$3</f>
        <v/>
      </c>
      <c r="B538" s="27" t="str">
        <f>Resultados!$K$4</f>
        <v/>
      </c>
      <c r="C538" s="568" t="str">
        <f>'900000'!$B58</f>
        <v>09901038</v>
      </c>
      <c r="D538" s="160" t="str">
        <f>'900000'!$Y$18</f>
        <v>C09902003</v>
      </c>
      <c r="E538" s="568">
        <f>'900000'!$Y58</f>
        <v>0</v>
      </c>
      <c r="F538" s="27" t="s">
        <v>19081</v>
      </c>
    </row>
    <row r="539" spans="1:6">
      <c r="A539" s="27" t="str">
        <f>Resultados!$K$3</f>
        <v/>
      </c>
      <c r="B539" s="27" t="str">
        <f>Resultados!$K$4</f>
        <v/>
      </c>
      <c r="C539" s="568" t="str">
        <f>'900000'!$B59</f>
        <v>09901039</v>
      </c>
      <c r="D539" s="160" t="str">
        <f>'900000'!$Y$18</f>
        <v>C09902003</v>
      </c>
      <c r="E539" s="568">
        <f>'900000'!$Y59</f>
        <v>0</v>
      </c>
      <c r="F539" s="27" t="s">
        <v>19081</v>
      </c>
    </row>
    <row r="540" spans="1:6">
      <c r="A540" s="27" t="str">
        <f>Resultados!$K$3</f>
        <v/>
      </c>
      <c r="B540" s="27" t="str">
        <f>Resultados!$K$4</f>
        <v/>
      </c>
      <c r="C540" s="568" t="str">
        <f>'900000'!$B60</f>
        <v>09901040</v>
      </c>
      <c r="D540" s="160" t="str">
        <f>'900000'!$Y$18</f>
        <v>C09902003</v>
      </c>
      <c r="E540" s="568">
        <f>'900000'!$Y60</f>
        <v>0</v>
      </c>
      <c r="F540" s="27" t="s">
        <v>19081</v>
      </c>
    </row>
    <row r="541" spans="1:6">
      <c r="A541" s="27" t="str">
        <f>Resultados!$K$3</f>
        <v/>
      </c>
      <c r="B541" s="27" t="str">
        <f>Resultados!$K$4</f>
        <v/>
      </c>
      <c r="C541" s="568" t="str">
        <f>'900000'!$B61</f>
        <v>09901041</v>
      </c>
      <c r="D541" s="160" t="str">
        <f>'900000'!$Y$18</f>
        <v>C09902003</v>
      </c>
      <c r="E541" s="568">
        <f>'900000'!$Y61</f>
        <v>0</v>
      </c>
      <c r="F541" s="27" t="s">
        <v>19081</v>
      </c>
    </row>
    <row r="542" spans="1:6">
      <c r="A542" s="27" t="str">
        <f>Resultados!$K$3</f>
        <v/>
      </c>
      <c r="B542" s="27" t="str">
        <f>Resultados!$K$4</f>
        <v/>
      </c>
      <c r="C542" s="568" t="str">
        <f>'900000'!$B62</f>
        <v>09901042</v>
      </c>
      <c r="D542" s="160" t="str">
        <f>'900000'!$Y$18</f>
        <v>C09902003</v>
      </c>
      <c r="E542" s="568">
        <f>'900000'!$Y62</f>
        <v>0</v>
      </c>
      <c r="F542" s="27" t="s">
        <v>19081</v>
      </c>
    </row>
    <row r="543" spans="1:6">
      <c r="A543" s="27" t="str">
        <f>Resultados!$K$3</f>
        <v/>
      </c>
      <c r="B543" s="27" t="str">
        <f>Resultados!$K$4</f>
        <v/>
      </c>
      <c r="C543" s="568" t="str">
        <f>'900000'!$B63</f>
        <v>09901043</v>
      </c>
      <c r="D543" s="160" t="str">
        <f>'900000'!$Y$18</f>
        <v>C09902003</v>
      </c>
      <c r="E543" s="568">
        <f>'900000'!$Y63</f>
        <v>0</v>
      </c>
      <c r="F543" s="27" t="s">
        <v>19081</v>
      </c>
    </row>
    <row r="544" spans="1:6">
      <c r="A544" s="27" t="str">
        <f>Resultados!$K$3</f>
        <v/>
      </c>
      <c r="B544" s="27" t="str">
        <f>Resultados!$K$4</f>
        <v/>
      </c>
      <c r="C544" s="568" t="str">
        <f>'900000'!$B64</f>
        <v>09901044</v>
      </c>
      <c r="D544" s="160" t="str">
        <f>'900000'!$Y$18</f>
        <v>C09902003</v>
      </c>
      <c r="E544" s="568">
        <f>'900000'!$Y64</f>
        <v>0</v>
      </c>
      <c r="F544" s="27" t="s">
        <v>19081</v>
      </c>
    </row>
    <row r="545" spans="1:6">
      <c r="A545" s="27" t="str">
        <f>Resultados!$K$3</f>
        <v/>
      </c>
      <c r="B545" s="27" t="str">
        <f>Resultados!$K$4</f>
        <v/>
      </c>
      <c r="C545" s="568" t="str">
        <f>'900000'!$B65</f>
        <v>09901045</v>
      </c>
      <c r="D545" s="160" t="str">
        <f>'900000'!$Y$18</f>
        <v>C09902003</v>
      </c>
      <c r="E545" s="568">
        <f>'900000'!$Y65</f>
        <v>0</v>
      </c>
      <c r="F545" s="27" t="s">
        <v>19081</v>
      </c>
    </row>
    <row r="546" spans="1:6">
      <c r="A546" s="27" t="str">
        <f>Resultados!$K$3</f>
        <v/>
      </c>
      <c r="B546" s="27" t="str">
        <f>Resultados!$K$4</f>
        <v/>
      </c>
      <c r="C546" s="568" t="str">
        <f>'900000'!$B66</f>
        <v>09901046</v>
      </c>
      <c r="D546" s="160" t="str">
        <f>'900000'!$Y$18</f>
        <v>C09902003</v>
      </c>
      <c r="E546" s="568">
        <f>'900000'!$Y66</f>
        <v>0</v>
      </c>
      <c r="F546" s="27" t="s">
        <v>19081</v>
      </c>
    </row>
    <row r="547" spans="1:6">
      <c r="A547" s="27" t="str">
        <f>Resultados!$K$3</f>
        <v/>
      </c>
      <c r="B547" s="27" t="str">
        <f>Resultados!$K$4</f>
        <v/>
      </c>
      <c r="C547" s="568" t="str">
        <f>'900000'!$B67</f>
        <v>09901047</v>
      </c>
      <c r="D547" s="160" t="str">
        <f>'900000'!$Y$18</f>
        <v>C09902003</v>
      </c>
      <c r="E547" s="568">
        <f>'900000'!$Y67</f>
        <v>0</v>
      </c>
      <c r="F547" s="27" t="s">
        <v>19081</v>
      </c>
    </row>
    <row r="548" spans="1:6">
      <c r="A548" s="27" t="str">
        <f>Resultados!$K$3</f>
        <v/>
      </c>
      <c r="B548" s="27" t="str">
        <f>Resultados!$K$4</f>
        <v/>
      </c>
      <c r="C548" s="568" t="str">
        <f>'900000'!$B68</f>
        <v>09901048</v>
      </c>
      <c r="D548" s="160" t="str">
        <f>'900000'!$Y$18</f>
        <v>C09902003</v>
      </c>
      <c r="E548" s="568">
        <f>'900000'!$Y68</f>
        <v>0</v>
      </c>
      <c r="F548" s="27" t="s">
        <v>19081</v>
      </c>
    </row>
    <row r="549" spans="1:6">
      <c r="A549" s="27" t="str">
        <f>Resultados!$K$3</f>
        <v/>
      </c>
      <c r="B549" s="27" t="str">
        <f>Resultados!$K$4</f>
        <v/>
      </c>
      <c r="C549" s="568" t="str">
        <f>'900000'!$B69</f>
        <v>09901049</v>
      </c>
      <c r="D549" s="160" t="str">
        <f>'900000'!$Y$18</f>
        <v>C09902003</v>
      </c>
      <c r="E549" s="568">
        <f>'900000'!$Y69</f>
        <v>0</v>
      </c>
      <c r="F549" s="27" t="s">
        <v>19081</v>
      </c>
    </row>
    <row r="550" spans="1:6">
      <c r="A550" s="27" t="str">
        <f>Resultados!$K$3</f>
        <v/>
      </c>
      <c r="B550" s="27" t="str">
        <f>Resultados!$K$4</f>
        <v/>
      </c>
      <c r="C550" s="568" t="str">
        <f>'900000'!$B70</f>
        <v>09901050</v>
      </c>
      <c r="D550" s="160" t="str">
        <f>'900000'!$Y$18</f>
        <v>C09902003</v>
      </c>
      <c r="E550" s="568">
        <f>'900000'!$Y70</f>
        <v>0</v>
      </c>
      <c r="F550" s="27" t="s">
        <v>19081</v>
      </c>
    </row>
    <row r="551" spans="1:6">
      <c r="A551" s="27" t="str">
        <f>Resultados!$K$3</f>
        <v/>
      </c>
      <c r="B551" s="27" t="str">
        <f>Resultados!$K$4</f>
        <v/>
      </c>
      <c r="C551" s="568" t="str">
        <f>'900000'!$B71</f>
        <v>09901051</v>
      </c>
      <c r="D551" s="160" t="str">
        <f>'900000'!$Y$18</f>
        <v>C09902003</v>
      </c>
      <c r="E551" s="568">
        <f>'900000'!$Y71</f>
        <v>0</v>
      </c>
      <c r="F551" s="27" t="s">
        <v>19081</v>
      </c>
    </row>
    <row r="552" spans="1:6">
      <c r="A552" s="27" t="str">
        <f>Resultados!$K$3</f>
        <v/>
      </c>
      <c r="B552" s="27" t="str">
        <f>Resultados!$K$4</f>
        <v/>
      </c>
      <c r="C552" s="568" t="str">
        <f>'900000'!$B72</f>
        <v>09901052</v>
      </c>
      <c r="D552" s="160" t="str">
        <f>'900000'!$Y$18</f>
        <v>C09902003</v>
      </c>
      <c r="E552" s="568">
        <f>'900000'!$Y72</f>
        <v>0</v>
      </c>
      <c r="F552" s="27" t="s">
        <v>19081</v>
      </c>
    </row>
    <row r="553" spans="1:6">
      <c r="A553" s="27" t="str">
        <f>Resultados!$K$3</f>
        <v/>
      </c>
      <c r="B553" s="27" t="str">
        <f>Resultados!$K$4</f>
        <v/>
      </c>
      <c r="C553" s="568" t="str">
        <f>'900000'!$B73</f>
        <v>09901053</v>
      </c>
      <c r="D553" s="160" t="str">
        <f>'900000'!$Y$18</f>
        <v>C09902003</v>
      </c>
      <c r="E553" s="568">
        <f>'900000'!$Y73</f>
        <v>0</v>
      </c>
      <c r="F553" s="27" t="s">
        <v>19081</v>
      </c>
    </row>
    <row r="554" spans="1:6">
      <c r="A554" s="27" t="str">
        <f>Resultados!$K$3</f>
        <v/>
      </c>
      <c r="B554" s="27" t="str">
        <f>Resultados!$K$4</f>
        <v/>
      </c>
      <c r="C554" s="568" t="str">
        <f>'900000'!$B74</f>
        <v>09901054</v>
      </c>
      <c r="D554" s="160" t="str">
        <f>'900000'!$Y$18</f>
        <v>C09902003</v>
      </c>
      <c r="E554" s="568">
        <f>'900000'!$Y74</f>
        <v>0</v>
      </c>
      <c r="F554" s="27" t="s">
        <v>19081</v>
      </c>
    </row>
    <row r="555" spans="1:6">
      <c r="A555" s="27" t="str">
        <f>Resultados!$K$3</f>
        <v/>
      </c>
      <c r="B555" s="27" t="str">
        <f>Resultados!$K$4</f>
        <v/>
      </c>
      <c r="C555" s="568" t="str">
        <f>'900000'!$B75</f>
        <v>09901055</v>
      </c>
      <c r="D555" s="160" t="str">
        <f>'900000'!$Y$18</f>
        <v>C09902003</v>
      </c>
      <c r="E555" s="568">
        <f>'900000'!$Y75</f>
        <v>0</v>
      </c>
      <c r="F555" s="27" t="s">
        <v>19081</v>
      </c>
    </row>
    <row r="556" spans="1:6">
      <c r="A556" s="27" t="str">
        <f>Resultados!$K$3</f>
        <v/>
      </c>
      <c r="B556" s="27" t="str">
        <f>Resultados!$K$4</f>
        <v/>
      </c>
      <c r="C556" s="568" t="str">
        <f>'900000'!$B76</f>
        <v>09901056</v>
      </c>
      <c r="D556" s="160" t="str">
        <f>'900000'!$Y$18</f>
        <v>C09902003</v>
      </c>
      <c r="E556" s="568">
        <f>'900000'!$Y76</f>
        <v>0</v>
      </c>
      <c r="F556" s="27" t="s">
        <v>19081</v>
      </c>
    </row>
    <row r="557" spans="1:6">
      <c r="A557" s="27" t="str">
        <f>Resultados!$K$3</f>
        <v/>
      </c>
      <c r="B557" s="27" t="str">
        <f>Resultados!$K$4</f>
        <v/>
      </c>
      <c r="C557" s="568" t="str">
        <f>'900000'!$B77</f>
        <v>09901057</v>
      </c>
      <c r="D557" s="160" t="str">
        <f>'900000'!$Y$18</f>
        <v>C09902003</v>
      </c>
      <c r="E557" s="568">
        <f>'900000'!$Y77</f>
        <v>0</v>
      </c>
      <c r="F557" s="27" t="s">
        <v>19081</v>
      </c>
    </row>
    <row r="558" spans="1:6">
      <c r="A558" s="27" t="str">
        <f>Resultados!$K$3</f>
        <v/>
      </c>
      <c r="B558" s="27" t="str">
        <f>Resultados!$K$4</f>
        <v/>
      </c>
      <c r="C558" s="568" t="str">
        <f>'900000'!$B78</f>
        <v>09901058</v>
      </c>
      <c r="D558" s="160" t="str">
        <f>'900000'!$Y$18</f>
        <v>C09902003</v>
      </c>
      <c r="E558" s="568">
        <f>'900000'!$Y78</f>
        <v>0</v>
      </c>
      <c r="F558" s="27" t="s">
        <v>19081</v>
      </c>
    </row>
    <row r="559" spans="1:6">
      <c r="A559" s="27" t="str">
        <f>Resultados!$K$3</f>
        <v/>
      </c>
      <c r="B559" s="27" t="str">
        <f>Resultados!$K$4</f>
        <v/>
      </c>
      <c r="C559" s="568" t="str">
        <f>'900000'!$B79</f>
        <v>09901059</v>
      </c>
      <c r="D559" s="160" t="str">
        <f>'900000'!$Y$18</f>
        <v>C09902003</v>
      </c>
      <c r="E559" s="568">
        <f>'900000'!$Y79</f>
        <v>0</v>
      </c>
      <c r="F559" s="27" t="s">
        <v>19081</v>
      </c>
    </row>
    <row r="560" spans="1:6">
      <c r="A560" s="27" t="str">
        <f>Resultados!$K$3</f>
        <v/>
      </c>
      <c r="B560" s="27" t="str">
        <f>Resultados!$K$4</f>
        <v/>
      </c>
      <c r="C560" s="568" t="str">
        <f>'900000'!$B80</f>
        <v>09901060</v>
      </c>
      <c r="D560" s="160" t="str">
        <f>'900000'!$Y$18</f>
        <v>C09902003</v>
      </c>
      <c r="E560" s="568">
        <f>'900000'!$Y80</f>
        <v>0</v>
      </c>
      <c r="F560" s="27" t="s">
        <v>19081</v>
      </c>
    </row>
    <row r="561" spans="1:6">
      <c r="A561" s="27" t="str">
        <f>Resultados!$K$3</f>
        <v/>
      </c>
      <c r="B561" s="27" t="str">
        <f>Resultados!$K$4</f>
        <v/>
      </c>
      <c r="C561" s="568" t="str">
        <f>'900000'!$B81</f>
        <v>09901061</v>
      </c>
      <c r="D561" s="160" t="str">
        <f>'900000'!$Y$18</f>
        <v>C09902003</v>
      </c>
      <c r="E561" s="568">
        <f>'900000'!$Y81</f>
        <v>0</v>
      </c>
      <c r="F561" s="27" t="s">
        <v>19081</v>
      </c>
    </row>
    <row r="562" spans="1:6">
      <c r="A562" s="27" t="str">
        <f>Resultados!$K$3</f>
        <v/>
      </c>
      <c r="B562" s="27" t="str">
        <f>Resultados!$K$4</f>
        <v/>
      </c>
      <c r="C562" s="568" t="str">
        <f>'900000'!$B82</f>
        <v>09901062</v>
      </c>
      <c r="D562" s="160" t="str">
        <f>'900000'!$Y$18</f>
        <v>C09902003</v>
      </c>
      <c r="E562" s="568">
        <f>'900000'!$Y82</f>
        <v>0</v>
      </c>
      <c r="F562" s="27" t="s">
        <v>19081</v>
      </c>
    </row>
    <row r="563" spans="1:6">
      <c r="A563" s="27" t="str">
        <f>Resultados!$K$3</f>
        <v/>
      </c>
      <c r="B563" s="27" t="str">
        <f>Resultados!$K$4</f>
        <v/>
      </c>
      <c r="C563" s="568" t="str">
        <f>'900000'!$B83</f>
        <v>09901063</v>
      </c>
      <c r="D563" s="160" t="str">
        <f>'900000'!$Y$18</f>
        <v>C09902003</v>
      </c>
      <c r="E563" s="568">
        <f>'900000'!$Y83</f>
        <v>0</v>
      </c>
      <c r="F563" s="27" t="s">
        <v>19081</v>
      </c>
    </row>
    <row r="564" spans="1:6">
      <c r="A564" s="27" t="str">
        <f>Resultados!$K$3</f>
        <v/>
      </c>
      <c r="B564" s="27" t="str">
        <f>Resultados!$K$4</f>
        <v/>
      </c>
      <c r="C564" s="568" t="str">
        <f>'900000'!$B84</f>
        <v>09901064</v>
      </c>
      <c r="D564" s="160" t="str">
        <f>'900000'!$Y$18</f>
        <v>C09902003</v>
      </c>
      <c r="E564" s="568">
        <f>'900000'!$Y84</f>
        <v>0</v>
      </c>
      <c r="F564" s="27" t="s">
        <v>19081</v>
      </c>
    </row>
    <row r="565" spans="1:6">
      <c r="A565" s="27" t="str">
        <f>Resultados!$K$3</f>
        <v/>
      </c>
      <c r="B565" s="27" t="str">
        <f>Resultados!$K$4</f>
        <v/>
      </c>
      <c r="C565" s="568" t="str">
        <f>'900000'!$B85</f>
        <v>09901065</v>
      </c>
      <c r="D565" s="160" t="str">
        <f>'900000'!$Y$18</f>
        <v>C09902003</v>
      </c>
      <c r="E565" s="568">
        <f>'900000'!$Y85</f>
        <v>0</v>
      </c>
      <c r="F565" s="27" t="s">
        <v>19081</v>
      </c>
    </row>
    <row r="566" spans="1:6">
      <c r="A566" s="27" t="str">
        <f>Resultados!$K$3</f>
        <v/>
      </c>
      <c r="B566" s="27" t="str">
        <f>Resultados!$K$4</f>
        <v/>
      </c>
      <c r="C566" s="568" t="str">
        <f>'900000'!$B86</f>
        <v>09901066</v>
      </c>
      <c r="D566" s="160" t="str">
        <f>'900000'!$Y$18</f>
        <v>C09902003</v>
      </c>
      <c r="E566" s="568">
        <f>'900000'!$Y86</f>
        <v>0</v>
      </c>
      <c r="F566" s="27" t="s">
        <v>19081</v>
      </c>
    </row>
    <row r="567" spans="1:6">
      <c r="A567" s="27" t="str">
        <f>Resultados!$K$3</f>
        <v/>
      </c>
      <c r="B567" s="27" t="str">
        <f>Resultados!$K$4</f>
        <v/>
      </c>
      <c r="C567" s="568" t="str">
        <f>'900000'!$B87</f>
        <v>09901067</v>
      </c>
      <c r="D567" s="160" t="str">
        <f>'900000'!$Y$18</f>
        <v>C09902003</v>
      </c>
      <c r="E567" s="568">
        <f>'900000'!$Y87</f>
        <v>0</v>
      </c>
      <c r="F567" s="27" t="s">
        <v>19081</v>
      </c>
    </row>
    <row r="568" spans="1:6">
      <c r="A568" s="27" t="str">
        <f>Resultados!$K$3</f>
        <v/>
      </c>
      <c r="B568" s="27" t="str">
        <f>Resultados!$K$4</f>
        <v/>
      </c>
      <c r="C568" s="568" t="str">
        <f>'900000'!$B88</f>
        <v>09901068</v>
      </c>
      <c r="D568" s="160" t="str">
        <f>'900000'!$Y$18</f>
        <v>C09902003</v>
      </c>
      <c r="E568" s="568">
        <f>'900000'!$Y88</f>
        <v>0</v>
      </c>
      <c r="F568" s="27" t="s">
        <v>19081</v>
      </c>
    </row>
    <row r="569" spans="1:6">
      <c r="A569" s="27" t="str">
        <f>Resultados!$K$3</f>
        <v/>
      </c>
      <c r="B569" s="27" t="str">
        <f>Resultados!$K$4</f>
        <v/>
      </c>
      <c r="C569" s="568" t="str">
        <f>'900000'!$B89</f>
        <v>09901069</v>
      </c>
      <c r="D569" s="160" t="str">
        <f>'900000'!$Y$18</f>
        <v>C09902003</v>
      </c>
      <c r="E569" s="568">
        <f>'900000'!$Y89</f>
        <v>0</v>
      </c>
      <c r="F569" s="27" t="s">
        <v>19081</v>
      </c>
    </row>
    <row r="570" spans="1:6">
      <c r="A570" s="27" t="str">
        <f>Resultados!$K$3</f>
        <v/>
      </c>
      <c r="B570" s="27" t="str">
        <f>Resultados!$K$4</f>
        <v/>
      </c>
      <c r="C570" s="568" t="str">
        <f>'900000'!$B90</f>
        <v>09901070</v>
      </c>
      <c r="D570" s="160" t="str">
        <f>'900000'!$Y$18</f>
        <v>C09902003</v>
      </c>
      <c r="E570" s="568">
        <f>'900000'!$Y90</f>
        <v>0</v>
      </c>
      <c r="F570" s="27" t="s">
        <v>19081</v>
      </c>
    </row>
    <row r="571" spans="1:6">
      <c r="A571" s="27" t="str">
        <f>Resultados!$K$3</f>
        <v/>
      </c>
      <c r="B571" s="27" t="str">
        <f>Resultados!$K$4</f>
        <v/>
      </c>
      <c r="C571" s="568" t="str">
        <f>'900000'!$B91</f>
        <v>09901071</v>
      </c>
      <c r="D571" s="160" t="str">
        <f>'900000'!$Y$18</f>
        <v>C09902003</v>
      </c>
      <c r="E571" s="568">
        <f>'900000'!$Y91</f>
        <v>0</v>
      </c>
      <c r="F571" s="27" t="s">
        <v>19081</v>
      </c>
    </row>
    <row r="572" spans="1:6">
      <c r="A572" s="27" t="str">
        <f>Resultados!$K$3</f>
        <v/>
      </c>
      <c r="B572" s="27" t="str">
        <f>Resultados!$K$4</f>
        <v/>
      </c>
      <c r="C572" s="568" t="str">
        <f>'900000'!$B92</f>
        <v>09901072</v>
      </c>
      <c r="D572" s="160" t="str">
        <f>'900000'!$Y$18</f>
        <v>C09902003</v>
      </c>
      <c r="E572" s="568">
        <f>'900000'!$Y92</f>
        <v>0</v>
      </c>
      <c r="F572" s="27" t="s">
        <v>19081</v>
      </c>
    </row>
    <row r="573" spans="1:6">
      <c r="A573" s="27" t="str">
        <f>Resultados!$K$3</f>
        <v/>
      </c>
      <c r="B573" s="27" t="str">
        <f>Resultados!$K$4</f>
        <v/>
      </c>
      <c r="C573" s="568" t="str">
        <f>'900000'!$B93</f>
        <v>09901073</v>
      </c>
      <c r="D573" s="160" t="str">
        <f>'900000'!$Y$18</f>
        <v>C09902003</v>
      </c>
      <c r="E573" s="568">
        <f>'900000'!$Y93</f>
        <v>0</v>
      </c>
      <c r="F573" s="27" t="s">
        <v>19081</v>
      </c>
    </row>
    <row r="574" spans="1:6">
      <c r="A574" s="27" t="str">
        <f>Resultados!$K$3</f>
        <v/>
      </c>
      <c r="B574" s="27" t="str">
        <f>Resultados!$K$4</f>
        <v/>
      </c>
      <c r="C574" s="568" t="str">
        <f>'900000'!$B94</f>
        <v>09901074</v>
      </c>
      <c r="D574" s="160" t="str">
        <f>'900000'!$Y$18</f>
        <v>C09902003</v>
      </c>
      <c r="E574" s="568">
        <f>'900000'!$Y94</f>
        <v>0</v>
      </c>
      <c r="F574" s="27" t="s">
        <v>19081</v>
      </c>
    </row>
    <row r="575" spans="1:6">
      <c r="A575" s="27" t="str">
        <f>Resultados!$K$3</f>
        <v/>
      </c>
      <c r="B575" s="27" t="str">
        <f>Resultados!$K$4</f>
        <v/>
      </c>
      <c r="C575" s="568" t="str">
        <f>'900000'!$B95</f>
        <v>09901075</v>
      </c>
      <c r="D575" s="160" t="str">
        <f>'900000'!$Y$18</f>
        <v>C09902003</v>
      </c>
      <c r="E575" s="568">
        <f>'900000'!$Y95</f>
        <v>0</v>
      </c>
      <c r="F575" s="27" t="s">
        <v>19081</v>
      </c>
    </row>
    <row r="576" spans="1:6">
      <c r="A576" s="27" t="str">
        <f>Resultados!$K$3</f>
        <v/>
      </c>
      <c r="B576" s="27" t="str">
        <f>Resultados!$K$4</f>
        <v/>
      </c>
      <c r="C576" s="568" t="str">
        <f>'900000'!$B96</f>
        <v>09901076</v>
      </c>
      <c r="D576" s="160" t="str">
        <f>'900000'!$Y$18</f>
        <v>C09902003</v>
      </c>
      <c r="E576" s="568">
        <f>'900000'!$Y96</f>
        <v>0</v>
      </c>
      <c r="F576" s="27" t="s">
        <v>19081</v>
      </c>
    </row>
    <row r="577" spans="1:6">
      <c r="A577" s="27" t="str">
        <f>Resultados!$K$3</f>
        <v/>
      </c>
      <c r="B577" s="27" t="str">
        <f>Resultados!$K$4</f>
        <v/>
      </c>
      <c r="C577" s="568" t="str">
        <f>'900000'!$B97</f>
        <v>09901077</v>
      </c>
      <c r="D577" s="160" t="str">
        <f>'900000'!$Y$18</f>
        <v>C09902003</v>
      </c>
      <c r="E577" s="568">
        <f>'900000'!$Y97</f>
        <v>0</v>
      </c>
      <c r="F577" s="27" t="s">
        <v>19081</v>
      </c>
    </row>
    <row r="578" spans="1:6">
      <c r="A578" s="27" t="str">
        <f>Resultados!$K$3</f>
        <v/>
      </c>
      <c r="B578" s="27" t="str">
        <f>Resultados!$K$4</f>
        <v/>
      </c>
      <c r="C578" s="568" t="str">
        <f>'900000'!$B98</f>
        <v>09901078</v>
      </c>
      <c r="D578" s="160" t="str">
        <f>'900000'!$Y$18</f>
        <v>C09902003</v>
      </c>
      <c r="E578" s="568">
        <f>'900000'!$Y98</f>
        <v>0</v>
      </c>
      <c r="F578" s="27" t="s">
        <v>19081</v>
      </c>
    </row>
    <row r="579" spans="1:6">
      <c r="A579" s="27" t="str">
        <f>Resultados!$K$3</f>
        <v/>
      </c>
      <c r="B579" s="27" t="str">
        <f>Resultados!$K$4</f>
        <v/>
      </c>
      <c r="C579" s="568" t="str">
        <f>'900000'!$B99</f>
        <v>09901079</v>
      </c>
      <c r="D579" s="160" t="str">
        <f>'900000'!$Y$18</f>
        <v>C09902003</v>
      </c>
      <c r="E579" s="568">
        <f>'900000'!$Y99</f>
        <v>0</v>
      </c>
      <c r="F579" s="27" t="s">
        <v>19081</v>
      </c>
    </row>
    <row r="580" spans="1:6">
      <c r="A580" s="27" t="str">
        <f>Resultados!$K$3</f>
        <v/>
      </c>
      <c r="B580" s="27" t="str">
        <f>Resultados!$K$4</f>
        <v/>
      </c>
      <c r="C580" s="568" t="str">
        <f>'900000'!$B100</f>
        <v>09901080</v>
      </c>
      <c r="D580" s="160" t="str">
        <f>'900000'!$Y$18</f>
        <v>C09902003</v>
      </c>
      <c r="E580" s="568">
        <f>'900000'!$Y100</f>
        <v>0</v>
      </c>
      <c r="F580" s="27" t="s">
        <v>19081</v>
      </c>
    </row>
    <row r="581" spans="1:6">
      <c r="A581" s="27" t="str">
        <f>Resultados!$K$3</f>
        <v/>
      </c>
      <c r="B581" s="27" t="str">
        <f>Resultados!$K$4</f>
        <v/>
      </c>
      <c r="C581" s="568" t="str">
        <f>'900000'!$B101</f>
        <v>09901081</v>
      </c>
      <c r="D581" s="160" t="str">
        <f>'900000'!$Y$18</f>
        <v>C09902003</v>
      </c>
      <c r="E581" s="568">
        <f>'900000'!$Y101</f>
        <v>0</v>
      </c>
      <c r="F581" s="27" t="s">
        <v>19081</v>
      </c>
    </row>
    <row r="582" spans="1:6">
      <c r="A582" s="27" t="str">
        <f>Resultados!$K$3</f>
        <v/>
      </c>
      <c r="B582" s="27" t="str">
        <f>Resultados!$K$4</f>
        <v/>
      </c>
      <c r="C582" s="568" t="str">
        <f>'900000'!$B102</f>
        <v>09901082</v>
      </c>
      <c r="D582" s="160" t="str">
        <f>'900000'!$Y$18</f>
        <v>C09902003</v>
      </c>
      <c r="E582" s="568">
        <f>'900000'!$Y102</f>
        <v>0</v>
      </c>
      <c r="F582" s="27" t="s">
        <v>19081</v>
      </c>
    </row>
    <row r="583" spans="1:6">
      <c r="A583" s="27" t="str">
        <f>Resultados!$K$3</f>
        <v/>
      </c>
      <c r="B583" s="27" t="str">
        <f>Resultados!$K$4</f>
        <v/>
      </c>
      <c r="C583" s="568" t="str">
        <f>'900000'!$B103</f>
        <v>09901083</v>
      </c>
      <c r="D583" s="160" t="str">
        <f>'900000'!$Y$18</f>
        <v>C09902003</v>
      </c>
      <c r="E583" s="568">
        <f>'900000'!$Y103</f>
        <v>0</v>
      </c>
      <c r="F583" s="27" t="s">
        <v>19081</v>
      </c>
    </row>
    <row r="584" spans="1:6">
      <c r="A584" s="27" t="str">
        <f>Resultados!$K$3</f>
        <v/>
      </c>
      <c r="B584" s="27" t="str">
        <f>Resultados!$K$4</f>
        <v/>
      </c>
      <c r="C584" s="568" t="str">
        <f>'900000'!$B104</f>
        <v>09901084</v>
      </c>
      <c r="D584" s="160" t="str">
        <f>'900000'!$Y$18</f>
        <v>C09902003</v>
      </c>
      <c r="E584" s="568">
        <f>'900000'!$Y104</f>
        <v>0</v>
      </c>
      <c r="F584" s="27" t="s">
        <v>19081</v>
      </c>
    </row>
    <row r="585" spans="1:6">
      <c r="A585" s="27" t="str">
        <f>Resultados!$K$3</f>
        <v/>
      </c>
      <c r="B585" s="27" t="str">
        <f>Resultados!$K$4</f>
        <v/>
      </c>
      <c r="C585" s="568" t="str">
        <f>'900000'!$B105</f>
        <v>09901085</v>
      </c>
      <c r="D585" s="160" t="str">
        <f>'900000'!$Y$18</f>
        <v>C09902003</v>
      </c>
      <c r="E585" s="568">
        <f>'900000'!$Y105</f>
        <v>0</v>
      </c>
      <c r="F585" s="27" t="s">
        <v>19081</v>
      </c>
    </row>
    <row r="586" spans="1:6">
      <c r="A586" s="27" t="str">
        <f>Resultados!$K$3</f>
        <v/>
      </c>
      <c r="B586" s="27" t="str">
        <f>Resultados!$K$4</f>
        <v/>
      </c>
      <c r="C586" s="568" t="str">
        <f>'900000'!$B106</f>
        <v>09901086</v>
      </c>
      <c r="D586" s="160" t="str">
        <f>'900000'!$Y$18</f>
        <v>C09902003</v>
      </c>
      <c r="E586" s="568">
        <f>'900000'!$Y106</f>
        <v>0</v>
      </c>
      <c r="F586" s="27" t="s">
        <v>19081</v>
      </c>
    </row>
    <row r="587" spans="1:6">
      <c r="A587" s="27" t="str">
        <f>Resultados!$K$3</f>
        <v/>
      </c>
      <c r="B587" s="27" t="str">
        <f>Resultados!$K$4</f>
        <v/>
      </c>
      <c r="C587" s="568" t="str">
        <f>'900000'!$B107</f>
        <v>09901087</v>
      </c>
      <c r="D587" s="160" t="str">
        <f>'900000'!$Y$18</f>
        <v>C09902003</v>
      </c>
      <c r="E587" s="568">
        <f>'900000'!$Y107</f>
        <v>0</v>
      </c>
      <c r="F587" s="27" t="s">
        <v>19081</v>
      </c>
    </row>
    <row r="588" spans="1:6">
      <c r="A588" s="27" t="str">
        <f>Resultados!$K$3</f>
        <v/>
      </c>
      <c r="B588" s="27" t="str">
        <f>Resultados!$K$4</f>
        <v/>
      </c>
      <c r="C588" s="568" t="str">
        <f>'900000'!$B108</f>
        <v>09901088</v>
      </c>
      <c r="D588" s="160" t="str">
        <f>'900000'!$Y$18</f>
        <v>C09902003</v>
      </c>
      <c r="E588" s="568">
        <f>'900000'!$Y108</f>
        <v>0</v>
      </c>
      <c r="F588" s="27" t="s">
        <v>19081</v>
      </c>
    </row>
    <row r="589" spans="1:6">
      <c r="A589" s="27" t="str">
        <f>Resultados!$K$3</f>
        <v/>
      </c>
      <c r="B589" s="27" t="str">
        <f>Resultados!$K$4</f>
        <v/>
      </c>
      <c r="C589" s="568" t="str">
        <f>'900000'!$B109</f>
        <v>09901089</v>
      </c>
      <c r="D589" s="160" t="str">
        <f>'900000'!$Y$18</f>
        <v>C09902003</v>
      </c>
      <c r="E589" s="568">
        <f>'900000'!$Y109</f>
        <v>0</v>
      </c>
      <c r="F589" s="27" t="s">
        <v>19081</v>
      </c>
    </row>
    <row r="590" spans="1:6">
      <c r="A590" s="27" t="str">
        <f>Resultados!$K$3</f>
        <v/>
      </c>
      <c r="B590" s="27" t="str">
        <f>Resultados!$K$4</f>
        <v/>
      </c>
      <c r="C590" s="568" t="str">
        <f>'900000'!$B110</f>
        <v>09901090</v>
      </c>
      <c r="D590" s="160" t="str">
        <f>'900000'!$Y$18</f>
        <v>C09902003</v>
      </c>
      <c r="E590" s="568">
        <f>'900000'!$Y110</f>
        <v>0</v>
      </c>
      <c r="F590" s="27" t="s">
        <v>19081</v>
      </c>
    </row>
    <row r="591" spans="1:6">
      <c r="A591" s="27" t="str">
        <f>Resultados!$K$3</f>
        <v/>
      </c>
      <c r="B591" s="27" t="str">
        <f>Resultados!$K$4</f>
        <v/>
      </c>
      <c r="C591" s="568" t="str">
        <f>'900000'!$B111</f>
        <v>09901091</v>
      </c>
      <c r="D591" s="160" t="str">
        <f>'900000'!$Y$18</f>
        <v>C09902003</v>
      </c>
      <c r="E591" s="568">
        <f>'900000'!$Y111</f>
        <v>0</v>
      </c>
      <c r="F591" s="27" t="s">
        <v>19081</v>
      </c>
    </row>
    <row r="592" spans="1:6">
      <c r="A592" s="27" t="str">
        <f>Resultados!$K$3</f>
        <v/>
      </c>
      <c r="B592" s="27" t="str">
        <f>Resultados!$K$4</f>
        <v/>
      </c>
      <c r="C592" s="568" t="str">
        <f>'900000'!$B112</f>
        <v>09901092</v>
      </c>
      <c r="D592" s="160" t="str">
        <f>'900000'!$Y$18</f>
        <v>C09902003</v>
      </c>
      <c r="E592" s="568">
        <f>'900000'!$Y112</f>
        <v>0</v>
      </c>
      <c r="F592" s="27" t="s">
        <v>19081</v>
      </c>
    </row>
    <row r="593" spans="1:6">
      <c r="A593" s="27" t="str">
        <f>Resultados!$K$3</f>
        <v/>
      </c>
      <c r="B593" s="27" t="str">
        <f>Resultados!$K$4</f>
        <v/>
      </c>
      <c r="C593" s="568" t="str">
        <f>'900000'!$B113</f>
        <v>09901093</v>
      </c>
      <c r="D593" s="160" t="str">
        <f>'900000'!$Y$18</f>
        <v>C09902003</v>
      </c>
      <c r="E593" s="568">
        <f>'900000'!$Y113</f>
        <v>0</v>
      </c>
      <c r="F593" s="27" t="s">
        <v>19081</v>
      </c>
    </row>
    <row r="594" spans="1:6">
      <c r="A594" s="27" t="str">
        <f>Resultados!$K$3</f>
        <v/>
      </c>
      <c r="B594" s="27" t="str">
        <f>Resultados!$K$4</f>
        <v/>
      </c>
      <c r="C594" s="568" t="str">
        <f>'900000'!$B114</f>
        <v>09901094</v>
      </c>
      <c r="D594" s="160" t="str">
        <f>'900000'!$Y$18</f>
        <v>C09902003</v>
      </c>
      <c r="E594" s="568">
        <f>'900000'!$Y114</f>
        <v>0</v>
      </c>
      <c r="F594" s="27" t="s">
        <v>19081</v>
      </c>
    </row>
    <row r="595" spans="1:6">
      <c r="A595" s="27" t="str">
        <f>Resultados!$K$3</f>
        <v/>
      </c>
      <c r="B595" s="27" t="str">
        <f>Resultados!$K$4</f>
        <v/>
      </c>
      <c r="C595" s="568" t="str">
        <f>'900000'!$B115</f>
        <v>09901095</v>
      </c>
      <c r="D595" s="160" t="str">
        <f>'900000'!$Y$18</f>
        <v>C09902003</v>
      </c>
      <c r="E595" s="568">
        <f>'900000'!$Y115</f>
        <v>0</v>
      </c>
      <c r="F595" s="27" t="s">
        <v>19081</v>
      </c>
    </row>
    <row r="596" spans="1:6">
      <c r="A596" s="27" t="str">
        <f>Resultados!$K$3</f>
        <v/>
      </c>
      <c r="B596" s="27" t="str">
        <f>Resultados!$K$4</f>
        <v/>
      </c>
      <c r="C596" s="568" t="str">
        <f>'900000'!$B116</f>
        <v>09901096</v>
      </c>
      <c r="D596" s="160" t="str">
        <f>'900000'!$Y$18</f>
        <v>C09902003</v>
      </c>
      <c r="E596" s="568">
        <f>'900000'!$Y116</f>
        <v>0</v>
      </c>
      <c r="F596" s="27" t="s">
        <v>19081</v>
      </c>
    </row>
    <row r="597" spans="1:6">
      <c r="A597" s="27" t="str">
        <f>Resultados!$K$3</f>
        <v/>
      </c>
      <c r="B597" s="27" t="str">
        <f>Resultados!$K$4</f>
        <v/>
      </c>
      <c r="C597" s="568" t="str">
        <f>'900000'!$B117</f>
        <v>09901097</v>
      </c>
      <c r="D597" s="160" t="str">
        <f>'900000'!$Y$18</f>
        <v>C09902003</v>
      </c>
      <c r="E597" s="568">
        <f>'900000'!$Y117</f>
        <v>0</v>
      </c>
      <c r="F597" s="27" t="s">
        <v>19081</v>
      </c>
    </row>
    <row r="598" spans="1:6">
      <c r="A598" s="27" t="str">
        <f>Resultados!$K$3</f>
        <v/>
      </c>
      <c r="B598" s="27" t="str">
        <f>Resultados!$K$4</f>
        <v/>
      </c>
      <c r="C598" s="568" t="str">
        <f>'900000'!$B118</f>
        <v>09901098</v>
      </c>
      <c r="D598" s="160" t="str">
        <f>'900000'!$Y$18</f>
        <v>C09902003</v>
      </c>
      <c r="E598" s="568">
        <f>'900000'!$Y118</f>
        <v>0</v>
      </c>
      <c r="F598" s="27" t="s">
        <v>19081</v>
      </c>
    </row>
    <row r="599" spans="1:6">
      <c r="A599" s="27" t="str">
        <f>Resultados!$K$3</f>
        <v/>
      </c>
      <c r="B599" s="27" t="str">
        <f>Resultados!$K$4</f>
        <v/>
      </c>
      <c r="C599" s="568" t="str">
        <f>'900000'!$B119</f>
        <v>09901099</v>
      </c>
      <c r="D599" s="160" t="str">
        <f>'900000'!$Y$18</f>
        <v>C09902003</v>
      </c>
      <c r="E599" s="568">
        <f>'900000'!$Y119</f>
        <v>0</v>
      </c>
      <c r="F599" s="27" t="s">
        <v>19081</v>
      </c>
    </row>
    <row r="600" spans="1:6">
      <c r="A600" s="27" t="str">
        <f>Resultados!$K$3</f>
        <v/>
      </c>
      <c r="B600" s="27" t="str">
        <f>Resultados!$K$4</f>
        <v/>
      </c>
      <c r="C600" s="568" t="str">
        <f>'900000'!$B120</f>
        <v>09901100</v>
      </c>
      <c r="D600" s="160" t="str">
        <f>'900000'!$Y$18</f>
        <v>C09902003</v>
      </c>
      <c r="E600" s="568">
        <f>'900000'!$Y120</f>
        <v>0</v>
      </c>
      <c r="F600" s="27" t="s">
        <v>19081</v>
      </c>
    </row>
    <row r="601" spans="1:6">
      <c r="A601" s="27" t="str">
        <f>Resultados!$K$3</f>
        <v/>
      </c>
      <c r="B601" s="27" t="str">
        <f>Resultados!$K$4</f>
        <v/>
      </c>
      <c r="C601" s="568" t="str">
        <f>'900000'!$B121</f>
        <v>09901101</v>
      </c>
      <c r="D601" s="160" t="str">
        <f>'900000'!$Y$18</f>
        <v>C09902003</v>
      </c>
      <c r="E601" s="568">
        <f>'900000'!$Y121</f>
        <v>0</v>
      </c>
      <c r="F601" s="27" t="s">
        <v>19081</v>
      </c>
    </row>
    <row r="602" spans="1:6">
      <c r="A602" s="27" t="str">
        <f>Resultados!$K$3</f>
        <v/>
      </c>
      <c r="B602" s="27" t="str">
        <f>Resultados!$K$4</f>
        <v/>
      </c>
      <c r="C602" s="568" t="str">
        <f>'900000'!$B22</f>
        <v>09901002</v>
      </c>
      <c r="D602" s="160" t="str">
        <f>'900000'!$Z$18</f>
        <v>C09902004</v>
      </c>
      <c r="E602">
        <f>'900000'!$Z22</f>
        <v>0</v>
      </c>
      <c r="F602" s="27" t="s">
        <v>19081</v>
      </c>
    </row>
    <row r="603" spans="1:6">
      <c r="A603" s="27" t="str">
        <f>Resultados!$K$3</f>
        <v/>
      </c>
      <c r="B603" s="27" t="str">
        <f>Resultados!$K$4</f>
        <v/>
      </c>
      <c r="C603" s="568" t="str">
        <f>'900000'!$B23</f>
        <v>09901003</v>
      </c>
      <c r="D603" s="160" t="str">
        <f>'900000'!$Z$18</f>
        <v>C09902004</v>
      </c>
      <c r="E603" s="27">
        <f>'900000'!$Z23</f>
        <v>0</v>
      </c>
      <c r="F603" s="27" t="s">
        <v>19081</v>
      </c>
    </row>
    <row r="604" spans="1:6">
      <c r="A604" s="27" t="str">
        <f>Resultados!$K$3</f>
        <v/>
      </c>
      <c r="B604" s="27" t="str">
        <f>Resultados!$K$4</f>
        <v/>
      </c>
      <c r="C604" s="568" t="str">
        <f>'900000'!$B24</f>
        <v>09901004</v>
      </c>
      <c r="D604" s="160" t="str">
        <f>'900000'!$Z$18</f>
        <v>C09902004</v>
      </c>
      <c r="E604" s="27">
        <f>'900000'!$Z24</f>
        <v>0</v>
      </c>
      <c r="F604" s="27" t="s">
        <v>19081</v>
      </c>
    </row>
    <row r="605" spans="1:6">
      <c r="A605" s="27" t="str">
        <f>Resultados!$K$3</f>
        <v/>
      </c>
      <c r="B605" s="27" t="str">
        <f>Resultados!$K$4</f>
        <v/>
      </c>
      <c r="C605" s="568" t="str">
        <f>'900000'!$B25</f>
        <v>09901005</v>
      </c>
      <c r="D605" s="160" t="str">
        <f>'900000'!$Z$18</f>
        <v>C09902004</v>
      </c>
      <c r="E605" s="27">
        <f>'900000'!$Z25</f>
        <v>0</v>
      </c>
      <c r="F605" s="27" t="s">
        <v>19081</v>
      </c>
    </row>
    <row r="606" spans="1:6">
      <c r="A606" s="27" t="str">
        <f>Resultados!$K$3</f>
        <v/>
      </c>
      <c r="B606" s="27" t="str">
        <f>Resultados!$K$4</f>
        <v/>
      </c>
      <c r="C606" s="568" t="str">
        <f>'900000'!$B26</f>
        <v>09901006</v>
      </c>
      <c r="D606" s="160" t="str">
        <f>'900000'!$Z$18</f>
        <v>C09902004</v>
      </c>
      <c r="E606" s="27">
        <f>'900000'!$Z26</f>
        <v>0</v>
      </c>
      <c r="F606" s="27" t="s">
        <v>19081</v>
      </c>
    </row>
    <row r="607" spans="1:6">
      <c r="A607" s="27" t="str">
        <f>Resultados!$K$3</f>
        <v/>
      </c>
      <c r="B607" s="27" t="str">
        <f>Resultados!$K$4</f>
        <v/>
      </c>
      <c r="C607" s="568" t="str">
        <f>'900000'!$B27</f>
        <v>09901007</v>
      </c>
      <c r="D607" s="160" t="str">
        <f>'900000'!$Z$18</f>
        <v>C09902004</v>
      </c>
      <c r="E607" s="27">
        <f>'900000'!$Z27</f>
        <v>0</v>
      </c>
      <c r="F607" s="27" t="s">
        <v>19081</v>
      </c>
    </row>
    <row r="608" spans="1:6">
      <c r="A608" s="27" t="str">
        <f>Resultados!$K$3</f>
        <v/>
      </c>
      <c r="B608" s="27" t="str">
        <f>Resultados!$K$4</f>
        <v/>
      </c>
      <c r="C608" s="568" t="str">
        <f>'900000'!$B28</f>
        <v>09901008</v>
      </c>
      <c r="D608" s="160" t="str">
        <f>'900000'!$Z$18</f>
        <v>C09902004</v>
      </c>
      <c r="E608" s="27">
        <f>'900000'!$Z28</f>
        <v>0</v>
      </c>
      <c r="F608" s="27" t="s">
        <v>19081</v>
      </c>
    </row>
    <row r="609" spans="1:6">
      <c r="A609" s="27" t="str">
        <f>Resultados!$K$3</f>
        <v/>
      </c>
      <c r="B609" s="27" t="str">
        <f>Resultados!$K$4</f>
        <v/>
      </c>
      <c r="C609" s="568" t="str">
        <f>'900000'!$B29</f>
        <v>09901009</v>
      </c>
      <c r="D609" s="160" t="str">
        <f>'900000'!$Z$18</f>
        <v>C09902004</v>
      </c>
      <c r="E609" s="27">
        <f>'900000'!$Z29</f>
        <v>0</v>
      </c>
      <c r="F609" s="27" t="s">
        <v>19081</v>
      </c>
    </row>
    <row r="610" spans="1:6">
      <c r="A610" s="27" t="str">
        <f>Resultados!$K$3</f>
        <v/>
      </c>
      <c r="B610" s="27" t="str">
        <f>Resultados!$K$4</f>
        <v/>
      </c>
      <c r="C610" s="568" t="str">
        <f>'900000'!$B30</f>
        <v>09901010</v>
      </c>
      <c r="D610" s="160" t="str">
        <f>'900000'!$Z$18</f>
        <v>C09902004</v>
      </c>
      <c r="E610" s="27">
        <f>'900000'!$Z30</f>
        <v>0</v>
      </c>
      <c r="F610" s="27" t="s">
        <v>19081</v>
      </c>
    </row>
    <row r="611" spans="1:6">
      <c r="A611" s="27" t="str">
        <f>Resultados!$K$3</f>
        <v/>
      </c>
      <c r="B611" s="27" t="str">
        <f>Resultados!$K$4</f>
        <v/>
      </c>
      <c r="C611" s="568" t="str">
        <f>'900000'!$B31</f>
        <v>09901011</v>
      </c>
      <c r="D611" s="160" t="str">
        <f>'900000'!$Z$18</f>
        <v>C09902004</v>
      </c>
      <c r="E611" s="27">
        <f>'900000'!$Z31</f>
        <v>0</v>
      </c>
      <c r="F611" s="27" t="s">
        <v>19081</v>
      </c>
    </row>
    <row r="612" spans="1:6">
      <c r="A612" s="27" t="str">
        <f>Resultados!$K$3</f>
        <v/>
      </c>
      <c r="B612" s="27" t="str">
        <f>Resultados!$K$4</f>
        <v/>
      </c>
      <c r="C612" s="568" t="str">
        <f>'900000'!$B32</f>
        <v>09901012</v>
      </c>
      <c r="D612" s="160" t="str">
        <f>'900000'!$Z$18</f>
        <v>C09902004</v>
      </c>
      <c r="E612" s="27">
        <f>'900000'!$Z32</f>
        <v>0</v>
      </c>
      <c r="F612" s="27" t="s">
        <v>19081</v>
      </c>
    </row>
    <row r="613" spans="1:6">
      <c r="A613" s="27" t="str">
        <f>Resultados!$K$3</f>
        <v/>
      </c>
      <c r="B613" s="27" t="str">
        <f>Resultados!$K$4</f>
        <v/>
      </c>
      <c r="C613" s="568" t="str">
        <f>'900000'!$B33</f>
        <v>09901013</v>
      </c>
      <c r="D613" s="160" t="str">
        <f>'900000'!$Z$18</f>
        <v>C09902004</v>
      </c>
      <c r="E613" s="27">
        <f>'900000'!$Z33</f>
        <v>0</v>
      </c>
      <c r="F613" s="27" t="s">
        <v>19081</v>
      </c>
    </row>
    <row r="614" spans="1:6">
      <c r="A614" s="27" t="str">
        <f>Resultados!$K$3</f>
        <v/>
      </c>
      <c r="B614" s="27" t="str">
        <f>Resultados!$K$4</f>
        <v/>
      </c>
      <c r="C614" s="568" t="str">
        <f>'900000'!$B34</f>
        <v>09901014</v>
      </c>
      <c r="D614" s="160" t="str">
        <f>'900000'!$Z$18</f>
        <v>C09902004</v>
      </c>
      <c r="E614" s="27">
        <f>'900000'!$Z34</f>
        <v>0</v>
      </c>
      <c r="F614" s="27" t="s">
        <v>19081</v>
      </c>
    </row>
    <row r="615" spans="1:6">
      <c r="A615" s="27" t="str">
        <f>Resultados!$K$3</f>
        <v/>
      </c>
      <c r="B615" s="27" t="str">
        <f>Resultados!$K$4</f>
        <v/>
      </c>
      <c r="C615" s="568" t="str">
        <f>'900000'!$B35</f>
        <v>09901015</v>
      </c>
      <c r="D615" s="160" t="str">
        <f>'900000'!$Z$18</f>
        <v>C09902004</v>
      </c>
      <c r="E615" s="27">
        <f>'900000'!$Z35</f>
        <v>0</v>
      </c>
      <c r="F615" s="27" t="s">
        <v>19081</v>
      </c>
    </row>
    <row r="616" spans="1:6">
      <c r="A616" s="27" t="str">
        <f>Resultados!$K$3</f>
        <v/>
      </c>
      <c r="B616" s="27" t="str">
        <f>Resultados!$K$4</f>
        <v/>
      </c>
      <c r="C616" s="568" t="str">
        <f>'900000'!$B36</f>
        <v>09901016</v>
      </c>
      <c r="D616" s="160" t="str">
        <f>'900000'!$Z$18</f>
        <v>C09902004</v>
      </c>
      <c r="E616" s="27">
        <f>'900000'!$Z36</f>
        <v>0</v>
      </c>
      <c r="F616" s="27" t="s">
        <v>19081</v>
      </c>
    </row>
    <row r="617" spans="1:6">
      <c r="A617" s="27" t="str">
        <f>Resultados!$K$3</f>
        <v/>
      </c>
      <c r="B617" s="27" t="str">
        <f>Resultados!$K$4</f>
        <v/>
      </c>
      <c r="C617" s="568" t="str">
        <f>'900000'!$B37</f>
        <v>09901017</v>
      </c>
      <c r="D617" s="160" t="str">
        <f>'900000'!$Z$18</f>
        <v>C09902004</v>
      </c>
      <c r="E617" s="27">
        <f>'900000'!$Z37</f>
        <v>0</v>
      </c>
      <c r="F617" s="27" t="s">
        <v>19081</v>
      </c>
    </row>
    <row r="618" spans="1:6">
      <c r="A618" s="27" t="str">
        <f>Resultados!$K$3</f>
        <v/>
      </c>
      <c r="B618" s="27" t="str">
        <f>Resultados!$K$4</f>
        <v/>
      </c>
      <c r="C618" s="568" t="str">
        <f>'900000'!$B38</f>
        <v>09901018</v>
      </c>
      <c r="D618" s="160" t="str">
        <f>'900000'!$Z$18</f>
        <v>C09902004</v>
      </c>
      <c r="E618" s="27">
        <f>'900000'!$Z38</f>
        <v>0</v>
      </c>
      <c r="F618" s="27" t="s">
        <v>19081</v>
      </c>
    </row>
    <row r="619" spans="1:6">
      <c r="A619" s="27" t="str">
        <f>Resultados!$K$3</f>
        <v/>
      </c>
      <c r="B619" s="27" t="str">
        <f>Resultados!$K$4</f>
        <v/>
      </c>
      <c r="C619" s="568" t="str">
        <f>'900000'!$B39</f>
        <v>09901019</v>
      </c>
      <c r="D619" s="160" t="str">
        <f>'900000'!$Z$18</f>
        <v>C09902004</v>
      </c>
      <c r="E619" s="27">
        <f>'900000'!$Z39</f>
        <v>0</v>
      </c>
      <c r="F619" s="27" t="s">
        <v>19081</v>
      </c>
    </row>
    <row r="620" spans="1:6">
      <c r="A620" s="27" t="str">
        <f>Resultados!$K$3</f>
        <v/>
      </c>
      <c r="B620" s="27" t="str">
        <f>Resultados!$K$4</f>
        <v/>
      </c>
      <c r="C620" s="568" t="str">
        <f>'900000'!$B40</f>
        <v>09901020</v>
      </c>
      <c r="D620" s="160" t="str">
        <f>'900000'!$Z$18</f>
        <v>C09902004</v>
      </c>
      <c r="E620" s="27">
        <f>'900000'!$Z40</f>
        <v>0</v>
      </c>
      <c r="F620" s="27" t="s">
        <v>19081</v>
      </c>
    </row>
    <row r="621" spans="1:6">
      <c r="A621" s="27" t="str">
        <f>Resultados!$K$3</f>
        <v/>
      </c>
      <c r="B621" s="27" t="str">
        <f>Resultados!$K$4</f>
        <v/>
      </c>
      <c r="C621" s="568" t="str">
        <f>'900000'!$B41</f>
        <v>09901021</v>
      </c>
      <c r="D621" s="160" t="str">
        <f>'900000'!$Z$18</f>
        <v>C09902004</v>
      </c>
      <c r="E621" s="27">
        <f>'900000'!$Z41</f>
        <v>0</v>
      </c>
      <c r="F621" s="27" t="s">
        <v>19081</v>
      </c>
    </row>
    <row r="622" spans="1:6">
      <c r="A622" s="27" t="str">
        <f>Resultados!$K$3</f>
        <v/>
      </c>
      <c r="B622" s="27" t="str">
        <f>Resultados!$K$4</f>
        <v/>
      </c>
      <c r="C622" s="568" t="str">
        <f>'900000'!$B42</f>
        <v>09901022</v>
      </c>
      <c r="D622" s="160" t="str">
        <f>'900000'!$Z$18</f>
        <v>C09902004</v>
      </c>
      <c r="E622" s="27">
        <f>'900000'!$Z42</f>
        <v>0</v>
      </c>
      <c r="F622" s="27" t="s">
        <v>19081</v>
      </c>
    </row>
    <row r="623" spans="1:6">
      <c r="A623" s="27" t="str">
        <f>Resultados!$K$3</f>
        <v/>
      </c>
      <c r="B623" s="27" t="str">
        <f>Resultados!$K$4</f>
        <v/>
      </c>
      <c r="C623" s="568" t="str">
        <f>'900000'!$B43</f>
        <v>09901023</v>
      </c>
      <c r="D623" s="160" t="str">
        <f>'900000'!$Z$18</f>
        <v>C09902004</v>
      </c>
      <c r="E623" s="27">
        <f>'900000'!$Z43</f>
        <v>0</v>
      </c>
      <c r="F623" s="27" t="s">
        <v>19081</v>
      </c>
    </row>
    <row r="624" spans="1:6">
      <c r="A624" s="27" t="str">
        <f>Resultados!$K$3</f>
        <v/>
      </c>
      <c r="B624" s="27" t="str">
        <f>Resultados!$K$4</f>
        <v/>
      </c>
      <c r="C624" s="568" t="str">
        <f>'900000'!$B44</f>
        <v>09901024</v>
      </c>
      <c r="D624" s="160" t="str">
        <f>'900000'!$Z$18</f>
        <v>C09902004</v>
      </c>
      <c r="E624" s="27">
        <f>'900000'!$Z44</f>
        <v>0</v>
      </c>
      <c r="F624" s="27" t="s">
        <v>19081</v>
      </c>
    </row>
    <row r="625" spans="1:6">
      <c r="A625" s="27" t="str">
        <f>Resultados!$K$3</f>
        <v/>
      </c>
      <c r="B625" s="27" t="str">
        <f>Resultados!$K$4</f>
        <v/>
      </c>
      <c r="C625" s="568" t="str">
        <f>'900000'!$B45</f>
        <v>09901025</v>
      </c>
      <c r="D625" s="160" t="str">
        <f>'900000'!$Z$18</f>
        <v>C09902004</v>
      </c>
      <c r="E625" s="27">
        <f>'900000'!$Z45</f>
        <v>0</v>
      </c>
      <c r="F625" s="27" t="s">
        <v>19081</v>
      </c>
    </row>
    <row r="626" spans="1:6">
      <c r="A626" s="27" t="str">
        <f>Resultados!$K$3</f>
        <v/>
      </c>
      <c r="B626" s="27" t="str">
        <f>Resultados!$K$4</f>
        <v/>
      </c>
      <c r="C626" s="568" t="str">
        <f>'900000'!$B46</f>
        <v>09901026</v>
      </c>
      <c r="D626" s="160" t="str">
        <f>'900000'!$Z$18</f>
        <v>C09902004</v>
      </c>
      <c r="E626" s="27">
        <f>'900000'!$Z46</f>
        <v>0</v>
      </c>
      <c r="F626" s="27" t="s">
        <v>19081</v>
      </c>
    </row>
    <row r="627" spans="1:6">
      <c r="A627" s="27" t="str">
        <f>Resultados!$K$3</f>
        <v/>
      </c>
      <c r="B627" s="27" t="str">
        <f>Resultados!$K$4</f>
        <v/>
      </c>
      <c r="C627" s="568" t="str">
        <f>'900000'!$B47</f>
        <v>09901027</v>
      </c>
      <c r="D627" s="160" t="str">
        <f>'900000'!$Z$18</f>
        <v>C09902004</v>
      </c>
      <c r="E627" s="27">
        <f>'900000'!$Z47</f>
        <v>0</v>
      </c>
      <c r="F627" s="27" t="s">
        <v>19081</v>
      </c>
    </row>
    <row r="628" spans="1:6">
      <c r="A628" s="27" t="str">
        <f>Resultados!$K$3</f>
        <v/>
      </c>
      <c r="B628" s="27" t="str">
        <f>Resultados!$K$4</f>
        <v/>
      </c>
      <c r="C628" s="568" t="str">
        <f>'900000'!$B48</f>
        <v>09901028</v>
      </c>
      <c r="D628" s="160" t="str">
        <f>'900000'!$Z$18</f>
        <v>C09902004</v>
      </c>
      <c r="E628" s="27">
        <f>'900000'!$Z48</f>
        <v>0</v>
      </c>
      <c r="F628" s="27" t="s">
        <v>19081</v>
      </c>
    </row>
    <row r="629" spans="1:6">
      <c r="A629" s="27" t="str">
        <f>Resultados!$K$3</f>
        <v/>
      </c>
      <c r="B629" s="27" t="str">
        <f>Resultados!$K$4</f>
        <v/>
      </c>
      <c r="C629" s="568" t="str">
        <f>'900000'!$B49</f>
        <v>09901029</v>
      </c>
      <c r="D629" s="160" t="str">
        <f>'900000'!$Z$18</f>
        <v>C09902004</v>
      </c>
      <c r="E629" s="27">
        <f>'900000'!$Z49</f>
        <v>0</v>
      </c>
      <c r="F629" s="27" t="s">
        <v>19081</v>
      </c>
    </row>
    <row r="630" spans="1:6">
      <c r="A630" s="27" t="str">
        <f>Resultados!$K$3</f>
        <v/>
      </c>
      <c r="B630" s="27" t="str">
        <f>Resultados!$K$4</f>
        <v/>
      </c>
      <c r="C630" s="568" t="str">
        <f>'900000'!$B50</f>
        <v>09901030</v>
      </c>
      <c r="D630" s="160" t="str">
        <f>'900000'!$Z$18</f>
        <v>C09902004</v>
      </c>
      <c r="E630" s="27">
        <f>'900000'!$Z50</f>
        <v>0</v>
      </c>
      <c r="F630" s="27" t="s">
        <v>19081</v>
      </c>
    </row>
    <row r="631" spans="1:6">
      <c r="A631" s="27" t="str">
        <f>Resultados!$K$3</f>
        <v/>
      </c>
      <c r="B631" s="27" t="str">
        <f>Resultados!$K$4</f>
        <v/>
      </c>
      <c r="C631" s="568" t="str">
        <f>'900000'!$B51</f>
        <v>09901031</v>
      </c>
      <c r="D631" s="160" t="str">
        <f>'900000'!$Z$18</f>
        <v>C09902004</v>
      </c>
      <c r="E631" s="27">
        <f>'900000'!$Z51</f>
        <v>0</v>
      </c>
      <c r="F631" s="27" t="s">
        <v>19081</v>
      </c>
    </row>
    <row r="632" spans="1:6">
      <c r="A632" s="27" t="str">
        <f>Resultados!$K$3</f>
        <v/>
      </c>
      <c r="B632" s="27" t="str">
        <f>Resultados!$K$4</f>
        <v/>
      </c>
      <c r="C632" s="568" t="str">
        <f>'900000'!$B52</f>
        <v>09901032</v>
      </c>
      <c r="D632" s="160" t="str">
        <f>'900000'!$Z$18</f>
        <v>C09902004</v>
      </c>
      <c r="E632" s="27">
        <f>'900000'!$Z52</f>
        <v>0</v>
      </c>
      <c r="F632" s="27" t="s">
        <v>19081</v>
      </c>
    </row>
    <row r="633" spans="1:6">
      <c r="A633" s="27" t="str">
        <f>Resultados!$K$3</f>
        <v/>
      </c>
      <c r="B633" s="27" t="str">
        <f>Resultados!$K$4</f>
        <v/>
      </c>
      <c r="C633" s="568" t="str">
        <f>'900000'!$B53</f>
        <v>09901033</v>
      </c>
      <c r="D633" s="160" t="str">
        <f>'900000'!$Z$18</f>
        <v>C09902004</v>
      </c>
      <c r="E633" s="27">
        <f>'900000'!$Z53</f>
        <v>0</v>
      </c>
      <c r="F633" s="27" t="s">
        <v>19081</v>
      </c>
    </row>
    <row r="634" spans="1:6">
      <c r="A634" s="27" t="str">
        <f>Resultados!$K$3</f>
        <v/>
      </c>
      <c r="B634" s="27" t="str">
        <f>Resultados!$K$4</f>
        <v/>
      </c>
      <c r="C634" s="568" t="str">
        <f>'900000'!$B54</f>
        <v>09901034</v>
      </c>
      <c r="D634" s="160" t="str">
        <f>'900000'!$Z$18</f>
        <v>C09902004</v>
      </c>
      <c r="E634" s="27">
        <f>'900000'!$Z54</f>
        <v>0</v>
      </c>
      <c r="F634" s="27" t="s">
        <v>19081</v>
      </c>
    </row>
    <row r="635" spans="1:6">
      <c r="A635" s="27" t="str">
        <f>Resultados!$K$3</f>
        <v/>
      </c>
      <c r="B635" s="27" t="str">
        <f>Resultados!$K$4</f>
        <v/>
      </c>
      <c r="C635" s="568" t="str">
        <f>'900000'!$B55</f>
        <v>09901035</v>
      </c>
      <c r="D635" s="160" t="str">
        <f>'900000'!$Z$18</f>
        <v>C09902004</v>
      </c>
      <c r="E635" s="27">
        <f>'900000'!$Z55</f>
        <v>0</v>
      </c>
      <c r="F635" s="27" t="s">
        <v>19081</v>
      </c>
    </row>
    <row r="636" spans="1:6">
      <c r="A636" s="27" t="str">
        <f>Resultados!$K$3</f>
        <v/>
      </c>
      <c r="B636" s="27" t="str">
        <f>Resultados!$K$4</f>
        <v/>
      </c>
      <c r="C636" s="568" t="str">
        <f>'900000'!$B56</f>
        <v>09901036</v>
      </c>
      <c r="D636" s="160" t="str">
        <f>'900000'!$Z$18</f>
        <v>C09902004</v>
      </c>
      <c r="E636" s="27">
        <f>'900000'!$Z56</f>
        <v>0</v>
      </c>
      <c r="F636" s="27" t="s">
        <v>19081</v>
      </c>
    </row>
    <row r="637" spans="1:6">
      <c r="A637" s="27" t="str">
        <f>Resultados!$K$3</f>
        <v/>
      </c>
      <c r="B637" s="27" t="str">
        <f>Resultados!$K$4</f>
        <v/>
      </c>
      <c r="C637" s="568" t="str">
        <f>'900000'!$B57</f>
        <v>09901037</v>
      </c>
      <c r="D637" s="160" t="str">
        <f>'900000'!$Z$18</f>
        <v>C09902004</v>
      </c>
      <c r="E637" s="27">
        <f>'900000'!$Z57</f>
        <v>0</v>
      </c>
      <c r="F637" s="27" t="s">
        <v>19081</v>
      </c>
    </row>
    <row r="638" spans="1:6">
      <c r="A638" s="27" t="str">
        <f>Resultados!$K$3</f>
        <v/>
      </c>
      <c r="B638" s="27" t="str">
        <f>Resultados!$K$4</f>
        <v/>
      </c>
      <c r="C638" s="568" t="str">
        <f>'900000'!$B58</f>
        <v>09901038</v>
      </c>
      <c r="D638" s="160" t="str">
        <f>'900000'!$Z$18</f>
        <v>C09902004</v>
      </c>
      <c r="E638" s="27">
        <f>'900000'!$Z58</f>
        <v>0</v>
      </c>
      <c r="F638" s="27" t="s">
        <v>19081</v>
      </c>
    </row>
    <row r="639" spans="1:6">
      <c r="A639" s="27" t="str">
        <f>Resultados!$K$3</f>
        <v/>
      </c>
      <c r="B639" s="27" t="str">
        <f>Resultados!$K$4</f>
        <v/>
      </c>
      <c r="C639" s="568" t="str">
        <f>'900000'!$B59</f>
        <v>09901039</v>
      </c>
      <c r="D639" s="160" t="str">
        <f>'900000'!$Z$18</f>
        <v>C09902004</v>
      </c>
      <c r="E639" s="27">
        <f>'900000'!$Z59</f>
        <v>0</v>
      </c>
      <c r="F639" s="27" t="s">
        <v>19081</v>
      </c>
    </row>
    <row r="640" spans="1:6">
      <c r="A640" s="27" t="str">
        <f>Resultados!$K$3</f>
        <v/>
      </c>
      <c r="B640" s="27" t="str">
        <f>Resultados!$K$4</f>
        <v/>
      </c>
      <c r="C640" s="568" t="str">
        <f>'900000'!$B60</f>
        <v>09901040</v>
      </c>
      <c r="D640" s="160" t="str">
        <f>'900000'!$Z$18</f>
        <v>C09902004</v>
      </c>
      <c r="E640" s="27">
        <f>'900000'!$Z60</f>
        <v>0</v>
      </c>
      <c r="F640" s="27" t="s">
        <v>19081</v>
      </c>
    </row>
    <row r="641" spans="1:6">
      <c r="A641" s="27" t="str">
        <f>Resultados!$K$3</f>
        <v/>
      </c>
      <c r="B641" s="27" t="str">
        <f>Resultados!$K$4</f>
        <v/>
      </c>
      <c r="C641" s="568" t="str">
        <f>'900000'!$B61</f>
        <v>09901041</v>
      </c>
      <c r="D641" s="160" t="str">
        <f>'900000'!$Z$18</f>
        <v>C09902004</v>
      </c>
      <c r="E641" s="27">
        <f>'900000'!$Z61</f>
        <v>0</v>
      </c>
      <c r="F641" s="27" t="s">
        <v>19081</v>
      </c>
    </row>
    <row r="642" spans="1:6">
      <c r="A642" s="27" t="str">
        <f>Resultados!$K$3</f>
        <v/>
      </c>
      <c r="B642" s="27" t="str">
        <f>Resultados!$K$4</f>
        <v/>
      </c>
      <c r="C642" s="568" t="str">
        <f>'900000'!$B62</f>
        <v>09901042</v>
      </c>
      <c r="D642" s="160" t="str">
        <f>'900000'!$Z$18</f>
        <v>C09902004</v>
      </c>
      <c r="E642" s="27">
        <f>'900000'!$Z62</f>
        <v>0</v>
      </c>
      <c r="F642" s="27" t="s">
        <v>19081</v>
      </c>
    </row>
    <row r="643" spans="1:6">
      <c r="A643" s="27" t="str">
        <f>Resultados!$K$3</f>
        <v/>
      </c>
      <c r="B643" s="27" t="str">
        <f>Resultados!$K$4</f>
        <v/>
      </c>
      <c r="C643" s="568" t="str">
        <f>'900000'!$B63</f>
        <v>09901043</v>
      </c>
      <c r="D643" s="160" t="str">
        <f>'900000'!$Z$18</f>
        <v>C09902004</v>
      </c>
      <c r="E643" s="27">
        <f>'900000'!$Z63</f>
        <v>0</v>
      </c>
      <c r="F643" s="27" t="s">
        <v>19081</v>
      </c>
    </row>
    <row r="644" spans="1:6">
      <c r="A644" s="27" t="str">
        <f>Resultados!$K$3</f>
        <v/>
      </c>
      <c r="B644" s="27" t="str">
        <f>Resultados!$K$4</f>
        <v/>
      </c>
      <c r="C644" s="568" t="str">
        <f>'900000'!$B64</f>
        <v>09901044</v>
      </c>
      <c r="D644" s="160" t="str">
        <f>'900000'!$Z$18</f>
        <v>C09902004</v>
      </c>
      <c r="E644" s="27">
        <f>'900000'!$Z64</f>
        <v>0</v>
      </c>
      <c r="F644" s="27" t="s">
        <v>19081</v>
      </c>
    </row>
    <row r="645" spans="1:6">
      <c r="A645" s="27" t="str">
        <f>Resultados!$K$3</f>
        <v/>
      </c>
      <c r="B645" s="27" t="str">
        <f>Resultados!$K$4</f>
        <v/>
      </c>
      <c r="C645" s="568" t="str">
        <f>'900000'!$B65</f>
        <v>09901045</v>
      </c>
      <c r="D645" s="160" t="str">
        <f>'900000'!$Z$18</f>
        <v>C09902004</v>
      </c>
      <c r="E645" s="27">
        <f>'900000'!$Z65</f>
        <v>0</v>
      </c>
      <c r="F645" s="27" t="s">
        <v>19081</v>
      </c>
    </row>
    <row r="646" spans="1:6">
      <c r="A646" s="27" t="str">
        <f>Resultados!$K$3</f>
        <v/>
      </c>
      <c r="B646" s="27" t="str">
        <f>Resultados!$K$4</f>
        <v/>
      </c>
      <c r="C646" s="568" t="str">
        <f>'900000'!$B66</f>
        <v>09901046</v>
      </c>
      <c r="D646" s="160" t="str">
        <f>'900000'!$Z$18</f>
        <v>C09902004</v>
      </c>
      <c r="E646" s="27">
        <f>'900000'!$Z66</f>
        <v>0</v>
      </c>
      <c r="F646" s="27" t="s">
        <v>19081</v>
      </c>
    </row>
    <row r="647" spans="1:6">
      <c r="A647" s="27" t="str">
        <f>Resultados!$K$3</f>
        <v/>
      </c>
      <c r="B647" s="27" t="str">
        <f>Resultados!$K$4</f>
        <v/>
      </c>
      <c r="C647" s="568" t="str">
        <f>'900000'!$B67</f>
        <v>09901047</v>
      </c>
      <c r="D647" s="160" t="str">
        <f>'900000'!$Z$18</f>
        <v>C09902004</v>
      </c>
      <c r="E647" s="27">
        <f>'900000'!$Z67</f>
        <v>0</v>
      </c>
      <c r="F647" s="27" t="s">
        <v>19081</v>
      </c>
    </row>
    <row r="648" spans="1:6">
      <c r="A648" s="27" t="str">
        <f>Resultados!$K$3</f>
        <v/>
      </c>
      <c r="B648" s="27" t="str">
        <f>Resultados!$K$4</f>
        <v/>
      </c>
      <c r="C648" s="568" t="str">
        <f>'900000'!$B68</f>
        <v>09901048</v>
      </c>
      <c r="D648" s="160" t="str">
        <f>'900000'!$Z$18</f>
        <v>C09902004</v>
      </c>
      <c r="E648" s="27">
        <f>'900000'!$Z68</f>
        <v>0</v>
      </c>
      <c r="F648" s="27" t="s">
        <v>19081</v>
      </c>
    </row>
    <row r="649" spans="1:6">
      <c r="A649" s="27" t="str">
        <f>Resultados!$K$3</f>
        <v/>
      </c>
      <c r="B649" s="27" t="str">
        <f>Resultados!$K$4</f>
        <v/>
      </c>
      <c r="C649" s="568" t="str">
        <f>'900000'!$B69</f>
        <v>09901049</v>
      </c>
      <c r="D649" s="160" t="str">
        <f>'900000'!$Z$18</f>
        <v>C09902004</v>
      </c>
      <c r="E649" s="27">
        <f>'900000'!$Z69</f>
        <v>0</v>
      </c>
      <c r="F649" s="27" t="s">
        <v>19081</v>
      </c>
    </row>
    <row r="650" spans="1:6">
      <c r="A650" s="27" t="str">
        <f>Resultados!$K$3</f>
        <v/>
      </c>
      <c r="B650" s="27" t="str">
        <f>Resultados!$K$4</f>
        <v/>
      </c>
      <c r="C650" s="568" t="str">
        <f>'900000'!$B70</f>
        <v>09901050</v>
      </c>
      <c r="D650" s="160" t="str">
        <f>'900000'!$Z$18</f>
        <v>C09902004</v>
      </c>
      <c r="E650" s="27">
        <f>'900000'!$Z70</f>
        <v>0</v>
      </c>
      <c r="F650" s="27" t="s">
        <v>19081</v>
      </c>
    </row>
    <row r="651" spans="1:6">
      <c r="A651" s="27" t="str">
        <f>Resultados!$K$3</f>
        <v/>
      </c>
      <c r="B651" s="27" t="str">
        <f>Resultados!$K$4</f>
        <v/>
      </c>
      <c r="C651" s="568" t="str">
        <f>'900000'!$B71</f>
        <v>09901051</v>
      </c>
      <c r="D651" s="160" t="str">
        <f>'900000'!$Z$18</f>
        <v>C09902004</v>
      </c>
      <c r="E651" s="27">
        <f>'900000'!$Z71</f>
        <v>0</v>
      </c>
      <c r="F651" s="27" t="s">
        <v>19081</v>
      </c>
    </row>
    <row r="652" spans="1:6">
      <c r="A652" s="27" t="str">
        <f>Resultados!$K$3</f>
        <v/>
      </c>
      <c r="B652" s="27" t="str">
        <f>Resultados!$K$4</f>
        <v/>
      </c>
      <c r="C652" s="568" t="str">
        <f>'900000'!$B72</f>
        <v>09901052</v>
      </c>
      <c r="D652" s="160" t="str">
        <f>'900000'!$Z$18</f>
        <v>C09902004</v>
      </c>
      <c r="E652" s="27">
        <f>'900000'!$Z72</f>
        <v>0</v>
      </c>
      <c r="F652" s="27" t="s">
        <v>19081</v>
      </c>
    </row>
    <row r="653" spans="1:6">
      <c r="A653" s="27" t="str">
        <f>Resultados!$K$3</f>
        <v/>
      </c>
      <c r="B653" s="27" t="str">
        <f>Resultados!$K$4</f>
        <v/>
      </c>
      <c r="C653" s="568" t="str">
        <f>'900000'!$B73</f>
        <v>09901053</v>
      </c>
      <c r="D653" s="160" t="str">
        <f>'900000'!$Z$18</f>
        <v>C09902004</v>
      </c>
      <c r="E653" s="27">
        <f>'900000'!$Z73</f>
        <v>0</v>
      </c>
      <c r="F653" s="27" t="s">
        <v>19081</v>
      </c>
    </row>
    <row r="654" spans="1:6">
      <c r="A654" s="27" t="str">
        <f>Resultados!$K$3</f>
        <v/>
      </c>
      <c r="B654" s="27" t="str">
        <f>Resultados!$K$4</f>
        <v/>
      </c>
      <c r="C654" s="568" t="str">
        <f>'900000'!$B74</f>
        <v>09901054</v>
      </c>
      <c r="D654" s="160" t="str">
        <f>'900000'!$Z$18</f>
        <v>C09902004</v>
      </c>
      <c r="E654" s="27">
        <f>'900000'!$Z74</f>
        <v>0</v>
      </c>
      <c r="F654" s="27" t="s">
        <v>19081</v>
      </c>
    </row>
    <row r="655" spans="1:6">
      <c r="A655" s="27" t="str">
        <f>Resultados!$K$3</f>
        <v/>
      </c>
      <c r="B655" s="27" t="str">
        <f>Resultados!$K$4</f>
        <v/>
      </c>
      <c r="C655" s="568" t="str">
        <f>'900000'!$B75</f>
        <v>09901055</v>
      </c>
      <c r="D655" s="160" t="str">
        <f>'900000'!$Z$18</f>
        <v>C09902004</v>
      </c>
      <c r="E655" s="27">
        <f>'900000'!$Z75</f>
        <v>0</v>
      </c>
      <c r="F655" s="27" t="s">
        <v>19081</v>
      </c>
    </row>
    <row r="656" spans="1:6">
      <c r="A656" s="27" t="str">
        <f>Resultados!$K$3</f>
        <v/>
      </c>
      <c r="B656" s="27" t="str">
        <f>Resultados!$K$4</f>
        <v/>
      </c>
      <c r="C656" s="568" t="str">
        <f>'900000'!$B76</f>
        <v>09901056</v>
      </c>
      <c r="D656" s="160" t="str">
        <f>'900000'!$Z$18</f>
        <v>C09902004</v>
      </c>
      <c r="E656" s="27">
        <f>'900000'!$Z76</f>
        <v>0</v>
      </c>
      <c r="F656" s="27" t="s">
        <v>19081</v>
      </c>
    </row>
    <row r="657" spans="1:6">
      <c r="A657" s="27" t="str">
        <f>Resultados!$K$3</f>
        <v/>
      </c>
      <c r="B657" s="27" t="str">
        <f>Resultados!$K$4</f>
        <v/>
      </c>
      <c r="C657" s="568" t="str">
        <f>'900000'!$B77</f>
        <v>09901057</v>
      </c>
      <c r="D657" s="160" t="str">
        <f>'900000'!$Z$18</f>
        <v>C09902004</v>
      </c>
      <c r="E657" s="27">
        <f>'900000'!$Z77</f>
        <v>0</v>
      </c>
      <c r="F657" s="27" t="s">
        <v>19081</v>
      </c>
    </row>
    <row r="658" spans="1:6">
      <c r="A658" s="27" t="str">
        <f>Resultados!$K$3</f>
        <v/>
      </c>
      <c r="B658" s="27" t="str">
        <f>Resultados!$K$4</f>
        <v/>
      </c>
      <c r="C658" s="568" t="str">
        <f>'900000'!$B78</f>
        <v>09901058</v>
      </c>
      <c r="D658" s="160" t="str">
        <f>'900000'!$Z$18</f>
        <v>C09902004</v>
      </c>
      <c r="E658" s="27">
        <f>'900000'!$Z78</f>
        <v>0</v>
      </c>
      <c r="F658" s="27" t="s">
        <v>19081</v>
      </c>
    </row>
    <row r="659" spans="1:6">
      <c r="A659" s="27" t="str">
        <f>Resultados!$K$3</f>
        <v/>
      </c>
      <c r="B659" s="27" t="str">
        <f>Resultados!$K$4</f>
        <v/>
      </c>
      <c r="C659" s="568" t="str">
        <f>'900000'!$B79</f>
        <v>09901059</v>
      </c>
      <c r="D659" s="160" t="str">
        <f>'900000'!$Z$18</f>
        <v>C09902004</v>
      </c>
      <c r="E659" s="27">
        <f>'900000'!$Z79</f>
        <v>0</v>
      </c>
      <c r="F659" s="27" t="s">
        <v>19081</v>
      </c>
    </row>
    <row r="660" spans="1:6">
      <c r="A660" s="27" t="str">
        <f>Resultados!$K$3</f>
        <v/>
      </c>
      <c r="B660" s="27" t="str">
        <f>Resultados!$K$4</f>
        <v/>
      </c>
      <c r="C660" s="568" t="str">
        <f>'900000'!$B80</f>
        <v>09901060</v>
      </c>
      <c r="D660" s="160" t="str">
        <f>'900000'!$Z$18</f>
        <v>C09902004</v>
      </c>
      <c r="E660" s="27">
        <f>'900000'!$Z80</f>
        <v>0</v>
      </c>
      <c r="F660" s="27" t="s">
        <v>19081</v>
      </c>
    </row>
    <row r="661" spans="1:6">
      <c r="A661" s="27" t="str">
        <f>Resultados!$K$3</f>
        <v/>
      </c>
      <c r="B661" s="27" t="str">
        <f>Resultados!$K$4</f>
        <v/>
      </c>
      <c r="C661" s="568" t="str">
        <f>'900000'!$B81</f>
        <v>09901061</v>
      </c>
      <c r="D661" s="160" t="str">
        <f>'900000'!$Z$18</f>
        <v>C09902004</v>
      </c>
      <c r="E661" s="27">
        <f>'900000'!$Z81</f>
        <v>0</v>
      </c>
      <c r="F661" s="27" t="s">
        <v>19081</v>
      </c>
    </row>
    <row r="662" spans="1:6">
      <c r="A662" s="27" t="str">
        <f>Resultados!$K$3</f>
        <v/>
      </c>
      <c r="B662" s="27" t="str">
        <f>Resultados!$K$4</f>
        <v/>
      </c>
      <c r="C662" s="568" t="str">
        <f>'900000'!$B82</f>
        <v>09901062</v>
      </c>
      <c r="D662" s="160" t="str">
        <f>'900000'!$Z$18</f>
        <v>C09902004</v>
      </c>
      <c r="E662" s="27">
        <f>'900000'!$Z82</f>
        <v>0</v>
      </c>
      <c r="F662" s="27" t="s">
        <v>19081</v>
      </c>
    </row>
    <row r="663" spans="1:6">
      <c r="A663" s="27" t="str">
        <f>Resultados!$K$3</f>
        <v/>
      </c>
      <c r="B663" s="27" t="str">
        <f>Resultados!$K$4</f>
        <v/>
      </c>
      <c r="C663" s="568" t="str">
        <f>'900000'!$B83</f>
        <v>09901063</v>
      </c>
      <c r="D663" s="160" t="str">
        <f>'900000'!$Z$18</f>
        <v>C09902004</v>
      </c>
      <c r="E663" s="27">
        <f>'900000'!$Z83</f>
        <v>0</v>
      </c>
      <c r="F663" s="27" t="s">
        <v>19081</v>
      </c>
    </row>
    <row r="664" spans="1:6">
      <c r="A664" s="27" t="str">
        <f>Resultados!$K$3</f>
        <v/>
      </c>
      <c r="B664" s="27" t="str">
        <f>Resultados!$K$4</f>
        <v/>
      </c>
      <c r="C664" s="568" t="str">
        <f>'900000'!$B84</f>
        <v>09901064</v>
      </c>
      <c r="D664" s="160" t="str">
        <f>'900000'!$Z$18</f>
        <v>C09902004</v>
      </c>
      <c r="E664" s="27">
        <f>'900000'!$Z84</f>
        <v>0</v>
      </c>
      <c r="F664" s="27" t="s">
        <v>19081</v>
      </c>
    </row>
    <row r="665" spans="1:6">
      <c r="A665" s="27" t="str">
        <f>Resultados!$K$3</f>
        <v/>
      </c>
      <c r="B665" s="27" t="str">
        <f>Resultados!$K$4</f>
        <v/>
      </c>
      <c r="C665" s="568" t="str">
        <f>'900000'!$B85</f>
        <v>09901065</v>
      </c>
      <c r="D665" s="160" t="str">
        <f>'900000'!$Z$18</f>
        <v>C09902004</v>
      </c>
      <c r="E665" s="27">
        <f>'900000'!$Z85</f>
        <v>0</v>
      </c>
      <c r="F665" s="27" t="s">
        <v>19081</v>
      </c>
    </row>
    <row r="666" spans="1:6">
      <c r="A666" s="27" t="str">
        <f>Resultados!$K$3</f>
        <v/>
      </c>
      <c r="B666" s="27" t="str">
        <f>Resultados!$K$4</f>
        <v/>
      </c>
      <c r="C666" s="568" t="str">
        <f>'900000'!$B86</f>
        <v>09901066</v>
      </c>
      <c r="D666" s="160" t="str">
        <f>'900000'!$Z$18</f>
        <v>C09902004</v>
      </c>
      <c r="E666" s="27">
        <f>'900000'!$Z86</f>
        <v>0</v>
      </c>
      <c r="F666" s="27" t="s">
        <v>19081</v>
      </c>
    </row>
    <row r="667" spans="1:6">
      <c r="A667" s="27" t="str">
        <f>Resultados!$K$3</f>
        <v/>
      </c>
      <c r="B667" s="27" t="str">
        <f>Resultados!$K$4</f>
        <v/>
      </c>
      <c r="C667" s="568" t="str">
        <f>'900000'!$B87</f>
        <v>09901067</v>
      </c>
      <c r="D667" s="160" t="str">
        <f>'900000'!$Z$18</f>
        <v>C09902004</v>
      </c>
      <c r="E667" s="27">
        <f>'900000'!$Z87</f>
        <v>0</v>
      </c>
      <c r="F667" s="27" t="s">
        <v>19081</v>
      </c>
    </row>
    <row r="668" spans="1:6">
      <c r="A668" s="27" t="str">
        <f>Resultados!$K$3</f>
        <v/>
      </c>
      <c r="B668" s="27" t="str">
        <f>Resultados!$K$4</f>
        <v/>
      </c>
      <c r="C668" s="568" t="str">
        <f>'900000'!$B88</f>
        <v>09901068</v>
      </c>
      <c r="D668" s="160" t="str">
        <f>'900000'!$Z$18</f>
        <v>C09902004</v>
      </c>
      <c r="E668" s="27">
        <f>'900000'!$Z88</f>
        <v>0</v>
      </c>
      <c r="F668" s="27" t="s">
        <v>19081</v>
      </c>
    </row>
    <row r="669" spans="1:6">
      <c r="A669" s="27" t="str">
        <f>Resultados!$K$3</f>
        <v/>
      </c>
      <c r="B669" s="27" t="str">
        <f>Resultados!$K$4</f>
        <v/>
      </c>
      <c r="C669" s="568" t="str">
        <f>'900000'!$B89</f>
        <v>09901069</v>
      </c>
      <c r="D669" s="160" t="str">
        <f>'900000'!$Z$18</f>
        <v>C09902004</v>
      </c>
      <c r="E669" s="27">
        <f>'900000'!$Z89</f>
        <v>0</v>
      </c>
      <c r="F669" s="27" t="s">
        <v>19081</v>
      </c>
    </row>
    <row r="670" spans="1:6">
      <c r="A670" s="27" t="str">
        <f>Resultados!$K$3</f>
        <v/>
      </c>
      <c r="B670" s="27" t="str">
        <f>Resultados!$K$4</f>
        <v/>
      </c>
      <c r="C670" s="568" t="str">
        <f>'900000'!$B90</f>
        <v>09901070</v>
      </c>
      <c r="D670" s="160" t="str">
        <f>'900000'!$Z$18</f>
        <v>C09902004</v>
      </c>
      <c r="E670" s="27">
        <f>'900000'!$Z90</f>
        <v>0</v>
      </c>
      <c r="F670" s="27" t="s">
        <v>19081</v>
      </c>
    </row>
    <row r="671" spans="1:6">
      <c r="A671" s="27" t="str">
        <f>Resultados!$K$3</f>
        <v/>
      </c>
      <c r="B671" s="27" t="str">
        <f>Resultados!$K$4</f>
        <v/>
      </c>
      <c r="C671" s="568" t="str">
        <f>'900000'!$B91</f>
        <v>09901071</v>
      </c>
      <c r="D671" s="160" t="str">
        <f>'900000'!$Z$18</f>
        <v>C09902004</v>
      </c>
      <c r="E671" s="27">
        <f>'900000'!$Z91</f>
        <v>0</v>
      </c>
      <c r="F671" s="27" t="s">
        <v>19081</v>
      </c>
    </row>
    <row r="672" spans="1:6">
      <c r="A672" s="27" t="str">
        <f>Resultados!$K$3</f>
        <v/>
      </c>
      <c r="B672" s="27" t="str">
        <f>Resultados!$K$4</f>
        <v/>
      </c>
      <c r="C672" s="568" t="str">
        <f>'900000'!$B92</f>
        <v>09901072</v>
      </c>
      <c r="D672" s="160" t="str">
        <f>'900000'!$Z$18</f>
        <v>C09902004</v>
      </c>
      <c r="E672" s="27">
        <f>'900000'!$Z92</f>
        <v>0</v>
      </c>
      <c r="F672" s="27" t="s">
        <v>19081</v>
      </c>
    </row>
    <row r="673" spans="1:6">
      <c r="A673" s="27" t="str">
        <f>Resultados!$K$3</f>
        <v/>
      </c>
      <c r="B673" s="27" t="str">
        <f>Resultados!$K$4</f>
        <v/>
      </c>
      <c r="C673" s="568" t="str">
        <f>'900000'!$B93</f>
        <v>09901073</v>
      </c>
      <c r="D673" s="160" t="str">
        <f>'900000'!$Z$18</f>
        <v>C09902004</v>
      </c>
      <c r="E673" s="27">
        <f>'900000'!$Z93</f>
        <v>0</v>
      </c>
      <c r="F673" s="27" t="s">
        <v>19081</v>
      </c>
    </row>
    <row r="674" spans="1:6">
      <c r="A674" s="27" t="str">
        <f>Resultados!$K$3</f>
        <v/>
      </c>
      <c r="B674" s="27" t="str">
        <f>Resultados!$K$4</f>
        <v/>
      </c>
      <c r="C674" s="568" t="str">
        <f>'900000'!$B94</f>
        <v>09901074</v>
      </c>
      <c r="D674" s="160" t="str">
        <f>'900000'!$Z$18</f>
        <v>C09902004</v>
      </c>
      <c r="E674" s="27">
        <f>'900000'!$Z94</f>
        <v>0</v>
      </c>
      <c r="F674" s="27" t="s">
        <v>19081</v>
      </c>
    </row>
    <row r="675" spans="1:6">
      <c r="A675" s="27" t="str">
        <f>Resultados!$K$3</f>
        <v/>
      </c>
      <c r="B675" s="27" t="str">
        <f>Resultados!$K$4</f>
        <v/>
      </c>
      <c r="C675" s="568" t="str">
        <f>'900000'!$B95</f>
        <v>09901075</v>
      </c>
      <c r="D675" s="160" t="str">
        <f>'900000'!$Z$18</f>
        <v>C09902004</v>
      </c>
      <c r="E675" s="27">
        <f>'900000'!$Z95</f>
        <v>0</v>
      </c>
      <c r="F675" s="27" t="s">
        <v>19081</v>
      </c>
    </row>
    <row r="676" spans="1:6">
      <c r="A676" s="27" t="str">
        <f>Resultados!$K$3</f>
        <v/>
      </c>
      <c r="B676" s="27" t="str">
        <f>Resultados!$K$4</f>
        <v/>
      </c>
      <c r="C676" s="568" t="str">
        <f>'900000'!$B96</f>
        <v>09901076</v>
      </c>
      <c r="D676" s="160" t="str">
        <f>'900000'!$Z$18</f>
        <v>C09902004</v>
      </c>
      <c r="E676" s="27">
        <f>'900000'!$Z96</f>
        <v>0</v>
      </c>
      <c r="F676" s="27" t="s">
        <v>19081</v>
      </c>
    </row>
    <row r="677" spans="1:6">
      <c r="A677" s="27" t="str">
        <f>Resultados!$K$3</f>
        <v/>
      </c>
      <c r="B677" s="27" t="str">
        <f>Resultados!$K$4</f>
        <v/>
      </c>
      <c r="C677" s="568" t="str">
        <f>'900000'!$B97</f>
        <v>09901077</v>
      </c>
      <c r="D677" s="160" t="str">
        <f>'900000'!$Z$18</f>
        <v>C09902004</v>
      </c>
      <c r="E677" s="27">
        <f>'900000'!$Z97</f>
        <v>0</v>
      </c>
      <c r="F677" s="27" t="s">
        <v>19081</v>
      </c>
    </row>
    <row r="678" spans="1:6">
      <c r="A678" s="27" t="str">
        <f>Resultados!$K$3</f>
        <v/>
      </c>
      <c r="B678" s="27" t="str">
        <f>Resultados!$K$4</f>
        <v/>
      </c>
      <c r="C678" s="568" t="str">
        <f>'900000'!$B98</f>
        <v>09901078</v>
      </c>
      <c r="D678" s="160" t="str">
        <f>'900000'!$Z$18</f>
        <v>C09902004</v>
      </c>
      <c r="E678" s="27">
        <f>'900000'!$Z98</f>
        <v>0</v>
      </c>
      <c r="F678" s="27" t="s">
        <v>19081</v>
      </c>
    </row>
    <row r="679" spans="1:6">
      <c r="A679" s="27" t="str">
        <f>Resultados!$K$3</f>
        <v/>
      </c>
      <c r="B679" s="27" t="str">
        <f>Resultados!$K$4</f>
        <v/>
      </c>
      <c r="C679" s="568" t="str">
        <f>'900000'!$B99</f>
        <v>09901079</v>
      </c>
      <c r="D679" s="160" t="str">
        <f>'900000'!$Z$18</f>
        <v>C09902004</v>
      </c>
      <c r="E679" s="27">
        <f>'900000'!$Z99</f>
        <v>0</v>
      </c>
      <c r="F679" s="27" t="s">
        <v>19081</v>
      </c>
    </row>
    <row r="680" spans="1:6">
      <c r="A680" s="27" t="str">
        <f>Resultados!$K$3</f>
        <v/>
      </c>
      <c r="B680" s="27" t="str">
        <f>Resultados!$K$4</f>
        <v/>
      </c>
      <c r="C680" s="568" t="str">
        <f>'900000'!$B100</f>
        <v>09901080</v>
      </c>
      <c r="D680" s="160" t="str">
        <f>'900000'!$Z$18</f>
        <v>C09902004</v>
      </c>
      <c r="E680" s="27">
        <f>'900000'!$Z100</f>
        <v>0</v>
      </c>
      <c r="F680" s="27" t="s">
        <v>19081</v>
      </c>
    </row>
    <row r="681" spans="1:6">
      <c r="A681" s="27" t="str">
        <f>Resultados!$K$3</f>
        <v/>
      </c>
      <c r="B681" s="27" t="str">
        <f>Resultados!$K$4</f>
        <v/>
      </c>
      <c r="C681" s="568" t="str">
        <f>'900000'!$B101</f>
        <v>09901081</v>
      </c>
      <c r="D681" s="160" t="str">
        <f>'900000'!$Z$18</f>
        <v>C09902004</v>
      </c>
      <c r="E681" s="27">
        <f>'900000'!$Z101</f>
        <v>0</v>
      </c>
      <c r="F681" s="27" t="s">
        <v>19081</v>
      </c>
    </row>
    <row r="682" spans="1:6">
      <c r="A682" s="27" t="str">
        <f>Resultados!$K$3</f>
        <v/>
      </c>
      <c r="B682" s="27" t="str">
        <f>Resultados!$K$4</f>
        <v/>
      </c>
      <c r="C682" s="568" t="str">
        <f>'900000'!$B102</f>
        <v>09901082</v>
      </c>
      <c r="D682" s="160" t="str">
        <f>'900000'!$Z$18</f>
        <v>C09902004</v>
      </c>
      <c r="E682" s="27">
        <f>'900000'!$Z102</f>
        <v>0</v>
      </c>
      <c r="F682" s="27" t="s">
        <v>19081</v>
      </c>
    </row>
    <row r="683" spans="1:6">
      <c r="A683" s="27" t="str">
        <f>Resultados!$K$3</f>
        <v/>
      </c>
      <c r="B683" s="27" t="str">
        <f>Resultados!$K$4</f>
        <v/>
      </c>
      <c r="C683" s="568" t="str">
        <f>'900000'!$B103</f>
        <v>09901083</v>
      </c>
      <c r="D683" s="160" t="str">
        <f>'900000'!$Z$18</f>
        <v>C09902004</v>
      </c>
      <c r="E683" s="27">
        <f>'900000'!$Z103</f>
        <v>0</v>
      </c>
      <c r="F683" s="27" t="s">
        <v>19081</v>
      </c>
    </row>
    <row r="684" spans="1:6">
      <c r="A684" s="27" t="str">
        <f>Resultados!$K$3</f>
        <v/>
      </c>
      <c r="B684" s="27" t="str">
        <f>Resultados!$K$4</f>
        <v/>
      </c>
      <c r="C684" s="568" t="str">
        <f>'900000'!$B104</f>
        <v>09901084</v>
      </c>
      <c r="D684" s="160" t="str">
        <f>'900000'!$Z$18</f>
        <v>C09902004</v>
      </c>
      <c r="E684" s="27">
        <f>'900000'!$Z104</f>
        <v>0</v>
      </c>
      <c r="F684" s="27" t="s">
        <v>19081</v>
      </c>
    </row>
    <row r="685" spans="1:6">
      <c r="A685" s="27" t="str">
        <f>Resultados!$K$3</f>
        <v/>
      </c>
      <c r="B685" s="27" t="str">
        <f>Resultados!$K$4</f>
        <v/>
      </c>
      <c r="C685" s="568" t="str">
        <f>'900000'!$B105</f>
        <v>09901085</v>
      </c>
      <c r="D685" s="160" t="str">
        <f>'900000'!$Z$18</f>
        <v>C09902004</v>
      </c>
      <c r="E685" s="27">
        <f>'900000'!$Z105</f>
        <v>0</v>
      </c>
      <c r="F685" s="27" t="s">
        <v>19081</v>
      </c>
    </row>
    <row r="686" spans="1:6">
      <c r="A686" s="27" t="str">
        <f>Resultados!$K$3</f>
        <v/>
      </c>
      <c r="B686" s="27" t="str">
        <f>Resultados!$K$4</f>
        <v/>
      </c>
      <c r="C686" s="568" t="str">
        <f>'900000'!$B106</f>
        <v>09901086</v>
      </c>
      <c r="D686" s="160" t="str">
        <f>'900000'!$Z$18</f>
        <v>C09902004</v>
      </c>
      <c r="E686" s="27">
        <f>'900000'!$Z106</f>
        <v>0</v>
      </c>
      <c r="F686" s="27" t="s">
        <v>19081</v>
      </c>
    </row>
    <row r="687" spans="1:6">
      <c r="A687" s="27" t="str">
        <f>Resultados!$K$3</f>
        <v/>
      </c>
      <c r="B687" s="27" t="str">
        <f>Resultados!$K$4</f>
        <v/>
      </c>
      <c r="C687" s="568" t="str">
        <f>'900000'!$B107</f>
        <v>09901087</v>
      </c>
      <c r="D687" s="160" t="str">
        <f>'900000'!$Z$18</f>
        <v>C09902004</v>
      </c>
      <c r="E687" s="27">
        <f>'900000'!$Z107</f>
        <v>0</v>
      </c>
      <c r="F687" s="27" t="s">
        <v>19081</v>
      </c>
    </row>
    <row r="688" spans="1:6">
      <c r="A688" s="27" t="str">
        <f>Resultados!$K$3</f>
        <v/>
      </c>
      <c r="B688" s="27" t="str">
        <f>Resultados!$K$4</f>
        <v/>
      </c>
      <c r="C688" s="568" t="str">
        <f>'900000'!$B108</f>
        <v>09901088</v>
      </c>
      <c r="D688" s="160" t="str">
        <f>'900000'!$Z$18</f>
        <v>C09902004</v>
      </c>
      <c r="E688" s="27">
        <f>'900000'!$Z108</f>
        <v>0</v>
      </c>
      <c r="F688" s="27" t="s">
        <v>19081</v>
      </c>
    </row>
    <row r="689" spans="1:6">
      <c r="A689" s="27" t="str">
        <f>Resultados!$K$3</f>
        <v/>
      </c>
      <c r="B689" s="27" t="str">
        <f>Resultados!$K$4</f>
        <v/>
      </c>
      <c r="C689" s="568" t="str">
        <f>'900000'!$B109</f>
        <v>09901089</v>
      </c>
      <c r="D689" s="160" t="str">
        <f>'900000'!$Z$18</f>
        <v>C09902004</v>
      </c>
      <c r="E689" s="27">
        <f>'900000'!$Z109</f>
        <v>0</v>
      </c>
      <c r="F689" s="27" t="s">
        <v>19081</v>
      </c>
    </row>
    <row r="690" spans="1:6">
      <c r="A690" s="27" t="str">
        <f>Resultados!$K$3</f>
        <v/>
      </c>
      <c r="B690" s="27" t="str">
        <f>Resultados!$K$4</f>
        <v/>
      </c>
      <c r="C690" s="568" t="str">
        <f>'900000'!$B110</f>
        <v>09901090</v>
      </c>
      <c r="D690" s="160" t="str">
        <f>'900000'!$Z$18</f>
        <v>C09902004</v>
      </c>
      <c r="E690" s="27">
        <f>'900000'!$Z110</f>
        <v>0</v>
      </c>
      <c r="F690" s="27" t="s">
        <v>19081</v>
      </c>
    </row>
    <row r="691" spans="1:6">
      <c r="A691" s="27" t="str">
        <f>Resultados!$K$3</f>
        <v/>
      </c>
      <c r="B691" s="27" t="str">
        <f>Resultados!$K$4</f>
        <v/>
      </c>
      <c r="C691" s="568" t="str">
        <f>'900000'!$B111</f>
        <v>09901091</v>
      </c>
      <c r="D691" s="160" t="str">
        <f>'900000'!$Z$18</f>
        <v>C09902004</v>
      </c>
      <c r="E691" s="27">
        <f>'900000'!$Z111</f>
        <v>0</v>
      </c>
      <c r="F691" s="27" t="s">
        <v>19081</v>
      </c>
    </row>
    <row r="692" spans="1:6">
      <c r="A692" s="27" t="str">
        <f>Resultados!$K$3</f>
        <v/>
      </c>
      <c r="B692" s="27" t="str">
        <f>Resultados!$K$4</f>
        <v/>
      </c>
      <c r="C692" s="568" t="str">
        <f>'900000'!$B112</f>
        <v>09901092</v>
      </c>
      <c r="D692" s="160" t="str">
        <f>'900000'!$Z$18</f>
        <v>C09902004</v>
      </c>
      <c r="E692" s="27">
        <f>'900000'!$Z112</f>
        <v>0</v>
      </c>
      <c r="F692" s="27" t="s">
        <v>19081</v>
      </c>
    </row>
    <row r="693" spans="1:6">
      <c r="A693" s="27" t="str">
        <f>Resultados!$K$3</f>
        <v/>
      </c>
      <c r="B693" s="27" t="str">
        <f>Resultados!$K$4</f>
        <v/>
      </c>
      <c r="C693" s="568" t="str">
        <f>'900000'!$B113</f>
        <v>09901093</v>
      </c>
      <c r="D693" s="160" t="str">
        <f>'900000'!$Z$18</f>
        <v>C09902004</v>
      </c>
      <c r="E693" s="27">
        <f>'900000'!$Z113</f>
        <v>0</v>
      </c>
      <c r="F693" s="27" t="s">
        <v>19081</v>
      </c>
    </row>
    <row r="694" spans="1:6">
      <c r="A694" s="27" t="str">
        <f>Resultados!$K$3</f>
        <v/>
      </c>
      <c r="B694" s="27" t="str">
        <f>Resultados!$K$4</f>
        <v/>
      </c>
      <c r="C694" s="568" t="str">
        <f>'900000'!$B114</f>
        <v>09901094</v>
      </c>
      <c r="D694" s="160" t="str">
        <f>'900000'!$Z$18</f>
        <v>C09902004</v>
      </c>
      <c r="E694" s="27">
        <f>'900000'!$Z114</f>
        <v>0</v>
      </c>
      <c r="F694" s="27" t="s">
        <v>19081</v>
      </c>
    </row>
    <row r="695" spans="1:6">
      <c r="A695" s="27" t="str">
        <f>Resultados!$K$3</f>
        <v/>
      </c>
      <c r="B695" s="27" t="str">
        <f>Resultados!$K$4</f>
        <v/>
      </c>
      <c r="C695" s="568" t="str">
        <f>'900000'!$B115</f>
        <v>09901095</v>
      </c>
      <c r="D695" s="160" t="str">
        <f>'900000'!$Z$18</f>
        <v>C09902004</v>
      </c>
      <c r="E695" s="27">
        <f>'900000'!$Z115</f>
        <v>0</v>
      </c>
      <c r="F695" s="27" t="s">
        <v>19081</v>
      </c>
    </row>
    <row r="696" spans="1:6">
      <c r="A696" s="27" t="str">
        <f>Resultados!$K$3</f>
        <v/>
      </c>
      <c r="B696" s="27" t="str">
        <f>Resultados!$K$4</f>
        <v/>
      </c>
      <c r="C696" s="568" t="str">
        <f>'900000'!$B116</f>
        <v>09901096</v>
      </c>
      <c r="D696" s="160" t="str">
        <f>'900000'!$Z$18</f>
        <v>C09902004</v>
      </c>
      <c r="E696" s="27">
        <f>'900000'!$Z116</f>
        <v>0</v>
      </c>
      <c r="F696" s="27" t="s">
        <v>19081</v>
      </c>
    </row>
    <row r="697" spans="1:6">
      <c r="A697" s="27" t="str">
        <f>Resultados!$K$3</f>
        <v/>
      </c>
      <c r="B697" s="27" t="str">
        <f>Resultados!$K$4</f>
        <v/>
      </c>
      <c r="C697" s="568" t="str">
        <f>'900000'!$B117</f>
        <v>09901097</v>
      </c>
      <c r="D697" s="160" t="str">
        <f>'900000'!$Z$18</f>
        <v>C09902004</v>
      </c>
      <c r="E697" s="27">
        <f>'900000'!$Z117</f>
        <v>0</v>
      </c>
      <c r="F697" s="27" t="s">
        <v>19081</v>
      </c>
    </row>
    <row r="698" spans="1:6">
      <c r="A698" s="27" t="str">
        <f>Resultados!$K$3</f>
        <v/>
      </c>
      <c r="B698" s="27" t="str">
        <f>Resultados!$K$4</f>
        <v/>
      </c>
      <c r="C698" s="568" t="str">
        <f>'900000'!$B118</f>
        <v>09901098</v>
      </c>
      <c r="D698" s="160" t="str">
        <f>'900000'!$Z$18</f>
        <v>C09902004</v>
      </c>
      <c r="E698" s="27">
        <f>'900000'!$Z118</f>
        <v>0</v>
      </c>
      <c r="F698" s="27" t="s">
        <v>19081</v>
      </c>
    </row>
    <row r="699" spans="1:6">
      <c r="A699" s="27" t="str">
        <f>Resultados!$K$3</f>
        <v/>
      </c>
      <c r="B699" s="27" t="str">
        <f>Resultados!$K$4</f>
        <v/>
      </c>
      <c r="C699" s="568" t="str">
        <f>'900000'!$B119</f>
        <v>09901099</v>
      </c>
      <c r="D699" s="160" t="str">
        <f>'900000'!$Z$18</f>
        <v>C09902004</v>
      </c>
      <c r="E699" s="27">
        <f>'900000'!$Z119</f>
        <v>0</v>
      </c>
      <c r="F699" s="27" t="s">
        <v>19081</v>
      </c>
    </row>
    <row r="700" spans="1:6">
      <c r="A700" s="27" t="str">
        <f>Resultados!$K$3</f>
        <v/>
      </c>
      <c r="B700" s="27" t="str">
        <f>Resultados!$K$4</f>
        <v/>
      </c>
      <c r="C700" s="568" t="str">
        <f>'900000'!$B120</f>
        <v>09901100</v>
      </c>
      <c r="D700" s="160" t="str">
        <f>'900000'!$Z$18</f>
        <v>C09902004</v>
      </c>
      <c r="E700" s="27">
        <f>'900000'!$Z120</f>
        <v>0</v>
      </c>
      <c r="F700" s="27" t="s">
        <v>19081</v>
      </c>
    </row>
    <row r="701" spans="1:6">
      <c r="A701" s="27" t="str">
        <f>Resultados!$K$3</f>
        <v/>
      </c>
      <c r="B701" s="27" t="str">
        <f>Resultados!$K$4</f>
        <v/>
      </c>
      <c r="C701" s="568" t="str">
        <f>'900000'!$B121</f>
        <v>09901101</v>
      </c>
      <c r="D701" s="160" t="str">
        <f>'900000'!$Z$18</f>
        <v>C09902004</v>
      </c>
      <c r="E701" s="27">
        <f>'900000'!$Z121</f>
        <v>0</v>
      </c>
      <c r="F701" s="27" t="s">
        <v>19081</v>
      </c>
    </row>
    <row r="702" spans="1:6">
      <c r="A702" s="27" t="str">
        <f>Resultados!$K$3</f>
        <v/>
      </c>
      <c r="B702" s="27" t="str">
        <f>Resultados!$K$4</f>
        <v/>
      </c>
      <c r="C702" s="568" t="str">
        <f>'900000'!$B22</f>
        <v>09901002</v>
      </c>
      <c r="D702" s="160" t="str">
        <f>'900000'!$AB$18</f>
        <v>C09902005</v>
      </c>
      <c r="E702">
        <f>'900000'!$AB22</f>
        <v>0</v>
      </c>
      <c r="F702" s="27" t="s">
        <v>19081</v>
      </c>
    </row>
    <row r="703" spans="1:6">
      <c r="A703" s="27" t="str">
        <f>Resultados!$K$3</f>
        <v/>
      </c>
      <c r="B703" s="27" t="str">
        <f>Resultados!$K$4</f>
        <v/>
      </c>
      <c r="C703" s="568" t="str">
        <f>'900000'!$B23</f>
        <v>09901003</v>
      </c>
      <c r="D703" s="160" t="str">
        <f>'900000'!$AB$18</f>
        <v>C09902005</v>
      </c>
      <c r="E703" s="27">
        <f>'900000'!$AB23</f>
        <v>0</v>
      </c>
      <c r="F703" s="27" t="s">
        <v>19081</v>
      </c>
    </row>
    <row r="704" spans="1:6">
      <c r="A704" s="27" t="str">
        <f>Resultados!$K$3</f>
        <v/>
      </c>
      <c r="B704" s="27" t="str">
        <f>Resultados!$K$4</f>
        <v/>
      </c>
      <c r="C704" s="568" t="str">
        <f>'900000'!$B24</f>
        <v>09901004</v>
      </c>
      <c r="D704" s="160" t="str">
        <f>'900000'!$AB$18</f>
        <v>C09902005</v>
      </c>
      <c r="E704" s="27">
        <f>'900000'!$AB24</f>
        <v>0</v>
      </c>
      <c r="F704" s="27" t="s">
        <v>19081</v>
      </c>
    </row>
    <row r="705" spans="1:6">
      <c r="A705" s="27" t="str">
        <f>Resultados!$K$3</f>
        <v/>
      </c>
      <c r="B705" s="27" t="str">
        <f>Resultados!$K$4</f>
        <v/>
      </c>
      <c r="C705" s="568" t="str">
        <f>'900000'!$B25</f>
        <v>09901005</v>
      </c>
      <c r="D705" s="160" t="str">
        <f>'900000'!$AB$18</f>
        <v>C09902005</v>
      </c>
      <c r="E705" s="27">
        <f>'900000'!$AB25</f>
        <v>0</v>
      </c>
      <c r="F705" s="27" t="s">
        <v>19081</v>
      </c>
    </row>
    <row r="706" spans="1:6">
      <c r="A706" s="27" t="str">
        <f>Resultados!$K$3</f>
        <v/>
      </c>
      <c r="B706" s="27" t="str">
        <f>Resultados!$K$4</f>
        <v/>
      </c>
      <c r="C706" s="568" t="str">
        <f>'900000'!$B26</f>
        <v>09901006</v>
      </c>
      <c r="D706" s="160" t="str">
        <f>'900000'!$AB$18</f>
        <v>C09902005</v>
      </c>
      <c r="E706" s="27">
        <f>'900000'!$AB26</f>
        <v>0</v>
      </c>
      <c r="F706" s="27" t="s">
        <v>19081</v>
      </c>
    </row>
    <row r="707" spans="1:6">
      <c r="A707" s="27" t="str">
        <f>Resultados!$K$3</f>
        <v/>
      </c>
      <c r="B707" s="27" t="str">
        <f>Resultados!$K$4</f>
        <v/>
      </c>
      <c r="C707" s="568" t="str">
        <f>'900000'!$B27</f>
        <v>09901007</v>
      </c>
      <c r="D707" s="160" t="str">
        <f>'900000'!$AB$18</f>
        <v>C09902005</v>
      </c>
      <c r="E707" s="27">
        <f>'900000'!$AB27</f>
        <v>0</v>
      </c>
      <c r="F707" s="27" t="s">
        <v>19081</v>
      </c>
    </row>
    <row r="708" spans="1:6">
      <c r="A708" s="27" t="str">
        <f>Resultados!$K$3</f>
        <v/>
      </c>
      <c r="B708" s="27" t="str">
        <f>Resultados!$K$4</f>
        <v/>
      </c>
      <c r="C708" s="568" t="str">
        <f>'900000'!$B28</f>
        <v>09901008</v>
      </c>
      <c r="D708" s="160" t="str">
        <f>'900000'!$AB$18</f>
        <v>C09902005</v>
      </c>
      <c r="E708" s="27">
        <f>'900000'!$AB28</f>
        <v>0</v>
      </c>
      <c r="F708" s="27" t="s">
        <v>19081</v>
      </c>
    </row>
    <row r="709" spans="1:6">
      <c r="A709" s="27" t="str">
        <f>Resultados!$K$3</f>
        <v/>
      </c>
      <c r="B709" s="27" t="str">
        <f>Resultados!$K$4</f>
        <v/>
      </c>
      <c r="C709" s="568" t="str">
        <f>'900000'!$B29</f>
        <v>09901009</v>
      </c>
      <c r="D709" s="160" t="str">
        <f>'900000'!$AB$18</f>
        <v>C09902005</v>
      </c>
      <c r="E709" s="27">
        <f>'900000'!$AB29</f>
        <v>0</v>
      </c>
      <c r="F709" s="27" t="s">
        <v>19081</v>
      </c>
    </row>
    <row r="710" spans="1:6">
      <c r="A710" s="27" t="str">
        <f>Resultados!$K$3</f>
        <v/>
      </c>
      <c r="B710" s="27" t="str">
        <f>Resultados!$K$4</f>
        <v/>
      </c>
      <c r="C710" s="568" t="str">
        <f>'900000'!$B30</f>
        <v>09901010</v>
      </c>
      <c r="D710" s="160" t="str">
        <f>'900000'!$AB$18</f>
        <v>C09902005</v>
      </c>
      <c r="E710" s="27">
        <f>'900000'!$AB30</f>
        <v>0</v>
      </c>
      <c r="F710" s="27" t="s">
        <v>19081</v>
      </c>
    </row>
    <row r="711" spans="1:6">
      <c r="A711" s="27" t="str">
        <f>Resultados!$K$3</f>
        <v/>
      </c>
      <c r="B711" s="27" t="str">
        <f>Resultados!$K$4</f>
        <v/>
      </c>
      <c r="C711" s="568" t="str">
        <f>'900000'!$B31</f>
        <v>09901011</v>
      </c>
      <c r="D711" s="160" t="str">
        <f>'900000'!$AB$18</f>
        <v>C09902005</v>
      </c>
      <c r="E711" s="27">
        <f>'900000'!$AB31</f>
        <v>0</v>
      </c>
      <c r="F711" s="27" t="s">
        <v>19081</v>
      </c>
    </row>
    <row r="712" spans="1:6">
      <c r="A712" s="27" t="str">
        <f>Resultados!$K$3</f>
        <v/>
      </c>
      <c r="B712" s="27" t="str">
        <f>Resultados!$K$4</f>
        <v/>
      </c>
      <c r="C712" s="568" t="str">
        <f>'900000'!$B32</f>
        <v>09901012</v>
      </c>
      <c r="D712" s="160" t="str">
        <f>'900000'!$AB$18</f>
        <v>C09902005</v>
      </c>
      <c r="E712" s="27">
        <f>'900000'!$AB32</f>
        <v>0</v>
      </c>
      <c r="F712" s="27" t="s">
        <v>19081</v>
      </c>
    </row>
    <row r="713" spans="1:6">
      <c r="A713" s="27" t="str">
        <f>Resultados!$K$3</f>
        <v/>
      </c>
      <c r="B713" s="27" t="str">
        <f>Resultados!$K$4</f>
        <v/>
      </c>
      <c r="C713" s="568" t="str">
        <f>'900000'!$B33</f>
        <v>09901013</v>
      </c>
      <c r="D713" s="160" t="str">
        <f>'900000'!$AB$18</f>
        <v>C09902005</v>
      </c>
      <c r="E713" s="27">
        <f>'900000'!$AB33</f>
        <v>0</v>
      </c>
      <c r="F713" s="27" t="s">
        <v>19081</v>
      </c>
    </row>
    <row r="714" spans="1:6">
      <c r="A714" s="27" t="str">
        <f>Resultados!$K$3</f>
        <v/>
      </c>
      <c r="B714" s="27" t="str">
        <f>Resultados!$K$4</f>
        <v/>
      </c>
      <c r="C714" s="568" t="str">
        <f>'900000'!$B34</f>
        <v>09901014</v>
      </c>
      <c r="D714" s="160" t="str">
        <f>'900000'!$AB$18</f>
        <v>C09902005</v>
      </c>
      <c r="E714" s="27">
        <f>'900000'!$AB34</f>
        <v>0</v>
      </c>
      <c r="F714" s="27" t="s">
        <v>19081</v>
      </c>
    </row>
    <row r="715" spans="1:6">
      <c r="A715" s="27" t="str">
        <f>Resultados!$K$3</f>
        <v/>
      </c>
      <c r="B715" s="27" t="str">
        <f>Resultados!$K$4</f>
        <v/>
      </c>
      <c r="C715" s="568" t="str">
        <f>'900000'!$B35</f>
        <v>09901015</v>
      </c>
      <c r="D715" s="160" t="str">
        <f>'900000'!$AB$18</f>
        <v>C09902005</v>
      </c>
      <c r="E715" s="27">
        <f>'900000'!$AB35</f>
        <v>0</v>
      </c>
      <c r="F715" s="27" t="s">
        <v>19081</v>
      </c>
    </row>
    <row r="716" spans="1:6">
      <c r="A716" s="27" t="str">
        <f>Resultados!$K$3</f>
        <v/>
      </c>
      <c r="B716" s="27" t="str">
        <f>Resultados!$K$4</f>
        <v/>
      </c>
      <c r="C716" s="568" t="str">
        <f>'900000'!$B36</f>
        <v>09901016</v>
      </c>
      <c r="D716" s="160" t="str">
        <f>'900000'!$AB$18</f>
        <v>C09902005</v>
      </c>
      <c r="E716" s="27">
        <f>'900000'!$AB36</f>
        <v>0</v>
      </c>
      <c r="F716" s="27" t="s">
        <v>19081</v>
      </c>
    </row>
    <row r="717" spans="1:6">
      <c r="A717" s="27" t="str">
        <f>Resultados!$K$3</f>
        <v/>
      </c>
      <c r="B717" s="27" t="str">
        <f>Resultados!$K$4</f>
        <v/>
      </c>
      <c r="C717" s="568" t="str">
        <f>'900000'!$B37</f>
        <v>09901017</v>
      </c>
      <c r="D717" s="160" t="str">
        <f>'900000'!$AB$18</f>
        <v>C09902005</v>
      </c>
      <c r="E717" s="27">
        <f>'900000'!$AB37</f>
        <v>0</v>
      </c>
      <c r="F717" s="27" t="s">
        <v>19081</v>
      </c>
    </row>
    <row r="718" spans="1:6">
      <c r="A718" s="27" t="str">
        <f>Resultados!$K$3</f>
        <v/>
      </c>
      <c r="B718" s="27" t="str">
        <f>Resultados!$K$4</f>
        <v/>
      </c>
      <c r="C718" s="568" t="str">
        <f>'900000'!$B38</f>
        <v>09901018</v>
      </c>
      <c r="D718" s="160" t="str">
        <f>'900000'!$AB$18</f>
        <v>C09902005</v>
      </c>
      <c r="E718" s="27">
        <f>'900000'!$AB38</f>
        <v>0</v>
      </c>
      <c r="F718" s="27" t="s">
        <v>19081</v>
      </c>
    </row>
    <row r="719" spans="1:6">
      <c r="A719" s="27" t="str">
        <f>Resultados!$K$3</f>
        <v/>
      </c>
      <c r="B719" s="27" t="str">
        <f>Resultados!$K$4</f>
        <v/>
      </c>
      <c r="C719" s="568" t="str">
        <f>'900000'!$B39</f>
        <v>09901019</v>
      </c>
      <c r="D719" s="160" t="str">
        <f>'900000'!$AB$18</f>
        <v>C09902005</v>
      </c>
      <c r="E719" s="27">
        <f>'900000'!$AB39</f>
        <v>0</v>
      </c>
      <c r="F719" s="27" t="s">
        <v>19081</v>
      </c>
    </row>
    <row r="720" spans="1:6">
      <c r="A720" s="27" t="str">
        <f>Resultados!$K$3</f>
        <v/>
      </c>
      <c r="B720" s="27" t="str">
        <f>Resultados!$K$4</f>
        <v/>
      </c>
      <c r="C720" s="568" t="str">
        <f>'900000'!$B40</f>
        <v>09901020</v>
      </c>
      <c r="D720" s="160" t="str">
        <f>'900000'!$AB$18</f>
        <v>C09902005</v>
      </c>
      <c r="E720" s="27">
        <f>'900000'!$AB40</f>
        <v>0</v>
      </c>
      <c r="F720" s="27" t="s">
        <v>19081</v>
      </c>
    </row>
    <row r="721" spans="1:6">
      <c r="A721" s="27" t="str">
        <f>Resultados!$K$3</f>
        <v/>
      </c>
      <c r="B721" s="27" t="str">
        <f>Resultados!$K$4</f>
        <v/>
      </c>
      <c r="C721" s="568" t="str">
        <f>'900000'!$B41</f>
        <v>09901021</v>
      </c>
      <c r="D721" s="160" t="str">
        <f>'900000'!$AB$18</f>
        <v>C09902005</v>
      </c>
      <c r="E721" s="27">
        <f>'900000'!$AB41</f>
        <v>0</v>
      </c>
      <c r="F721" s="27" t="s">
        <v>19081</v>
      </c>
    </row>
    <row r="722" spans="1:6">
      <c r="A722" s="27" t="str">
        <f>Resultados!$K$3</f>
        <v/>
      </c>
      <c r="B722" s="27" t="str">
        <f>Resultados!$K$4</f>
        <v/>
      </c>
      <c r="C722" s="568" t="str">
        <f>'900000'!$B42</f>
        <v>09901022</v>
      </c>
      <c r="D722" s="160" t="str">
        <f>'900000'!$AB$18</f>
        <v>C09902005</v>
      </c>
      <c r="E722" s="27">
        <f>'900000'!$AB42</f>
        <v>0</v>
      </c>
      <c r="F722" s="27" t="s">
        <v>19081</v>
      </c>
    </row>
    <row r="723" spans="1:6">
      <c r="A723" s="27" t="str">
        <f>Resultados!$K$3</f>
        <v/>
      </c>
      <c r="B723" s="27" t="str">
        <f>Resultados!$K$4</f>
        <v/>
      </c>
      <c r="C723" s="568" t="str">
        <f>'900000'!$B43</f>
        <v>09901023</v>
      </c>
      <c r="D723" s="160" t="str">
        <f>'900000'!$AB$18</f>
        <v>C09902005</v>
      </c>
      <c r="E723" s="27">
        <f>'900000'!$AB43</f>
        <v>0</v>
      </c>
      <c r="F723" s="27" t="s">
        <v>19081</v>
      </c>
    </row>
    <row r="724" spans="1:6">
      <c r="A724" s="27" t="str">
        <f>Resultados!$K$3</f>
        <v/>
      </c>
      <c r="B724" s="27" t="str">
        <f>Resultados!$K$4</f>
        <v/>
      </c>
      <c r="C724" s="568" t="str">
        <f>'900000'!$B44</f>
        <v>09901024</v>
      </c>
      <c r="D724" s="160" t="str">
        <f>'900000'!$AB$18</f>
        <v>C09902005</v>
      </c>
      <c r="E724" s="27">
        <f>'900000'!$AB44</f>
        <v>0</v>
      </c>
      <c r="F724" s="27" t="s">
        <v>19081</v>
      </c>
    </row>
    <row r="725" spans="1:6">
      <c r="A725" s="27" t="str">
        <f>Resultados!$K$3</f>
        <v/>
      </c>
      <c r="B725" s="27" t="str">
        <f>Resultados!$K$4</f>
        <v/>
      </c>
      <c r="C725" s="568" t="str">
        <f>'900000'!$B45</f>
        <v>09901025</v>
      </c>
      <c r="D725" s="160" t="str">
        <f>'900000'!$AB$18</f>
        <v>C09902005</v>
      </c>
      <c r="E725" s="27">
        <f>'900000'!$AB45</f>
        <v>0</v>
      </c>
      <c r="F725" s="27" t="s">
        <v>19081</v>
      </c>
    </row>
    <row r="726" spans="1:6">
      <c r="A726" s="27" t="str">
        <f>Resultados!$K$3</f>
        <v/>
      </c>
      <c r="B726" s="27" t="str">
        <f>Resultados!$K$4</f>
        <v/>
      </c>
      <c r="C726" s="568" t="str">
        <f>'900000'!$B46</f>
        <v>09901026</v>
      </c>
      <c r="D726" s="160" t="str">
        <f>'900000'!$AB$18</f>
        <v>C09902005</v>
      </c>
      <c r="E726" s="27">
        <f>'900000'!$AB46</f>
        <v>0</v>
      </c>
      <c r="F726" s="27" t="s">
        <v>19081</v>
      </c>
    </row>
    <row r="727" spans="1:6">
      <c r="A727" s="27" t="str">
        <f>Resultados!$K$3</f>
        <v/>
      </c>
      <c r="B727" s="27" t="str">
        <f>Resultados!$K$4</f>
        <v/>
      </c>
      <c r="C727" s="568" t="str">
        <f>'900000'!$B47</f>
        <v>09901027</v>
      </c>
      <c r="D727" s="160" t="str">
        <f>'900000'!$AB$18</f>
        <v>C09902005</v>
      </c>
      <c r="E727" s="27">
        <f>'900000'!$AB47</f>
        <v>0</v>
      </c>
      <c r="F727" s="27" t="s">
        <v>19081</v>
      </c>
    </row>
    <row r="728" spans="1:6">
      <c r="A728" s="27" t="str">
        <f>Resultados!$K$3</f>
        <v/>
      </c>
      <c r="B728" s="27" t="str">
        <f>Resultados!$K$4</f>
        <v/>
      </c>
      <c r="C728" s="568" t="str">
        <f>'900000'!$B48</f>
        <v>09901028</v>
      </c>
      <c r="D728" s="160" t="str">
        <f>'900000'!$AB$18</f>
        <v>C09902005</v>
      </c>
      <c r="E728" s="27">
        <f>'900000'!$AB48</f>
        <v>0</v>
      </c>
      <c r="F728" s="27" t="s">
        <v>19081</v>
      </c>
    </row>
    <row r="729" spans="1:6">
      <c r="A729" s="27" t="str">
        <f>Resultados!$K$3</f>
        <v/>
      </c>
      <c r="B729" s="27" t="str">
        <f>Resultados!$K$4</f>
        <v/>
      </c>
      <c r="C729" s="568" t="str">
        <f>'900000'!$B49</f>
        <v>09901029</v>
      </c>
      <c r="D729" s="160" t="str">
        <f>'900000'!$AB$18</f>
        <v>C09902005</v>
      </c>
      <c r="E729" s="27">
        <f>'900000'!$AB49</f>
        <v>0</v>
      </c>
      <c r="F729" s="27" t="s">
        <v>19081</v>
      </c>
    </row>
    <row r="730" spans="1:6">
      <c r="A730" s="27" t="str">
        <f>Resultados!$K$3</f>
        <v/>
      </c>
      <c r="B730" s="27" t="str">
        <f>Resultados!$K$4</f>
        <v/>
      </c>
      <c r="C730" s="568" t="str">
        <f>'900000'!$B50</f>
        <v>09901030</v>
      </c>
      <c r="D730" s="160" t="str">
        <f>'900000'!$AB$18</f>
        <v>C09902005</v>
      </c>
      <c r="E730" s="27">
        <f>'900000'!$AB50</f>
        <v>0</v>
      </c>
      <c r="F730" s="27" t="s">
        <v>19081</v>
      </c>
    </row>
    <row r="731" spans="1:6">
      <c r="A731" s="27" t="str">
        <f>Resultados!$K$3</f>
        <v/>
      </c>
      <c r="B731" s="27" t="str">
        <f>Resultados!$K$4</f>
        <v/>
      </c>
      <c r="C731" s="568" t="str">
        <f>'900000'!$B51</f>
        <v>09901031</v>
      </c>
      <c r="D731" s="160" t="str">
        <f>'900000'!$AB$18</f>
        <v>C09902005</v>
      </c>
      <c r="E731" s="27">
        <f>'900000'!$AB51</f>
        <v>0</v>
      </c>
      <c r="F731" s="27" t="s">
        <v>19081</v>
      </c>
    </row>
    <row r="732" spans="1:6">
      <c r="A732" s="27" t="str">
        <f>Resultados!$K$3</f>
        <v/>
      </c>
      <c r="B732" s="27" t="str">
        <f>Resultados!$K$4</f>
        <v/>
      </c>
      <c r="C732" s="568" t="str">
        <f>'900000'!$B52</f>
        <v>09901032</v>
      </c>
      <c r="D732" s="160" t="str">
        <f>'900000'!$AB$18</f>
        <v>C09902005</v>
      </c>
      <c r="E732" s="27">
        <f>'900000'!$AB52</f>
        <v>0</v>
      </c>
      <c r="F732" s="27" t="s">
        <v>19081</v>
      </c>
    </row>
    <row r="733" spans="1:6">
      <c r="A733" s="27" t="str">
        <f>Resultados!$K$3</f>
        <v/>
      </c>
      <c r="B733" s="27" t="str">
        <f>Resultados!$K$4</f>
        <v/>
      </c>
      <c r="C733" s="568" t="str">
        <f>'900000'!$B53</f>
        <v>09901033</v>
      </c>
      <c r="D733" s="160" t="str">
        <f>'900000'!$AB$18</f>
        <v>C09902005</v>
      </c>
      <c r="E733" s="27">
        <f>'900000'!$AB53</f>
        <v>0</v>
      </c>
      <c r="F733" s="27" t="s">
        <v>19081</v>
      </c>
    </row>
    <row r="734" spans="1:6">
      <c r="A734" s="27" t="str">
        <f>Resultados!$K$3</f>
        <v/>
      </c>
      <c r="B734" s="27" t="str">
        <f>Resultados!$K$4</f>
        <v/>
      </c>
      <c r="C734" s="568" t="str">
        <f>'900000'!$B54</f>
        <v>09901034</v>
      </c>
      <c r="D734" s="160" t="str">
        <f>'900000'!$AB$18</f>
        <v>C09902005</v>
      </c>
      <c r="E734" s="27">
        <f>'900000'!$AB54</f>
        <v>0</v>
      </c>
      <c r="F734" s="27" t="s">
        <v>19081</v>
      </c>
    </row>
    <row r="735" spans="1:6">
      <c r="A735" s="27" t="str">
        <f>Resultados!$K$3</f>
        <v/>
      </c>
      <c r="B735" s="27" t="str">
        <f>Resultados!$K$4</f>
        <v/>
      </c>
      <c r="C735" s="568" t="str">
        <f>'900000'!$B55</f>
        <v>09901035</v>
      </c>
      <c r="D735" s="160" t="str">
        <f>'900000'!$AB$18</f>
        <v>C09902005</v>
      </c>
      <c r="E735" s="27">
        <f>'900000'!$AB55</f>
        <v>0</v>
      </c>
      <c r="F735" s="27" t="s">
        <v>19081</v>
      </c>
    </row>
    <row r="736" spans="1:6">
      <c r="A736" s="27" t="str">
        <f>Resultados!$K$3</f>
        <v/>
      </c>
      <c r="B736" s="27" t="str">
        <f>Resultados!$K$4</f>
        <v/>
      </c>
      <c r="C736" s="568" t="str">
        <f>'900000'!$B56</f>
        <v>09901036</v>
      </c>
      <c r="D736" s="160" t="str">
        <f>'900000'!$AB$18</f>
        <v>C09902005</v>
      </c>
      <c r="E736" s="27">
        <f>'900000'!$AB56</f>
        <v>0</v>
      </c>
      <c r="F736" s="27" t="s">
        <v>19081</v>
      </c>
    </row>
    <row r="737" spans="1:6">
      <c r="A737" s="27" t="str">
        <f>Resultados!$K$3</f>
        <v/>
      </c>
      <c r="B737" s="27" t="str">
        <f>Resultados!$K$4</f>
        <v/>
      </c>
      <c r="C737" s="568" t="str">
        <f>'900000'!$B57</f>
        <v>09901037</v>
      </c>
      <c r="D737" s="160" t="str">
        <f>'900000'!$AB$18</f>
        <v>C09902005</v>
      </c>
      <c r="E737" s="27">
        <f>'900000'!$AB57</f>
        <v>0</v>
      </c>
      <c r="F737" s="27" t="s">
        <v>19081</v>
      </c>
    </row>
    <row r="738" spans="1:6">
      <c r="A738" s="27" t="str">
        <f>Resultados!$K$3</f>
        <v/>
      </c>
      <c r="B738" s="27" t="str">
        <f>Resultados!$K$4</f>
        <v/>
      </c>
      <c r="C738" s="568" t="str">
        <f>'900000'!$B58</f>
        <v>09901038</v>
      </c>
      <c r="D738" s="160" t="str">
        <f>'900000'!$AB$18</f>
        <v>C09902005</v>
      </c>
      <c r="E738" s="27">
        <f>'900000'!$AB58</f>
        <v>0</v>
      </c>
      <c r="F738" s="27" t="s">
        <v>19081</v>
      </c>
    </row>
    <row r="739" spans="1:6">
      <c r="A739" s="27" t="str">
        <f>Resultados!$K$3</f>
        <v/>
      </c>
      <c r="B739" s="27" t="str">
        <f>Resultados!$K$4</f>
        <v/>
      </c>
      <c r="C739" s="568" t="str">
        <f>'900000'!$B59</f>
        <v>09901039</v>
      </c>
      <c r="D739" s="160" t="str">
        <f>'900000'!$AB$18</f>
        <v>C09902005</v>
      </c>
      <c r="E739" s="27">
        <f>'900000'!$AB59</f>
        <v>0</v>
      </c>
      <c r="F739" s="27" t="s">
        <v>19081</v>
      </c>
    </row>
    <row r="740" spans="1:6">
      <c r="A740" s="27" t="str">
        <f>Resultados!$K$3</f>
        <v/>
      </c>
      <c r="B740" s="27" t="str">
        <f>Resultados!$K$4</f>
        <v/>
      </c>
      <c r="C740" s="568" t="str">
        <f>'900000'!$B60</f>
        <v>09901040</v>
      </c>
      <c r="D740" s="160" t="str">
        <f>'900000'!$AB$18</f>
        <v>C09902005</v>
      </c>
      <c r="E740" s="27">
        <f>'900000'!$AB60</f>
        <v>0</v>
      </c>
      <c r="F740" s="27" t="s">
        <v>19081</v>
      </c>
    </row>
    <row r="741" spans="1:6">
      <c r="A741" s="27" t="str">
        <f>Resultados!$K$3</f>
        <v/>
      </c>
      <c r="B741" s="27" t="str">
        <f>Resultados!$K$4</f>
        <v/>
      </c>
      <c r="C741" s="568" t="str">
        <f>'900000'!$B61</f>
        <v>09901041</v>
      </c>
      <c r="D741" s="160" t="str">
        <f>'900000'!$AB$18</f>
        <v>C09902005</v>
      </c>
      <c r="E741" s="27">
        <f>'900000'!$AB61</f>
        <v>0</v>
      </c>
      <c r="F741" s="27" t="s">
        <v>19081</v>
      </c>
    </row>
    <row r="742" spans="1:6">
      <c r="A742" s="27" t="str">
        <f>Resultados!$K$3</f>
        <v/>
      </c>
      <c r="B742" s="27" t="str">
        <f>Resultados!$K$4</f>
        <v/>
      </c>
      <c r="C742" s="568" t="str">
        <f>'900000'!$B62</f>
        <v>09901042</v>
      </c>
      <c r="D742" s="160" t="str">
        <f>'900000'!$AB$18</f>
        <v>C09902005</v>
      </c>
      <c r="E742" s="27">
        <f>'900000'!$AB62</f>
        <v>0</v>
      </c>
      <c r="F742" s="27" t="s">
        <v>19081</v>
      </c>
    </row>
    <row r="743" spans="1:6">
      <c r="A743" s="27" t="str">
        <f>Resultados!$K$3</f>
        <v/>
      </c>
      <c r="B743" s="27" t="str">
        <f>Resultados!$K$4</f>
        <v/>
      </c>
      <c r="C743" s="568" t="str">
        <f>'900000'!$B63</f>
        <v>09901043</v>
      </c>
      <c r="D743" s="160" t="str">
        <f>'900000'!$AB$18</f>
        <v>C09902005</v>
      </c>
      <c r="E743" s="27">
        <f>'900000'!$AB63</f>
        <v>0</v>
      </c>
      <c r="F743" s="27" t="s">
        <v>19081</v>
      </c>
    </row>
    <row r="744" spans="1:6">
      <c r="A744" s="27" t="str">
        <f>Resultados!$K$3</f>
        <v/>
      </c>
      <c r="B744" s="27" t="str">
        <f>Resultados!$K$4</f>
        <v/>
      </c>
      <c r="C744" s="568" t="str">
        <f>'900000'!$B64</f>
        <v>09901044</v>
      </c>
      <c r="D744" s="160" t="str">
        <f>'900000'!$AB$18</f>
        <v>C09902005</v>
      </c>
      <c r="E744" s="27">
        <f>'900000'!$AB64</f>
        <v>0</v>
      </c>
      <c r="F744" s="27" t="s">
        <v>19081</v>
      </c>
    </row>
    <row r="745" spans="1:6">
      <c r="A745" s="27" t="str">
        <f>Resultados!$K$3</f>
        <v/>
      </c>
      <c r="B745" s="27" t="str">
        <f>Resultados!$K$4</f>
        <v/>
      </c>
      <c r="C745" s="568" t="str">
        <f>'900000'!$B65</f>
        <v>09901045</v>
      </c>
      <c r="D745" s="160" t="str">
        <f>'900000'!$AB$18</f>
        <v>C09902005</v>
      </c>
      <c r="E745" s="27">
        <f>'900000'!$AB65</f>
        <v>0</v>
      </c>
      <c r="F745" s="27" t="s">
        <v>19081</v>
      </c>
    </row>
    <row r="746" spans="1:6">
      <c r="A746" s="27" t="str">
        <f>Resultados!$K$3</f>
        <v/>
      </c>
      <c r="B746" s="27" t="str">
        <f>Resultados!$K$4</f>
        <v/>
      </c>
      <c r="C746" s="568" t="str">
        <f>'900000'!$B66</f>
        <v>09901046</v>
      </c>
      <c r="D746" s="160" t="str">
        <f>'900000'!$AB$18</f>
        <v>C09902005</v>
      </c>
      <c r="E746" s="27">
        <f>'900000'!$AB66</f>
        <v>0</v>
      </c>
      <c r="F746" s="27" t="s">
        <v>19081</v>
      </c>
    </row>
    <row r="747" spans="1:6">
      <c r="A747" s="27" t="str">
        <f>Resultados!$K$3</f>
        <v/>
      </c>
      <c r="B747" s="27" t="str">
        <f>Resultados!$K$4</f>
        <v/>
      </c>
      <c r="C747" s="568" t="str">
        <f>'900000'!$B67</f>
        <v>09901047</v>
      </c>
      <c r="D747" s="160" t="str">
        <f>'900000'!$AB$18</f>
        <v>C09902005</v>
      </c>
      <c r="E747" s="27">
        <f>'900000'!$AB67</f>
        <v>0</v>
      </c>
      <c r="F747" s="27" t="s">
        <v>19081</v>
      </c>
    </row>
    <row r="748" spans="1:6">
      <c r="A748" s="27" t="str">
        <f>Resultados!$K$3</f>
        <v/>
      </c>
      <c r="B748" s="27" t="str">
        <f>Resultados!$K$4</f>
        <v/>
      </c>
      <c r="C748" s="568" t="str">
        <f>'900000'!$B68</f>
        <v>09901048</v>
      </c>
      <c r="D748" s="160" t="str">
        <f>'900000'!$AB$18</f>
        <v>C09902005</v>
      </c>
      <c r="E748" s="27">
        <f>'900000'!$AB68</f>
        <v>0</v>
      </c>
      <c r="F748" s="27" t="s">
        <v>19081</v>
      </c>
    </row>
    <row r="749" spans="1:6">
      <c r="A749" s="27" t="str">
        <f>Resultados!$K$3</f>
        <v/>
      </c>
      <c r="B749" s="27" t="str">
        <f>Resultados!$K$4</f>
        <v/>
      </c>
      <c r="C749" s="568" t="str">
        <f>'900000'!$B69</f>
        <v>09901049</v>
      </c>
      <c r="D749" s="160" t="str">
        <f>'900000'!$AB$18</f>
        <v>C09902005</v>
      </c>
      <c r="E749" s="27">
        <f>'900000'!$AB69</f>
        <v>0</v>
      </c>
      <c r="F749" s="27" t="s">
        <v>19081</v>
      </c>
    </row>
    <row r="750" spans="1:6">
      <c r="A750" s="27" t="str">
        <f>Resultados!$K$3</f>
        <v/>
      </c>
      <c r="B750" s="27" t="str">
        <f>Resultados!$K$4</f>
        <v/>
      </c>
      <c r="C750" s="568" t="str">
        <f>'900000'!$B70</f>
        <v>09901050</v>
      </c>
      <c r="D750" s="160" t="str">
        <f>'900000'!$AB$18</f>
        <v>C09902005</v>
      </c>
      <c r="E750" s="27">
        <f>'900000'!$AB70</f>
        <v>0</v>
      </c>
      <c r="F750" s="27" t="s">
        <v>19081</v>
      </c>
    </row>
    <row r="751" spans="1:6">
      <c r="A751" s="27" t="str">
        <f>Resultados!$K$3</f>
        <v/>
      </c>
      <c r="B751" s="27" t="str">
        <f>Resultados!$K$4</f>
        <v/>
      </c>
      <c r="C751" s="568" t="str">
        <f>'900000'!$B71</f>
        <v>09901051</v>
      </c>
      <c r="D751" s="160" t="str">
        <f>'900000'!$AB$18</f>
        <v>C09902005</v>
      </c>
      <c r="E751" s="27">
        <f>'900000'!$AB71</f>
        <v>0</v>
      </c>
      <c r="F751" s="27" t="s">
        <v>19081</v>
      </c>
    </row>
    <row r="752" spans="1:6">
      <c r="A752" s="27" t="str">
        <f>Resultados!$K$3</f>
        <v/>
      </c>
      <c r="B752" s="27" t="str">
        <f>Resultados!$K$4</f>
        <v/>
      </c>
      <c r="C752" s="568" t="str">
        <f>'900000'!$B72</f>
        <v>09901052</v>
      </c>
      <c r="D752" s="160" t="str">
        <f>'900000'!$AB$18</f>
        <v>C09902005</v>
      </c>
      <c r="E752" s="27">
        <f>'900000'!$AB72</f>
        <v>0</v>
      </c>
      <c r="F752" s="27" t="s">
        <v>19081</v>
      </c>
    </row>
    <row r="753" spans="1:6">
      <c r="A753" s="27" t="str">
        <f>Resultados!$K$3</f>
        <v/>
      </c>
      <c r="B753" s="27" t="str">
        <f>Resultados!$K$4</f>
        <v/>
      </c>
      <c r="C753" s="568" t="str">
        <f>'900000'!$B73</f>
        <v>09901053</v>
      </c>
      <c r="D753" s="160" t="str">
        <f>'900000'!$AB$18</f>
        <v>C09902005</v>
      </c>
      <c r="E753" s="27">
        <f>'900000'!$AB73</f>
        <v>0</v>
      </c>
      <c r="F753" s="27" t="s">
        <v>19081</v>
      </c>
    </row>
    <row r="754" spans="1:6">
      <c r="A754" s="27" t="str">
        <f>Resultados!$K$3</f>
        <v/>
      </c>
      <c r="B754" s="27" t="str">
        <f>Resultados!$K$4</f>
        <v/>
      </c>
      <c r="C754" s="568" t="str">
        <f>'900000'!$B74</f>
        <v>09901054</v>
      </c>
      <c r="D754" s="160" t="str">
        <f>'900000'!$AB$18</f>
        <v>C09902005</v>
      </c>
      <c r="E754" s="27">
        <f>'900000'!$AB74</f>
        <v>0</v>
      </c>
      <c r="F754" s="27" t="s">
        <v>19081</v>
      </c>
    </row>
    <row r="755" spans="1:6">
      <c r="A755" s="27" t="str">
        <f>Resultados!$K$3</f>
        <v/>
      </c>
      <c r="B755" s="27" t="str">
        <f>Resultados!$K$4</f>
        <v/>
      </c>
      <c r="C755" s="568" t="str">
        <f>'900000'!$B75</f>
        <v>09901055</v>
      </c>
      <c r="D755" s="160" t="str">
        <f>'900000'!$AB$18</f>
        <v>C09902005</v>
      </c>
      <c r="E755" s="27">
        <f>'900000'!$AB75</f>
        <v>0</v>
      </c>
      <c r="F755" s="27" t="s">
        <v>19081</v>
      </c>
    </row>
    <row r="756" spans="1:6">
      <c r="A756" s="27" t="str">
        <f>Resultados!$K$3</f>
        <v/>
      </c>
      <c r="B756" s="27" t="str">
        <f>Resultados!$K$4</f>
        <v/>
      </c>
      <c r="C756" s="568" t="str">
        <f>'900000'!$B76</f>
        <v>09901056</v>
      </c>
      <c r="D756" s="160" t="str">
        <f>'900000'!$AB$18</f>
        <v>C09902005</v>
      </c>
      <c r="E756" s="27">
        <f>'900000'!$AB76</f>
        <v>0</v>
      </c>
      <c r="F756" s="27" t="s">
        <v>19081</v>
      </c>
    </row>
    <row r="757" spans="1:6">
      <c r="A757" s="27" t="str">
        <f>Resultados!$K$3</f>
        <v/>
      </c>
      <c r="B757" s="27" t="str">
        <f>Resultados!$K$4</f>
        <v/>
      </c>
      <c r="C757" s="568" t="str">
        <f>'900000'!$B77</f>
        <v>09901057</v>
      </c>
      <c r="D757" s="160" t="str">
        <f>'900000'!$AB$18</f>
        <v>C09902005</v>
      </c>
      <c r="E757" s="27">
        <f>'900000'!$AB77</f>
        <v>0</v>
      </c>
      <c r="F757" s="27" t="s">
        <v>19081</v>
      </c>
    </row>
    <row r="758" spans="1:6">
      <c r="A758" s="27" t="str">
        <f>Resultados!$K$3</f>
        <v/>
      </c>
      <c r="B758" s="27" t="str">
        <f>Resultados!$K$4</f>
        <v/>
      </c>
      <c r="C758" s="568" t="str">
        <f>'900000'!$B78</f>
        <v>09901058</v>
      </c>
      <c r="D758" s="160" t="str">
        <f>'900000'!$AB$18</f>
        <v>C09902005</v>
      </c>
      <c r="E758" s="27">
        <f>'900000'!$AB78</f>
        <v>0</v>
      </c>
      <c r="F758" s="27" t="s">
        <v>19081</v>
      </c>
    </row>
    <row r="759" spans="1:6">
      <c r="A759" s="27" t="str">
        <f>Resultados!$K$3</f>
        <v/>
      </c>
      <c r="B759" s="27" t="str">
        <f>Resultados!$K$4</f>
        <v/>
      </c>
      <c r="C759" s="568" t="str">
        <f>'900000'!$B79</f>
        <v>09901059</v>
      </c>
      <c r="D759" s="160" t="str">
        <f>'900000'!$AB$18</f>
        <v>C09902005</v>
      </c>
      <c r="E759" s="27">
        <f>'900000'!$AB79</f>
        <v>0</v>
      </c>
      <c r="F759" s="27" t="s">
        <v>19081</v>
      </c>
    </row>
    <row r="760" spans="1:6">
      <c r="A760" s="27" t="str">
        <f>Resultados!$K$3</f>
        <v/>
      </c>
      <c r="B760" s="27" t="str">
        <f>Resultados!$K$4</f>
        <v/>
      </c>
      <c r="C760" s="568" t="str">
        <f>'900000'!$B80</f>
        <v>09901060</v>
      </c>
      <c r="D760" s="160" t="str">
        <f>'900000'!$AB$18</f>
        <v>C09902005</v>
      </c>
      <c r="E760" s="27">
        <f>'900000'!$AB80</f>
        <v>0</v>
      </c>
      <c r="F760" s="27" t="s">
        <v>19081</v>
      </c>
    </row>
    <row r="761" spans="1:6">
      <c r="A761" s="27" t="str">
        <f>Resultados!$K$3</f>
        <v/>
      </c>
      <c r="B761" s="27" t="str">
        <f>Resultados!$K$4</f>
        <v/>
      </c>
      <c r="C761" s="568" t="str">
        <f>'900000'!$B81</f>
        <v>09901061</v>
      </c>
      <c r="D761" s="160" t="str">
        <f>'900000'!$AB$18</f>
        <v>C09902005</v>
      </c>
      <c r="E761" s="27">
        <f>'900000'!$AB81</f>
        <v>0</v>
      </c>
      <c r="F761" s="27" t="s">
        <v>19081</v>
      </c>
    </row>
    <row r="762" spans="1:6">
      <c r="A762" s="27" t="str">
        <f>Resultados!$K$3</f>
        <v/>
      </c>
      <c r="B762" s="27" t="str">
        <f>Resultados!$K$4</f>
        <v/>
      </c>
      <c r="C762" s="568" t="str">
        <f>'900000'!$B82</f>
        <v>09901062</v>
      </c>
      <c r="D762" s="160" t="str">
        <f>'900000'!$AB$18</f>
        <v>C09902005</v>
      </c>
      <c r="E762" s="27">
        <f>'900000'!$AB82</f>
        <v>0</v>
      </c>
      <c r="F762" s="27" t="s">
        <v>19081</v>
      </c>
    </row>
    <row r="763" spans="1:6">
      <c r="A763" s="27" t="str">
        <f>Resultados!$K$3</f>
        <v/>
      </c>
      <c r="B763" s="27" t="str">
        <f>Resultados!$K$4</f>
        <v/>
      </c>
      <c r="C763" s="568" t="str">
        <f>'900000'!$B83</f>
        <v>09901063</v>
      </c>
      <c r="D763" s="160" t="str">
        <f>'900000'!$AB$18</f>
        <v>C09902005</v>
      </c>
      <c r="E763" s="27">
        <f>'900000'!$AB83</f>
        <v>0</v>
      </c>
      <c r="F763" s="27" t="s">
        <v>19081</v>
      </c>
    </row>
    <row r="764" spans="1:6">
      <c r="A764" s="27" t="str">
        <f>Resultados!$K$3</f>
        <v/>
      </c>
      <c r="B764" s="27" t="str">
        <f>Resultados!$K$4</f>
        <v/>
      </c>
      <c r="C764" s="568" t="str">
        <f>'900000'!$B84</f>
        <v>09901064</v>
      </c>
      <c r="D764" s="160" t="str">
        <f>'900000'!$AB$18</f>
        <v>C09902005</v>
      </c>
      <c r="E764" s="27">
        <f>'900000'!$AB84</f>
        <v>0</v>
      </c>
      <c r="F764" s="27" t="s">
        <v>19081</v>
      </c>
    </row>
    <row r="765" spans="1:6">
      <c r="A765" s="27" t="str">
        <f>Resultados!$K$3</f>
        <v/>
      </c>
      <c r="B765" s="27" t="str">
        <f>Resultados!$K$4</f>
        <v/>
      </c>
      <c r="C765" s="568" t="str">
        <f>'900000'!$B85</f>
        <v>09901065</v>
      </c>
      <c r="D765" s="160" t="str">
        <f>'900000'!$AB$18</f>
        <v>C09902005</v>
      </c>
      <c r="E765" s="27">
        <f>'900000'!$AB85</f>
        <v>0</v>
      </c>
      <c r="F765" s="27" t="s">
        <v>19081</v>
      </c>
    </row>
    <row r="766" spans="1:6">
      <c r="A766" s="27" t="str">
        <f>Resultados!$K$3</f>
        <v/>
      </c>
      <c r="B766" s="27" t="str">
        <f>Resultados!$K$4</f>
        <v/>
      </c>
      <c r="C766" s="568" t="str">
        <f>'900000'!$B86</f>
        <v>09901066</v>
      </c>
      <c r="D766" s="160" t="str">
        <f>'900000'!$AB$18</f>
        <v>C09902005</v>
      </c>
      <c r="E766" s="27">
        <f>'900000'!$AB86</f>
        <v>0</v>
      </c>
      <c r="F766" s="27" t="s">
        <v>19081</v>
      </c>
    </row>
    <row r="767" spans="1:6">
      <c r="A767" s="27" t="str">
        <f>Resultados!$K$3</f>
        <v/>
      </c>
      <c r="B767" s="27" t="str">
        <f>Resultados!$K$4</f>
        <v/>
      </c>
      <c r="C767" s="568" t="str">
        <f>'900000'!$B87</f>
        <v>09901067</v>
      </c>
      <c r="D767" s="160" t="str">
        <f>'900000'!$AB$18</f>
        <v>C09902005</v>
      </c>
      <c r="E767" s="27">
        <f>'900000'!$AB87</f>
        <v>0</v>
      </c>
      <c r="F767" s="27" t="s">
        <v>19081</v>
      </c>
    </row>
    <row r="768" spans="1:6">
      <c r="A768" s="27" t="str">
        <f>Resultados!$K$3</f>
        <v/>
      </c>
      <c r="B768" s="27" t="str">
        <f>Resultados!$K$4</f>
        <v/>
      </c>
      <c r="C768" s="568" t="str">
        <f>'900000'!$B88</f>
        <v>09901068</v>
      </c>
      <c r="D768" s="160" t="str">
        <f>'900000'!$AB$18</f>
        <v>C09902005</v>
      </c>
      <c r="E768" s="27">
        <f>'900000'!$AB88</f>
        <v>0</v>
      </c>
      <c r="F768" s="27" t="s">
        <v>19081</v>
      </c>
    </row>
    <row r="769" spans="1:6">
      <c r="A769" s="27" t="str">
        <f>Resultados!$K$3</f>
        <v/>
      </c>
      <c r="B769" s="27" t="str">
        <f>Resultados!$K$4</f>
        <v/>
      </c>
      <c r="C769" s="568" t="str">
        <f>'900000'!$B89</f>
        <v>09901069</v>
      </c>
      <c r="D769" s="160" t="str">
        <f>'900000'!$AB$18</f>
        <v>C09902005</v>
      </c>
      <c r="E769" s="27">
        <f>'900000'!$AB89</f>
        <v>0</v>
      </c>
      <c r="F769" s="27" t="s">
        <v>19081</v>
      </c>
    </row>
    <row r="770" spans="1:6">
      <c r="A770" s="27" t="str">
        <f>Resultados!$K$3</f>
        <v/>
      </c>
      <c r="B770" s="27" t="str">
        <f>Resultados!$K$4</f>
        <v/>
      </c>
      <c r="C770" s="568" t="str">
        <f>'900000'!$B90</f>
        <v>09901070</v>
      </c>
      <c r="D770" s="160" t="str">
        <f>'900000'!$AB$18</f>
        <v>C09902005</v>
      </c>
      <c r="E770" s="27">
        <f>'900000'!$AB90</f>
        <v>0</v>
      </c>
      <c r="F770" s="27" t="s">
        <v>19081</v>
      </c>
    </row>
    <row r="771" spans="1:6">
      <c r="A771" s="27" t="str">
        <f>Resultados!$K$3</f>
        <v/>
      </c>
      <c r="B771" s="27" t="str">
        <f>Resultados!$K$4</f>
        <v/>
      </c>
      <c r="C771" s="568" t="str">
        <f>'900000'!$B91</f>
        <v>09901071</v>
      </c>
      <c r="D771" s="160" t="str">
        <f>'900000'!$AB$18</f>
        <v>C09902005</v>
      </c>
      <c r="E771" s="27">
        <f>'900000'!$AB91</f>
        <v>0</v>
      </c>
      <c r="F771" s="27" t="s">
        <v>19081</v>
      </c>
    </row>
    <row r="772" spans="1:6">
      <c r="A772" s="27" t="str">
        <f>Resultados!$K$3</f>
        <v/>
      </c>
      <c r="B772" s="27" t="str">
        <f>Resultados!$K$4</f>
        <v/>
      </c>
      <c r="C772" s="568" t="str">
        <f>'900000'!$B92</f>
        <v>09901072</v>
      </c>
      <c r="D772" s="160" t="str">
        <f>'900000'!$AB$18</f>
        <v>C09902005</v>
      </c>
      <c r="E772" s="27">
        <f>'900000'!$AB92</f>
        <v>0</v>
      </c>
      <c r="F772" s="27" t="s">
        <v>19081</v>
      </c>
    </row>
    <row r="773" spans="1:6">
      <c r="A773" s="27" t="str">
        <f>Resultados!$K$3</f>
        <v/>
      </c>
      <c r="B773" s="27" t="str">
        <f>Resultados!$K$4</f>
        <v/>
      </c>
      <c r="C773" s="568" t="str">
        <f>'900000'!$B93</f>
        <v>09901073</v>
      </c>
      <c r="D773" s="160" t="str">
        <f>'900000'!$AB$18</f>
        <v>C09902005</v>
      </c>
      <c r="E773" s="27">
        <f>'900000'!$AB93</f>
        <v>0</v>
      </c>
      <c r="F773" s="27" t="s">
        <v>19081</v>
      </c>
    </row>
    <row r="774" spans="1:6">
      <c r="A774" s="27" t="str">
        <f>Resultados!$K$3</f>
        <v/>
      </c>
      <c r="B774" s="27" t="str">
        <f>Resultados!$K$4</f>
        <v/>
      </c>
      <c r="C774" s="568" t="str">
        <f>'900000'!$B94</f>
        <v>09901074</v>
      </c>
      <c r="D774" s="160" t="str">
        <f>'900000'!$AB$18</f>
        <v>C09902005</v>
      </c>
      <c r="E774" s="27">
        <f>'900000'!$AB94</f>
        <v>0</v>
      </c>
      <c r="F774" s="27" t="s">
        <v>19081</v>
      </c>
    </row>
    <row r="775" spans="1:6">
      <c r="A775" s="27" t="str">
        <f>Resultados!$K$3</f>
        <v/>
      </c>
      <c r="B775" s="27" t="str">
        <f>Resultados!$K$4</f>
        <v/>
      </c>
      <c r="C775" s="568" t="str">
        <f>'900000'!$B95</f>
        <v>09901075</v>
      </c>
      <c r="D775" s="160" t="str">
        <f>'900000'!$AB$18</f>
        <v>C09902005</v>
      </c>
      <c r="E775" s="27">
        <f>'900000'!$AB95</f>
        <v>0</v>
      </c>
      <c r="F775" s="27" t="s">
        <v>19081</v>
      </c>
    </row>
    <row r="776" spans="1:6">
      <c r="A776" s="27" t="str">
        <f>Resultados!$K$3</f>
        <v/>
      </c>
      <c r="B776" s="27" t="str">
        <f>Resultados!$K$4</f>
        <v/>
      </c>
      <c r="C776" s="568" t="str">
        <f>'900000'!$B96</f>
        <v>09901076</v>
      </c>
      <c r="D776" s="160" t="str">
        <f>'900000'!$AB$18</f>
        <v>C09902005</v>
      </c>
      <c r="E776" s="27">
        <f>'900000'!$AB96</f>
        <v>0</v>
      </c>
      <c r="F776" s="27" t="s">
        <v>19081</v>
      </c>
    </row>
    <row r="777" spans="1:6">
      <c r="A777" s="27" t="str">
        <f>Resultados!$K$3</f>
        <v/>
      </c>
      <c r="B777" s="27" t="str">
        <f>Resultados!$K$4</f>
        <v/>
      </c>
      <c r="C777" s="568" t="str">
        <f>'900000'!$B97</f>
        <v>09901077</v>
      </c>
      <c r="D777" s="160" t="str">
        <f>'900000'!$AB$18</f>
        <v>C09902005</v>
      </c>
      <c r="E777" s="27">
        <f>'900000'!$AB97</f>
        <v>0</v>
      </c>
      <c r="F777" s="27" t="s">
        <v>19081</v>
      </c>
    </row>
    <row r="778" spans="1:6">
      <c r="A778" s="27" t="str">
        <f>Resultados!$K$3</f>
        <v/>
      </c>
      <c r="B778" s="27" t="str">
        <f>Resultados!$K$4</f>
        <v/>
      </c>
      <c r="C778" s="568" t="str">
        <f>'900000'!$B98</f>
        <v>09901078</v>
      </c>
      <c r="D778" s="160" t="str">
        <f>'900000'!$AB$18</f>
        <v>C09902005</v>
      </c>
      <c r="E778" s="27">
        <f>'900000'!$AB98</f>
        <v>0</v>
      </c>
      <c r="F778" s="27" t="s">
        <v>19081</v>
      </c>
    </row>
    <row r="779" spans="1:6">
      <c r="A779" s="27" t="str">
        <f>Resultados!$K$3</f>
        <v/>
      </c>
      <c r="B779" s="27" t="str">
        <f>Resultados!$K$4</f>
        <v/>
      </c>
      <c r="C779" s="568" t="str">
        <f>'900000'!$B99</f>
        <v>09901079</v>
      </c>
      <c r="D779" s="160" t="str">
        <f>'900000'!$AB$18</f>
        <v>C09902005</v>
      </c>
      <c r="E779" s="27">
        <f>'900000'!$AB99</f>
        <v>0</v>
      </c>
      <c r="F779" s="27" t="s">
        <v>19081</v>
      </c>
    </row>
    <row r="780" spans="1:6">
      <c r="A780" s="27" t="str">
        <f>Resultados!$K$3</f>
        <v/>
      </c>
      <c r="B780" s="27" t="str">
        <f>Resultados!$K$4</f>
        <v/>
      </c>
      <c r="C780" s="568" t="str">
        <f>'900000'!$B100</f>
        <v>09901080</v>
      </c>
      <c r="D780" s="160" t="str">
        <f>'900000'!$AB$18</f>
        <v>C09902005</v>
      </c>
      <c r="E780" s="27">
        <f>'900000'!$AB100</f>
        <v>0</v>
      </c>
      <c r="F780" s="27" t="s">
        <v>19081</v>
      </c>
    </row>
    <row r="781" spans="1:6">
      <c r="A781" s="27" t="str">
        <f>Resultados!$K$3</f>
        <v/>
      </c>
      <c r="B781" s="27" t="str">
        <f>Resultados!$K$4</f>
        <v/>
      </c>
      <c r="C781" s="568" t="str">
        <f>'900000'!$B101</f>
        <v>09901081</v>
      </c>
      <c r="D781" s="160" t="str">
        <f>'900000'!$AB$18</f>
        <v>C09902005</v>
      </c>
      <c r="E781" s="27">
        <f>'900000'!$AB101</f>
        <v>0</v>
      </c>
      <c r="F781" s="27" t="s">
        <v>19081</v>
      </c>
    </row>
    <row r="782" spans="1:6">
      <c r="A782" s="27" t="str">
        <f>Resultados!$K$3</f>
        <v/>
      </c>
      <c r="B782" s="27" t="str">
        <f>Resultados!$K$4</f>
        <v/>
      </c>
      <c r="C782" s="568" t="str">
        <f>'900000'!$B102</f>
        <v>09901082</v>
      </c>
      <c r="D782" s="160" t="str">
        <f>'900000'!$AB$18</f>
        <v>C09902005</v>
      </c>
      <c r="E782" s="27">
        <f>'900000'!$AB102</f>
        <v>0</v>
      </c>
      <c r="F782" s="27" t="s">
        <v>19081</v>
      </c>
    </row>
    <row r="783" spans="1:6">
      <c r="A783" s="27" t="str">
        <f>Resultados!$K$3</f>
        <v/>
      </c>
      <c r="B783" s="27" t="str">
        <f>Resultados!$K$4</f>
        <v/>
      </c>
      <c r="C783" s="568" t="str">
        <f>'900000'!$B103</f>
        <v>09901083</v>
      </c>
      <c r="D783" s="160" t="str">
        <f>'900000'!$AB$18</f>
        <v>C09902005</v>
      </c>
      <c r="E783" s="27">
        <f>'900000'!$AB103</f>
        <v>0</v>
      </c>
      <c r="F783" s="27" t="s">
        <v>19081</v>
      </c>
    </row>
    <row r="784" spans="1:6">
      <c r="A784" s="27" t="str">
        <f>Resultados!$K$3</f>
        <v/>
      </c>
      <c r="B784" s="27" t="str">
        <f>Resultados!$K$4</f>
        <v/>
      </c>
      <c r="C784" s="568" t="str">
        <f>'900000'!$B104</f>
        <v>09901084</v>
      </c>
      <c r="D784" s="160" t="str">
        <f>'900000'!$AB$18</f>
        <v>C09902005</v>
      </c>
      <c r="E784" s="27">
        <f>'900000'!$AB104</f>
        <v>0</v>
      </c>
      <c r="F784" s="27" t="s">
        <v>19081</v>
      </c>
    </row>
    <row r="785" spans="1:6">
      <c r="A785" s="27" t="str">
        <f>Resultados!$K$3</f>
        <v/>
      </c>
      <c r="B785" s="27" t="str">
        <f>Resultados!$K$4</f>
        <v/>
      </c>
      <c r="C785" s="568" t="str">
        <f>'900000'!$B105</f>
        <v>09901085</v>
      </c>
      <c r="D785" s="160" t="str">
        <f>'900000'!$AB$18</f>
        <v>C09902005</v>
      </c>
      <c r="E785" s="27">
        <f>'900000'!$AB105</f>
        <v>0</v>
      </c>
      <c r="F785" s="27" t="s">
        <v>19081</v>
      </c>
    </row>
    <row r="786" spans="1:6">
      <c r="A786" s="27" t="str">
        <f>Resultados!$K$3</f>
        <v/>
      </c>
      <c r="B786" s="27" t="str">
        <f>Resultados!$K$4</f>
        <v/>
      </c>
      <c r="C786" s="568" t="str">
        <f>'900000'!$B106</f>
        <v>09901086</v>
      </c>
      <c r="D786" s="160" t="str">
        <f>'900000'!$AB$18</f>
        <v>C09902005</v>
      </c>
      <c r="E786" s="27">
        <f>'900000'!$AB106</f>
        <v>0</v>
      </c>
      <c r="F786" s="27" t="s">
        <v>19081</v>
      </c>
    </row>
    <row r="787" spans="1:6">
      <c r="A787" s="27" t="str">
        <f>Resultados!$K$3</f>
        <v/>
      </c>
      <c r="B787" s="27" t="str">
        <f>Resultados!$K$4</f>
        <v/>
      </c>
      <c r="C787" s="568" t="str">
        <f>'900000'!$B107</f>
        <v>09901087</v>
      </c>
      <c r="D787" s="160" t="str">
        <f>'900000'!$AB$18</f>
        <v>C09902005</v>
      </c>
      <c r="E787" s="27">
        <f>'900000'!$AB107</f>
        <v>0</v>
      </c>
      <c r="F787" s="27" t="s">
        <v>19081</v>
      </c>
    </row>
    <row r="788" spans="1:6">
      <c r="A788" s="27" t="str">
        <f>Resultados!$K$3</f>
        <v/>
      </c>
      <c r="B788" s="27" t="str">
        <f>Resultados!$K$4</f>
        <v/>
      </c>
      <c r="C788" s="568" t="str">
        <f>'900000'!$B108</f>
        <v>09901088</v>
      </c>
      <c r="D788" s="160" t="str">
        <f>'900000'!$AB$18</f>
        <v>C09902005</v>
      </c>
      <c r="E788" s="27">
        <f>'900000'!$AB108</f>
        <v>0</v>
      </c>
      <c r="F788" s="27" t="s">
        <v>19081</v>
      </c>
    </row>
    <row r="789" spans="1:6">
      <c r="A789" s="27" t="str">
        <f>Resultados!$K$3</f>
        <v/>
      </c>
      <c r="B789" s="27" t="str">
        <f>Resultados!$K$4</f>
        <v/>
      </c>
      <c r="C789" s="568" t="str">
        <f>'900000'!$B109</f>
        <v>09901089</v>
      </c>
      <c r="D789" s="160" t="str">
        <f>'900000'!$AB$18</f>
        <v>C09902005</v>
      </c>
      <c r="E789" s="27">
        <f>'900000'!$AB109</f>
        <v>0</v>
      </c>
      <c r="F789" s="27" t="s">
        <v>19081</v>
      </c>
    </row>
    <row r="790" spans="1:6">
      <c r="A790" s="27" t="str">
        <f>Resultados!$K$3</f>
        <v/>
      </c>
      <c r="B790" s="27" t="str">
        <f>Resultados!$K$4</f>
        <v/>
      </c>
      <c r="C790" s="568" t="str">
        <f>'900000'!$B110</f>
        <v>09901090</v>
      </c>
      <c r="D790" s="160" t="str">
        <f>'900000'!$AB$18</f>
        <v>C09902005</v>
      </c>
      <c r="E790" s="27">
        <f>'900000'!$AB110</f>
        <v>0</v>
      </c>
      <c r="F790" s="27" t="s">
        <v>19081</v>
      </c>
    </row>
    <row r="791" spans="1:6">
      <c r="A791" s="27" t="str">
        <f>Resultados!$K$3</f>
        <v/>
      </c>
      <c r="B791" s="27" t="str">
        <f>Resultados!$K$4</f>
        <v/>
      </c>
      <c r="C791" s="568" t="str">
        <f>'900000'!$B111</f>
        <v>09901091</v>
      </c>
      <c r="D791" s="160" t="str">
        <f>'900000'!$AB$18</f>
        <v>C09902005</v>
      </c>
      <c r="E791" s="27">
        <f>'900000'!$AB111</f>
        <v>0</v>
      </c>
      <c r="F791" s="27" t="s">
        <v>19081</v>
      </c>
    </row>
    <row r="792" spans="1:6">
      <c r="A792" s="27" t="str">
        <f>Resultados!$K$3</f>
        <v/>
      </c>
      <c r="B792" s="27" t="str">
        <f>Resultados!$K$4</f>
        <v/>
      </c>
      <c r="C792" s="568" t="str">
        <f>'900000'!$B112</f>
        <v>09901092</v>
      </c>
      <c r="D792" s="160" t="str">
        <f>'900000'!$AB$18</f>
        <v>C09902005</v>
      </c>
      <c r="E792" s="27">
        <f>'900000'!$AB112</f>
        <v>0</v>
      </c>
      <c r="F792" s="27" t="s">
        <v>19081</v>
      </c>
    </row>
    <row r="793" spans="1:6">
      <c r="A793" s="27" t="str">
        <f>Resultados!$K$3</f>
        <v/>
      </c>
      <c r="B793" s="27" t="str">
        <f>Resultados!$K$4</f>
        <v/>
      </c>
      <c r="C793" s="568" t="str">
        <f>'900000'!$B113</f>
        <v>09901093</v>
      </c>
      <c r="D793" s="160" t="str">
        <f>'900000'!$AB$18</f>
        <v>C09902005</v>
      </c>
      <c r="E793" s="27">
        <f>'900000'!$AB113</f>
        <v>0</v>
      </c>
      <c r="F793" s="27" t="s">
        <v>19081</v>
      </c>
    </row>
    <row r="794" spans="1:6">
      <c r="A794" s="27" t="str">
        <f>Resultados!$K$3</f>
        <v/>
      </c>
      <c r="B794" s="27" t="str">
        <f>Resultados!$K$4</f>
        <v/>
      </c>
      <c r="C794" s="568" t="str">
        <f>'900000'!$B114</f>
        <v>09901094</v>
      </c>
      <c r="D794" s="160" t="str">
        <f>'900000'!$AB$18</f>
        <v>C09902005</v>
      </c>
      <c r="E794" s="27">
        <f>'900000'!$AB114</f>
        <v>0</v>
      </c>
      <c r="F794" s="27" t="s">
        <v>19081</v>
      </c>
    </row>
    <row r="795" spans="1:6">
      <c r="A795" s="27" t="str">
        <f>Resultados!$K$3</f>
        <v/>
      </c>
      <c r="B795" s="27" t="str">
        <f>Resultados!$K$4</f>
        <v/>
      </c>
      <c r="C795" s="568" t="str">
        <f>'900000'!$B115</f>
        <v>09901095</v>
      </c>
      <c r="D795" s="160" t="str">
        <f>'900000'!$AB$18</f>
        <v>C09902005</v>
      </c>
      <c r="E795" s="27">
        <f>'900000'!$AB115</f>
        <v>0</v>
      </c>
      <c r="F795" s="27" t="s">
        <v>19081</v>
      </c>
    </row>
    <row r="796" spans="1:6">
      <c r="A796" s="27" t="str">
        <f>Resultados!$K$3</f>
        <v/>
      </c>
      <c r="B796" s="27" t="str">
        <f>Resultados!$K$4</f>
        <v/>
      </c>
      <c r="C796" s="568" t="str">
        <f>'900000'!$B116</f>
        <v>09901096</v>
      </c>
      <c r="D796" s="160" t="str">
        <f>'900000'!$AB$18</f>
        <v>C09902005</v>
      </c>
      <c r="E796" s="27">
        <f>'900000'!$AB116</f>
        <v>0</v>
      </c>
      <c r="F796" s="27" t="s">
        <v>19081</v>
      </c>
    </row>
    <row r="797" spans="1:6">
      <c r="A797" s="27" t="str">
        <f>Resultados!$K$3</f>
        <v/>
      </c>
      <c r="B797" s="27" t="str">
        <f>Resultados!$K$4</f>
        <v/>
      </c>
      <c r="C797" s="568" t="str">
        <f>'900000'!$B117</f>
        <v>09901097</v>
      </c>
      <c r="D797" s="160" t="str">
        <f>'900000'!$AB$18</f>
        <v>C09902005</v>
      </c>
      <c r="E797" s="27">
        <f>'900000'!$AB117</f>
        <v>0</v>
      </c>
      <c r="F797" s="27" t="s">
        <v>19081</v>
      </c>
    </row>
    <row r="798" spans="1:6">
      <c r="A798" s="27" t="str">
        <f>Resultados!$K$3</f>
        <v/>
      </c>
      <c r="B798" s="27" t="str">
        <f>Resultados!$K$4</f>
        <v/>
      </c>
      <c r="C798" s="568" t="str">
        <f>'900000'!$B118</f>
        <v>09901098</v>
      </c>
      <c r="D798" s="160" t="str">
        <f>'900000'!$AB$18</f>
        <v>C09902005</v>
      </c>
      <c r="E798" s="27">
        <f>'900000'!$AB118</f>
        <v>0</v>
      </c>
      <c r="F798" s="27" t="s">
        <v>19081</v>
      </c>
    </row>
    <row r="799" spans="1:6">
      <c r="A799" s="27" t="str">
        <f>Resultados!$K$3</f>
        <v/>
      </c>
      <c r="B799" s="27" t="str">
        <f>Resultados!$K$4</f>
        <v/>
      </c>
      <c r="C799" s="568" t="str">
        <f>'900000'!$B119</f>
        <v>09901099</v>
      </c>
      <c r="D799" s="160" t="str">
        <f>'900000'!$AB$18</f>
        <v>C09902005</v>
      </c>
      <c r="E799" s="27">
        <f>'900000'!$AB119</f>
        <v>0</v>
      </c>
      <c r="F799" s="27" t="s">
        <v>19081</v>
      </c>
    </row>
    <row r="800" spans="1:6">
      <c r="A800" s="27" t="str">
        <f>Resultados!$K$3</f>
        <v/>
      </c>
      <c r="B800" s="27" t="str">
        <f>Resultados!$K$4</f>
        <v/>
      </c>
      <c r="C800" s="568" t="str">
        <f>'900000'!$B120</f>
        <v>09901100</v>
      </c>
      <c r="D800" s="160" t="str">
        <f>'900000'!$AB$18</f>
        <v>C09902005</v>
      </c>
      <c r="E800" s="27">
        <f>'900000'!$AB120</f>
        <v>0</v>
      </c>
      <c r="F800" s="27" t="s">
        <v>19081</v>
      </c>
    </row>
    <row r="801" spans="1:6">
      <c r="A801" s="27" t="str">
        <f>Resultados!$K$3</f>
        <v/>
      </c>
      <c r="B801" s="27" t="str">
        <f>Resultados!$K$4</f>
        <v/>
      </c>
      <c r="C801" s="568" t="str">
        <f>'900000'!$B121</f>
        <v>09901101</v>
      </c>
      <c r="D801" s="160" t="str">
        <f>'900000'!$AB$18</f>
        <v>C09902005</v>
      </c>
      <c r="E801" s="27">
        <f>'900000'!$AB121</f>
        <v>0</v>
      </c>
      <c r="F801" s="27" t="s">
        <v>19081</v>
      </c>
    </row>
    <row r="802" spans="1:6">
      <c r="A802" s="27" t="str">
        <f>Resultados!$K$3</f>
        <v/>
      </c>
      <c r="B802" s="27" t="str">
        <f>Resultados!$K$4</f>
        <v/>
      </c>
      <c r="C802" s="568" t="str">
        <f>'900000'!$B22</f>
        <v>09901002</v>
      </c>
      <c r="D802" s="160" t="str">
        <f>'900000'!$AD$15</f>
        <v>C09903003</v>
      </c>
      <c r="E802" s="568">
        <f>'900000'!$AD22</f>
        <v>0</v>
      </c>
      <c r="F802" s="27" t="s">
        <v>19081</v>
      </c>
    </row>
    <row r="803" spans="1:6">
      <c r="A803" s="27" t="str">
        <f>Resultados!$K$3</f>
        <v/>
      </c>
      <c r="B803" s="27" t="str">
        <f>Resultados!$K$4</f>
        <v/>
      </c>
      <c r="C803" s="568" t="str">
        <f>'900000'!$B23</f>
        <v>09901003</v>
      </c>
      <c r="D803" s="160" t="str">
        <f>'900000'!$AD$15</f>
        <v>C09903003</v>
      </c>
      <c r="E803" s="568">
        <f>'900000'!$AD23</f>
        <v>0</v>
      </c>
      <c r="F803" s="27" t="s">
        <v>19081</v>
      </c>
    </row>
    <row r="804" spans="1:6">
      <c r="A804" s="27" t="str">
        <f>Resultados!$K$3</f>
        <v/>
      </c>
      <c r="B804" s="27" t="str">
        <f>Resultados!$K$4</f>
        <v/>
      </c>
      <c r="C804" s="568" t="str">
        <f>'900000'!$B24</f>
        <v>09901004</v>
      </c>
      <c r="D804" s="160" t="str">
        <f>'900000'!$AD$15</f>
        <v>C09903003</v>
      </c>
      <c r="E804" s="568">
        <f>'900000'!$AD24</f>
        <v>0</v>
      </c>
      <c r="F804" s="27" t="s">
        <v>19081</v>
      </c>
    </row>
    <row r="805" spans="1:6">
      <c r="A805" s="27" t="str">
        <f>Resultados!$K$3</f>
        <v/>
      </c>
      <c r="B805" s="27" t="str">
        <f>Resultados!$K$4</f>
        <v/>
      </c>
      <c r="C805" s="568" t="str">
        <f>'900000'!$B25</f>
        <v>09901005</v>
      </c>
      <c r="D805" s="160" t="str">
        <f>'900000'!$AD$15</f>
        <v>C09903003</v>
      </c>
      <c r="E805" s="568">
        <f>'900000'!$AD25</f>
        <v>0</v>
      </c>
      <c r="F805" s="27" t="s">
        <v>19081</v>
      </c>
    </row>
    <row r="806" spans="1:6">
      <c r="A806" s="27" t="str">
        <f>Resultados!$K$3</f>
        <v/>
      </c>
      <c r="B806" s="27" t="str">
        <f>Resultados!$K$4</f>
        <v/>
      </c>
      <c r="C806" s="568" t="str">
        <f>'900000'!$B26</f>
        <v>09901006</v>
      </c>
      <c r="D806" s="160" t="str">
        <f>'900000'!$AD$15</f>
        <v>C09903003</v>
      </c>
      <c r="E806" s="568">
        <f>'900000'!$AD26</f>
        <v>0</v>
      </c>
      <c r="F806" s="27" t="s">
        <v>19081</v>
      </c>
    </row>
    <row r="807" spans="1:6">
      <c r="A807" s="27" t="str">
        <f>Resultados!$K$3</f>
        <v/>
      </c>
      <c r="B807" s="27" t="str">
        <f>Resultados!$K$4</f>
        <v/>
      </c>
      <c r="C807" s="568" t="str">
        <f>'900000'!$B27</f>
        <v>09901007</v>
      </c>
      <c r="D807" s="160" t="str">
        <f>'900000'!$AD$15</f>
        <v>C09903003</v>
      </c>
      <c r="E807" s="568">
        <f>'900000'!$AD27</f>
        <v>0</v>
      </c>
      <c r="F807" s="27" t="s">
        <v>19081</v>
      </c>
    </row>
    <row r="808" spans="1:6">
      <c r="A808" s="27" t="str">
        <f>Resultados!$K$3</f>
        <v/>
      </c>
      <c r="B808" s="27" t="str">
        <f>Resultados!$K$4</f>
        <v/>
      </c>
      <c r="C808" s="568" t="str">
        <f>'900000'!$B28</f>
        <v>09901008</v>
      </c>
      <c r="D808" s="160" t="str">
        <f>'900000'!$AD$15</f>
        <v>C09903003</v>
      </c>
      <c r="E808" s="568">
        <f>'900000'!$AD28</f>
        <v>0</v>
      </c>
      <c r="F808" s="27" t="s">
        <v>19081</v>
      </c>
    </row>
    <row r="809" spans="1:6">
      <c r="A809" s="27" t="str">
        <f>Resultados!$K$3</f>
        <v/>
      </c>
      <c r="B809" s="27" t="str">
        <f>Resultados!$K$4</f>
        <v/>
      </c>
      <c r="C809" s="568" t="str">
        <f>'900000'!$B29</f>
        <v>09901009</v>
      </c>
      <c r="D809" s="160" t="str">
        <f>'900000'!$AD$15</f>
        <v>C09903003</v>
      </c>
      <c r="E809" s="568">
        <f>'900000'!$AD29</f>
        <v>0</v>
      </c>
      <c r="F809" s="27" t="s">
        <v>19081</v>
      </c>
    </row>
    <row r="810" spans="1:6">
      <c r="A810" s="27" t="str">
        <f>Resultados!$K$3</f>
        <v/>
      </c>
      <c r="B810" s="27" t="str">
        <f>Resultados!$K$4</f>
        <v/>
      </c>
      <c r="C810" s="568" t="str">
        <f>'900000'!$B30</f>
        <v>09901010</v>
      </c>
      <c r="D810" s="160" t="str">
        <f>'900000'!$AD$15</f>
        <v>C09903003</v>
      </c>
      <c r="E810" s="568">
        <f>'900000'!$AD30</f>
        <v>0</v>
      </c>
      <c r="F810" s="27" t="s">
        <v>19081</v>
      </c>
    </row>
    <row r="811" spans="1:6">
      <c r="A811" s="27" t="str">
        <f>Resultados!$K$3</f>
        <v/>
      </c>
      <c r="B811" s="27" t="str">
        <f>Resultados!$K$4</f>
        <v/>
      </c>
      <c r="C811" s="568" t="str">
        <f>'900000'!$B31</f>
        <v>09901011</v>
      </c>
      <c r="D811" s="160" t="str">
        <f>'900000'!$AD$15</f>
        <v>C09903003</v>
      </c>
      <c r="E811" s="568">
        <f>'900000'!$AD31</f>
        <v>0</v>
      </c>
      <c r="F811" s="27" t="s">
        <v>19081</v>
      </c>
    </row>
    <row r="812" spans="1:6">
      <c r="A812" s="27" t="str">
        <f>Resultados!$K$3</f>
        <v/>
      </c>
      <c r="B812" s="27" t="str">
        <f>Resultados!$K$4</f>
        <v/>
      </c>
      <c r="C812" s="568" t="str">
        <f>'900000'!$B32</f>
        <v>09901012</v>
      </c>
      <c r="D812" s="160" t="str">
        <f>'900000'!$AD$15</f>
        <v>C09903003</v>
      </c>
      <c r="E812" s="568">
        <f>'900000'!$AD32</f>
        <v>0</v>
      </c>
      <c r="F812" s="27" t="s">
        <v>19081</v>
      </c>
    </row>
    <row r="813" spans="1:6">
      <c r="A813" s="27" t="str">
        <f>Resultados!$K$3</f>
        <v/>
      </c>
      <c r="B813" s="27" t="str">
        <f>Resultados!$K$4</f>
        <v/>
      </c>
      <c r="C813" s="568" t="str">
        <f>'900000'!$B33</f>
        <v>09901013</v>
      </c>
      <c r="D813" s="160" t="str">
        <f>'900000'!$AD$15</f>
        <v>C09903003</v>
      </c>
      <c r="E813" s="568">
        <f>'900000'!$AD33</f>
        <v>0</v>
      </c>
      <c r="F813" s="27" t="s">
        <v>19081</v>
      </c>
    </row>
    <row r="814" spans="1:6">
      <c r="A814" s="27" t="str">
        <f>Resultados!$K$3</f>
        <v/>
      </c>
      <c r="B814" s="27" t="str">
        <f>Resultados!$K$4</f>
        <v/>
      </c>
      <c r="C814" s="568" t="str">
        <f>'900000'!$B34</f>
        <v>09901014</v>
      </c>
      <c r="D814" s="160" t="str">
        <f>'900000'!$AD$15</f>
        <v>C09903003</v>
      </c>
      <c r="E814" s="568">
        <f>'900000'!$AD34</f>
        <v>0</v>
      </c>
      <c r="F814" s="27" t="s">
        <v>19081</v>
      </c>
    </row>
    <row r="815" spans="1:6">
      <c r="A815" s="27" t="str">
        <f>Resultados!$K$3</f>
        <v/>
      </c>
      <c r="B815" s="27" t="str">
        <f>Resultados!$K$4</f>
        <v/>
      </c>
      <c r="C815" s="568" t="str">
        <f>'900000'!$B35</f>
        <v>09901015</v>
      </c>
      <c r="D815" s="160" t="str">
        <f>'900000'!$AD$15</f>
        <v>C09903003</v>
      </c>
      <c r="E815" s="568">
        <f>'900000'!$AD35</f>
        <v>0</v>
      </c>
      <c r="F815" s="27" t="s">
        <v>19081</v>
      </c>
    </row>
    <row r="816" spans="1:6">
      <c r="A816" s="27" t="str">
        <f>Resultados!$K$3</f>
        <v/>
      </c>
      <c r="B816" s="27" t="str">
        <f>Resultados!$K$4</f>
        <v/>
      </c>
      <c r="C816" s="568" t="str">
        <f>'900000'!$B36</f>
        <v>09901016</v>
      </c>
      <c r="D816" s="160" t="str">
        <f>'900000'!$AD$15</f>
        <v>C09903003</v>
      </c>
      <c r="E816" s="568">
        <f>'900000'!$AD36</f>
        <v>0</v>
      </c>
      <c r="F816" s="27" t="s">
        <v>19081</v>
      </c>
    </row>
    <row r="817" spans="1:6">
      <c r="A817" s="27" t="str">
        <f>Resultados!$K$3</f>
        <v/>
      </c>
      <c r="B817" s="27" t="str">
        <f>Resultados!$K$4</f>
        <v/>
      </c>
      <c r="C817" s="568" t="str">
        <f>'900000'!$B37</f>
        <v>09901017</v>
      </c>
      <c r="D817" s="160" t="str">
        <f>'900000'!$AD$15</f>
        <v>C09903003</v>
      </c>
      <c r="E817" s="568">
        <f>'900000'!$AD37</f>
        <v>0</v>
      </c>
      <c r="F817" s="27" t="s">
        <v>19081</v>
      </c>
    </row>
    <row r="818" spans="1:6">
      <c r="A818" s="27" t="str">
        <f>Resultados!$K$3</f>
        <v/>
      </c>
      <c r="B818" s="27" t="str">
        <f>Resultados!$K$4</f>
        <v/>
      </c>
      <c r="C818" s="568" t="str">
        <f>'900000'!$B38</f>
        <v>09901018</v>
      </c>
      <c r="D818" s="160" t="str">
        <f>'900000'!$AD$15</f>
        <v>C09903003</v>
      </c>
      <c r="E818" s="568">
        <f>'900000'!$AD38</f>
        <v>0</v>
      </c>
      <c r="F818" s="27" t="s">
        <v>19081</v>
      </c>
    </row>
    <row r="819" spans="1:6">
      <c r="A819" s="27" t="str">
        <f>Resultados!$K$3</f>
        <v/>
      </c>
      <c r="B819" s="27" t="str">
        <f>Resultados!$K$4</f>
        <v/>
      </c>
      <c r="C819" s="568" t="str">
        <f>'900000'!$B39</f>
        <v>09901019</v>
      </c>
      <c r="D819" s="160" t="str">
        <f>'900000'!$AD$15</f>
        <v>C09903003</v>
      </c>
      <c r="E819" s="568">
        <f>'900000'!$AD39</f>
        <v>0</v>
      </c>
      <c r="F819" s="27" t="s">
        <v>19081</v>
      </c>
    </row>
    <row r="820" spans="1:6">
      <c r="A820" s="27" t="str">
        <f>Resultados!$K$3</f>
        <v/>
      </c>
      <c r="B820" s="27" t="str">
        <f>Resultados!$K$4</f>
        <v/>
      </c>
      <c r="C820" s="568" t="str">
        <f>'900000'!$B40</f>
        <v>09901020</v>
      </c>
      <c r="D820" s="160" t="str">
        <f>'900000'!$AD$15</f>
        <v>C09903003</v>
      </c>
      <c r="E820" s="568">
        <f>'900000'!$AD40</f>
        <v>0</v>
      </c>
      <c r="F820" s="27" t="s">
        <v>19081</v>
      </c>
    </row>
    <row r="821" spans="1:6">
      <c r="A821" s="27" t="str">
        <f>Resultados!$K$3</f>
        <v/>
      </c>
      <c r="B821" s="27" t="str">
        <f>Resultados!$K$4</f>
        <v/>
      </c>
      <c r="C821" s="568" t="str">
        <f>'900000'!$B41</f>
        <v>09901021</v>
      </c>
      <c r="D821" s="160" t="str">
        <f>'900000'!$AD$15</f>
        <v>C09903003</v>
      </c>
      <c r="E821" s="568">
        <f>'900000'!$AD41</f>
        <v>0</v>
      </c>
      <c r="F821" s="27" t="s">
        <v>19081</v>
      </c>
    </row>
    <row r="822" spans="1:6">
      <c r="A822" s="27" t="str">
        <f>Resultados!$K$3</f>
        <v/>
      </c>
      <c r="B822" s="27" t="str">
        <f>Resultados!$K$4</f>
        <v/>
      </c>
      <c r="C822" s="568" t="str">
        <f>'900000'!$B42</f>
        <v>09901022</v>
      </c>
      <c r="D822" s="160" t="str">
        <f>'900000'!$AD$15</f>
        <v>C09903003</v>
      </c>
      <c r="E822" s="568">
        <f>'900000'!$AD42</f>
        <v>0</v>
      </c>
      <c r="F822" s="27" t="s">
        <v>19081</v>
      </c>
    </row>
    <row r="823" spans="1:6">
      <c r="A823" s="27" t="str">
        <f>Resultados!$K$3</f>
        <v/>
      </c>
      <c r="B823" s="27" t="str">
        <f>Resultados!$K$4</f>
        <v/>
      </c>
      <c r="C823" s="568" t="str">
        <f>'900000'!$B43</f>
        <v>09901023</v>
      </c>
      <c r="D823" s="160" t="str">
        <f>'900000'!$AD$15</f>
        <v>C09903003</v>
      </c>
      <c r="E823" s="568">
        <f>'900000'!$AD43</f>
        <v>0</v>
      </c>
      <c r="F823" s="27" t="s">
        <v>19081</v>
      </c>
    </row>
    <row r="824" spans="1:6">
      <c r="A824" s="27" t="str">
        <f>Resultados!$K$3</f>
        <v/>
      </c>
      <c r="B824" s="27" t="str">
        <f>Resultados!$K$4</f>
        <v/>
      </c>
      <c r="C824" s="568" t="str">
        <f>'900000'!$B44</f>
        <v>09901024</v>
      </c>
      <c r="D824" s="160" t="str">
        <f>'900000'!$AD$15</f>
        <v>C09903003</v>
      </c>
      <c r="E824" s="568">
        <f>'900000'!$AD44</f>
        <v>0</v>
      </c>
      <c r="F824" s="27" t="s">
        <v>19081</v>
      </c>
    </row>
    <row r="825" spans="1:6">
      <c r="A825" s="27" t="str">
        <f>Resultados!$K$3</f>
        <v/>
      </c>
      <c r="B825" s="27" t="str">
        <f>Resultados!$K$4</f>
        <v/>
      </c>
      <c r="C825" s="568" t="str">
        <f>'900000'!$B45</f>
        <v>09901025</v>
      </c>
      <c r="D825" s="160" t="str">
        <f>'900000'!$AD$15</f>
        <v>C09903003</v>
      </c>
      <c r="E825" s="568">
        <f>'900000'!$AD45</f>
        <v>0</v>
      </c>
      <c r="F825" s="27" t="s">
        <v>19081</v>
      </c>
    </row>
    <row r="826" spans="1:6">
      <c r="A826" s="27" t="str">
        <f>Resultados!$K$3</f>
        <v/>
      </c>
      <c r="B826" s="27" t="str">
        <f>Resultados!$K$4</f>
        <v/>
      </c>
      <c r="C826" s="568" t="str">
        <f>'900000'!$B46</f>
        <v>09901026</v>
      </c>
      <c r="D826" s="160" t="str">
        <f>'900000'!$AD$15</f>
        <v>C09903003</v>
      </c>
      <c r="E826" s="568">
        <f>'900000'!$AD46</f>
        <v>0</v>
      </c>
      <c r="F826" s="27" t="s">
        <v>19081</v>
      </c>
    </row>
    <row r="827" spans="1:6">
      <c r="A827" s="27" t="str">
        <f>Resultados!$K$3</f>
        <v/>
      </c>
      <c r="B827" s="27" t="str">
        <f>Resultados!$K$4</f>
        <v/>
      </c>
      <c r="C827" s="568" t="str">
        <f>'900000'!$B47</f>
        <v>09901027</v>
      </c>
      <c r="D827" s="160" t="str">
        <f>'900000'!$AD$15</f>
        <v>C09903003</v>
      </c>
      <c r="E827" s="568">
        <f>'900000'!$AD47</f>
        <v>0</v>
      </c>
      <c r="F827" s="27" t="s">
        <v>19081</v>
      </c>
    </row>
    <row r="828" spans="1:6">
      <c r="A828" s="27" t="str">
        <f>Resultados!$K$3</f>
        <v/>
      </c>
      <c r="B828" s="27" t="str">
        <f>Resultados!$K$4</f>
        <v/>
      </c>
      <c r="C828" s="568" t="str">
        <f>'900000'!$B48</f>
        <v>09901028</v>
      </c>
      <c r="D828" s="160" t="str">
        <f>'900000'!$AD$15</f>
        <v>C09903003</v>
      </c>
      <c r="E828" s="568">
        <f>'900000'!$AD48</f>
        <v>0</v>
      </c>
      <c r="F828" s="27" t="s">
        <v>19081</v>
      </c>
    </row>
    <row r="829" spans="1:6">
      <c r="A829" s="27" t="str">
        <f>Resultados!$K$3</f>
        <v/>
      </c>
      <c r="B829" s="27" t="str">
        <f>Resultados!$K$4</f>
        <v/>
      </c>
      <c r="C829" s="568" t="str">
        <f>'900000'!$B49</f>
        <v>09901029</v>
      </c>
      <c r="D829" s="160" t="str">
        <f>'900000'!$AD$15</f>
        <v>C09903003</v>
      </c>
      <c r="E829" s="568">
        <f>'900000'!$AD49</f>
        <v>0</v>
      </c>
      <c r="F829" s="27" t="s">
        <v>19081</v>
      </c>
    </row>
    <row r="830" spans="1:6">
      <c r="A830" s="27" t="str">
        <f>Resultados!$K$3</f>
        <v/>
      </c>
      <c r="B830" s="27" t="str">
        <f>Resultados!$K$4</f>
        <v/>
      </c>
      <c r="C830" s="568" t="str">
        <f>'900000'!$B50</f>
        <v>09901030</v>
      </c>
      <c r="D830" s="160" t="str">
        <f>'900000'!$AD$15</f>
        <v>C09903003</v>
      </c>
      <c r="E830" s="568">
        <f>'900000'!$AD50</f>
        <v>0</v>
      </c>
      <c r="F830" s="27" t="s">
        <v>19081</v>
      </c>
    </row>
    <row r="831" spans="1:6">
      <c r="A831" s="27" t="str">
        <f>Resultados!$K$3</f>
        <v/>
      </c>
      <c r="B831" s="27" t="str">
        <f>Resultados!$K$4</f>
        <v/>
      </c>
      <c r="C831" s="568" t="str">
        <f>'900000'!$B51</f>
        <v>09901031</v>
      </c>
      <c r="D831" s="160" t="str">
        <f>'900000'!$AD$15</f>
        <v>C09903003</v>
      </c>
      <c r="E831" s="568">
        <f>'900000'!$AD51</f>
        <v>0</v>
      </c>
      <c r="F831" s="27" t="s">
        <v>19081</v>
      </c>
    </row>
    <row r="832" spans="1:6">
      <c r="A832" s="27" t="str">
        <f>Resultados!$K$3</f>
        <v/>
      </c>
      <c r="B832" s="27" t="str">
        <f>Resultados!$K$4</f>
        <v/>
      </c>
      <c r="C832" s="568" t="str">
        <f>'900000'!$B52</f>
        <v>09901032</v>
      </c>
      <c r="D832" s="160" t="str">
        <f>'900000'!$AD$15</f>
        <v>C09903003</v>
      </c>
      <c r="E832" s="568">
        <f>'900000'!$AD52</f>
        <v>0</v>
      </c>
      <c r="F832" s="27" t="s">
        <v>19081</v>
      </c>
    </row>
    <row r="833" spans="1:6">
      <c r="A833" s="27" t="str">
        <f>Resultados!$K$3</f>
        <v/>
      </c>
      <c r="B833" s="27" t="str">
        <f>Resultados!$K$4</f>
        <v/>
      </c>
      <c r="C833" s="568" t="str">
        <f>'900000'!$B53</f>
        <v>09901033</v>
      </c>
      <c r="D833" s="160" t="str">
        <f>'900000'!$AD$15</f>
        <v>C09903003</v>
      </c>
      <c r="E833" s="568">
        <f>'900000'!$AD53</f>
        <v>0</v>
      </c>
      <c r="F833" s="27" t="s">
        <v>19081</v>
      </c>
    </row>
    <row r="834" spans="1:6">
      <c r="A834" s="27" t="str">
        <f>Resultados!$K$3</f>
        <v/>
      </c>
      <c r="B834" s="27" t="str">
        <f>Resultados!$K$4</f>
        <v/>
      </c>
      <c r="C834" s="568" t="str">
        <f>'900000'!$B54</f>
        <v>09901034</v>
      </c>
      <c r="D834" s="160" t="str">
        <f>'900000'!$AD$15</f>
        <v>C09903003</v>
      </c>
      <c r="E834" s="568">
        <f>'900000'!$AD54</f>
        <v>0</v>
      </c>
      <c r="F834" s="27" t="s">
        <v>19081</v>
      </c>
    </row>
    <row r="835" spans="1:6">
      <c r="A835" s="27" t="str">
        <f>Resultados!$K$3</f>
        <v/>
      </c>
      <c r="B835" s="27" t="str">
        <f>Resultados!$K$4</f>
        <v/>
      </c>
      <c r="C835" s="568" t="str">
        <f>'900000'!$B55</f>
        <v>09901035</v>
      </c>
      <c r="D835" s="160" t="str">
        <f>'900000'!$AD$15</f>
        <v>C09903003</v>
      </c>
      <c r="E835" s="568">
        <f>'900000'!$AD55</f>
        <v>0</v>
      </c>
      <c r="F835" s="27" t="s">
        <v>19081</v>
      </c>
    </row>
    <row r="836" spans="1:6">
      <c r="A836" s="27" t="str">
        <f>Resultados!$K$3</f>
        <v/>
      </c>
      <c r="B836" s="27" t="str">
        <f>Resultados!$K$4</f>
        <v/>
      </c>
      <c r="C836" s="568" t="str">
        <f>'900000'!$B56</f>
        <v>09901036</v>
      </c>
      <c r="D836" s="160" t="str">
        <f>'900000'!$AD$15</f>
        <v>C09903003</v>
      </c>
      <c r="E836" s="568">
        <f>'900000'!$AD56</f>
        <v>0</v>
      </c>
      <c r="F836" s="27" t="s">
        <v>19081</v>
      </c>
    </row>
    <row r="837" spans="1:6">
      <c r="A837" s="27" t="str">
        <f>Resultados!$K$3</f>
        <v/>
      </c>
      <c r="B837" s="27" t="str">
        <f>Resultados!$K$4</f>
        <v/>
      </c>
      <c r="C837" s="568" t="str">
        <f>'900000'!$B57</f>
        <v>09901037</v>
      </c>
      <c r="D837" s="160" t="str">
        <f>'900000'!$AD$15</f>
        <v>C09903003</v>
      </c>
      <c r="E837" s="568">
        <f>'900000'!$AD57</f>
        <v>0</v>
      </c>
      <c r="F837" s="27" t="s">
        <v>19081</v>
      </c>
    </row>
    <row r="838" spans="1:6">
      <c r="A838" s="27" t="str">
        <f>Resultados!$K$3</f>
        <v/>
      </c>
      <c r="B838" s="27" t="str">
        <f>Resultados!$K$4</f>
        <v/>
      </c>
      <c r="C838" s="568" t="str">
        <f>'900000'!$B58</f>
        <v>09901038</v>
      </c>
      <c r="D838" s="160" t="str">
        <f>'900000'!$AD$15</f>
        <v>C09903003</v>
      </c>
      <c r="E838" s="568">
        <f>'900000'!$AD58</f>
        <v>0</v>
      </c>
      <c r="F838" s="27" t="s">
        <v>19081</v>
      </c>
    </row>
    <row r="839" spans="1:6">
      <c r="A839" s="27" t="str">
        <f>Resultados!$K$3</f>
        <v/>
      </c>
      <c r="B839" s="27" t="str">
        <f>Resultados!$K$4</f>
        <v/>
      </c>
      <c r="C839" s="568" t="str">
        <f>'900000'!$B59</f>
        <v>09901039</v>
      </c>
      <c r="D839" s="160" t="str">
        <f>'900000'!$AD$15</f>
        <v>C09903003</v>
      </c>
      <c r="E839" s="568">
        <f>'900000'!$AD59</f>
        <v>0</v>
      </c>
      <c r="F839" s="27" t="s">
        <v>19081</v>
      </c>
    </row>
    <row r="840" spans="1:6">
      <c r="A840" s="27" t="str">
        <f>Resultados!$K$3</f>
        <v/>
      </c>
      <c r="B840" s="27" t="str">
        <f>Resultados!$K$4</f>
        <v/>
      </c>
      <c r="C840" s="568" t="str">
        <f>'900000'!$B60</f>
        <v>09901040</v>
      </c>
      <c r="D840" s="160" t="str">
        <f>'900000'!$AD$15</f>
        <v>C09903003</v>
      </c>
      <c r="E840" s="568">
        <f>'900000'!$AD60</f>
        <v>0</v>
      </c>
      <c r="F840" s="27" t="s">
        <v>19081</v>
      </c>
    </row>
    <row r="841" spans="1:6">
      <c r="A841" s="27" t="str">
        <f>Resultados!$K$3</f>
        <v/>
      </c>
      <c r="B841" s="27" t="str">
        <f>Resultados!$K$4</f>
        <v/>
      </c>
      <c r="C841" s="568" t="str">
        <f>'900000'!$B61</f>
        <v>09901041</v>
      </c>
      <c r="D841" s="160" t="str">
        <f>'900000'!$AD$15</f>
        <v>C09903003</v>
      </c>
      <c r="E841" s="568">
        <f>'900000'!$AD61</f>
        <v>0</v>
      </c>
      <c r="F841" s="27" t="s">
        <v>19081</v>
      </c>
    </row>
    <row r="842" spans="1:6">
      <c r="A842" s="27" t="str">
        <f>Resultados!$K$3</f>
        <v/>
      </c>
      <c r="B842" s="27" t="str">
        <f>Resultados!$K$4</f>
        <v/>
      </c>
      <c r="C842" s="568" t="str">
        <f>'900000'!$B62</f>
        <v>09901042</v>
      </c>
      <c r="D842" s="160" t="str">
        <f>'900000'!$AD$15</f>
        <v>C09903003</v>
      </c>
      <c r="E842" s="568">
        <f>'900000'!$AD62</f>
        <v>0</v>
      </c>
      <c r="F842" s="27" t="s">
        <v>19081</v>
      </c>
    </row>
    <row r="843" spans="1:6">
      <c r="A843" s="27" t="str">
        <f>Resultados!$K$3</f>
        <v/>
      </c>
      <c r="B843" s="27" t="str">
        <f>Resultados!$K$4</f>
        <v/>
      </c>
      <c r="C843" s="568" t="str">
        <f>'900000'!$B63</f>
        <v>09901043</v>
      </c>
      <c r="D843" s="160" t="str">
        <f>'900000'!$AD$15</f>
        <v>C09903003</v>
      </c>
      <c r="E843" s="568">
        <f>'900000'!$AD63</f>
        <v>0</v>
      </c>
      <c r="F843" s="27" t="s">
        <v>19081</v>
      </c>
    </row>
    <row r="844" spans="1:6">
      <c r="A844" s="27" t="str">
        <f>Resultados!$K$3</f>
        <v/>
      </c>
      <c r="B844" s="27" t="str">
        <f>Resultados!$K$4</f>
        <v/>
      </c>
      <c r="C844" s="568" t="str">
        <f>'900000'!$B64</f>
        <v>09901044</v>
      </c>
      <c r="D844" s="160" t="str">
        <f>'900000'!$AD$15</f>
        <v>C09903003</v>
      </c>
      <c r="E844" s="568">
        <f>'900000'!$AD64</f>
        <v>0</v>
      </c>
      <c r="F844" s="27" t="s">
        <v>19081</v>
      </c>
    </row>
    <row r="845" spans="1:6">
      <c r="A845" s="27" t="str">
        <f>Resultados!$K$3</f>
        <v/>
      </c>
      <c r="B845" s="27" t="str">
        <f>Resultados!$K$4</f>
        <v/>
      </c>
      <c r="C845" s="568" t="str">
        <f>'900000'!$B65</f>
        <v>09901045</v>
      </c>
      <c r="D845" s="160" t="str">
        <f>'900000'!$AD$15</f>
        <v>C09903003</v>
      </c>
      <c r="E845" s="568">
        <f>'900000'!$AD65</f>
        <v>0</v>
      </c>
      <c r="F845" s="27" t="s">
        <v>19081</v>
      </c>
    </row>
    <row r="846" spans="1:6">
      <c r="A846" s="27" t="str">
        <f>Resultados!$K$3</f>
        <v/>
      </c>
      <c r="B846" s="27" t="str">
        <f>Resultados!$K$4</f>
        <v/>
      </c>
      <c r="C846" s="568" t="str">
        <f>'900000'!$B66</f>
        <v>09901046</v>
      </c>
      <c r="D846" s="160" t="str">
        <f>'900000'!$AD$15</f>
        <v>C09903003</v>
      </c>
      <c r="E846" s="568">
        <f>'900000'!$AD66</f>
        <v>0</v>
      </c>
      <c r="F846" s="27" t="s">
        <v>19081</v>
      </c>
    </row>
    <row r="847" spans="1:6">
      <c r="A847" s="27" t="str">
        <f>Resultados!$K$3</f>
        <v/>
      </c>
      <c r="B847" s="27" t="str">
        <f>Resultados!$K$4</f>
        <v/>
      </c>
      <c r="C847" s="568" t="str">
        <f>'900000'!$B67</f>
        <v>09901047</v>
      </c>
      <c r="D847" s="160" t="str">
        <f>'900000'!$AD$15</f>
        <v>C09903003</v>
      </c>
      <c r="E847" s="568">
        <f>'900000'!$AD67</f>
        <v>0</v>
      </c>
      <c r="F847" s="27" t="s">
        <v>19081</v>
      </c>
    </row>
    <row r="848" spans="1:6">
      <c r="A848" s="27" t="str">
        <f>Resultados!$K$3</f>
        <v/>
      </c>
      <c r="B848" s="27" t="str">
        <f>Resultados!$K$4</f>
        <v/>
      </c>
      <c r="C848" s="568" t="str">
        <f>'900000'!$B68</f>
        <v>09901048</v>
      </c>
      <c r="D848" s="160" t="str">
        <f>'900000'!$AD$15</f>
        <v>C09903003</v>
      </c>
      <c r="E848" s="568">
        <f>'900000'!$AD68</f>
        <v>0</v>
      </c>
      <c r="F848" s="27" t="s">
        <v>19081</v>
      </c>
    </row>
    <row r="849" spans="1:6">
      <c r="A849" s="27" t="str">
        <f>Resultados!$K$3</f>
        <v/>
      </c>
      <c r="B849" s="27" t="str">
        <f>Resultados!$K$4</f>
        <v/>
      </c>
      <c r="C849" s="568" t="str">
        <f>'900000'!$B69</f>
        <v>09901049</v>
      </c>
      <c r="D849" s="160" t="str">
        <f>'900000'!$AD$15</f>
        <v>C09903003</v>
      </c>
      <c r="E849" s="568">
        <f>'900000'!$AD69</f>
        <v>0</v>
      </c>
      <c r="F849" s="27" t="s">
        <v>19081</v>
      </c>
    </row>
    <row r="850" spans="1:6">
      <c r="A850" s="27" t="str">
        <f>Resultados!$K$3</f>
        <v/>
      </c>
      <c r="B850" s="27" t="str">
        <f>Resultados!$K$4</f>
        <v/>
      </c>
      <c r="C850" s="568" t="str">
        <f>'900000'!$B70</f>
        <v>09901050</v>
      </c>
      <c r="D850" s="160" t="str">
        <f>'900000'!$AD$15</f>
        <v>C09903003</v>
      </c>
      <c r="E850" s="568">
        <f>'900000'!$AD70</f>
        <v>0</v>
      </c>
      <c r="F850" s="27" t="s">
        <v>19081</v>
      </c>
    </row>
    <row r="851" spans="1:6">
      <c r="A851" s="27" t="str">
        <f>Resultados!$K$3</f>
        <v/>
      </c>
      <c r="B851" s="27" t="str">
        <f>Resultados!$K$4</f>
        <v/>
      </c>
      <c r="C851" s="568" t="str">
        <f>'900000'!$B71</f>
        <v>09901051</v>
      </c>
      <c r="D851" s="160" t="str">
        <f>'900000'!$AD$15</f>
        <v>C09903003</v>
      </c>
      <c r="E851" s="568">
        <f>'900000'!$AD71</f>
        <v>0</v>
      </c>
      <c r="F851" s="27" t="s">
        <v>19081</v>
      </c>
    </row>
    <row r="852" spans="1:6">
      <c r="A852" s="27" t="str">
        <f>Resultados!$K$3</f>
        <v/>
      </c>
      <c r="B852" s="27" t="str">
        <f>Resultados!$K$4</f>
        <v/>
      </c>
      <c r="C852" s="568" t="str">
        <f>'900000'!$B72</f>
        <v>09901052</v>
      </c>
      <c r="D852" s="160" t="str">
        <f>'900000'!$AD$15</f>
        <v>C09903003</v>
      </c>
      <c r="E852" s="568">
        <f>'900000'!$AD72</f>
        <v>0</v>
      </c>
      <c r="F852" s="27" t="s">
        <v>19081</v>
      </c>
    </row>
    <row r="853" spans="1:6">
      <c r="A853" s="27" t="str">
        <f>Resultados!$K$3</f>
        <v/>
      </c>
      <c r="B853" s="27" t="str">
        <f>Resultados!$K$4</f>
        <v/>
      </c>
      <c r="C853" s="568" t="str">
        <f>'900000'!$B73</f>
        <v>09901053</v>
      </c>
      <c r="D853" s="160" t="str">
        <f>'900000'!$AD$15</f>
        <v>C09903003</v>
      </c>
      <c r="E853" s="568">
        <f>'900000'!$AD73</f>
        <v>0</v>
      </c>
      <c r="F853" s="27" t="s">
        <v>19081</v>
      </c>
    </row>
    <row r="854" spans="1:6">
      <c r="A854" s="27" t="str">
        <f>Resultados!$K$3</f>
        <v/>
      </c>
      <c r="B854" s="27" t="str">
        <f>Resultados!$K$4</f>
        <v/>
      </c>
      <c r="C854" s="568" t="str">
        <f>'900000'!$B74</f>
        <v>09901054</v>
      </c>
      <c r="D854" s="160" t="str">
        <f>'900000'!$AD$15</f>
        <v>C09903003</v>
      </c>
      <c r="E854" s="568">
        <f>'900000'!$AD74</f>
        <v>0</v>
      </c>
      <c r="F854" s="27" t="s">
        <v>19081</v>
      </c>
    </row>
    <row r="855" spans="1:6">
      <c r="A855" s="27" t="str">
        <f>Resultados!$K$3</f>
        <v/>
      </c>
      <c r="B855" s="27" t="str">
        <f>Resultados!$K$4</f>
        <v/>
      </c>
      <c r="C855" s="568" t="str">
        <f>'900000'!$B75</f>
        <v>09901055</v>
      </c>
      <c r="D855" s="160" t="str">
        <f>'900000'!$AD$15</f>
        <v>C09903003</v>
      </c>
      <c r="E855" s="568">
        <f>'900000'!$AD75</f>
        <v>0</v>
      </c>
      <c r="F855" s="27" t="s">
        <v>19081</v>
      </c>
    </row>
    <row r="856" spans="1:6">
      <c r="A856" s="27" t="str">
        <f>Resultados!$K$3</f>
        <v/>
      </c>
      <c r="B856" s="27" t="str">
        <f>Resultados!$K$4</f>
        <v/>
      </c>
      <c r="C856" s="568" t="str">
        <f>'900000'!$B76</f>
        <v>09901056</v>
      </c>
      <c r="D856" s="160" t="str">
        <f>'900000'!$AD$15</f>
        <v>C09903003</v>
      </c>
      <c r="E856" s="568">
        <f>'900000'!$AD76</f>
        <v>0</v>
      </c>
      <c r="F856" s="27" t="s">
        <v>19081</v>
      </c>
    </row>
    <row r="857" spans="1:6">
      <c r="A857" s="27" t="str">
        <f>Resultados!$K$3</f>
        <v/>
      </c>
      <c r="B857" s="27" t="str">
        <f>Resultados!$K$4</f>
        <v/>
      </c>
      <c r="C857" s="568" t="str">
        <f>'900000'!$B77</f>
        <v>09901057</v>
      </c>
      <c r="D857" s="160" t="str">
        <f>'900000'!$AD$15</f>
        <v>C09903003</v>
      </c>
      <c r="E857" s="568">
        <f>'900000'!$AD77</f>
        <v>0</v>
      </c>
      <c r="F857" s="27" t="s">
        <v>19081</v>
      </c>
    </row>
    <row r="858" spans="1:6">
      <c r="A858" s="27" t="str">
        <f>Resultados!$K$3</f>
        <v/>
      </c>
      <c r="B858" s="27" t="str">
        <f>Resultados!$K$4</f>
        <v/>
      </c>
      <c r="C858" s="568" t="str">
        <f>'900000'!$B78</f>
        <v>09901058</v>
      </c>
      <c r="D858" s="160" t="str">
        <f>'900000'!$AD$15</f>
        <v>C09903003</v>
      </c>
      <c r="E858" s="568">
        <f>'900000'!$AD78</f>
        <v>0</v>
      </c>
      <c r="F858" s="27" t="s">
        <v>19081</v>
      </c>
    </row>
    <row r="859" spans="1:6">
      <c r="A859" s="27" t="str">
        <f>Resultados!$K$3</f>
        <v/>
      </c>
      <c r="B859" s="27" t="str">
        <f>Resultados!$K$4</f>
        <v/>
      </c>
      <c r="C859" s="568" t="str">
        <f>'900000'!$B79</f>
        <v>09901059</v>
      </c>
      <c r="D859" s="160" t="str">
        <f>'900000'!$AD$15</f>
        <v>C09903003</v>
      </c>
      <c r="E859" s="568">
        <f>'900000'!$AD79</f>
        <v>0</v>
      </c>
      <c r="F859" s="27" t="s">
        <v>19081</v>
      </c>
    </row>
    <row r="860" spans="1:6">
      <c r="A860" s="27" t="str">
        <f>Resultados!$K$3</f>
        <v/>
      </c>
      <c r="B860" s="27" t="str">
        <f>Resultados!$K$4</f>
        <v/>
      </c>
      <c r="C860" s="568" t="str">
        <f>'900000'!$B80</f>
        <v>09901060</v>
      </c>
      <c r="D860" s="160" t="str">
        <f>'900000'!$AD$15</f>
        <v>C09903003</v>
      </c>
      <c r="E860" s="568">
        <f>'900000'!$AD80</f>
        <v>0</v>
      </c>
      <c r="F860" s="27" t="s">
        <v>19081</v>
      </c>
    </row>
    <row r="861" spans="1:6">
      <c r="A861" s="27" t="str">
        <f>Resultados!$K$3</f>
        <v/>
      </c>
      <c r="B861" s="27" t="str">
        <f>Resultados!$K$4</f>
        <v/>
      </c>
      <c r="C861" s="568" t="str">
        <f>'900000'!$B81</f>
        <v>09901061</v>
      </c>
      <c r="D861" s="160" t="str">
        <f>'900000'!$AD$15</f>
        <v>C09903003</v>
      </c>
      <c r="E861" s="568">
        <f>'900000'!$AD81</f>
        <v>0</v>
      </c>
      <c r="F861" s="27" t="s">
        <v>19081</v>
      </c>
    </row>
    <row r="862" spans="1:6">
      <c r="A862" s="27" t="str">
        <f>Resultados!$K$3</f>
        <v/>
      </c>
      <c r="B862" s="27" t="str">
        <f>Resultados!$K$4</f>
        <v/>
      </c>
      <c r="C862" s="568" t="str">
        <f>'900000'!$B82</f>
        <v>09901062</v>
      </c>
      <c r="D862" s="160" t="str">
        <f>'900000'!$AD$15</f>
        <v>C09903003</v>
      </c>
      <c r="E862" s="568">
        <f>'900000'!$AD82</f>
        <v>0</v>
      </c>
      <c r="F862" s="27" t="s">
        <v>19081</v>
      </c>
    </row>
    <row r="863" spans="1:6">
      <c r="A863" s="27" t="str">
        <f>Resultados!$K$3</f>
        <v/>
      </c>
      <c r="B863" s="27" t="str">
        <f>Resultados!$K$4</f>
        <v/>
      </c>
      <c r="C863" s="568" t="str">
        <f>'900000'!$B83</f>
        <v>09901063</v>
      </c>
      <c r="D863" s="160" t="str">
        <f>'900000'!$AD$15</f>
        <v>C09903003</v>
      </c>
      <c r="E863" s="568">
        <f>'900000'!$AD83</f>
        <v>0</v>
      </c>
      <c r="F863" s="27" t="s">
        <v>19081</v>
      </c>
    </row>
    <row r="864" spans="1:6">
      <c r="A864" s="27" t="str">
        <f>Resultados!$K$3</f>
        <v/>
      </c>
      <c r="B864" s="27" t="str">
        <f>Resultados!$K$4</f>
        <v/>
      </c>
      <c r="C864" s="568" t="str">
        <f>'900000'!$B84</f>
        <v>09901064</v>
      </c>
      <c r="D864" s="160" t="str">
        <f>'900000'!$AD$15</f>
        <v>C09903003</v>
      </c>
      <c r="E864" s="568">
        <f>'900000'!$AD84</f>
        <v>0</v>
      </c>
      <c r="F864" s="27" t="s">
        <v>19081</v>
      </c>
    </row>
    <row r="865" spans="1:6">
      <c r="A865" s="27" t="str">
        <f>Resultados!$K$3</f>
        <v/>
      </c>
      <c r="B865" s="27" t="str">
        <f>Resultados!$K$4</f>
        <v/>
      </c>
      <c r="C865" s="568" t="str">
        <f>'900000'!$B85</f>
        <v>09901065</v>
      </c>
      <c r="D865" s="160" t="str">
        <f>'900000'!$AD$15</f>
        <v>C09903003</v>
      </c>
      <c r="E865" s="568">
        <f>'900000'!$AD85</f>
        <v>0</v>
      </c>
      <c r="F865" s="27" t="s">
        <v>19081</v>
      </c>
    </row>
    <row r="866" spans="1:6">
      <c r="A866" s="27" t="str">
        <f>Resultados!$K$3</f>
        <v/>
      </c>
      <c r="B866" s="27" t="str">
        <f>Resultados!$K$4</f>
        <v/>
      </c>
      <c r="C866" s="568" t="str">
        <f>'900000'!$B86</f>
        <v>09901066</v>
      </c>
      <c r="D866" s="160" t="str">
        <f>'900000'!$AD$15</f>
        <v>C09903003</v>
      </c>
      <c r="E866" s="568">
        <f>'900000'!$AD86</f>
        <v>0</v>
      </c>
      <c r="F866" s="27" t="s">
        <v>19081</v>
      </c>
    </row>
    <row r="867" spans="1:6">
      <c r="A867" s="27" t="str">
        <f>Resultados!$K$3</f>
        <v/>
      </c>
      <c r="B867" s="27" t="str">
        <f>Resultados!$K$4</f>
        <v/>
      </c>
      <c r="C867" s="568" t="str">
        <f>'900000'!$B87</f>
        <v>09901067</v>
      </c>
      <c r="D867" s="160" t="str">
        <f>'900000'!$AD$15</f>
        <v>C09903003</v>
      </c>
      <c r="E867" s="568">
        <f>'900000'!$AD87</f>
        <v>0</v>
      </c>
      <c r="F867" s="27" t="s">
        <v>19081</v>
      </c>
    </row>
    <row r="868" spans="1:6">
      <c r="A868" s="27" t="str">
        <f>Resultados!$K$3</f>
        <v/>
      </c>
      <c r="B868" s="27" t="str">
        <f>Resultados!$K$4</f>
        <v/>
      </c>
      <c r="C868" s="568" t="str">
        <f>'900000'!$B88</f>
        <v>09901068</v>
      </c>
      <c r="D868" s="160" t="str">
        <f>'900000'!$AD$15</f>
        <v>C09903003</v>
      </c>
      <c r="E868" s="568">
        <f>'900000'!$AD88</f>
        <v>0</v>
      </c>
      <c r="F868" s="27" t="s">
        <v>19081</v>
      </c>
    </row>
    <row r="869" spans="1:6">
      <c r="A869" s="27" t="str">
        <f>Resultados!$K$3</f>
        <v/>
      </c>
      <c r="B869" s="27" t="str">
        <f>Resultados!$K$4</f>
        <v/>
      </c>
      <c r="C869" s="568" t="str">
        <f>'900000'!$B89</f>
        <v>09901069</v>
      </c>
      <c r="D869" s="160" t="str">
        <f>'900000'!$AD$15</f>
        <v>C09903003</v>
      </c>
      <c r="E869" s="568">
        <f>'900000'!$AD89</f>
        <v>0</v>
      </c>
      <c r="F869" s="27" t="s">
        <v>19081</v>
      </c>
    </row>
    <row r="870" spans="1:6">
      <c r="A870" s="27" t="str">
        <f>Resultados!$K$3</f>
        <v/>
      </c>
      <c r="B870" s="27" t="str">
        <f>Resultados!$K$4</f>
        <v/>
      </c>
      <c r="C870" s="568" t="str">
        <f>'900000'!$B90</f>
        <v>09901070</v>
      </c>
      <c r="D870" s="160" t="str">
        <f>'900000'!$AD$15</f>
        <v>C09903003</v>
      </c>
      <c r="E870" s="568">
        <f>'900000'!$AD90</f>
        <v>0</v>
      </c>
      <c r="F870" s="27" t="s">
        <v>19081</v>
      </c>
    </row>
    <row r="871" spans="1:6">
      <c r="A871" s="27" t="str">
        <f>Resultados!$K$3</f>
        <v/>
      </c>
      <c r="B871" s="27" t="str">
        <f>Resultados!$K$4</f>
        <v/>
      </c>
      <c r="C871" s="568" t="str">
        <f>'900000'!$B91</f>
        <v>09901071</v>
      </c>
      <c r="D871" s="160" t="str">
        <f>'900000'!$AD$15</f>
        <v>C09903003</v>
      </c>
      <c r="E871" s="568">
        <f>'900000'!$AD91</f>
        <v>0</v>
      </c>
      <c r="F871" s="27" t="s">
        <v>19081</v>
      </c>
    </row>
    <row r="872" spans="1:6">
      <c r="A872" s="27" t="str">
        <f>Resultados!$K$3</f>
        <v/>
      </c>
      <c r="B872" s="27" t="str">
        <f>Resultados!$K$4</f>
        <v/>
      </c>
      <c r="C872" s="568" t="str">
        <f>'900000'!$B92</f>
        <v>09901072</v>
      </c>
      <c r="D872" s="160" t="str">
        <f>'900000'!$AD$15</f>
        <v>C09903003</v>
      </c>
      <c r="E872" s="568">
        <f>'900000'!$AD92</f>
        <v>0</v>
      </c>
      <c r="F872" s="27" t="s">
        <v>19081</v>
      </c>
    </row>
    <row r="873" spans="1:6">
      <c r="A873" s="27" t="str">
        <f>Resultados!$K$3</f>
        <v/>
      </c>
      <c r="B873" s="27" t="str">
        <f>Resultados!$K$4</f>
        <v/>
      </c>
      <c r="C873" s="568" t="str">
        <f>'900000'!$B93</f>
        <v>09901073</v>
      </c>
      <c r="D873" s="160" t="str">
        <f>'900000'!$AD$15</f>
        <v>C09903003</v>
      </c>
      <c r="E873" s="568">
        <f>'900000'!$AD93</f>
        <v>0</v>
      </c>
      <c r="F873" s="27" t="s">
        <v>19081</v>
      </c>
    </row>
    <row r="874" spans="1:6">
      <c r="A874" s="27" t="str">
        <f>Resultados!$K$3</f>
        <v/>
      </c>
      <c r="B874" s="27" t="str">
        <f>Resultados!$K$4</f>
        <v/>
      </c>
      <c r="C874" s="568" t="str">
        <f>'900000'!$B94</f>
        <v>09901074</v>
      </c>
      <c r="D874" s="160" t="str">
        <f>'900000'!$AD$15</f>
        <v>C09903003</v>
      </c>
      <c r="E874" s="568">
        <f>'900000'!$AD94</f>
        <v>0</v>
      </c>
      <c r="F874" s="27" t="s">
        <v>19081</v>
      </c>
    </row>
    <row r="875" spans="1:6">
      <c r="A875" s="27" t="str">
        <f>Resultados!$K$3</f>
        <v/>
      </c>
      <c r="B875" s="27" t="str">
        <f>Resultados!$K$4</f>
        <v/>
      </c>
      <c r="C875" s="568" t="str">
        <f>'900000'!$B95</f>
        <v>09901075</v>
      </c>
      <c r="D875" s="160" t="str">
        <f>'900000'!$AD$15</f>
        <v>C09903003</v>
      </c>
      <c r="E875" s="568">
        <f>'900000'!$AD95</f>
        <v>0</v>
      </c>
      <c r="F875" s="27" t="s">
        <v>19081</v>
      </c>
    </row>
    <row r="876" spans="1:6">
      <c r="A876" s="27" t="str">
        <f>Resultados!$K$3</f>
        <v/>
      </c>
      <c r="B876" s="27" t="str">
        <f>Resultados!$K$4</f>
        <v/>
      </c>
      <c r="C876" s="568" t="str">
        <f>'900000'!$B96</f>
        <v>09901076</v>
      </c>
      <c r="D876" s="160" t="str">
        <f>'900000'!$AD$15</f>
        <v>C09903003</v>
      </c>
      <c r="E876" s="568">
        <f>'900000'!$AD96</f>
        <v>0</v>
      </c>
      <c r="F876" s="27" t="s">
        <v>19081</v>
      </c>
    </row>
    <row r="877" spans="1:6">
      <c r="A877" s="27" t="str">
        <f>Resultados!$K$3</f>
        <v/>
      </c>
      <c r="B877" s="27" t="str">
        <f>Resultados!$K$4</f>
        <v/>
      </c>
      <c r="C877" s="568" t="str">
        <f>'900000'!$B97</f>
        <v>09901077</v>
      </c>
      <c r="D877" s="160" t="str">
        <f>'900000'!$AD$15</f>
        <v>C09903003</v>
      </c>
      <c r="E877" s="568">
        <f>'900000'!$AD97</f>
        <v>0</v>
      </c>
      <c r="F877" s="27" t="s">
        <v>19081</v>
      </c>
    </row>
    <row r="878" spans="1:6">
      <c r="A878" s="27" t="str">
        <f>Resultados!$K$3</f>
        <v/>
      </c>
      <c r="B878" s="27" t="str">
        <f>Resultados!$K$4</f>
        <v/>
      </c>
      <c r="C878" s="568" t="str">
        <f>'900000'!$B98</f>
        <v>09901078</v>
      </c>
      <c r="D878" s="160" t="str">
        <f>'900000'!$AD$15</f>
        <v>C09903003</v>
      </c>
      <c r="E878" s="568">
        <f>'900000'!$AD98</f>
        <v>0</v>
      </c>
      <c r="F878" s="27" t="s">
        <v>19081</v>
      </c>
    </row>
    <row r="879" spans="1:6">
      <c r="A879" s="27" t="str">
        <f>Resultados!$K$3</f>
        <v/>
      </c>
      <c r="B879" s="27" t="str">
        <f>Resultados!$K$4</f>
        <v/>
      </c>
      <c r="C879" s="568" t="str">
        <f>'900000'!$B99</f>
        <v>09901079</v>
      </c>
      <c r="D879" s="160" t="str">
        <f>'900000'!$AD$15</f>
        <v>C09903003</v>
      </c>
      <c r="E879" s="568">
        <f>'900000'!$AD99</f>
        <v>0</v>
      </c>
      <c r="F879" s="27" t="s">
        <v>19081</v>
      </c>
    </row>
    <row r="880" spans="1:6">
      <c r="A880" s="27" t="str">
        <f>Resultados!$K$3</f>
        <v/>
      </c>
      <c r="B880" s="27" t="str">
        <f>Resultados!$K$4</f>
        <v/>
      </c>
      <c r="C880" s="568" t="str">
        <f>'900000'!$B100</f>
        <v>09901080</v>
      </c>
      <c r="D880" s="160" t="str">
        <f>'900000'!$AD$15</f>
        <v>C09903003</v>
      </c>
      <c r="E880" s="568">
        <f>'900000'!$AD100</f>
        <v>0</v>
      </c>
      <c r="F880" s="27" t="s">
        <v>19081</v>
      </c>
    </row>
    <row r="881" spans="1:6">
      <c r="A881" s="27" t="str">
        <f>Resultados!$K$3</f>
        <v/>
      </c>
      <c r="B881" s="27" t="str">
        <f>Resultados!$K$4</f>
        <v/>
      </c>
      <c r="C881" s="568" t="str">
        <f>'900000'!$B101</f>
        <v>09901081</v>
      </c>
      <c r="D881" s="160" t="str">
        <f>'900000'!$AD$15</f>
        <v>C09903003</v>
      </c>
      <c r="E881" s="568">
        <f>'900000'!$AD101</f>
        <v>0</v>
      </c>
      <c r="F881" s="27" t="s">
        <v>19081</v>
      </c>
    </row>
    <row r="882" spans="1:6">
      <c r="A882" s="27" t="str">
        <f>Resultados!$K$3</f>
        <v/>
      </c>
      <c r="B882" s="27" t="str">
        <f>Resultados!$K$4</f>
        <v/>
      </c>
      <c r="C882" s="568" t="str">
        <f>'900000'!$B102</f>
        <v>09901082</v>
      </c>
      <c r="D882" s="160" t="str">
        <f>'900000'!$AD$15</f>
        <v>C09903003</v>
      </c>
      <c r="E882" s="568">
        <f>'900000'!$AD102</f>
        <v>0</v>
      </c>
      <c r="F882" s="27" t="s">
        <v>19081</v>
      </c>
    </row>
    <row r="883" spans="1:6">
      <c r="A883" s="27" t="str">
        <f>Resultados!$K$3</f>
        <v/>
      </c>
      <c r="B883" s="27" t="str">
        <f>Resultados!$K$4</f>
        <v/>
      </c>
      <c r="C883" s="568" t="str">
        <f>'900000'!$B103</f>
        <v>09901083</v>
      </c>
      <c r="D883" s="160" t="str">
        <f>'900000'!$AD$15</f>
        <v>C09903003</v>
      </c>
      <c r="E883" s="568">
        <f>'900000'!$AD103</f>
        <v>0</v>
      </c>
      <c r="F883" s="27" t="s">
        <v>19081</v>
      </c>
    </row>
    <row r="884" spans="1:6">
      <c r="A884" s="27" t="str">
        <f>Resultados!$K$3</f>
        <v/>
      </c>
      <c r="B884" s="27" t="str">
        <f>Resultados!$K$4</f>
        <v/>
      </c>
      <c r="C884" s="568" t="str">
        <f>'900000'!$B104</f>
        <v>09901084</v>
      </c>
      <c r="D884" s="160" t="str">
        <f>'900000'!$AD$15</f>
        <v>C09903003</v>
      </c>
      <c r="E884" s="568">
        <f>'900000'!$AD104</f>
        <v>0</v>
      </c>
      <c r="F884" s="27" t="s">
        <v>19081</v>
      </c>
    </row>
    <row r="885" spans="1:6">
      <c r="A885" s="27" t="str">
        <f>Resultados!$K$3</f>
        <v/>
      </c>
      <c r="B885" s="27" t="str">
        <f>Resultados!$K$4</f>
        <v/>
      </c>
      <c r="C885" s="568" t="str">
        <f>'900000'!$B105</f>
        <v>09901085</v>
      </c>
      <c r="D885" s="160" t="str">
        <f>'900000'!$AD$15</f>
        <v>C09903003</v>
      </c>
      <c r="E885" s="568">
        <f>'900000'!$AD105</f>
        <v>0</v>
      </c>
      <c r="F885" s="27" t="s">
        <v>19081</v>
      </c>
    </row>
    <row r="886" spans="1:6">
      <c r="A886" s="27" t="str">
        <f>Resultados!$K$3</f>
        <v/>
      </c>
      <c r="B886" s="27" t="str">
        <f>Resultados!$K$4</f>
        <v/>
      </c>
      <c r="C886" s="568" t="str">
        <f>'900000'!$B106</f>
        <v>09901086</v>
      </c>
      <c r="D886" s="160" t="str">
        <f>'900000'!$AD$15</f>
        <v>C09903003</v>
      </c>
      <c r="E886" s="568">
        <f>'900000'!$AD106</f>
        <v>0</v>
      </c>
      <c r="F886" s="27" t="s">
        <v>19081</v>
      </c>
    </row>
    <row r="887" spans="1:6">
      <c r="A887" s="27" t="str">
        <f>Resultados!$K$3</f>
        <v/>
      </c>
      <c r="B887" s="27" t="str">
        <f>Resultados!$K$4</f>
        <v/>
      </c>
      <c r="C887" s="568" t="str">
        <f>'900000'!$B107</f>
        <v>09901087</v>
      </c>
      <c r="D887" s="160" t="str">
        <f>'900000'!$AD$15</f>
        <v>C09903003</v>
      </c>
      <c r="E887" s="568">
        <f>'900000'!$AD107</f>
        <v>0</v>
      </c>
      <c r="F887" s="27" t="s">
        <v>19081</v>
      </c>
    </row>
    <row r="888" spans="1:6">
      <c r="A888" s="27" t="str">
        <f>Resultados!$K$3</f>
        <v/>
      </c>
      <c r="B888" s="27" t="str">
        <f>Resultados!$K$4</f>
        <v/>
      </c>
      <c r="C888" s="568" t="str">
        <f>'900000'!$B108</f>
        <v>09901088</v>
      </c>
      <c r="D888" s="160" t="str">
        <f>'900000'!$AD$15</f>
        <v>C09903003</v>
      </c>
      <c r="E888" s="568">
        <f>'900000'!$AD108</f>
        <v>0</v>
      </c>
      <c r="F888" s="27" t="s">
        <v>19081</v>
      </c>
    </row>
    <row r="889" spans="1:6">
      <c r="A889" s="27" t="str">
        <f>Resultados!$K$3</f>
        <v/>
      </c>
      <c r="B889" s="27" t="str">
        <f>Resultados!$K$4</f>
        <v/>
      </c>
      <c r="C889" s="568" t="str">
        <f>'900000'!$B109</f>
        <v>09901089</v>
      </c>
      <c r="D889" s="160" t="str">
        <f>'900000'!$AD$15</f>
        <v>C09903003</v>
      </c>
      <c r="E889" s="568">
        <f>'900000'!$AD109</f>
        <v>0</v>
      </c>
      <c r="F889" s="27" t="s">
        <v>19081</v>
      </c>
    </row>
    <row r="890" spans="1:6">
      <c r="A890" s="27" t="str">
        <f>Resultados!$K$3</f>
        <v/>
      </c>
      <c r="B890" s="27" t="str">
        <f>Resultados!$K$4</f>
        <v/>
      </c>
      <c r="C890" s="568" t="str">
        <f>'900000'!$B110</f>
        <v>09901090</v>
      </c>
      <c r="D890" s="160" t="str">
        <f>'900000'!$AD$15</f>
        <v>C09903003</v>
      </c>
      <c r="E890" s="568">
        <f>'900000'!$AD110</f>
        <v>0</v>
      </c>
      <c r="F890" s="27" t="s">
        <v>19081</v>
      </c>
    </row>
    <row r="891" spans="1:6">
      <c r="A891" s="27" t="str">
        <f>Resultados!$K$3</f>
        <v/>
      </c>
      <c r="B891" s="27" t="str">
        <f>Resultados!$K$4</f>
        <v/>
      </c>
      <c r="C891" s="568" t="str">
        <f>'900000'!$B111</f>
        <v>09901091</v>
      </c>
      <c r="D891" s="160" t="str">
        <f>'900000'!$AD$15</f>
        <v>C09903003</v>
      </c>
      <c r="E891" s="568">
        <f>'900000'!$AD111</f>
        <v>0</v>
      </c>
      <c r="F891" s="27" t="s">
        <v>19081</v>
      </c>
    </row>
    <row r="892" spans="1:6">
      <c r="A892" s="27" t="str">
        <f>Resultados!$K$3</f>
        <v/>
      </c>
      <c r="B892" s="27" t="str">
        <f>Resultados!$K$4</f>
        <v/>
      </c>
      <c r="C892" s="568" t="str">
        <f>'900000'!$B112</f>
        <v>09901092</v>
      </c>
      <c r="D892" s="160" t="str">
        <f>'900000'!$AD$15</f>
        <v>C09903003</v>
      </c>
      <c r="E892" s="568">
        <f>'900000'!$AD112</f>
        <v>0</v>
      </c>
      <c r="F892" s="27" t="s">
        <v>19081</v>
      </c>
    </row>
    <row r="893" spans="1:6">
      <c r="A893" s="27" t="str">
        <f>Resultados!$K$3</f>
        <v/>
      </c>
      <c r="B893" s="27" t="str">
        <f>Resultados!$K$4</f>
        <v/>
      </c>
      <c r="C893" s="568" t="str">
        <f>'900000'!$B113</f>
        <v>09901093</v>
      </c>
      <c r="D893" s="160" t="str">
        <f>'900000'!$AD$15</f>
        <v>C09903003</v>
      </c>
      <c r="E893" s="568">
        <f>'900000'!$AD113</f>
        <v>0</v>
      </c>
      <c r="F893" s="27" t="s">
        <v>19081</v>
      </c>
    </row>
    <row r="894" spans="1:6">
      <c r="A894" s="27" t="str">
        <f>Resultados!$K$3</f>
        <v/>
      </c>
      <c r="B894" s="27" t="str">
        <f>Resultados!$K$4</f>
        <v/>
      </c>
      <c r="C894" s="568" t="str">
        <f>'900000'!$B114</f>
        <v>09901094</v>
      </c>
      <c r="D894" s="160" t="str">
        <f>'900000'!$AD$15</f>
        <v>C09903003</v>
      </c>
      <c r="E894" s="568">
        <f>'900000'!$AD114</f>
        <v>0</v>
      </c>
      <c r="F894" s="27" t="s">
        <v>19081</v>
      </c>
    </row>
    <row r="895" spans="1:6">
      <c r="A895" s="27" t="str">
        <f>Resultados!$K$3</f>
        <v/>
      </c>
      <c r="B895" s="27" t="str">
        <f>Resultados!$K$4</f>
        <v/>
      </c>
      <c r="C895" s="568" t="str">
        <f>'900000'!$B115</f>
        <v>09901095</v>
      </c>
      <c r="D895" s="160" t="str">
        <f>'900000'!$AD$15</f>
        <v>C09903003</v>
      </c>
      <c r="E895" s="568">
        <f>'900000'!$AD115</f>
        <v>0</v>
      </c>
      <c r="F895" s="27" t="s">
        <v>19081</v>
      </c>
    </row>
    <row r="896" spans="1:6">
      <c r="A896" s="27" t="str">
        <f>Resultados!$K$3</f>
        <v/>
      </c>
      <c r="B896" s="27" t="str">
        <f>Resultados!$K$4</f>
        <v/>
      </c>
      <c r="C896" s="568" t="str">
        <f>'900000'!$B116</f>
        <v>09901096</v>
      </c>
      <c r="D896" s="160" t="str">
        <f>'900000'!$AD$15</f>
        <v>C09903003</v>
      </c>
      <c r="E896" s="568">
        <f>'900000'!$AD116</f>
        <v>0</v>
      </c>
      <c r="F896" s="27" t="s">
        <v>19081</v>
      </c>
    </row>
    <row r="897" spans="1:6">
      <c r="A897" s="27" t="str">
        <f>Resultados!$K$3</f>
        <v/>
      </c>
      <c r="B897" s="27" t="str">
        <f>Resultados!$K$4</f>
        <v/>
      </c>
      <c r="C897" s="568" t="str">
        <f>'900000'!$B117</f>
        <v>09901097</v>
      </c>
      <c r="D897" s="160" t="str">
        <f>'900000'!$AD$15</f>
        <v>C09903003</v>
      </c>
      <c r="E897" s="568">
        <f>'900000'!$AD117</f>
        <v>0</v>
      </c>
      <c r="F897" s="27" t="s">
        <v>19081</v>
      </c>
    </row>
    <row r="898" spans="1:6">
      <c r="A898" s="27" t="str">
        <f>Resultados!$K$3</f>
        <v/>
      </c>
      <c r="B898" s="27" t="str">
        <f>Resultados!$K$4</f>
        <v/>
      </c>
      <c r="C898" s="568" t="str">
        <f>'900000'!$B118</f>
        <v>09901098</v>
      </c>
      <c r="D898" s="160" t="str">
        <f>'900000'!$AD$15</f>
        <v>C09903003</v>
      </c>
      <c r="E898" s="568">
        <f>'900000'!$AD118</f>
        <v>0</v>
      </c>
      <c r="F898" s="27" t="s">
        <v>19081</v>
      </c>
    </row>
    <row r="899" spans="1:6">
      <c r="A899" s="27" t="str">
        <f>Resultados!$K$3</f>
        <v/>
      </c>
      <c r="B899" s="27" t="str">
        <f>Resultados!$K$4</f>
        <v/>
      </c>
      <c r="C899" s="568" t="str">
        <f>'900000'!$B119</f>
        <v>09901099</v>
      </c>
      <c r="D899" s="160" t="str">
        <f>'900000'!$AD$15</f>
        <v>C09903003</v>
      </c>
      <c r="E899" s="568">
        <f>'900000'!$AD119</f>
        <v>0</v>
      </c>
      <c r="F899" s="27" t="s">
        <v>19081</v>
      </c>
    </row>
    <row r="900" spans="1:6">
      <c r="A900" s="27" t="str">
        <f>Resultados!$K$3</f>
        <v/>
      </c>
      <c r="B900" s="27" t="str">
        <f>Resultados!$K$4</f>
        <v/>
      </c>
      <c r="C900" s="568" t="str">
        <f>'900000'!$B120</f>
        <v>09901100</v>
      </c>
      <c r="D900" s="160" t="str">
        <f>'900000'!$AD$15</f>
        <v>C09903003</v>
      </c>
      <c r="E900" s="568">
        <f>'900000'!$AD120</f>
        <v>0</v>
      </c>
      <c r="F900" s="27" t="s">
        <v>19081</v>
      </c>
    </row>
    <row r="901" spans="1:6">
      <c r="A901" s="27" t="str">
        <f>Resultados!$K$3</f>
        <v/>
      </c>
      <c r="B901" s="27" t="str">
        <f>Resultados!$K$4</f>
        <v/>
      </c>
      <c r="C901" s="568" t="str">
        <f>'900000'!$B121</f>
        <v>09901101</v>
      </c>
      <c r="D901" s="160" t="str">
        <f>'900000'!$AD$15</f>
        <v>C09903003</v>
      </c>
      <c r="E901" s="568">
        <f>'900000'!$AD121</f>
        <v>0</v>
      </c>
      <c r="F901" s="27" t="s">
        <v>19081</v>
      </c>
    </row>
    <row r="902" spans="1:6">
      <c r="A902" s="27" t="str">
        <f>Resultados!$K$3</f>
        <v/>
      </c>
      <c r="B902" s="27" t="str">
        <f>Resultados!$K$4</f>
        <v/>
      </c>
      <c r="C902" s="568" t="str">
        <f>'900000'!$B22</f>
        <v>09901002</v>
      </c>
      <c r="D902" s="160" t="str">
        <f>'900000'!$AG$15</f>
        <v>C09903006</v>
      </c>
      <c r="E902" s="568">
        <f>'900000'!$AG22</f>
        <v>0</v>
      </c>
      <c r="F902" s="27" t="s">
        <v>19081</v>
      </c>
    </row>
    <row r="903" spans="1:6">
      <c r="A903" s="27" t="str">
        <f>Resultados!$K$3</f>
        <v/>
      </c>
      <c r="B903" s="27" t="str">
        <f>Resultados!$K$4</f>
        <v/>
      </c>
      <c r="C903" s="568" t="str">
        <f>'900000'!$B23</f>
        <v>09901003</v>
      </c>
      <c r="D903" s="160" t="str">
        <f>'900000'!$AG$15</f>
        <v>C09903006</v>
      </c>
      <c r="E903" s="568">
        <f>'900000'!$AG23</f>
        <v>0</v>
      </c>
      <c r="F903" s="27" t="s">
        <v>19081</v>
      </c>
    </row>
    <row r="904" spans="1:6">
      <c r="A904" s="27" t="str">
        <f>Resultados!$K$3</f>
        <v/>
      </c>
      <c r="B904" s="27" t="str">
        <f>Resultados!$K$4</f>
        <v/>
      </c>
      <c r="C904" s="568" t="str">
        <f>'900000'!$B24</f>
        <v>09901004</v>
      </c>
      <c r="D904" s="160" t="str">
        <f>'900000'!$AG$15</f>
        <v>C09903006</v>
      </c>
      <c r="E904" s="568">
        <f>'900000'!$AG24</f>
        <v>0</v>
      </c>
      <c r="F904" s="27" t="s">
        <v>19081</v>
      </c>
    </row>
    <row r="905" spans="1:6">
      <c r="A905" s="27" t="str">
        <f>Resultados!$K$3</f>
        <v/>
      </c>
      <c r="B905" s="27" t="str">
        <f>Resultados!$K$4</f>
        <v/>
      </c>
      <c r="C905" s="568" t="str">
        <f>'900000'!$B25</f>
        <v>09901005</v>
      </c>
      <c r="D905" s="160" t="str">
        <f>'900000'!$AG$15</f>
        <v>C09903006</v>
      </c>
      <c r="E905" s="568">
        <f>'900000'!$AG25</f>
        <v>0</v>
      </c>
      <c r="F905" s="27" t="s">
        <v>19081</v>
      </c>
    </row>
    <row r="906" spans="1:6">
      <c r="A906" s="27" t="str">
        <f>Resultados!$K$3</f>
        <v/>
      </c>
      <c r="B906" s="27" t="str">
        <f>Resultados!$K$4</f>
        <v/>
      </c>
      <c r="C906" s="568" t="str">
        <f>'900000'!$B26</f>
        <v>09901006</v>
      </c>
      <c r="D906" s="160" t="str">
        <f>'900000'!$AG$15</f>
        <v>C09903006</v>
      </c>
      <c r="E906" s="568">
        <f>'900000'!$AG26</f>
        <v>0</v>
      </c>
      <c r="F906" s="27" t="s">
        <v>19081</v>
      </c>
    </row>
    <row r="907" spans="1:6">
      <c r="A907" s="27" t="str">
        <f>Resultados!$K$3</f>
        <v/>
      </c>
      <c r="B907" s="27" t="str">
        <f>Resultados!$K$4</f>
        <v/>
      </c>
      <c r="C907" s="568" t="str">
        <f>'900000'!$B27</f>
        <v>09901007</v>
      </c>
      <c r="D907" s="160" t="str">
        <f>'900000'!$AG$15</f>
        <v>C09903006</v>
      </c>
      <c r="E907" s="568">
        <f>'900000'!$AG27</f>
        <v>0</v>
      </c>
      <c r="F907" s="27" t="s">
        <v>19081</v>
      </c>
    </row>
    <row r="908" spans="1:6">
      <c r="A908" s="27" t="str">
        <f>Resultados!$K$3</f>
        <v/>
      </c>
      <c r="B908" s="27" t="str">
        <f>Resultados!$K$4</f>
        <v/>
      </c>
      <c r="C908" s="568" t="str">
        <f>'900000'!$B28</f>
        <v>09901008</v>
      </c>
      <c r="D908" s="160" t="str">
        <f>'900000'!$AG$15</f>
        <v>C09903006</v>
      </c>
      <c r="E908" s="568">
        <f>'900000'!$AG28</f>
        <v>0</v>
      </c>
      <c r="F908" s="27" t="s">
        <v>19081</v>
      </c>
    </row>
    <row r="909" spans="1:6">
      <c r="A909" s="27" t="str">
        <f>Resultados!$K$3</f>
        <v/>
      </c>
      <c r="B909" s="27" t="str">
        <f>Resultados!$K$4</f>
        <v/>
      </c>
      <c r="C909" s="568" t="str">
        <f>'900000'!$B29</f>
        <v>09901009</v>
      </c>
      <c r="D909" s="160" t="str">
        <f>'900000'!$AG$15</f>
        <v>C09903006</v>
      </c>
      <c r="E909" s="568">
        <f>'900000'!$AG29</f>
        <v>0</v>
      </c>
      <c r="F909" s="27" t="s">
        <v>19081</v>
      </c>
    </row>
    <row r="910" spans="1:6">
      <c r="A910" s="27" t="str">
        <f>Resultados!$K$3</f>
        <v/>
      </c>
      <c r="B910" s="27" t="str">
        <f>Resultados!$K$4</f>
        <v/>
      </c>
      <c r="C910" s="568" t="str">
        <f>'900000'!$B30</f>
        <v>09901010</v>
      </c>
      <c r="D910" s="160" t="str">
        <f>'900000'!$AG$15</f>
        <v>C09903006</v>
      </c>
      <c r="E910" s="568">
        <f>'900000'!$AG30</f>
        <v>0</v>
      </c>
      <c r="F910" s="27" t="s">
        <v>19081</v>
      </c>
    </row>
    <row r="911" spans="1:6">
      <c r="A911" s="27" t="str">
        <f>Resultados!$K$3</f>
        <v/>
      </c>
      <c r="B911" s="27" t="str">
        <f>Resultados!$K$4</f>
        <v/>
      </c>
      <c r="C911" s="568" t="str">
        <f>'900000'!$B31</f>
        <v>09901011</v>
      </c>
      <c r="D911" s="160" t="str">
        <f>'900000'!$AG$15</f>
        <v>C09903006</v>
      </c>
      <c r="E911" s="568">
        <f>'900000'!$AG31</f>
        <v>0</v>
      </c>
      <c r="F911" s="27" t="s">
        <v>19081</v>
      </c>
    </row>
    <row r="912" spans="1:6">
      <c r="A912" s="27" t="str">
        <f>Resultados!$K$3</f>
        <v/>
      </c>
      <c r="B912" s="27" t="str">
        <f>Resultados!$K$4</f>
        <v/>
      </c>
      <c r="C912" s="568" t="str">
        <f>'900000'!$B32</f>
        <v>09901012</v>
      </c>
      <c r="D912" s="160" t="str">
        <f>'900000'!$AG$15</f>
        <v>C09903006</v>
      </c>
      <c r="E912" s="568">
        <f>'900000'!$AG32</f>
        <v>0</v>
      </c>
      <c r="F912" s="27" t="s">
        <v>19081</v>
      </c>
    </row>
    <row r="913" spans="1:6">
      <c r="A913" s="27" t="str">
        <f>Resultados!$K$3</f>
        <v/>
      </c>
      <c r="B913" s="27" t="str">
        <f>Resultados!$K$4</f>
        <v/>
      </c>
      <c r="C913" s="568" t="str">
        <f>'900000'!$B33</f>
        <v>09901013</v>
      </c>
      <c r="D913" s="160" t="str">
        <f>'900000'!$AG$15</f>
        <v>C09903006</v>
      </c>
      <c r="E913" s="568">
        <f>'900000'!$AG33</f>
        <v>0</v>
      </c>
      <c r="F913" s="27" t="s">
        <v>19081</v>
      </c>
    </row>
    <row r="914" spans="1:6">
      <c r="A914" s="27" t="str">
        <f>Resultados!$K$3</f>
        <v/>
      </c>
      <c r="B914" s="27" t="str">
        <f>Resultados!$K$4</f>
        <v/>
      </c>
      <c r="C914" s="568" t="str">
        <f>'900000'!$B34</f>
        <v>09901014</v>
      </c>
      <c r="D914" s="160" t="str">
        <f>'900000'!$AG$15</f>
        <v>C09903006</v>
      </c>
      <c r="E914" s="568">
        <f>'900000'!$AG34</f>
        <v>0</v>
      </c>
      <c r="F914" s="27" t="s">
        <v>19081</v>
      </c>
    </row>
    <row r="915" spans="1:6">
      <c r="A915" s="27" t="str">
        <f>Resultados!$K$3</f>
        <v/>
      </c>
      <c r="B915" s="27" t="str">
        <f>Resultados!$K$4</f>
        <v/>
      </c>
      <c r="C915" s="568" t="str">
        <f>'900000'!$B35</f>
        <v>09901015</v>
      </c>
      <c r="D915" s="160" t="str">
        <f>'900000'!$AG$15</f>
        <v>C09903006</v>
      </c>
      <c r="E915" s="568">
        <f>'900000'!$AG35</f>
        <v>0</v>
      </c>
      <c r="F915" s="27" t="s">
        <v>19081</v>
      </c>
    </row>
    <row r="916" spans="1:6">
      <c r="A916" s="27" t="str">
        <f>Resultados!$K$3</f>
        <v/>
      </c>
      <c r="B916" s="27" t="str">
        <f>Resultados!$K$4</f>
        <v/>
      </c>
      <c r="C916" s="568" t="str">
        <f>'900000'!$B36</f>
        <v>09901016</v>
      </c>
      <c r="D916" s="160" t="str">
        <f>'900000'!$AG$15</f>
        <v>C09903006</v>
      </c>
      <c r="E916" s="568">
        <f>'900000'!$AG36</f>
        <v>0</v>
      </c>
      <c r="F916" s="27" t="s">
        <v>19081</v>
      </c>
    </row>
    <row r="917" spans="1:6">
      <c r="A917" s="27" t="str">
        <f>Resultados!$K$3</f>
        <v/>
      </c>
      <c r="B917" s="27" t="str">
        <f>Resultados!$K$4</f>
        <v/>
      </c>
      <c r="C917" s="568" t="str">
        <f>'900000'!$B37</f>
        <v>09901017</v>
      </c>
      <c r="D917" s="160" t="str">
        <f>'900000'!$AG$15</f>
        <v>C09903006</v>
      </c>
      <c r="E917" s="568">
        <f>'900000'!$AG37</f>
        <v>0</v>
      </c>
      <c r="F917" s="27" t="s">
        <v>19081</v>
      </c>
    </row>
    <row r="918" spans="1:6">
      <c r="A918" s="27" t="str">
        <f>Resultados!$K$3</f>
        <v/>
      </c>
      <c r="B918" s="27" t="str">
        <f>Resultados!$K$4</f>
        <v/>
      </c>
      <c r="C918" s="568" t="str">
        <f>'900000'!$B38</f>
        <v>09901018</v>
      </c>
      <c r="D918" s="160" t="str">
        <f>'900000'!$AG$15</f>
        <v>C09903006</v>
      </c>
      <c r="E918" s="568">
        <f>'900000'!$AG38</f>
        <v>0</v>
      </c>
      <c r="F918" s="27" t="s">
        <v>19081</v>
      </c>
    </row>
    <row r="919" spans="1:6">
      <c r="A919" s="27" t="str">
        <f>Resultados!$K$3</f>
        <v/>
      </c>
      <c r="B919" s="27" t="str">
        <f>Resultados!$K$4</f>
        <v/>
      </c>
      <c r="C919" s="568" t="str">
        <f>'900000'!$B39</f>
        <v>09901019</v>
      </c>
      <c r="D919" s="160" t="str">
        <f>'900000'!$AG$15</f>
        <v>C09903006</v>
      </c>
      <c r="E919" s="568">
        <f>'900000'!$AG39</f>
        <v>0</v>
      </c>
      <c r="F919" s="27" t="s">
        <v>19081</v>
      </c>
    </row>
    <row r="920" spans="1:6">
      <c r="A920" s="27" t="str">
        <f>Resultados!$K$3</f>
        <v/>
      </c>
      <c r="B920" s="27" t="str">
        <f>Resultados!$K$4</f>
        <v/>
      </c>
      <c r="C920" s="568" t="str">
        <f>'900000'!$B40</f>
        <v>09901020</v>
      </c>
      <c r="D920" s="160" t="str">
        <f>'900000'!$AG$15</f>
        <v>C09903006</v>
      </c>
      <c r="E920" s="568">
        <f>'900000'!$AG40</f>
        <v>0</v>
      </c>
      <c r="F920" s="27" t="s">
        <v>19081</v>
      </c>
    </row>
    <row r="921" spans="1:6">
      <c r="A921" s="27" t="str">
        <f>Resultados!$K$3</f>
        <v/>
      </c>
      <c r="B921" s="27" t="str">
        <f>Resultados!$K$4</f>
        <v/>
      </c>
      <c r="C921" s="568" t="str">
        <f>'900000'!$B41</f>
        <v>09901021</v>
      </c>
      <c r="D921" s="160" t="str">
        <f>'900000'!$AG$15</f>
        <v>C09903006</v>
      </c>
      <c r="E921" s="568">
        <f>'900000'!$AG41</f>
        <v>0</v>
      </c>
      <c r="F921" s="27" t="s">
        <v>19081</v>
      </c>
    </row>
    <row r="922" spans="1:6">
      <c r="A922" s="27" t="str">
        <f>Resultados!$K$3</f>
        <v/>
      </c>
      <c r="B922" s="27" t="str">
        <f>Resultados!$K$4</f>
        <v/>
      </c>
      <c r="C922" s="568" t="str">
        <f>'900000'!$B42</f>
        <v>09901022</v>
      </c>
      <c r="D922" s="160" t="str">
        <f>'900000'!$AG$15</f>
        <v>C09903006</v>
      </c>
      <c r="E922" s="568">
        <f>'900000'!$AG42</f>
        <v>0</v>
      </c>
      <c r="F922" s="27" t="s">
        <v>19081</v>
      </c>
    </row>
    <row r="923" spans="1:6">
      <c r="A923" s="27" t="str">
        <f>Resultados!$K$3</f>
        <v/>
      </c>
      <c r="B923" s="27" t="str">
        <f>Resultados!$K$4</f>
        <v/>
      </c>
      <c r="C923" s="568" t="str">
        <f>'900000'!$B43</f>
        <v>09901023</v>
      </c>
      <c r="D923" s="160" t="str">
        <f>'900000'!$AG$15</f>
        <v>C09903006</v>
      </c>
      <c r="E923" s="568">
        <f>'900000'!$AG43</f>
        <v>0</v>
      </c>
      <c r="F923" s="27" t="s">
        <v>19081</v>
      </c>
    </row>
    <row r="924" spans="1:6">
      <c r="A924" s="27" t="str">
        <f>Resultados!$K$3</f>
        <v/>
      </c>
      <c r="B924" s="27" t="str">
        <f>Resultados!$K$4</f>
        <v/>
      </c>
      <c r="C924" s="568" t="str">
        <f>'900000'!$B44</f>
        <v>09901024</v>
      </c>
      <c r="D924" s="160" t="str">
        <f>'900000'!$AG$15</f>
        <v>C09903006</v>
      </c>
      <c r="E924" s="568">
        <f>'900000'!$AG44</f>
        <v>0</v>
      </c>
      <c r="F924" s="27" t="s">
        <v>19081</v>
      </c>
    </row>
    <row r="925" spans="1:6">
      <c r="A925" s="27" t="str">
        <f>Resultados!$K$3</f>
        <v/>
      </c>
      <c r="B925" s="27" t="str">
        <f>Resultados!$K$4</f>
        <v/>
      </c>
      <c r="C925" s="568" t="str">
        <f>'900000'!$B45</f>
        <v>09901025</v>
      </c>
      <c r="D925" s="160" t="str">
        <f>'900000'!$AG$15</f>
        <v>C09903006</v>
      </c>
      <c r="E925" s="568">
        <f>'900000'!$AG45</f>
        <v>0</v>
      </c>
      <c r="F925" s="27" t="s">
        <v>19081</v>
      </c>
    </row>
    <row r="926" spans="1:6">
      <c r="A926" s="27" t="str">
        <f>Resultados!$K$3</f>
        <v/>
      </c>
      <c r="B926" s="27" t="str">
        <f>Resultados!$K$4</f>
        <v/>
      </c>
      <c r="C926" s="568" t="str">
        <f>'900000'!$B46</f>
        <v>09901026</v>
      </c>
      <c r="D926" s="160" t="str">
        <f>'900000'!$AG$15</f>
        <v>C09903006</v>
      </c>
      <c r="E926" s="568">
        <f>'900000'!$AG46</f>
        <v>0</v>
      </c>
      <c r="F926" s="27" t="s">
        <v>19081</v>
      </c>
    </row>
    <row r="927" spans="1:6">
      <c r="A927" s="27" t="str">
        <f>Resultados!$K$3</f>
        <v/>
      </c>
      <c r="B927" s="27" t="str">
        <f>Resultados!$K$4</f>
        <v/>
      </c>
      <c r="C927" s="568" t="str">
        <f>'900000'!$B47</f>
        <v>09901027</v>
      </c>
      <c r="D927" s="160" t="str">
        <f>'900000'!$AG$15</f>
        <v>C09903006</v>
      </c>
      <c r="E927" s="568">
        <f>'900000'!$AG47</f>
        <v>0</v>
      </c>
      <c r="F927" s="27" t="s">
        <v>19081</v>
      </c>
    </row>
    <row r="928" spans="1:6">
      <c r="A928" s="27" t="str">
        <f>Resultados!$K$3</f>
        <v/>
      </c>
      <c r="B928" s="27" t="str">
        <f>Resultados!$K$4</f>
        <v/>
      </c>
      <c r="C928" s="568" t="str">
        <f>'900000'!$B48</f>
        <v>09901028</v>
      </c>
      <c r="D928" s="160" t="str">
        <f>'900000'!$AG$15</f>
        <v>C09903006</v>
      </c>
      <c r="E928" s="568">
        <f>'900000'!$AG48</f>
        <v>0</v>
      </c>
      <c r="F928" s="27" t="s">
        <v>19081</v>
      </c>
    </row>
    <row r="929" spans="1:6">
      <c r="A929" s="27" t="str">
        <f>Resultados!$K$3</f>
        <v/>
      </c>
      <c r="B929" s="27" t="str">
        <f>Resultados!$K$4</f>
        <v/>
      </c>
      <c r="C929" s="568" t="str">
        <f>'900000'!$B49</f>
        <v>09901029</v>
      </c>
      <c r="D929" s="160" t="str">
        <f>'900000'!$AG$15</f>
        <v>C09903006</v>
      </c>
      <c r="E929" s="568">
        <f>'900000'!$AG49</f>
        <v>0</v>
      </c>
      <c r="F929" s="27" t="s">
        <v>19081</v>
      </c>
    </row>
    <row r="930" spans="1:6">
      <c r="A930" s="27" t="str">
        <f>Resultados!$K$3</f>
        <v/>
      </c>
      <c r="B930" s="27" t="str">
        <f>Resultados!$K$4</f>
        <v/>
      </c>
      <c r="C930" s="568" t="str">
        <f>'900000'!$B50</f>
        <v>09901030</v>
      </c>
      <c r="D930" s="160" t="str">
        <f>'900000'!$AG$15</f>
        <v>C09903006</v>
      </c>
      <c r="E930" s="568">
        <f>'900000'!$AG50</f>
        <v>0</v>
      </c>
      <c r="F930" s="27" t="s">
        <v>19081</v>
      </c>
    </row>
    <row r="931" spans="1:6">
      <c r="A931" s="27" t="str">
        <f>Resultados!$K$3</f>
        <v/>
      </c>
      <c r="B931" s="27" t="str">
        <f>Resultados!$K$4</f>
        <v/>
      </c>
      <c r="C931" s="568" t="str">
        <f>'900000'!$B51</f>
        <v>09901031</v>
      </c>
      <c r="D931" s="160" t="str">
        <f>'900000'!$AG$15</f>
        <v>C09903006</v>
      </c>
      <c r="E931" s="568">
        <f>'900000'!$AG51</f>
        <v>0</v>
      </c>
      <c r="F931" s="27" t="s">
        <v>19081</v>
      </c>
    </row>
    <row r="932" spans="1:6">
      <c r="A932" s="27" t="str">
        <f>Resultados!$K$3</f>
        <v/>
      </c>
      <c r="B932" s="27" t="str">
        <f>Resultados!$K$4</f>
        <v/>
      </c>
      <c r="C932" s="568" t="str">
        <f>'900000'!$B52</f>
        <v>09901032</v>
      </c>
      <c r="D932" s="160" t="str">
        <f>'900000'!$AG$15</f>
        <v>C09903006</v>
      </c>
      <c r="E932" s="568">
        <f>'900000'!$AG52</f>
        <v>0</v>
      </c>
      <c r="F932" s="27" t="s">
        <v>19081</v>
      </c>
    </row>
    <row r="933" spans="1:6">
      <c r="A933" s="27" t="str">
        <f>Resultados!$K$3</f>
        <v/>
      </c>
      <c r="B933" s="27" t="str">
        <f>Resultados!$K$4</f>
        <v/>
      </c>
      <c r="C933" s="568" t="str">
        <f>'900000'!$B53</f>
        <v>09901033</v>
      </c>
      <c r="D933" s="160" t="str">
        <f>'900000'!$AG$15</f>
        <v>C09903006</v>
      </c>
      <c r="E933" s="568">
        <f>'900000'!$AG53</f>
        <v>0</v>
      </c>
      <c r="F933" s="27" t="s">
        <v>19081</v>
      </c>
    </row>
    <row r="934" spans="1:6">
      <c r="A934" s="27" t="str">
        <f>Resultados!$K$3</f>
        <v/>
      </c>
      <c r="B934" s="27" t="str">
        <f>Resultados!$K$4</f>
        <v/>
      </c>
      <c r="C934" s="568" t="str">
        <f>'900000'!$B54</f>
        <v>09901034</v>
      </c>
      <c r="D934" s="160" t="str">
        <f>'900000'!$AG$15</f>
        <v>C09903006</v>
      </c>
      <c r="E934" s="568">
        <f>'900000'!$AG54</f>
        <v>0</v>
      </c>
      <c r="F934" s="27" t="s">
        <v>19081</v>
      </c>
    </row>
    <row r="935" spans="1:6">
      <c r="A935" s="27" t="str">
        <f>Resultados!$K$3</f>
        <v/>
      </c>
      <c r="B935" s="27" t="str">
        <f>Resultados!$K$4</f>
        <v/>
      </c>
      <c r="C935" s="568" t="str">
        <f>'900000'!$B55</f>
        <v>09901035</v>
      </c>
      <c r="D935" s="160" t="str">
        <f>'900000'!$AG$15</f>
        <v>C09903006</v>
      </c>
      <c r="E935" s="568">
        <f>'900000'!$AG55</f>
        <v>0</v>
      </c>
      <c r="F935" s="27" t="s">
        <v>19081</v>
      </c>
    </row>
    <row r="936" spans="1:6">
      <c r="A936" s="27" t="str">
        <f>Resultados!$K$3</f>
        <v/>
      </c>
      <c r="B936" s="27" t="str">
        <f>Resultados!$K$4</f>
        <v/>
      </c>
      <c r="C936" s="568" t="str">
        <f>'900000'!$B56</f>
        <v>09901036</v>
      </c>
      <c r="D936" s="160" t="str">
        <f>'900000'!$AG$15</f>
        <v>C09903006</v>
      </c>
      <c r="E936" s="568">
        <f>'900000'!$AG56</f>
        <v>0</v>
      </c>
      <c r="F936" s="27" t="s">
        <v>19081</v>
      </c>
    </row>
    <row r="937" spans="1:6">
      <c r="A937" s="27" t="str">
        <f>Resultados!$K$3</f>
        <v/>
      </c>
      <c r="B937" s="27" t="str">
        <f>Resultados!$K$4</f>
        <v/>
      </c>
      <c r="C937" s="568" t="str">
        <f>'900000'!$B57</f>
        <v>09901037</v>
      </c>
      <c r="D937" s="160" t="str">
        <f>'900000'!$AG$15</f>
        <v>C09903006</v>
      </c>
      <c r="E937" s="568">
        <f>'900000'!$AG57</f>
        <v>0</v>
      </c>
      <c r="F937" s="27" t="s">
        <v>19081</v>
      </c>
    </row>
    <row r="938" spans="1:6">
      <c r="A938" s="27" t="str">
        <f>Resultados!$K$3</f>
        <v/>
      </c>
      <c r="B938" s="27" t="str">
        <f>Resultados!$K$4</f>
        <v/>
      </c>
      <c r="C938" s="568" t="str">
        <f>'900000'!$B58</f>
        <v>09901038</v>
      </c>
      <c r="D938" s="160" t="str">
        <f>'900000'!$AG$15</f>
        <v>C09903006</v>
      </c>
      <c r="E938" s="568">
        <f>'900000'!$AG58</f>
        <v>0</v>
      </c>
      <c r="F938" s="27" t="s">
        <v>19081</v>
      </c>
    </row>
    <row r="939" spans="1:6">
      <c r="A939" s="27" t="str">
        <f>Resultados!$K$3</f>
        <v/>
      </c>
      <c r="B939" s="27" t="str">
        <f>Resultados!$K$4</f>
        <v/>
      </c>
      <c r="C939" s="568" t="str">
        <f>'900000'!$B59</f>
        <v>09901039</v>
      </c>
      <c r="D939" s="160" t="str">
        <f>'900000'!$AG$15</f>
        <v>C09903006</v>
      </c>
      <c r="E939" s="568">
        <f>'900000'!$AG59</f>
        <v>0</v>
      </c>
      <c r="F939" s="27" t="s">
        <v>19081</v>
      </c>
    </row>
    <row r="940" spans="1:6">
      <c r="A940" s="27" t="str">
        <f>Resultados!$K$3</f>
        <v/>
      </c>
      <c r="B940" s="27" t="str">
        <f>Resultados!$K$4</f>
        <v/>
      </c>
      <c r="C940" s="568" t="str">
        <f>'900000'!$B60</f>
        <v>09901040</v>
      </c>
      <c r="D940" s="160" t="str">
        <f>'900000'!$AG$15</f>
        <v>C09903006</v>
      </c>
      <c r="E940" s="568">
        <f>'900000'!$AG60</f>
        <v>0</v>
      </c>
      <c r="F940" s="27" t="s">
        <v>19081</v>
      </c>
    </row>
    <row r="941" spans="1:6">
      <c r="A941" s="27" t="str">
        <f>Resultados!$K$3</f>
        <v/>
      </c>
      <c r="B941" s="27" t="str">
        <f>Resultados!$K$4</f>
        <v/>
      </c>
      <c r="C941" s="568" t="str">
        <f>'900000'!$B61</f>
        <v>09901041</v>
      </c>
      <c r="D941" s="160" t="str">
        <f>'900000'!$AG$15</f>
        <v>C09903006</v>
      </c>
      <c r="E941" s="568">
        <f>'900000'!$AG61</f>
        <v>0</v>
      </c>
      <c r="F941" s="27" t="s">
        <v>19081</v>
      </c>
    </row>
    <row r="942" spans="1:6">
      <c r="A942" s="27" t="str">
        <f>Resultados!$K$3</f>
        <v/>
      </c>
      <c r="B942" s="27" t="str">
        <f>Resultados!$K$4</f>
        <v/>
      </c>
      <c r="C942" s="568" t="str">
        <f>'900000'!$B62</f>
        <v>09901042</v>
      </c>
      <c r="D942" s="160" t="str">
        <f>'900000'!$AG$15</f>
        <v>C09903006</v>
      </c>
      <c r="E942" s="568">
        <f>'900000'!$AG62</f>
        <v>0</v>
      </c>
      <c r="F942" s="27" t="s">
        <v>19081</v>
      </c>
    </row>
    <row r="943" spans="1:6">
      <c r="A943" s="27" t="str">
        <f>Resultados!$K$3</f>
        <v/>
      </c>
      <c r="B943" s="27" t="str">
        <f>Resultados!$K$4</f>
        <v/>
      </c>
      <c r="C943" s="568" t="str">
        <f>'900000'!$B63</f>
        <v>09901043</v>
      </c>
      <c r="D943" s="160" t="str">
        <f>'900000'!$AG$15</f>
        <v>C09903006</v>
      </c>
      <c r="E943" s="568">
        <f>'900000'!$AG63</f>
        <v>0</v>
      </c>
      <c r="F943" s="27" t="s">
        <v>19081</v>
      </c>
    </row>
    <row r="944" spans="1:6">
      <c r="A944" s="27" t="str">
        <f>Resultados!$K$3</f>
        <v/>
      </c>
      <c r="B944" s="27" t="str">
        <f>Resultados!$K$4</f>
        <v/>
      </c>
      <c r="C944" s="568" t="str">
        <f>'900000'!$B64</f>
        <v>09901044</v>
      </c>
      <c r="D944" s="160" t="str">
        <f>'900000'!$AG$15</f>
        <v>C09903006</v>
      </c>
      <c r="E944" s="568">
        <f>'900000'!$AG64</f>
        <v>0</v>
      </c>
      <c r="F944" s="27" t="s">
        <v>19081</v>
      </c>
    </row>
    <row r="945" spans="1:6">
      <c r="A945" s="27" t="str">
        <f>Resultados!$K$3</f>
        <v/>
      </c>
      <c r="B945" s="27" t="str">
        <f>Resultados!$K$4</f>
        <v/>
      </c>
      <c r="C945" s="568" t="str">
        <f>'900000'!$B65</f>
        <v>09901045</v>
      </c>
      <c r="D945" s="160" t="str">
        <f>'900000'!$AG$15</f>
        <v>C09903006</v>
      </c>
      <c r="E945" s="568">
        <f>'900000'!$AG65</f>
        <v>0</v>
      </c>
      <c r="F945" s="27" t="s">
        <v>19081</v>
      </c>
    </row>
    <row r="946" spans="1:6">
      <c r="A946" s="27" t="str">
        <f>Resultados!$K$3</f>
        <v/>
      </c>
      <c r="B946" s="27" t="str">
        <f>Resultados!$K$4</f>
        <v/>
      </c>
      <c r="C946" s="568" t="str">
        <f>'900000'!$B66</f>
        <v>09901046</v>
      </c>
      <c r="D946" s="160" t="str">
        <f>'900000'!$AG$15</f>
        <v>C09903006</v>
      </c>
      <c r="E946" s="568">
        <f>'900000'!$AG66</f>
        <v>0</v>
      </c>
      <c r="F946" s="27" t="s">
        <v>19081</v>
      </c>
    </row>
    <row r="947" spans="1:6">
      <c r="A947" s="27" t="str">
        <f>Resultados!$K$3</f>
        <v/>
      </c>
      <c r="B947" s="27" t="str">
        <f>Resultados!$K$4</f>
        <v/>
      </c>
      <c r="C947" s="568" t="str">
        <f>'900000'!$B67</f>
        <v>09901047</v>
      </c>
      <c r="D947" s="160" t="str">
        <f>'900000'!$AG$15</f>
        <v>C09903006</v>
      </c>
      <c r="E947" s="568">
        <f>'900000'!$AG67</f>
        <v>0</v>
      </c>
      <c r="F947" s="27" t="s">
        <v>19081</v>
      </c>
    </row>
    <row r="948" spans="1:6">
      <c r="A948" s="27" t="str">
        <f>Resultados!$K$3</f>
        <v/>
      </c>
      <c r="B948" s="27" t="str">
        <f>Resultados!$K$4</f>
        <v/>
      </c>
      <c r="C948" s="568" t="str">
        <f>'900000'!$B68</f>
        <v>09901048</v>
      </c>
      <c r="D948" s="160" t="str">
        <f>'900000'!$AG$15</f>
        <v>C09903006</v>
      </c>
      <c r="E948" s="568">
        <f>'900000'!$AG68</f>
        <v>0</v>
      </c>
      <c r="F948" s="27" t="s">
        <v>19081</v>
      </c>
    </row>
    <row r="949" spans="1:6">
      <c r="A949" s="27" t="str">
        <f>Resultados!$K$3</f>
        <v/>
      </c>
      <c r="B949" s="27" t="str">
        <f>Resultados!$K$4</f>
        <v/>
      </c>
      <c r="C949" s="568" t="str">
        <f>'900000'!$B69</f>
        <v>09901049</v>
      </c>
      <c r="D949" s="160" t="str">
        <f>'900000'!$AG$15</f>
        <v>C09903006</v>
      </c>
      <c r="E949" s="568">
        <f>'900000'!$AG69</f>
        <v>0</v>
      </c>
      <c r="F949" s="27" t="s">
        <v>19081</v>
      </c>
    </row>
    <row r="950" spans="1:6">
      <c r="A950" s="27" t="str">
        <f>Resultados!$K$3</f>
        <v/>
      </c>
      <c r="B950" s="27" t="str">
        <f>Resultados!$K$4</f>
        <v/>
      </c>
      <c r="C950" s="568" t="str">
        <f>'900000'!$B70</f>
        <v>09901050</v>
      </c>
      <c r="D950" s="160" t="str">
        <f>'900000'!$AG$15</f>
        <v>C09903006</v>
      </c>
      <c r="E950" s="568">
        <f>'900000'!$AG70</f>
        <v>0</v>
      </c>
      <c r="F950" s="27" t="s">
        <v>19081</v>
      </c>
    </row>
    <row r="951" spans="1:6">
      <c r="A951" s="27" t="str">
        <f>Resultados!$K$3</f>
        <v/>
      </c>
      <c r="B951" s="27" t="str">
        <f>Resultados!$K$4</f>
        <v/>
      </c>
      <c r="C951" s="568" t="str">
        <f>'900000'!$B71</f>
        <v>09901051</v>
      </c>
      <c r="D951" s="160" t="str">
        <f>'900000'!$AG$15</f>
        <v>C09903006</v>
      </c>
      <c r="E951" s="568">
        <f>'900000'!$AG71</f>
        <v>0</v>
      </c>
      <c r="F951" s="27" t="s">
        <v>19081</v>
      </c>
    </row>
    <row r="952" spans="1:6">
      <c r="A952" s="27" t="str">
        <f>Resultados!$K$3</f>
        <v/>
      </c>
      <c r="B952" s="27" t="str">
        <f>Resultados!$K$4</f>
        <v/>
      </c>
      <c r="C952" s="568" t="str">
        <f>'900000'!$B72</f>
        <v>09901052</v>
      </c>
      <c r="D952" s="160" t="str">
        <f>'900000'!$AG$15</f>
        <v>C09903006</v>
      </c>
      <c r="E952" s="568">
        <f>'900000'!$AG72</f>
        <v>0</v>
      </c>
      <c r="F952" s="27" t="s">
        <v>19081</v>
      </c>
    </row>
    <row r="953" spans="1:6">
      <c r="A953" s="27" t="str">
        <f>Resultados!$K$3</f>
        <v/>
      </c>
      <c r="B953" s="27" t="str">
        <f>Resultados!$K$4</f>
        <v/>
      </c>
      <c r="C953" s="568" t="str">
        <f>'900000'!$B73</f>
        <v>09901053</v>
      </c>
      <c r="D953" s="160" t="str">
        <f>'900000'!$AG$15</f>
        <v>C09903006</v>
      </c>
      <c r="E953" s="568">
        <f>'900000'!$AG73</f>
        <v>0</v>
      </c>
      <c r="F953" s="27" t="s">
        <v>19081</v>
      </c>
    </row>
    <row r="954" spans="1:6">
      <c r="A954" s="27" t="str">
        <f>Resultados!$K$3</f>
        <v/>
      </c>
      <c r="B954" s="27" t="str">
        <f>Resultados!$K$4</f>
        <v/>
      </c>
      <c r="C954" s="568" t="str">
        <f>'900000'!$B74</f>
        <v>09901054</v>
      </c>
      <c r="D954" s="160" t="str">
        <f>'900000'!$AG$15</f>
        <v>C09903006</v>
      </c>
      <c r="E954" s="568">
        <f>'900000'!$AG74</f>
        <v>0</v>
      </c>
      <c r="F954" s="27" t="s">
        <v>19081</v>
      </c>
    </row>
    <row r="955" spans="1:6">
      <c r="A955" s="27" t="str">
        <f>Resultados!$K$3</f>
        <v/>
      </c>
      <c r="B955" s="27" t="str">
        <f>Resultados!$K$4</f>
        <v/>
      </c>
      <c r="C955" s="568" t="str">
        <f>'900000'!$B75</f>
        <v>09901055</v>
      </c>
      <c r="D955" s="160" t="str">
        <f>'900000'!$AG$15</f>
        <v>C09903006</v>
      </c>
      <c r="E955" s="568">
        <f>'900000'!$AG75</f>
        <v>0</v>
      </c>
      <c r="F955" s="27" t="s">
        <v>19081</v>
      </c>
    </row>
    <row r="956" spans="1:6">
      <c r="A956" s="27" t="str">
        <f>Resultados!$K$3</f>
        <v/>
      </c>
      <c r="B956" s="27" t="str">
        <f>Resultados!$K$4</f>
        <v/>
      </c>
      <c r="C956" s="568" t="str">
        <f>'900000'!$B76</f>
        <v>09901056</v>
      </c>
      <c r="D956" s="160" t="str">
        <f>'900000'!$AG$15</f>
        <v>C09903006</v>
      </c>
      <c r="E956" s="568">
        <f>'900000'!$AG76</f>
        <v>0</v>
      </c>
      <c r="F956" s="27" t="s">
        <v>19081</v>
      </c>
    </row>
    <row r="957" spans="1:6">
      <c r="A957" s="27" t="str">
        <f>Resultados!$K$3</f>
        <v/>
      </c>
      <c r="B957" s="27" t="str">
        <f>Resultados!$K$4</f>
        <v/>
      </c>
      <c r="C957" s="568" t="str">
        <f>'900000'!$B77</f>
        <v>09901057</v>
      </c>
      <c r="D957" s="160" t="str">
        <f>'900000'!$AG$15</f>
        <v>C09903006</v>
      </c>
      <c r="E957" s="568">
        <f>'900000'!$AG77</f>
        <v>0</v>
      </c>
      <c r="F957" s="27" t="s">
        <v>19081</v>
      </c>
    </row>
    <row r="958" spans="1:6">
      <c r="A958" s="27" t="str">
        <f>Resultados!$K$3</f>
        <v/>
      </c>
      <c r="B958" s="27" t="str">
        <f>Resultados!$K$4</f>
        <v/>
      </c>
      <c r="C958" s="568" t="str">
        <f>'900000'!$B78</f>
        <v>09901058</v>
      </c>
      <c r="D958" s="160" t="str">
        <f>'900000'!$AG$15</f>
        <v>C09903006</v>
      </c>
      <c r="E958" s="568">
        <f>'900000'!$AG78</f>
        <v>0</v>
      </c>
      <c r="F958" s="27" t="s">
        <v>19081</v>
      </c>
    </row>
    <row r="959" spans="1:6">
      <c r="A959" s="27" t="str">
        <f>Resultados!$K$3</f>
        <v/>
      </c>
      <c r="B959" s="27" t="str">
        <f>Resultados!$K$4</f>
        <v/>
      </c>
      <c r="C959" s="568" t="str">
        <f>'900000'!$B79</f>
        <v>09901059</v>
      </c>
      <c r="D959" s="160" t="str">
        <f>'900000'!$AG$15</f>
        <v>C09903006</v>
      </c>
      <c r="E959" s="568">
        <f>'900000'!$AG79</f>
        <v>0</v>
      </c>
      <c r="F959" s="27" t="s">
        <v>19081</v>
      </c>
    </row>
    <row r="960" spans="1:6">
      <c r="A960" s="27" t="str">
        <f>Resultados!$K$3</f>
        <v/>
      </c>
      <c r="B960" s="27" t="str">
        <f>Resultados!$K$4</f>
        <v/>
      </c>
      <c r="C960" s="568" t="str">
        <f>'900000'!$B80</f>
        <v>09901060</v>
      </c>
      <c r="D960" s="160" t="str">
        <f>'900000'!$AG$15</f>
        <v>C09903006</v>
      </c>
      <c r="E960" s="568">
        <f>'900000'!$AG80</f>
        <v>0</v>
      </c>
      <c r="F960" s="27" t="s">
        <v>19081</v>
      </c>
    </row>
    <row r="961" spans="1:6">
      <c r="A961" s="27" t="str">
        <f>Resultados!$K$3</f>
        <v/>
      </c>
      <c r="B961" s="27" t="str">
        <f>Resultados!$K$4</f>
        <v/>
      </c>
      <c r="C961" s="568" t="str">
        <f>'900000'!$B81</f>
        <v>09901061</v>
      </c>
      <c r="D961" s="160" t="str">
        <f>'900000'!$AG$15</f>
        <v>C09903006</v>
      </c>
      <c r="E961" s="568">
        <f>'900000'!$AG81</f>
        <v>0</v>
      </c>
      <c r="F961" s="27" t="s">
        <v>19081</v>
      </c>
    </row>
    <row r="962" spans="1:6">
      <c r="A962" s="27" t="str">
        <f>Resultados!$K$3</f>
        <v/>
      </c>
      <c r="B962" s="27" t="str">
        <f>Resultados!$K$4</f>
        <v/>
      </c>
      <c r="C962" s="568" t="str">
        <f>'900000'!$B82</f>
        <v>09901062</v>
      </c>
      <c r="D962" s="160" t="str">
        <f>'900000'!$AG$15</f>
        <v>C09903006</v>
      </c>
      <c r="E962" s="568">
        <f>'900000'!$AG82</f>
        <v>0</v>
      </c>
      <c r="F962" s="27" t="s">
        <v>19081</v>
      </c>
    </row>
    <row r="963" spans="1:6">
      <c r="A963" s="27" t="str">
        <f>Resultados!$K$3</f>
        <v/>
      </c>
      <c r="B963" s="27" t="str">
        <f>Resultados!$K$4</f>
        <v/>
      </c>
      <c r="C963" s="568" t="str">
        <f>'900000'!$B83</f>
        <v>09901063</v>
      </c>
      <c r="D963" s="160" t="str">
        <f>'900000'!$AG$15</f>
        <v>C09903006</v>
      </c>
      <c r="E963" s="568">
        <f>'900000'!$AG83</f>
        <v>0</v>
      </c>
      <c r="F963" s="27" t="s">
        <v>19081</v>
      </c>
    </row>
    <row r="964" spans="1:6">
      <c r="A964" s="27" t="str">
        <f>Resultados!$K$3</f>
        <v/>
      </c>
      <c r="B964" s="27" t="str">
        <f>Resultados!$K$4</f>
        <v/>
      </c>
      <c r="C964" s="568" t="str">
        <f>'900000'!$B84</f>
        <v>09901064</v>
      </c>
      <c r="D964" s="160" t="str">
        <f>'900000'!$AG$15</f>
        <v>C09903006</v>
      </c>
      <c r="E964" s="568">
        <f>'900000'!$AG84</f>
        <v>0</v>
      </c>
      <c r="F964" s="27" t="s">
        <v>19081</v>
      </c>
    </row>
    <row r="965" spans="1:6">
      <c r="A965" s="27" t="str">
        <f>Resultados!$K$3</f>
        <v/>
      </c>
      <c r="B965" s="27" t="str">
        <f>Resultados!$K$4</f>
        <v/>
      </c>
      <c r="C965" s="568" t="str">
        <f>'900000'!$B85</f>
        <v>09901065</v>
      </c>
      <c r="D965" s="160" t="str">
        <f>'900000'!$AG$15</f>
        <v>C09903006</v>
      </c>
      <c r="E965" s="568">
        <f>'900000'!$AG85</f>
        <v>0</v>
      </c>
      <c r="F965" s="27" t="s">
        <v>19081</v>
      </c>
    </row>
    <row r="966" spans="1:6">
      <c r="A966" s="27" t="str">
        <f>Resultados!$K$3</f>
        <v/>
      </c>
      <c r="B966" s="27" t="str">
        <f>Resultados!$K$4</f>
        <v/>
      </c>
      <c r="C966" s="568" t="str">
        <f>'900000'!$B86</f>
        <v>09901066</v>
      </c>
      <c r="D966" s="160" t="str">
        <f>'900000'!$AG$15</f>
        <v>C09903006</v>
      </c>
      <c r="E966" s="568">
        <f>'900000'!$AG86</f>
        <v>0</v>
      </c>
      <c r="F966" s="27" t="s">
        <v>19081</v>
      </c>
    </row>
    <row r="967" spans="1:6">
      <c r="A967" s="27" t="str">
        <f>Resultados!$K$3</f>
        <v/>
      </c>
      <c r="B967" s="27" t="str">
        <f>Resultados!$K$4</f>
        <v/>
      </c>
      <c r="C967" s="568" t="str">
        <f>'900000'!$B87</f>
        <v>09901067</v>
      </c>
      <c r="D967" s="160" t="str">
        <f>'900000'!$AG$15</f>
        <v>C09903006</v>
      </c>
      <c r="E967" s="568">
        <f>'900000'!$AG87</f>
        <v>0</v>
      </c>
      <c r="F967" s="27" t="s">
        <v>19081</v>
      </c>
    </row>
    <row r="968" spans="1:6">
      <c r="A968" s="27" t="str">
        <f>Resultados!$K$3</f>
        <v/>
      </c>
      <c r="B968" s="27" t="str">
        <f>Resultados!$K$4</f>
        <v/>
      </c>
      <c r="C968" s="568" t="str">
        <f>'900000'!$B88</f>
        <v>09901068</v>
      </c>
      <c r="D968" s="160" t="str">
        <f>'900000'!$AG$15</f>
        <v>C09903006</v>
      </c>
      <c r="E968" s="568">
        <f>'900000'!$AG88</f>
        <v>0</v>
      </c>
      <c r="F968" s="27" t="s">
        <v>19081</v>
      </c>
    </row>
    <row r="969" spans="1:6">
      <c r="A969" s="27" t="str">
        <f>Resultados!$K$3</f>
        <v/>
      </c>
      <c r="B969" s="27" t="str">
        <f>Resultados!$K$4</f>
        <v/>
      </c>
      <c r="C969" s="568" t="str">
        <f>'900000'!$B89</f>
        <v>09901069</v>
      </c>
      <c r="D969" s="160" t="str">
        <f>'900000'!$AG$15</f>
        <v>C09903006</v>
      </c>
      <c r="E969" s="568">
        <f>'900000'!$AG89</f>
        <v>0</v>
      </c>
      <c r="F969" s="27" t="s">
        <v>19081</v>
      </c>
    </row>
    <row r="970" spans="1:6">
      <c r="A970" s="27" t="str">
        <f>Resultados!$K$3</f>
        <v/>
      </c>
      <c r="B970" s="27" t="str">
        <f>Resultados!$K$4</f>
        <v/>
      </c>
      <c r="C970" s="568" t="str">
        <f>'900000'!$B90</f>
        <v>09901070</v>
      </c>
      <c r="D970" s="160" t="str">
        <f>'900000'!$AG$15</f>
        <v>C09903006</v>
      </c>
      <c r="E970" s="568">
        <f>'900000'!$AG90</f>
        <v>0</v>
      </c>
      <c r="F970" s="27" t="s">
        <v>19081</v>
      </c>
    </row>
    <row r="971" spans="1:6">
      <c r="A971" s="27" t="str">
        <f>Resultados!$K$3</f>
        <v/>
      </c>
      <c r="B971" s="27" t="str">
        <f>Resultados!$K$4</f>
        <v/>
      </c>
      <c r="C971" s="568" t="str">
        <f>'900000'!$B91</f>
        <v>09901071</v>
      </c>
      <c r="D971" s="160" t="str">
        <f>'900000'!$AG$15</f>
        <v>C09903006</v>
      </c>
      <c r="E971" s="568">
        <f>'900000'!$AG91</f>
        <v>0</v>
      </c>
      <c r="F971" s="27" t="s">
        <v>19081</v>
      </c>
    </row>
    <row r="972" spans="1:6">
      <c r="A972" s="27" t="str">
        <f>Resultados!$K$3</f>
        <v/>
      </c>
      <c r="B972" s="27" t="str">
        <f>Resultados!$K$4</f>
        <v/>
      </c>
      <c r="C972" s="568" t="str">
        <f>'900000'!$B92</f>
        <v>09901072</v>
      </c>
      <c r="D972" s="160" t="str">
        <f>'900000'!$AG$15</f>
        <v>C09903006</v>
      </c>
      <c r="E972" s="568">
        <f>'900000'!$AG92</f>
        <v>0</v>
      </c>
      <c r="F972" s="27" t="s">
        <v>19081</v>
      </c>
    </row>
    <row r="973" spans="1:6">
      <c r="A973" s="27" t="str">
        <f>Resultados!$K$3</f>
        <v/>
      </c>
      <c r="B973" s="27" t="str">
        <f>Resultados!$K$4</f>
        <v/>
      </c>
      <c r="C973" s="568" t="str">
        <f>'900000'!$B93</f>
        <v>09901073</v>
      </c>
      <c r="D973" s="160" t="str">
        <f>'900000'!$AG$15</f>
        <v>C09903006</v>
      </c>
      <c r="E973" s="568">
        <f>'900000'!$AG93</f>
        <v>0</v>
      </c>
      <c r="F973" s="27" t="s">
        <v>19081</v>
      </c>
    </row>
    <row r="974" spans="1:6">
      <c r="A974" s="27" t="str">
        <f>Resultados!$K$3</f>
        <v/>
      </c>
      <c r="B974" s="27" t="str">
        <f>Resultados!$K$4</f>
        <v/>
      </c>
      <c r="C974" s="568" t="str">
        <f>'900000'!$B94</f>
        <v>09901074</v>
      </c>
      <c r="D974" s="160" t="str">
        <f>'900000'!$AG$15</f>
        <v>C09903006</v>
      </c>
      <c r="E974" s="568">
        <f>'900000'!$AG94</f>
        <v>0</v>
      </c>
      <c r="F974" s="27" t="s">
        <v>19081</v>
      </c>
    </row>
    <row r="975" spans="1:6">
      <c r="A975" s="27" t="str">
        <f>Resultados!$K$3</f>
        <v/>
      </c>
      <c r="B975" s="27" t="str">
        <f>Resultados!$K$4</f>
        <v/>
      </c>
      <c r="C975" s="568" t="str">
        <f>'900000'!$B95</f>
        <v>09901075</v>
      </c>
      <c r="D975" s="160" t="str">
        <f>'900000'!$AG$15</f>
        <v>C09903006</v>
      </c>
      <c r="E975" s="568">
        <f>'900000'!$AG95</f>
        <v>0</v>
      </c>
      <c r="F975" s="27" t="s">
        <v>19081</v>
      </c>
    </row>
    <row r="976" spans="1:6">
      <c r="A976" s="27" t="str">
        <f>Resultados!$K$3</f>
        <v/>
      </c>
      <c r="B976" s="27" t="str">
        <f>Resultados!$K$4</f>
        <v/>
      </c>
      <c r="C976" s="568" t="str">
        <f>'900000'!$B96</f>
        <v>09901076</v>
      </c>
      <c r="D976" s="160" t="str">
        <f>'900000'!$AG$15</f>
        <v>C09903006</v>
      </c>
      <c r="E976" s="568">
        <f>'900000'!$AG96</f>
        <v>0</v>
      </c>
      <c r="F976" s="27" t="s">
        <v>19081</v>
      </c>
    </row>
    <row r="977" spans="1:6">
      <c r="A977" s="27" t="str">
        <f>Resultados!$K$3</f>
        <v/>
      </c>
      <c r="B977" s="27" t="str">
        <f>Resultados!$K$4</f>
        <v/>
      </c>
      <c r="C977" s="568" t="str">
        <f>'900000'!$B97</f>
        <v>09901077</v>
      </c>
      <c r="D977" s="160" t="str">
        <f>'900000'!$AG$15</f>
        <v>C09903006</v>
      </c>
      <c r="E977" s="568">
        <f>'900000'!$AG97</f>
        <v>0</v>
      </c>
      <c r="F977" s="27" t="s">
        <v>19081</v>
      </c>
    </row>
    <row r="978" spans="1:6">
      <c r="A978" s="27" t="str">
        <f>Resultados!$K$3</f>
        <v/>
      </c>
      <c r="B978" s="27" t="str">
        <f>Resultados!$K$4</f>
        <v/>
      </c>
      <c r="C978" s="568" t="str">
        <f>'900000'!$B98</f>
        <v>09901078</v>
      </c>
      <c r="D978" s="160" t="str">
        <f>'900000'!$AG$15</f>
        <v>C09903006</v>
      </c>
      <c r="E978" s="568">
        <f>'900000'!$AG98</f>
        <v>0</v>
      </c>
      <c r="F978" s="27" t="s">
        <v>19081</v>
      </c>
    </row>
    <row r="979" spans="1:6">
      <c r="A979" s="27" t="str">
        <f>Resultados!$K$3</f>
        <v/>
      </c>
      <c r="B979" s="27" t="str">
        <f>Resultados!$K$4</f>
        <v/>
      </c>
      <c r="C979" s="568" t="str">
        <f>'900000'!$B99</f>
        <v>09901079</v>
      </c>
      <c r="D979" s="160" t="str">
        <f>'900000'!$AG$15</f>
        <v>C09903006</v>
      </c>
      <c r="E979" s="568">
        <f>'900000'!$AG99</f>
        <v>0</v>
      </c>
      <c r="F979" s="27" t="s">
        <v>19081</v>
      </c>
    </row>
    <row r="980" spans="1:6">
      <c r="A980" s="27" t="str">
        <f>Resultados!$K$3</f>
        <v/>
      </c>
      <c r="B980" s="27" t="str">
        <f>Resultados!$K$4</f>
        <v/>
      </c>
      <c r="C980" s="568" t="str">
        <f>'900000'!$B100</f>
        <v>09901080</v>
      </c>
      <c r="D980" s="160" t="str">
        <f>'900000'!$AG$15</f>
        <v>C09903006</v>
      </c>
      <c r="E980" s="568">
        <f>'900000'!$AG100</f>
        <v>0</v>
      </c>
      <c r="F980" s="27" t="s">
        <v>19081</v>
      </c>
    </row>
    <row r="981" spans="1:6">
      <c r="A981" s="27" t="str">
        <f>Resultados!$K$3</f>
        <v/>
      </c>
      <c r="B981" s="27" t="str">
        <f>Resultados!$K$4</f>
        <v/>
      </c>
      <c r="C981" s="568" t="str">
        <f>'900000'!$B101</f>
        <v>09901081</v>
      </c>
      <c r="D981" s="160" t="str">
        <f>'900000'!$AG$15</f>
        <v>C09903006</v>
      </c>
      <c r="E981" s="568">
        <f>'900000'!$AG101</f>
        <v>0</v>
      </c>
      <c r="F981" s="27" t="s">
        <v>19081</v>
      </c>
    </row>
    <row r="982" spans="1:6">
      <c r="A982" s="27" t="str">
        <f>Resultados!$K$3</f>
        <v/>
      </c>
      <c r="B982" s="27" t="str">
        <f>Resultados!$K$4</f>
        <v/>
      </c>
      <c r="C982" s="568" t="str">
        <f>'900000'!$B102</f>
        <v>09901082</v>
      </c>
      <c r="D982" s="160" t="str">
        <f>'900000'!$AG$15</f>
        <v>C09903006</v>
      </c>
      <c r="E982" s="568">
        <f>'900000'!$AG102</f>
        <v>0</v>
      </c>
      <c r="F982" s="27" t="s">
        <v>19081</v>
      </c>
    </row>
    <row r="983" spans="1:6">
      <c r="A983" s="27" t="str">
        <f>Resultados!$K$3</f>
        <v/>
      </c>
      <c r="B983" s="27" t="str">
        <f>Resultados!$K$4</f>
        <v/>
      </c>
      <c r="C983" s="568" t="str">
        <f>'900000'!$B103</f>
        <v>09901083</v>
      </c>
      <c r="D983" s="160" t="str">
        <f>'900000'!$AG$15</f>
        <v>C09903006</v>
      </c>
      <c r="E983" s="568">
        <f>'900000'!$AG103</f>
        <v>0</v>
      </c>
      <c r="F983" s="27" t="s">
        <v>19081</v>
      </c>
    </row>
    <row r="984" spans="1:6">
      <c r="A984" s="27" t="str">
        <f>Resultados!$K$3</f>
        <v/>
      </c>
      <c r="B984" s="27" t="str">
        <f>Resultados!$K$4</f>
        <v/>
      </c>
      <c r="C984" s="568" t="str">
        <f>'900000'!$B104</f>
        <v>09901084</v>
      </c>
      <c r="D984" s="160" t="str">
        <f>'900000'!$AG$15</f>
        <v>C09903006</v>
      </c>
      <c r="E984" s="568">
        <f>'900000'!$AG104</f>
        <v>0</v>
      </c>
      <c r="F984" s="27" t="s">
        <v>19081</v>
      </c>
    </row>
    <row r="985" spans="1:6">
      <c r="A985" s="27" t="str">
        <f>Resultados!$K$3</f>
        <v/>
      </c>
      <c r="B985" s="27" t="str">
        <f>Resultados!$K$4</f>
        <v/>
      </c>
      <c r="C985" s="568" t="str">
        <f>'900000'!$B105</f>
        <v>09901085</v>
      </c>
      <c r="D985" s="160" t="str">
        <f>'900000'!$AG$15</f>
        <v>C09903006</v>
      </c>
      <c r="E985" s="568">
        <f>'900000'!$AG105</f>
        <v>0</v>
      </c>
      <c r="F985" s="27" t="s">
        <v>19081</v>
      </c>
    </row>
    <row r="986" spans="1:6">
      <c r="A986" s="27" t="str">
        <f>Resultados!$K$3</f>
        <v/>
      </c>
      <c r="B986" s="27" t="str">
        <f>Resultados!$K$4</f>
        <v/>
      </c>
      <c r="C986" s="568" t="str">
        <f>'900000'!$B106</f>
        <v>09901086</v>
      </c>
      <c r="D986" s="160" t="str">
        <f>'900000'!$AG$15</f>
        <v>C09903006</v>
      </c>
      <c r="E986" s="568">
        <f>'900000'!$AG106</f>
        <v>0</v>
      </c>
      <c r="F986" s="27" t="s">
        <v>19081</v>
      </c>
    </row>
    <row r="987" spans="1:6">
      <c r="A987" s="27" t="str">
        <f>Resultados!$K$3</f>
        <v/>
      </c>
      <c r="B987" s="27" t="str">
        <f>Resultados!$K$4</f>
        <v/>
      </c>
      <c r="C987" s="568" t="str">
        <f>'900000'!$B107</f>
        <v>09901087</v>
      </c>
      <c r="D987" s="160" t="str">
        <f>'900000'!$AG$15</f>
        <v>C09903006</v>
      </c>
      <c r="E987" s="568">
        <f>'900000'!$AG107</f>
        <v>0</v>
      </c>
      <c r="F987" s="27" t="s">
        <v>19081</v>
      </c>
    </row>
    <row r="988" spans="1:6">
      <c r="A988" s="27" t="str">
        <f>Resultados!$K$3</f>
        <v/>
      </c>
      <c r="B988" s="27" t="str">
        <f>Resultados!$K$4</f>
        <v/>
      </c>
      <c r="C988" s="568" t="str">
        <f>'900000'!$B108</f>
        <v>09901088</v>
      </c>
      <c r="D988" s="160" t="str">
        <f>'900000'!$AG$15</f>
        <v>C09903006</v>
      </c>
      <c r="E988" s="568">
        <f>'900000'!$AG108</f>
        <v>0</v>
      </c>
      <c r="F988" s="27" t="s">
        <v>19081</v>
      </c>
    </row>
    <row r="989" spans="1:6">
      <c r="A989" s="27" t="str">
        <f>Resultados!$K$3</f>
        <v/>
      </c>
      <c r="B989" s="27" t="str">
        <f>Resultados!$K$4</f>
        <v/>
      </c>
      <c r="C989" s="568" t="str">
        <f>'900000'!$B109</f>
        <v>09901089</v>
      </c>
      <c r="D989" s="160" t="str">
        <f>'900000'!$AG$15</f>
        <v>C09903006</v>
      </c>
      <c r="E989" s="568">
        <f>'900000'!$AG109</f>
        <v>0</v>
      </c>
      <c r="F989" s="27" t="s">
        <v>19081</v>
      </c>
    </row>
    <row r="990" spans="1:6">
      <c r="A990" s="27" t="str">
        <f>Resultados!$K$3</f>
        <v/>
      </c>
      <c r="B990" s="27" t="str">
        <f>Resultados!$K$4</f>
        <v/>
      </c>
      <c r="C990" s="568" t="str">
        <f>'900000'!$B110</f>
        <v>09901090</v>
      </c>
      <c r="D990" s="160" t="str">
        <f>'900000'!$AG$15</f>
        <v>C09903006</v>
      </c>
      <c r="E990" s="568">
        <f>'900000'!$AG110</f>
        <v>0</v>
      </c>
      <c r="F990" s="27" t="s">
        <v>19081</v>
      </c>
    </row>
    <row r="991" spans="1:6">
      <c r="A991" s="27" t="str">
        <f>Resultados!$K$3</f>
        <v/>
      </c>
      <c r="B991" s="27" t="str">
        <f>Resultados!$K$4</f>
        <v/>
      </c>
      <c r="C991" s="568" t="str">
        <f>'900000'!$B111</f>
        <v>09901091</v>
      </c>
      <c r="D991" s="160" t="str">
        <f>'900000'!$AG$15</f>
        <v>C09903006</v>
      </c>
      <c r="E991" s="568">
        <f>'900000'!$AG111</f>
        <v>0</v>
      </c>
      <c r="F991" s="27" t="s">
        <v>19081</v>
      </c>
    </row>
    <row r="992" spans="1:6">
      <c r="A992" s="27" t="str">
        <f>Resultados!$K$3</f>
        <v/>
      </c>
      <c r="B992" s="27" t="str">
        <f>Resultados!$K$4</f>
        <v/>
      </c>
      <c r="C992" s="568" t="str">
        <f>'900000'!$B112</f>
        <v>09901092</v>
      </c>
      <c r="D992" s="160" t="str">
        <f>'900000'!$AG$15</f>
        <v>C09903006</v>
      </c>
      <c r="E992" s="568">
        <f>'900000'!$AG112</f>
        <v>0</v>
      </c>
      <c r="F992" s="27" t="s">
        <v>19081</v>
      </c>
    </row>
    <row r="993" spans="1:6">
      <c r="A993" s="27" t="str">
        <f>Resultados!$K$3</f>
        <v/>
      </c>
      <c r="B993" s="27" t="str">
        <f>Resultados!$K$4</f>
        <v/>
      </c>
      <c r="C993" s="568" t="str">
        <f>'900000'!$B113</f>
        <v>09901093</v>
      </c>
      <c r="D993" s="160" t="str">
        <f>'900000'!$AG$15</f>
        <v>C09903006</v>
      </c>
      <c r="E993" s="568">
        <f>'900000'!$AG113</f>
        <v>0</v>
      </c>
      <c r="F993" s="27" t="s">
        <v>19081</v>
      </c>
    </row>
    <row r="994" spans="1:6">
      <c r="A994" s="27" t="str">
        <f>Resultados!$K$3</f>
        <v/>
      </c>
      <c r="B994" s="27" t="str">
        <f>Resultados!$K$4</f>
        <v/>
      </c>
      <c r="C994" s="568" t="str">
        <f>'900000'!$B114</f>
        <v>09901094</v>
      </c>
      <c r="D994" s="160" t="str">
        <f>'900000'!$AG$15</f>
        <v>C09903006</v>
      </c>
      <c r="E994" s="568">
        <f>'900000'!$AG114</f>
        <v>0</v>
      </c>
      <c r="F994" s="27" t="s">
        <v>19081</v>
      </c>
    </row>
    <row r="995" spans="1:6">
      <c r="A995" s="27" t="str">
        <f>Resultados!$K$3</f>
        <v/>
      </c>
      <c r="B995" s="27" t="str">
        <f>Resultados!$K$4</f>
        <v/>
      </c>
      <c r="C995" s="568" t="str">
        <f>'900000'!$B115</f>
        <v>09901095</v>
      </c>
      <c r="D995" s="160" t="str">
        <f>'900000'!$AG$15</f>
        <v>C09903006</v>
      </c>
      <c r="E995" s="568">
        <f>'900000'!$AG115</f>
        <v>0</v>
      </c>
      <c r="F995" s="27" t="s">
        <v>19081</v>
      </c>
    </row>
    <row r="996" spans="1:6">
      <c r="A996" s="27" t="str">
        <f>Resultados!$K$3</f>
        <v/>
      </c>
      <c r="B996" s="27" t="str">
        <f>Resultados!$K$4</f>
        <v/>
      </c>
      <c r="C996" s="568" t="str">
        <f>'900000'!$B116</f>
        <v>09901096</v>
      </c>
      <c r="D996" s="160" t="str">
        <f>'900000'!$AG$15</f>
        <v>C09903006</v>
      </c>
      <c r="E996" s="568">
        <f>'900000'!$AG116</f>
        <v>0</v>
      </c>
      <c r="F996" s="27" t="s">
        <v>19081</v>
      </c>
    </row>
    <row r="997" spans="1:6">
      <c r="A997" s="27" t="str">
        <f>Resultados!$K$3</f>
        <v/>
      </c>
      <c r="B997" s="27" t="str">
        <f>Resultados!$K$4</f>
        <v/>
      </c>
      <c r="C997" s="568" t="str">
        <f>'900000'!$B117</f>
        <v>09901097</v>
      </c>
      <c r="D997" s="160" t="str">
        <f>'900000'!$AG$15</f>
        <v>C09903006</v>
      </c>
      <c r="E997" s="568">
        <f>'900000'!$AG117</f>
        <v>0</v>
      </c>
      <c r="F997" s="27" t="s">
        <v>19081</v>
      </c>
    </row>
    <row r="998" spans="1:6">
      <c r="A998" s="27" t="str">
        <f>Resultados!$K$3</f>
        <v/>
      </c>
      <c r="B998" s="27" t="str">
        <f>Resultados!$K$4</f>
        <v/>
      </c>
      <c r="C998" s="568" t="str">
        <f>'900000'!$B118</f>
        <v>09901098</v>
      </c>
      <c r="D998" s="160" t="str">
        <f>'900000'!$AG$15</f>
        <v>C09903006</v>
      </c>
      <c r="E998" s="568">
        <f>'900000'!$AG118</f>
        <v>0</v>
      </c>
      <c r="F998" s="27" t="s">
        <v>19081</v>
      </c>
    </row>
    <row r="999" spans="1:6">
      <c r="A999" s="27" t="str">
        <f>Resultados!$K$3</f>
        <v/>
      </c>
      <c r="B999" s="27" t="str">
        <f>Resultados!$K$4</f>
        <v/>
      </c>
      <c r="C999" s="568" t="str">
        <f>'900000'!$B119</f>
        <v>09901099</v>
      </c>
      <c r="D999" s="160" t="str">
        <f>'900000'!$AG$15</f>
        <v>C09903006</v>
      </c>
      <c r="E999" s="568">
        <f>'900000'!$AG119</f>
        <v>0</v>
      </c>
      <c r="F999" s="27" t="s">
        <v>19081</v>
      </c>
    </row>
    <row r="1000" spans="1:6">
      <c r="A1000" s="27" t="str">
        <f>Resultados!$K$3</f>
        <v/>
      </c>
      <c r="B1000" s="27" t="str">
        <f>Resultados!$K$4</f>
        <v/>
      </c>
      <c r="C1000" s="568" t="str">
        <f>'900000'!$B120</f>
        <v>09901100</v>
      </c>
      <c r="D1000" s="160" t="str">
        <f>'900000'!$AG$15</f>
        <v>C09903006</v>
      </c>
      <c r="E1000" s="568">
        <f>'900000'!$AG120</f>
        <v>0</v>
      </c>
      <c r="F1000" s="27" t="s">
        <v>19081</v>
      </c>
    </row>
    <row r="1001" spans="1:6">
      <c r="A1001" s="27" t="str">
        <f>Resultados!$K$3</f>
        <v/>
      </c>
      <c r="B1001" s="27" t="str">
        <f>Resultados!$K$4</f>
        <v/>
      </c>
      <c r="C1001" s="568" t="str">
        <f>'900000'!$B121</f>
        <v>09901101</v>
      </c>
      <c r="D1001" s="160" t="str">
        <f>'900000'!$AG$15</f>
        <v>C09903006</v>
      </c>
      <c r="E1001" s="568">
        <f>'900000'!$AG121</f>
        <v>0</v>
      </c>
      <c r="F1001" s="27" t="s">
        <v>19081</v>
      </c>
    </row>
    <row r="1002" spans="1:6">
      <c r="A1002" s="27" t="str">
        <f>Resultados!$K$3</f>
        <v/>
      </c>
      <c r="B1002" s="27" t="str">
        <f>Resultados!$K$4</f>
        <v/>
      </c>
      <c r="C1002" s="568" t="str">
        <f>'900000'!$B22</f>
        <v>09901002</v>
      </c>
      <c r="D1002" s="160" t="str">
        <f>'900000'!$AH$15</f>
        <v>C09903007</v>
      </c>
      <c r="E1002" s="568">
        <f>'900000'!$AH22</f>
        <v>0</v>
      </c>
      <c r="F1002" s="27" t="s">
        <v>19081</v>
      </c>
    </row>
    <row r="1003" spans="1:6">
      <c r="A1003" s="27" t="str">
        <f>Resultados!$K$3</f>
        <v/>
      </c>
      <c r="B1003" s="27" t="str">
        <f>Resultados!$K$4</f>
        <v/>
      </c>
      <c r="C1003" s="568" t="str">
        <f>'900000'!$B23</f>
        <v>09901003</v>
      </c>
      <c r="D1003" s="160" t="str">
        <f>'900000'!$AH$15</f>
        <v>C09903007</v>
      </c>
      <c r="E1003" s="568">
        <f>'900000'!$AH23</f>
        <v>0</v>
      </c>
      <c r="F1003" s="27" t="s">
        <v>19081</v>
      </c>
    </row>
    <row r="1004" spans="1:6">
      <c r="A1004" s="27" t="str">
        <f>Resultados!$K$3</f>
        <v/>
      </c>
      <c r="B1004" s="27" t="str">
        <f>Resultados!$K$4</f>
        <v/>
      </c>
      <c r="C1004" s="568" t="str">
        <f>'900000'!$B24</f>
        <v>09901004</v>
      </c>
      <c r="D1004" s="160" t="str">
        <f>'900000'!$AH$15</f>
        <v>C09903007</v>
      </c>
      <c r="E1004" s="568">
        <f>'900000'!$AH24</f>
        <v>0</v>
      </c>
      <c r="F1004" s="27" t="s">
        <v>19081</v>
      </c>
    </row>
    <row r="1005" spans="1:6">
      <c r="A1005" s="27" t="str">
        <f>Resultados!$K$3</f>
        <v/>
      </c>
      <c r="B1005" s="27" t="str">
        <f>Resultados!$K$4</f>
        <v/>
      </c>
      <c r="C1005" s="568" t="str">
        <f>'900000'!$B25</f>
        <v>09901005</v>
      </c>
      <c r="D1005" s="160" t="str">
        <f>'900000'!$AH$15</f>
        <v>C09903007</v>
      </c>
      <c r="E1005" s="568">
        <f>'900000'!$AH25</f>
        <v>0</v>
      </c>
      <c r="F1005" s="27" t="s">
        <v>19081</v>
      </c>
    </row>
    <row r="1006" spans="1:6">
      <c r="A1006" s="27" t="str">
        <f>Resultados!$K$3</f>
        <v/>
      </c>
      <c r="B1006" s="27" t="str">
        <f>Resultados!$K$4</f>
        <v/>
      </c>
      <c r="C1006" s="568" t="str">
        <f>'900000'!$B26</f>
        <v>09901006</v>
      </c>
      <c r="D1006" s="160" t="str">
        <f>'900000'!$AH$15</f>
        <v>C09903007</v>
      </c>
      <c r="E1006" s="568">
        <f>'900000'!$AH26</f>
        <v>0</v>
      </c>
      <c r="F1006" s="27" t="s">
        <v>19081</v>
      </c>
    </row>
    <row r="1007" spans="1:6">
      <c r="A1007" s="27" t="str">
        <f>Resultados!$K$3</f>
        <v/>
      </c>
      <c r="B1007" s="27" t="str">
        <f>Resultados!$K$4</f>
        <v/>
      </c>
      <c r="C1007" s="568" t="str">
        <f>'900000'!$B27</f>
        <v>09901007</v>
      </c>
      <c r="D1007" s="160" t="str">
        <f>'900000'!$AH$15</f>
        <v>C09903007</v>
      </c>
      <c r="E1007" s="568">
        <f>'900000'!$AH27</f>
        <v>0</v>
      </c>
      <c r="F1007" s="27" t="s">
        <v>19081</v>
      </c>
    </row>
    <row r="1008" spans="1:6">
      <c r="A1008" s="27" t="str">
        <f>Resultados!$K$3</f>
        <v/>
      </c>
      <c r="B1008" s="27" t="str">
        <f>Resultados!$K$4</f>
        <v/>
      </c>
      <c r="C1008" s="568" t="str">
        <f>'900000'!$B28</f>
        <v>09901008</v>
      </c>
      <c r="D1008" s="160" t="str">
        <f>'900000'!$AH$15</f>
        <v>C09903007</v>
      </c>
      <c r="E1008" s="568">
        <f>'900000'!$AH28</f>
        <v>0</v>
      </c>
      <c r="F1008" s="27" t="s">
        <v>19081</v>
      </c>
    </row>
    <row r="1009" spans="1:6">
      <c r="A1009" s="27" t="str">
        <f>Resultados!$K$3</f>
        <v/>
      </c>
      <c r="B1009" s="27" t="str">
        <f>Resultados!$K$4</f>
        <v/>
      </c>
      <c r="C1009" s="568" t="str">
        <f>'900000'!$B29</f>
        <v>09901009</v>
      </c>
      <c r="D1009" s="160" t="str">
        <f>'900000'!$AH$15</f>
        <v>C09903007</v>
      </c>
      <c r="E1009" s="568">
        <f>'900000'!$AH29</f>
        <v>0</v>
      </c>
      <c r="F1009" s="27" t="s">
        <v>19081</v>
      </c>
    </row>
    <row r="1010" spans="1:6">
      <c r="A1010" s="27" t="str">
        <f>Resultados!$K$3</f>
        <v/>
      </c>
      <c r="B1010" s="27" t="str">
        <f>Resultados!$K$4</f>
        <v/>
      </c>
      <c r="C1010" s="568" t="str">
        <f>'900000'!$B30</f>
        <v>09901010</v>
      </c>
      <c r="D1010" s="160" t="str">
        <f>'900000'!$AH$15</f>
        <v>C09903007</v>
      </c>
      <c r="E1010" s="568">
        <f>'900000'!$AH30</f>
        <v>0</v>
      </c>
      <c r="F1010" s="27" t="s">
        <v>19081</v>
      </c>
    </row>
    <row r="1011" spans="1:6">
      <c r="A1011" s="27" t="str">
        <f>Resultados!$K$3</f>
        <v/>
      </c>
      <c r="B1011" s="27" t="str">
        <f>Resultados!$K$4</f>
        <v/>
      </c>
      <c r="C1011" s="568" t="str">
        <f>'900000'!$B31</f>
        <v>09901011</v>
      </c>
      <c r="D1011" s="160" t="str">
        <f>'900000'!$AH$15</f>
        <v>C09903007</v>
      </c>
      <c r="E1011" s="568">
        <f>'900000'!$AH31</f>
        <v>0</v>
      </c>
      <c r="F1011" s="27" t="s">
        <v>19081</v>
      </c>
    </row>
    <row r="1012" spans="1:6">
      <c r="A1012" s="27" t="str">
        <f>Resultados!$K$3</f>
        <v/>
      </c>
      <c r="B1012" s="27" t="str">
        <f>Resultados!$K$4</f>
        <v/>
      </c>
      <c r="C1012" s="568" t="str">
        <f>'900000'!$B32</f>
        <v>09901012</v>
      </c>
      <c r="D1012" s="160" t="str">
        <f>'900000'!$AH$15</f>
        <v>C09903007</v>
      </c>
      <c r="E1012" s="568">
        <f>'900000'!$AH32</f>
        <v>0</v>
      </c>
      <c r="F1012" s="27" t="s">
        <v>19081</v>
      </c>
    </row>
    <row r="1013" spans="1:6">
      <c r="A1013" s="27" t="str">
        <f>Resultados!$K$3</f>
        <v/>
      </c>
      <c r="B1013" s="27" t="str">
        <f>Resultados!$K$4</f>
        <v/>
      </c>
      <c r="C1013" s="568" t="str">
        <f>'900000'!$B33</f>
        <v>09901013</v>
      </c>
      <c r="D1013" s="160" t="str">
        <f>'900000'!$AH$15</f>
        <v>C09903007</v>
      </c>
      <c r="E1013" s="568">
        <f>'900000'!$AH33</f>
        <v>0</v>
      </c>
      <c r="F1013" s="27" t="s">
        <v>19081</v>
      </c>
    </row>
    <row r="1014" spans="1:6">
      <c r="A1014" s="27" t="str">
        <f>Resultados!$K$3</f>
        <v/>
      </c>
      <c r="B1014" s="27" t="str">
        <f>Resultados!$K$4</f>
        <v/>
      </c>
      <c r="C1014" s="568" t="str">
        <f>'900000'!$B34</f>
        <v>09901014</v>
      </c>
      <c r="D1014" s="160" t="str">
        <f>'900000'!$AH$15</f>
        <v>C09903007</v>
      </c>
      <c r="E1014" s="568">
        <f>'900000'!$AH34</f>
        <v>0</v>
      </c>
      <c r="F1014" s="27" t="s">
        <v>19081</v>
      </c>
    </row>
    <row r="1015" spans="1:6">
      <c r="A1015" s="27" t="str">
        <f>Resultados!$K$3</f>
        <v/>
      </c>
      <c r="B1015" s="27" t="str">
        <f>Resultados!$K$4</f>
        <v/>
      </c>
      <c r="C1015" s="568" t="str">
        <f>'900000'!$B35</f>
        <v>09901015</v>
      </c>
      <c r="D1015" s="160" t="str">
        <f>'900000'!$AH$15</f>
        <v>C09903007</v>
      </c>
      <c r="E1015" s="568">
        <f>'900000'!$AH35</f>
        <v>0</v>
      </c>
      <c r="F1015" s="27" t="s">
        <v>19081</v>
      </c>
    </row>
    <row r="1016" spans="1:6">
      <c r="A1016" s="27" t="str">
        <f>Resultados!$K$3</f>
        <v/>
      </c>
      <c r="B1016" s="27" t="str">
        <f>Resultados!$K$4</f>
        <v/>
      </c>
      <c r="C1016" s="568" t="str">
        <f>'900000'!$B36</f>
        <v>09901016</v>
      </c>
      <c r="D1016" s="160" t="str">
        <f>'900000'!$AH$15</f>
        <v>C09903007</v>
      </c>
      <c r="E1016" s="568">
        <f>'900000'!$AH36</f>
        <v>0</v>
      </c>
      <c r="F1016" s="27" t="s">
        <v>19081</v>
      </c>
    </row>
    <row r="1017" spans="1:6">
      <c r="A1017" s="27" t="str">
        <f>Resultados!$K$3</f>
        <v/>
      </c>
      <c r="B1017" s="27" t="str">
        <f>Resultados!$K$4</f>
        <v/>
      </c>
      <c r="C1017" s="568" t="str">
        <f>'900000'!$B37</f>
        <v>09901017</v>
      </c>
      <c r="D1017" s="160" t="str">
        <f>'900000'!$AH$15</f>
        <v>C09903007</v>
      </c>
      <c r="E1017" s="568">
        <f>'900000'!$AH37</f>
        <v>0</v>
      </c>
      <c r="F1017" s="27" t="s">
        <v>19081</v>
      </c>
    </row>
    <row r="1018" spans="1:6">
      <c r="A1018" s="27" t="str">
        <f>Resultados!$K$3</f>
        <v/>
      </c>
      <c r="B1018" s="27" t="str">
        <f>Resultados!$K$4</f>
        <v/>
      </c>
      <c r="C1018" s="568" t="str">
        <f>'900000'!$B38</f>
        <v>09901018</v>
      </c>
      <c r="D1018" s="160" t="str">
        <f>'900000'!$AH$15</f>
        <v>C09903007</v>
      </c>
      <c r="E1018" s="568">
        <f>'900000'!$AH38</f>
        <v>0</v>
      </c>
      <c r="F1018" s="27" t="s">
        <v>19081</v>
      </c>
    </row>
    <row r="1019" spans="1:6">
      <c r="A1019" s="27" t="str">
        <f>Resultados!$K$3</f>
        <v/>
      </c>
      <c r="B1019" s="27" t="str">
        <f>Resultados!$K$4</f>
        <v/>
      </c>
      <c r="C1019" s="568" t="str">
        <f>'900000'!$B39</f>
        <v>09901019</v>
      </c>
      <c r="D1019" s="160" t="str">
        <f>'900000'!$AH$15</f>
        <v>C09903007</v>
      </c>
      <c r="E1019" s="568">
        <f>'900000'!$AH39</f>
        <v>0</v>
      </c>
      <c r="F1019" s="27" t="s">
        <v>19081</v>
      </c>
    </row>
    <row r="1020" spans="1:6">
      <c r="A1020" s="27" t="str">
        <f>Resultados!$K$3</f>
        <v/>
      </c>
      <c r="B1020" s="27" t="str">
        <f>Resultados!$K$4</f>
        <v/>
      </c>
      <c r="C1020" s="568" t="str">
        <f>'900000'!$B40</f>
        <v>09901020</v>
      </c>
      <c r="D1020" s="160" t="str">
        <f>'900000'!$AH$15</f>
        <v>C09903007</v>
      </c>
      <c r="E1020" s="568">
        <f>'900000'!$AH40</f>
        <v>0</v>
      </c>
      <c r="F1020" s="27" t="s">
        <v>19081</v>
      </c>
    </row>
    <row r="1021" spans="1:6">
      <c r="A1021" s="27" t="str">
        <f>Resultados!$K$3</f>
        <v/>
      </c>
      <c r="B1021" s="27" t="str">
        <f>Resultados!$K$4</f>
        <v/>
      </c>
      <c r="C1021" s="568" t="str">
        <f>'900000'!$B41</f>
        <v>09901021</v>
      </c>
      <c r="D1021" s="160" t="str">
        <f>'900000'!$AH$15</f>
        <v>C09903007</v>
      </c>
      <c r="E1021" s="568">
        <f>'900000'!$AH41</f>
        <v>0</v>
      </c>
      <c r="F1021" s="27" t="s">
        <v>19081</v>
      </c>
    </row>
    <row r="1022" spans="1:6">
      <c r="A1022" s="27" t="str">
        <f>Resultados!$K$3</f>
        <v/>
      </c>
      <c r="B1022" s="27" t="str">
        <f>Resultados!$K$4</f>
        <v/>
      </c>
      <c r="C1022" s="568" t="str">
        <f>'900000'!$B42</f>
        <v>09901022</v>
      </c>
      <c r="D1022" s="160" t="str">
        <f>'900000'!$AH$15</f>
        <v>C09903007</v>
      </c>
      <c r="E1022" s="568">
        <f>'900000'!$AH42</f>
        <v>0</v>
      </c>
      <c r="F1022" s="27" t="s">
        <v>19081</v>
      </c>
    </row>
    <row r="1023" spans="1:6">
      <c r="A1023" s="27" t="str">
        <f>Resultados!$K$3</f>
        <v/>
      </c>
      <c r="B1023" s="27" t="str">
        <f>Resultados!$K$4</f>
        <v/>
      </c>
      <c r="C1023" s="568" t="str">
        <f>'900000'!$B43</f>
        <v>09901023</v>
      </c>
      <c r="D1023" s="160" t="str">
        <f>'900000'!$AH$15</f>
        <v>C09903007</v>
      </c>
      <c r="E1023" s="568">
        <f>'900000'!$AH43</f>
        <v>0</v>
      </c>
      <c r="F1023" s="27" t="s">
        <v>19081</v>
      </c>
    </row>
    <row r="1024" spans="1:6">
      <c r="A1024" s="27" t="str">
        <f>Resultados!$K$3</f>
        <v/>
      </c>
      <c r="B1024" s="27" t="str">
        <f>Resultados!$K$4</f>
        <v/>
      </c>
      <c r="C1024" s="568" t="str">
        <f>'900000'!$B44</f>
        <v>09901024</v>
      </c>
      <c r="D1024" s="160" t="str">
        <f>'900000'!$AH$15</f>
        <v>C09903007</v>
      </c>
      <c r="E1024" s="568">
        <f>'900000'!$AH44</f>
        <v>0</v>
      </c>
      <c r="F1024" s="27" t="s">
        <v>19081</v>
      </c>
    </row>
    <row r="1025" spans="1:6">
      <c r="A1025" s="27" t="str">
        <f>Resultados!$K$3</f>
        <v/>
      </c>
      <c r="B1025" s="27" t="str">
        <f>Resultados!$K$4</f>
        <v/>
      </c>
      <c r="C1025" s="568" t="str">
        <f>'900000'!$B45</f>
        <v>09901025</v>
      </c>
      <c r="D1025" s="160" t="str">
        <f>'900000'!$AH$15</f>
        <v>C09903007</v>
      </c>
      <c r="E1025" s="568">
        <f>'900000'!$AH45</f>
        <v>0</v>
      </c>
      <c r="F1025" s="27" t="s">
        <v>19081</v>
      </c>
    </row>
    <row r="1026" spans="1:6">
      <c r="A1026" s="27" t="str">
        <f>Resultados!$K$3</f>
        <v/>
      </c>
      <c r="B1026" s="27" t="str">
        <f>Resultados!$K$4</f>
        <v/>
      </c>
      <c r="C1026" s="568" t="str">
        <f>'900000'!$B46</f>
        <v>09901026</v>
      </c>
      <c r="D1026" s="160" t="str">
        <f>'900000'!$AH$15</f>
        <v>C09903007</v>
      </c>
      <c r="E1026" s="568">
        <f>'900000'!$AH46</f>
        <v>0</v>
      </c>
      <c r="F1026" s="27" t="s">
        <v>19081</v>
      </c>
    </row>
    <row r="1027" spans="1:6">
      <c r="A1027" s="27" t="str">
        <f>Resultados!$K$3</f>
        <v/>
      </c>
      <c r="B1027" s="27" t="str">
        <f>Resultados!$K$4</f>
        <v/>
      </c>
      <c r="C1027" s="568" t="str">
        <f>'900000'!$B47</f>
        <v>09901027</v>
      </c>
      <c r="D1027" s="160" t="str">
        <f>'900000'!$AH$15</f>
        <v>C09903007</v>
      </c>
      <c r="E1027" s="568">
        <f>'900000'!$AH47</f>
        <v>0</v>
      </c>
      <c r="F1027" s="27" t="s">
        <v>19081</v>
      </c>
    </row>
    <row r="1028" spans="1:6">
      <c r="A1028" s="27" t="str">
        <f>Resultados!$K$3</f>
        <v/>
      </c>
      <c r="B1028" s="27" t="str">
        <f>Resultados!$K$4</f>
        <v/>
      </c>
      <c r="C1028" s="568" t="str">
        <f>'900000'!$B48</f>
        <v>09901028</v>
      </c>
      <c r="D1028" s="160" t="str">
        <f>'900000'!$AH$15</f>
        <v>C09903007</v>
      </c>
      <c r="E1028" s="568">
        <f>'900000'!$AH48</f>
        <v>0</v>
      </c>
      <c r="F1028" s="27" t="s">
        <v>19081</v>
      </c>
    </row>
    <row r="1029" spans="1:6">
      <c r="A1029" s="27" t="str">
        <f>Resultados!$K$3</f>
        <v/>
      </c>
      <c r="B1029" s="27" t="str">
        <f>Resultados!$K$4</f>
        <v/>
      </c>
      <c r="C1029" s="568" t="str">
        <f>'900000'!$B49</f>
        <v>09901029</v>
      </c>
      <c r="D1029" s="160" t="str">
        <f>'900000'!$AH$15</f>
        <v>C09903007</v>
      </c>
      <c r="E1029" s="568">
        <f>'900000'!$AH49</f>
        <v>0</v>
      </c>
      <c r="F1029" s="27" t="s">
        <v>19081</v>
      </c>
    </row>
    <row r="1030" spans="1:6">
      <c r="A1030" s="27" t="str">
        <f>Resultados!$K$3</f>
        <v/>
      </c>
      <c r="B1030" s="27" t="str">
        <f>Resultados!$K$4</f>
        <v/>
      </c>
      <c r="C1030" s="568" t="str">
        <f>'900000'!$B50</f>
        <v>09901030</v>
      </c>
      <c r="D1030" s="160" t="str">
        <f>'900000'!$AH$15</f>
        <v>C09903007</v>
      </c>
      <c r="E1030" s="568">
        <f>'900000'!$AH50</f>
        <v>0</v>
      </c>
      <c r="F1030" s="27" t="s">
        <v>19081</v>
      </c>
    </row>
    <row r="1031" spans="1:6">
      <c r="A1031" s="27" t="str">
        <f>Resultados!$K$3</f>
        <v/>
      </c>
      <c r="B1031" s="27" t="str">
        <f>Resultados!$K$4</f>
        <v/>
      </c>
      <c r="C1031" s="568" t="str">
        <f>'900000'!$B51</f>
        <v>09901031</v>
      </c>
      <c r="D1031" s="160" t="str">
        <f>'900000'!$AH$15</f>
        <v>C09903007</v>
      </c>
      <c r="E1031" s="568">
        <f>'900000'!$AH51</f>
        <v>0</v>
      </c>
      <c r="F1031" s="27" t="s">
        <v>19081</v>
      </c>
    </row>
    <row r="1032" spans="1:6">
      <c r="A1032" s="27" t="str">
        <f>Resultados!$K$3</f>
        <v/>
      </c>
      <c r="B1032" s="27" t="str">
        <f>Resultados!$K$4</f>
        <v/>
      </c>
      <c r="C1032" s="568" t="str">
        <f>'900000'!$B52</f>
        <v>09901032</v>
      </c>
      <c r="D1032" s="160" t="str">
        <f>'900000'!$AH$15</f>
        <v>C09903007</v>
      </c>
      <c r="E1032" s="568">
        <f>'900000'!$AH52</f>
        <v>0</v>
      </c>
      <c r="F1032" s="27" t="s">
        <v>19081</v>
      </c>
    </row>
    <row r="1033" spans="1:6">
      <c r="A1033" s="27" t="str">
        <f>Resultados!$K$3</f>
        <v/>
      </c>
      <c r="B1033" s="27" t="str">
        <f>Resultados!$K$4</f>
        <v/>
      </c>
      <c r="C1033" s="568" t="str">
        <f>'900000'!$B53</f>
        <v>09901033</v>
      </c>
      <c r="D1033" s="160" t="str">
        <f>'900000'!$AH$15</f>
        <v>C09903007</v>
      </c>
      <c r="E1033" s="568">
        <f>'900000'!$AH53</f>
        <v>0</v>
      </c>
      <c r="F1033" s="27" t="s">
        <v>19081</v>
      </c>
    </row>
    <row r="1034" spans="1:6">
      <c r="A1034" s="27" t="str">
        <f>Resultados!$K$3</f>
        <v/>
      </c>
      <c r="B1034" s="27" t="str">
        <f>Resultados!$K$4</f>
        <v/>
      </c>
      <c r="C1034" s="568" t="str">
        <f>'900000'!$B54</f>
        <v>09901034</v>
      </c>
      <c r="D1034" s="160" t="str">
        <f>'900000'!$AH$15</f>
        <v>C09903007</v>
      </c>
      <c r="E1034" s="568">
        <f>'900000'!$AH54</f>
        <v>0</v>
      </c>
      <c r="F1034" s="27" t="s">
        <v>19081</v>
      </c>
    </row>
    <row r="1035" spans="1:6">
      <c r="A1035" s="27" t="str">
        <f>Resultados!$K$3</f>
        <v/>
      </c>
      <c r="B1035" s="27" t="str">
        <f>Resultados!$K$4</f>
        <v/>
      </c>
      <c r="C1035" s="568" t="str">
        <f>'900000'!$B55</f>
        <v>09901035</v>
      </c>
      <c r="D1035" s="160" t="str">
        <f>'900000'!$AH$15</f>
        <v>C09903007</v>
      </c>
      <c r="E1035" s="568">
        <f>'900000'!$AH55</f>
        <v>0</v>
      </c>
      <c r="F1035" s="27" t="s">
        <v>19081</v>
      </c>
    </row>
    <row r="1036" spans="1:6">
      <c r="A1036" s="27" t="str">
        <f>Resultados!$K$3</f>
        <v/>
      </c>
      <c r="B1036" s="27" t="str">
        <f>Resultados!$K$4</f>
        <v/>
      </c>
      <c r="C1036" s="568" t="str">
        <f>'900000'!$B56</f>
        <v>09901036</v>
      </c>
      <c r="D1036" s="160" t="str">
        <f>'900000'!$AH$15</f>
        <v>C09903007</v>
      </c>
      <c r="E1036" s="568">
        <f>'900000'!$AH56</f>
        <v>0</v>
      </c>
      <c r="F1036" s="27" t="s">
        <v>19081</v>
      </c>
    </row>
    <row r="1037" spans="1:6">
      <c r="A1037" s="27" t="str">
        <f>Resultados!$K$3</f>
        <v/>
      </c>
      <c r="B1037" s="27" t="str">
        <f>Resultados!$K$4</f>
        <v/>
      </c>
      <c r="C1037" s="568" t="str">
        <f>'900000'!$B57</f>
        <v>09901037</v>
      </c>
      <c r="D1037" s="160" t="str">
        <f>'900000'!$AH$15</f>
        <v>C09903007</v>
      </c>
      <c r="E1037" s="568">
        <f>'900000'!$AH57</f>
        <v>0</v>
      </c>
      <c r="F1037" s="27" t="s">
        <v>19081</v>
      </c>
    </row>
    <row r="1038" spans="1:6">
      <c r="A1038" s="27" t="str">
        <f>Resultados!$K$3</f>
        <v/>
      </c>
      <c r="B1038" s="27" t="str">
        <f>Resultados!$K$4</f>
        <v/>
      </c>
      <c r="C1038" s="568" t="str">
        <f>'900000'!$B58</f>
        <v>09901038</v>
      </c>
      <c r="D1038" s="160" t="str">
        <f>'900000'!$AH$15</f>
        <v>C09903007</v>
      </c>
      <c r="E1038" s="568">
        <f>'900000'!$AH58</f>
        <v>0</v>
      </c>
      <c r="F1038" s="27" t="s">
        <v>19081</v>
      </c>
    </row>
    <row r="1039" spans="1:6">
      <c r="A1039" s="27" t="str">
        <f>Resultados!$K$3</f>
        <v/>
      </c>
      <c r="B1039" s="27" t="str">
        <f>Resultados!$K$4</f>
        <v/>
      </c>
      <c r="C1039" s="568" t="str">
        <f>'900000'!$B59</f>
        <v>09901039</v>
      </c>
      <c r="D1039" s="160" t="str">
        <f>'900000'!$AH$15</f>
        <v>C09903007</v>
      </c>
      <c r="E1039" s="568">
        <f>'900000'!$AH59</f>
        <v>0</v>
      </c>
      <c r="F1039" s="27" t="s">
        <v>19081</v>
      </c>
    </row>
    <row r="1040" spans="1:6">
      <c r="A1040" s="27" t="str">
        <f>Resultados!$K$3</f>
        <v/>
      </c>
      <c r="B1040" s="27" t="str">
        <f>Resultados!$K$4</f>
        <v/>
      </c>
      <c r="C1040" s="568" t="str">
        <f>'900000'!$B60</f>
        <v>09901040</v>
      </c>
      <c r="D1040" s="160" t="str">
        <f>'900000'!$AH$15</f>
        <v>C09903007</v>
      </c>
      <c r="E1040" s="568">
        <f>'900000'!$AH60</f>
        <v>0</v>
      </c>
      <c r="F1040" s="27" t="s">
        <v>19081</v>
      </c>
    </row>
    <row r="1041" spans="1:6">
      <c r="A1041" s="27" t="str">
        <f>Resultados!$K$3</f>
        <v/>
      </c>
      <c r="B1041" s="27" t="str">
        <f>Resultados!$K$4</f>
        <v/>
      </c>
      <c r="C1041" s="568" t="str">
        <f>'900000'!$B61</f>
        <v>09901041</v>
      </c>
      <c r="D1041" s="160" t="str">
        <f>'900000'!$AH$15</f>
        <v>C09903007</v>
      </c>
      <c r="E1041" s="568">
        <f>'900000'!$AH61</f>
        <v>0</v>
      </c>
      <c r="F1041" s="27" t="s">
        <v>19081</v>
      </c>
    </row>
    <row r="1042" spans="1:6">
      <c r="A1042" s="27" t="str">
        <f>Resultados!$K$3</f>
        <v/>
      </c>
      <c r="B1042" s="27" t="str">
        <f>Resultados!$K$4</f>
        <v/>
      </c>
      <c r="C1042" s="568" t="str">
        <f>'900000'!$B62</f>
        <v>09901042</v>
      </c>
      <c r="D1042" s="160" t="str">
        <f>'900000'!$AH$15</f>
        <v>C09903007</v>
      </c>
      <c r="E1042" s="568">
        <f>'900000'!$AH62</f>
        <v>0</v>
      </c>
      <c r="F1042" s="27" t="s">
        <v>19081</v>
      </c>
    </row>
    <row r="1043" spans="1:6">
      <c r="A1043" s="27" t="str">
        <f>Resultados!$K$3</f>
        <v/>
      </c>
      <c r="B1043" s="27" t="str">
        <f>Resultados!$K$4</f>
        <v/>
      </c>
      <c r="C1043" s="568" t="str">
        <f>'900000'!$B63</f>
        <v>09901043</v>
      </c>
      <c r="D1043" s="160" t="str">
        <f>'900000'!$AH$15</f>
        <v>C09903007</v>
      </c>
      <c r="E1043" s="568">
        <f>'900000'!$AH63</f>
        <v>0</v>
      </c>
      <c r="F1043" s="27" t="s">
        <v>19081</v>
      </c>
    </row>
    <row r="1044" spans="1:6">
      <c r="A1044" s="27" t="str">
        <f>Resultados!$K$3</f>
        <v/>
      </c>
      <c r="B1044" s="27" t="str">
        <f>Resultados!$K$4</f>
        <v/>
      </c>
      <c r="C1044" s="568" t="str">
        <f>'900000'!$B64</f>
        <v>09901044</v>
      </c>
      <c r="D1044" s="160" t="str">
        <f>'900000'!$AH$15</f>
        <v>C09903007</v>
      </c>
      <c r="E1044" s="568">
        <f>'900000'!$AH64</f>
        <v>0</v>
      </c>
      <c r="F1044" s="27" t="s">
        <v>19081</v>
      </c>
    </row>
    <row r="1045" spans="1:6">
      <c r="A1045" s="27" t="str">
        <f>Resultados!$K$3</f>
        <v/>
      </c>
      <c r="B1045" s="27" t="str">
        <f>Resultados!$K$4</f>
        <v/>
      </c>
      <c r="C1045" s="568" t="str">
        <f>'900000'!$B65</f>
        <v>09901045</v>
      </c>
      <c r="D1045" s="160" t="str">
        <f>'900000'!$AH$15</f>
        <v>C09903007</v>
      </c>
      <c r="E1045" s="568">
        <f>'900000'!$AH65</f>
        <v>0</v>
      </c>
      <c r="F1045" s="27" t="s">
        <v>19081</v>
      </c>
    </row>
    <row r="1046" spans="1:6">
      <c r="A1046" s="27" t="str">
        <f>Resultados!$K$3</f>
        <v/>
      </c>
      <c r="B1046" s="27" t="str">
        <f>Resultados!$K$4</f>
        <v/>
      </c>
      <c r="C1046" s="568" t="str">
        <f>'900000'!$B66</f>
        <v>09901046</v>
      </c>
      <c r="D1046" s="160" t="str">
        <f>'900000'!$AH$15</f>
        <v>C09903007</v>
      </c>
      <c r="E1046" s="568">
        <f>'900000'!$AH66</f>
        <v>0</v>
      </c>
      <c r="F1046" s="27" t="s">
        <v>19081</v>
      </c>
    </row>
    <row r="1047" spans="1:6">
      <c r="A1047" s="27" t="str">
        <f>Resultados!$K$3</f>
        <v/>
      </c>
      <c r="B1047" s="27" t="str">
        <f>Resultados!$K$4</f>
        <v/>
      </c>
      <c r="C1047" s="568" t="str">
        <f>'900000'!$B67</f>
        <v>09901047</v>
      </c>
      <c r="D1047" s="160" t="str">
        <f>'900000'!$AH$15</f>
        <v>C09903007</v>
      </c>
      <c r="E1047" s="568">
        <f>'900000'!$AH67</f>
        <v>0</v>
      </c>
      <c r="F1047" s="27" t="s">
        <v>19081</v>
      </c>
    </row>
    <row r="1048" spans="1:6">
      <c r="A1048" s="27" t="str">
        <f>Resultados!$K$3</f>
        <v/>
      </c>
      <c r="B1048" s="27" t="str">
        <f>Resultados!$K$4</f>
        <v/>
      </c>
      <c r="C1048" s="568" t="str">
        <f>'900000'!$B68</f>
        <v>09901048</v>
      </c>
      <c r="D1048" s="160" t="str">
        <f>'900000'!$AH$15</f>
        <v>C09903007</v>
      </c>
      <c r="E1048" s="568">
        <f>'900000'!$AH68</f>
        <v>0</v>
      </c>
      <c r="F1048" s="27" t="s">
        <v>19081</v>
      </c>
    </row>
    <row r="1049" spans="1:6">
      <c r="A1049" s="27" t="str">
        <f>Resultados!$K$3</f>
        <v/>
      </c>
      <c r="B1049" s="27" t="str">
        <f>Resultados!$K$4</f>
        <v/>
      </c>
      <c r="C1049" s="568" t="str">
        <f>'900000'!$B69</f>
        <v>09901049</v>
      </c>
      <c r="D1049" s="160" t="str">
        <f>'900000'!$AH$15</f>
        <v>C09903007</v>
      </c>
      <c r="E1049" s="568">
        <f>'900000'!$AH69</f>
        <v>0</v>
      </c>
      <c r="F1049" s="27" t="s">
        <v>19081</v>
      </c>
    </row>
    <row r="1050" spans="1:6">
      <c r="A1050" s="27" t="str">
        <f>Resultados!$K$3</f>
        <v/>
      </c>
      <c r="B1050" s="27" t="str">
        <f>Resultados!$K$4</f>
        <v/>
      </c>
      <c r="C1050" s="568" t="str">
        <f>'900000'!$B70</f>
        <v>09901050</v>
      </c>
      <c r="D1050" s="160" t="str">
        <f>'900000'!$AH$15</f>
        <v>C09903007</v>
      </c>
      <c r="E1050" s="568">
        <f>'900000'!$AH70</f>
        <v>0</v>
      </c>
      <c r="F1050" s="27" t="s">
        <v>19081</v>
      </c>
    </row>
    <row r="1051" spans="1:6">
      <c r="A1051" s="27" t="str">
        <f>Resultados!$K$3</f>
        <v/>
      </c>
      <c r="B1051" s="27" t="str">
        <f>Resultados!$K$4</f>
        <v/>
      </c>
      <c r="C1051" s="568" t="str">
        <f>'900000'!$B71</f>
        <v>09901051</v>
      </c>
      <c r="D1051" s="160" t="str">
        <f>'900000'!$AH$15</f>
        <v>C09903007</v>
      </c>
      <c r="E1051" s="568">
        <f>'900000'!$AH71</f>
        <v>0</v>
      </c>
      <c r="F1051" s="27" t="s">
        <v>19081</v>
      </c>
    </row>
    <row r="1052" spans="1:6">
      <c r="A1052" s="27" t="str">
        <f>Resultados!$K$3</f>
        <v/>
      </c>
      <c r="B1052" s="27" t="str">
        <f>Resultados!$K$4</f>
        <v/>
      </c>
      <c r="C1052" s="568" t="str">
        <f>'900000'!$B72</f>
        <v>09901052</v>
      </c>
      <c r="D1052" s="160" t="str">
        <f>'900000'!$AH$15</f>
        <v>C09903007</v>
      </c>
      <c r="E1052" s="568">
        <f>'900000'!$AH72</f>
        <v>0</v>
      </c>
      <c r="F1052" s="27" t="s">
        <v>19081</v>
      </c>
    </row>
    <row r="1053" spans="1:6">
      <c r="A1053" s="27" t="str">
        <f>Resultados!$K$3</f>
        <v/>
      </c>
      <c r="B1053" s="27" t="str">
        <f>Resultados!$K$4</f>
        <v/>
      </c>
      <c r="C1053" s="568" t="str">
        <f>'900000'!$B73</f>
        <v>09901053</v>
      </c>
      <c r="D1053" s="160" t="str">
        <f>'900000'!$AH$15</f>
        <v>C09903007</v>
      </c>
      <c r="E1053" s="568">
        <f>'900000'!$AH73</f>
        <v>0</v>
      </c>
      <c r="F1053" s="27" t="s">
        <v>19081</v>
      </c>
    </row>
    <row r="1054" spans="1:6">
      <c r="A1054" s="27" t="str">
        <f>Resultados!$K$3</f>
        <v/>
      </c>
      <c r="B1054" s="27" t="str">
        <f>Resultados!$K$4</f>
        <v/>
      </c>
      <c r="C1054" s="568" t="str">
        <f>'900000'!$B74</f>
        <v>09901054</v>
      </c>
      <c r="D1054" s="160" t="str">
        <f>'900000'!$AH$15</f>
        <v>C09903007</v>
      </c>
      <c r="E1054" s="568">
        <f>'900000'!$AH74</f>
        <v>0</v>
      </c>
      <c r="F1054" s="27" t="s">
        <v>19081</v>
      </c>
    </row>
    <row r="1055" spans="1:6">
      <c r="A1055" s="27" t="str">
        <f>Resultados!$K$3</f>
        <v/>
      </c>
      <c r="B1055" s="27" t="str">
        <f>Resultados!$K$4</f>
        <v/>
      </c>
      <c r="C1055" s="568" t="str">
        <f>'900000'!$B75</f>
        <v>09901055</v>
      </c>
      <c r="D1055" s="160" t="str">
        <f>'900000'!$AH$15</f>
        <v>C09903007</v>
      </c>
      <c r="E1055" s="568">
        <f>'900000'!$AH75</f>
        <v>0</v>
      </c>
      <c r="F1055" s="27" t="s">
        <v>19081</v>
      </c>
    </row>
    <row r="1056" spans="1:6">
      <c r="A1056" s="27" t="str">
        <f>Resultados!$K$3</f>
        <v/>
      </c>
      <c r="B1056" s="27" t="str">
        <f>Resultados!$K$4</f>
        <v/>
      </c>
      <c r="C1056" s="568" t="str">
        <f>'900000'!$B76</f>
        <v>09901056</v>
      </c>
      <c r="D1056" s="160" t="str">
        <f>'900000'!$AH$15</f>
        <v>C09903007</v>
      </c>
      <c r="E1056" s="568">
        <f>'900000'!$AH76</f>
        <v>0</v>
      </c>
      <c r="F1056" s="27" t="s">
        <v>19081</v>
      </c>
    </row>
    <row r="1057" spans="1:6">
      <c r="A1057" s="27" t="str">
        <f>Resultados!$K$3</f>
        <v/>
      </c>
      <c r="B1057" s="27" t="str">
        <f>Resultados!$K$4</f>
        <v/>
      </c>
      <c r="C1057" s="568" t="str">
        <f>'900000'!$B77</f>
        <v>09901057</v>
      </c>
      <c r="D1057" s="160" t="str">
        <f>'900000'!$AH$15</f>
        <v>C09903007</v>
      </c>
      <c r="E1057" s="568">
        <f>'900000'!$AH77</f>
        <v>0</v>
      </c>
      <c r="F1057" s="27" t="s">
        <v>19081</v>
      </c>
    </row>
    <row r="1058" spans="1:6">
      <c r="A1058" s="27" t="str">
        <f>Resultados!$K$3</f>
        <v/>
      </c>
      <c r="B1058" s="27" t="str">
        <f>Resultados!$K$4</f>
        <v/>
      </c>
      <c r="C1058" s="568" t="str">
        <f>'900000'!$B78</f>
        <v>09901058</v>
      </c>
      <c r="D1058" s="160" t="str">
        <f>'900000'!$AH$15</f>
        <v>C09903007</v>
      </c>
      <c r="E1058" s="568">
        <f>'900000'!$AH78</f>
        <v>0</v>
      </c>
      <c r="F1058" s="27" t="s">
        <v>19081</v>
      </c>
    </row>
    <row r="1059" spans="1:6">
      <c r="A1059" s="27" t="str">
        <f>Resultados!$K$3</f>
        <v/>
      </c>
      <c r="B1059" s="27" t="str">
        <f>Resultados!$K$4</f>
        <v/>
      </c>
      <c r="C1059" s="568" t="str">
        <f>'900000'!$B79</f>
        <v>09901059</v>
      </c>
      <c r="D1059" s="160" t="str">
        <f>'900000'!$AH$15</f>
        <v>C09903007</v>
      </c>
      <c r="E1059" s="568">
        <f>'900000'!$AH79</f>
        <v>0</v>
      </c>
      <c r="F1059" s="27" t="s">
        <v>19081</v>
      </c>
    </row>
    <row r="1060" spans="1:6">
      <c r="A1060" s="27" t="str">
        <f>Resultados!$K$3</f>
        <v/>
      </c>
      <c r="B1060" s="27" t="str">
        <f>Resultados!$K$4</f>
        <v/>
      </c>
      <c r="C1060" s="568" t="str">
        <f>'900000'!$B80</f>
        <v>09901060</v>
      </c>
      <c r="D1060" s="160" t="str">
        <f>'900000'!$AH$15</f>
        <v>C09903007</v>
      </c>
      <c r="E1060" s="568">
        <f>'900000'!$AH80</f>
        <v>0</v>
      </c>
      <c r="F1060" s="27" t="s">
        <v>19081</v>
      </c>
    </row>
    <row r="1061" spans="1:6">
      <c r="A1061" s="27" t="str">
        <f>Resultados!$K$3</f>
        <v/>
      </c>
      <c r="B1061" s="27" t="str">
        <f>Resultados!$K$4</f>
        <v/>
      </c>
      <c r="C1061" s="568" t="str">
        <f>'900000'!$B81</f>
        <v>09901061</v>
      </c>
      <c r="D1061" s="160" t="str">
        <f>'900000'!$AH$15</f>
        <v>C09903007</v>
      </c>
      <c r="E1061" s="568">
        <f>'900000'!$AH81</f>
        <v>0</v>
      </c>
      <c r="F1061" s="27" t="s">
        <v>19081</v>
      </c>
    </row>
    <row r="1062" spans="1:6">
      <c r="A1062" s="27" t="str">
        <f>Resultados!$K$3</f>
        <v/>
      </c>
      <c r="B1062" s="27" t="str">
        <f>Resultados!$K$4</f>
        <v/>
      </c>
      <c r="C1062" s="568" t="str">
        <f>'900000'!$B82</f>
        <v>09901062</v>
      </c>
      <c r="D1062" s="160" t="str">
        <f>'900000'!$AH$15</f>
        <v>C09903007</v>
      </c>
      <c r="E1062" s="568">
        <f>'900000'!$AH82</f>
        <v>0</v>
      </c>
      <c r="F1062" s="27" t="s">
        <v>19081</v>
      </c>
    </row>
    <row r="1063" spans="1:6">
      <c r="A1063" s="27" t="str">
        <f>Resultados!$K$3</f>
        <v/>
      </c>
      <c r="B1063" s="27" t="str">
        <f>Resultados!$K$4</f>
        <v/>
      </c>
      <c r="C1063" s="568" t="str">
        <f>'900000'!$B83</f>
        <v>09901063</v>
      </c>
      <c r="D1063" s="160" t="str">
        <f>'900000'!$AH$15</f>
        <v>C09903007</v>
      </c>
      <c r="E1063" s="568">
        <f>'900000'!$AH83</f>
        <v>0</v>
      </c>
      <c r="F1063" s="27" t="s">
        <v>19081</v>
      </c>
    </row>
    <row r="1064" spans="1:6">
      <c r="A1064" s="27" t="str">
        <f>Resultados!$K$3</f>
        <v/>
      </c>
      <c r="B1064" s="27" t="str">
        <f>Resultados!$K$4</f>
        <v/>
      </c>
      <c r="C1064" s="568" t="str">
        <f>'900000'!$B84</f>
        <v>09901064</v>
      </c>
      <c r="D1064" s="160" t="str">
        <f>'900000'!$AH$15</f>
        <v>C09903007</v>
      </c>
      <c r="E1064" s="568">
        <f>'900000'!$AH84</f>
        <v>0</v>
      </c>
      <c r="F1064" s="27" t="s">
        <v>19081</v>
      </c>
    </row>
    <row r="1065" spans="1:6">
      <c r="A1065" s="27" t="str">
        <f>Resultados!$K$3</f>
        <v/>
      </c>
      <c r="B1065" s="27" t="str">
        <f>Resultados!$K$4</f>
        <v/>
      </c>
      <c r="C1065" s="568" t="str">
        <f>'900000'!$B85</f>
        <v>09901065</v>
      </c>
      <c r="D1065" s="160" t="str">
        <f>'900000'!$AH$15</f>
        <v>C09903007</v>
      </c>
      <c r="E1065" s="568">
        <f>'900000'!$AH85</f>
        <v>0</v>
      </c>
      <c r="F1065" s="27" t="s">
        <v>19081</v>
      </c>
    </row>
    <row r="1066" spans="1:6">
      <c r="A1066" s="27" t="str">
        <f>Resultados!$K$3</f>
        <v/>
      </c>
      <c r="B1066" s="27" t="str">
        <f>Resultados!$K$4</f>
        <v/>
      </c>
      <c r="C1066" s="568" t="str">
        <f>'900000'!$B86</f>
        <v>09901066</v>
      </c>
      <c r="D1066" s="160" t="str">
        <f>'900000'!$AH$15</f>
        <v>C09903007</v>
      </c>
      <c r="E1066" s="568">
        <f>'900000'!$AH86</f>
        <v>0</v>
      </c>
      <c r="F1066" s="27" t="s">
        <v>19081</v>
      </c>
    </row>
    <row r="1067" spans="1:6">
      <c r="A1067" s="27" t="str">
        <f>Resultados!$K$3</f>
        <v/>
      </c>
      <c r="B1067" s="27" t="str">
        <f>Resultados!$K$4</f>
        <v/>
      </c>
      <c r="C1067" s="568" t="str">
        <f>'900000'!$B87</f>
        <v>09901067</v>
      </c>
      <c r="D1067" s="160" t="str">
        <f>'900000'!$AH$15</f>
        <v>C09903007</v>
      </c>
      <c r="E1067" s="568">
        <f>'900000'!$AH87</f>
        <v>0</v>
      </c>
      <c r="F1067" s="27" t="s">
        <v>19081</v>
      </c>
    </row>
    <row r="1068" spans="1:6">
      <c r="A1068" s="27" t="str">
        <f>Resultados!$K$3</f>
        <v/>
      </c>
      <c r="B1068" s="27" t="str">
        <f>Resultados!$K$4</f>
        <v/>
      </c>
      <c r="C1068" s="568" t="str">
        <f>'900000'!$B88</f>
        <v>09901068</v>
      </c>
      <c r="D1068" s="160" t="str">
        <f>'900000'!$AH$15</f>
        <v>C09903007</v>
      </c>
      <c r="E1068" s="568">
        <f>'900000'!$AH88</f>
        <v>0</v>
      </c>
      <c r="F1068" s="27" t="s">
        <v>19081</v>
      </c>
    </row>
    <row r="1069" spans="1:6">
      <c r="A1069" s="27" t="str">
        <f>Resultados!$K$3</f>
        <v/>
      </c>
      <c r="B1069" s="27" t="str">
        <f>Resultados!$K$4</f>
        <v/>
      </c>
      <c r="C1069" s="568" t="str">
        <f>'900000'!$B89</f>
        <v>09901069</v>
      </c>
      <c r="D1069" s="160" t="str">
        <f>'900000'!$AH$15</f>
        <v>C09903007</v>
      </c>
      <c r="E1069" s="568">
        <f>'900000'!$AH89</f>
        <v>0</v>
      </c>
      <c r="F1069" s="27" t="s">
        <v>19081</v>
      </c>
    </row>
    <row r="1070" spans="1:6">
      <c r="A1070" s="27" t="str">
        <f>Resultados!$K$3</f>
        <v/>
      </c>
      <c r="B1070" s="27" t="str">
        <f>Resultados!$K$4</f>
        <v/>
      </c>
      <c r="C1070" s="568" t="str">
        <f>'900000'!$B90</f>
        <v>09901070</v>
      </c>
      <c r="D1070" s="160" t="str">
        <f>'900000'!$AH$15</f>
        <v>C09903007</v>
      </c>
      <c r="E1070" s="568">
        <f>'900000'!$AH90</f>
        <v>0</v>
      </c>
      <c r="F1070" s="27" t="s">
        <v>19081</v>
      </c>
    </row>
    <row r="1071" spans="1:6">
      <c r="A1071" s="27" t="str">
        <f>Resultados!$K$3</f>
        <v/>
      </c>
      <c r="B1071" s="27" t="str">
        <f>Resultados!$K$4</f>
        <v/>
      </c>
      <c r="C1071" s="568" t="str">
        <f>'900000'!$B91</f>
        <v>09901071</v>
      </c>
      <c r="D1071" s="160" t="str">
        <f>'900000'!$AH$15</f>
        <v>C09903007</v>
      </c>
      <c r="E1071" s="568">
        <f>'900000'!$AH91</f>
        <v>0</v>
      </c>
      <c r="F1071" s="27" t="s">
        <v>19081</v>
      </c>
    </row>
    <row r="1072" spans="1:6">
      <c r="A1072" s="27" t="str">
        <f>Resultados!$K$3</f>
        <v/>
      </c>
      <c r="B1072" s="27" t="str">
        <f>Resultados!$K$4</f>
        <v/>
      </c>
      <c r="C1072" s="568" t="str">
        <f>'900000'!$B92</f>
        <v>09901072</v>
      </c>
      <c r="D1072" s="160" t="str">
        <f>'900000'!$AH$15</f>
        <v>C09903007</v>
      </c>
      <c r="E1072" s="568">
        <f>'900000'!$AH92</f>
        <v>0</v>
      </c>
      <c r="F1072" s="27" t="s">
        <v>19081</v>
      </c>
    </row>
    <row r="1073" spans="1:6">
      <c r="A1073" s="27" t="str">
        <f>Resultados!$K$3</f>
        <v/>
      </c>
      <c r="B1073" s="27" t="str">
        <f>Resultados!$K$4</f>
        <v/>
      </c>
      <c r="C1073" s="568" t="str">
        <f>'900000'!$B93</f>
        <v>09901073</v>
      </c>
      <c r="D1073" s="160" t="str">
        <f>'900000'!$AH$15</f>
        <v>C09903007</v>
      </c>
      <c r="E1073" s="568">
        <f>'900000'!$AH93</f>
        <v>0</v>
      </c>
      <c r="F1073" s="27" t="s">
        <v>19081</v>
      </c>
    </row>
    <row r="1074" spans="1:6">
      <c r="A1074" s="27" t="str">
        <f>Resultados!$K$3</f>
        <v/>
      </c>
      <c r="B1074" s="27" t="str">
        <f>Resultados!$K$4</f>
        <v/>
      </c>
      <c r="C1074" s="568" t="str">
        <f>'900000'!$B94</f>
        <v>09901074</v>
      </c>
      <c r="D1074" s="160" t="str">
        <f>'900000'!$AH$15</f>
        <v>C09903007</v>
      </c>
      <c r="E1074" s="568">
        <f>'900000'!$AH94</f>
        <v>0</v>
      </c>
      <c r="F1074" s="27" t="s">
        <v>19081</v>
      </c>
    </row>
    <row r="1075" spans="1:6">
      <c r="A1075" s="27" t="str">
        <f>Resultados!$K$3</f>
        <v/>
      </c>
      <c r="B1075" s="27" t="str">
        <f>Resultados!$K$4</f>
        <v/>
      </c>
      <c r="C1075" s="568" t="str">
        <f>'900000'!$B95</f>
        <v>09901075</v>
      </c>
      <c r="D1075" s="160" t="str">
        <f>'900000'!$AH$15</f>
        <v>C09903007</v>
      </c>
      <c r="E1075" s="568">
        <f>'900000'!$AH95</f>
        <v>0</v>
      </c>
      <c r="F1075" s="27" t="s">
        <v>19081</v>
      </c>
    </row>
    <row r="1076" spans="1:6">
      <c r="A1076" s="27" t="str">
        <f>Resultados!$K$3</f>
        <v/>
      </c>
      <c r="B1076" s="27" t="str">
        <f>Resultados!$K$4</f>
        <v/>
      </c>
      <c r="C1076" s="568" t="str">
        <f>'900000'!$B96</f>
        <v>09901076</v>
      </c>
      <c r="D1076" s="160" t="str">
        <f>'900000'!$AH$15</f>
        <v>C09903007</v>
      </c>
      <c r="E1076" s="568">
        <f>'900000'!$AH96</f>
        <v>0</v>
      </c>
      <c r="F1076" s="27" t="s">
        <v>19081</v>
      </c>
    </row>
    <row r="1077" spans="1:6">
      <c r="A1077" s="27" t="str">
        <f>Resultados!$K$3</f>
        <v/>
      </c>
      <c r="B1077" s="27" t="str">
        <f>Resultados!$K$4</f>
        <v/>
      </c>
      <c r="C1077" s="568" t="str">
        <f>'900000'!$B97</f>
        <v>09901077</v>
      </c>
      <c r="D1077" s="160" t="str">
        <f>'900000'!$AH$15</f>
        <v>C09903007</v>
      </c>
      <c r="E1077" s="568">
        <f>'900000'!$AH97</f>
        <v>0</v>
      </c>
      <c r="F1077" s="27" t="s">
        <v>19081</v>
      </c>
    </row>
    <row r="1078" spans="1:6">
      <c r="A1078" s="27" t="str">
        <f>Resultados!$K$3</f>
        <v/>
      </c>
      <c r="B1078" s="27" t="str">
        <f>Resultados!$K$4</f>
        <v/>
      </c>
      <c r="C1078" s="568" t="str">
        <f>'900000'!$B98</f>
        <v>09901078</v>
      </c>
      <c r="D1078" s="160" t="str">
        <f>'900000'!$AH$15</f>
        <v>C09903007</v>
      </c>
      <c r="E1078" s="568">
        <f>'900000'!$AH98</f>
        <v>0</v>
      </c>
      <c r="F1078" s="27" t="s">
        <v>19081</v>
      </c>
    </row>
    <row r="1079" spans="1:6">
      <c r="A1079" s="27" t="str">
        <f>Resultados!$K$3</f>
        <v/>
      </c>
      <c r="B1079" s="27" t="str">
        <f>Resultados!$K$4</f>
        <v/>
      </c>
      <c r="C1079" s="568" t="str">
        <f>'900000'!$B99</f>
        <v>09901079</v>
      </c>
      <c r="D1079" s="160" t="str">
        <f>'900000'!$AH$15</f>
        <v>C09903007</v>
      </c>
      <c r="E1079" s="568">
        <f>'900000'!$AH99</f>
        <v>0</v>
      </c>
      <c r="F1079" s="27" t="s">
        <v>19081</v>
      </c>
    </row>
    <row r="1080" spans="1:6">
      <c r="A1080" s="27" t="str">
        <f>Resultados!$K$3</f>
        <v/>
      </c>
      <c r="B1080" s="27" t="str">
        <f>Resultados!$K$4</f>
        <v/>
      </c>
      <c r="C1080" s="568" t="str">
        <f>'900000'!$B100</f>
        <v>09901080</v>
      </c>
      <c r="D1080" s="160" t="str">
        <f>'900000'!$AH$15</f>
        <v>C09903007</v>
      </c>
      <c r="E1080" s="568">
        <f>'900000'!$AH100</f>
        <v>0</v>
      </c>
      <c r="F1080" s="27" t="s">
        <v>19081</v>
      </c>
    </row>
    <row r="1081" spans="1:6">
      <c r="A1081" s="27" t="str">
        <f>Resultados!$K$3</f>
        <v/>
      </c>
      <c r="B1081" s="27" t="str">
        <f>Resultados!$K$4</f>
        <v/>
      </c>
      <c r="C1081" s="568" t="str">
        <f>'900000'!$B101</f>
        <v>09901081</v>
      </c>
      <c r="D1081" s="160" t="str">
        <f>'900000'!$AH$15</f>
        <v>C09903007</v>
      </c>
      <c r="E1081" s="568">
        <f>'900000'!$AH101</f>
        <v>0</v>
      </c>
      <c r="F1081" s="27" t="s">
        <v>19081</v>
      </c>
    </row>
    <row r="1082" spans="1:6">
      <c r="A1082" s="27" t="str">
        <f>Resultados!$K$3</f>
        <v/>
      </c>
      <c r="B1082" s="27" t="str">
        <f>Resultados!$K$4</f>
        <v/>
      </c>
      <c r="C1082" s="568" t="str">
        <f>'900000'!$B102</f>
        <v>09901082</v>
      </c>
      <c r="D1082" s="160" t="str">
        <f>'900000'!$AH$15</f>
        <v>C09903007</v>
      </c>
      <c r="E1082" s="568">
        <f>'900000'!$AH102</f>
        <v>0</v>
      </c>
      <c r="F1082" s="27" t="s">
        <v>19081</v>
      </c>
    </row>
    <row r="1083" spans="1:6">
      <c r="A1083" s="27" t="str">
        <f>Resultados!$K$3</f>
        <v/>
      </c>
      <c r="B1083" s="27" t="str">
        <f>Resultados!$K$4</f>
        <v/>
      </c>
      <c r="C1083" s="568" t="str">
        <f>'900000'!$B103</f>
        <v>09901083</v>
      </c>
      <c r="D1083" s="160" t="str">
        <f>'900000'!$AH$15</f>
        <v>C09903007</v>
      </c>
      <c r="E1083" s="568">
        <f>'900000'!$AH103</f>
        <v>0</v>
      </c>
      <c r="F1083" s="27" t="s">
        <v>19081</v>
      </c>
    </row>
    <row r="1084" spans="1:6">
      <c r="A1084" s="27" t="str">
        <f>Resultados!$K$3</f>
        <v/>
      </c>
      <c r="B1084" s="27" t="str">
        <f>Resultados!$K$4</f>
        <v/>
      </c>
      <c r="C1084" s="568" t="str">
        <f>'900000'!$B104</f>
        <v>09901084</v>
      </c>
      <c r="D1084" s="160" t="str">
        <f>'900000'!$AH$15</f>
        <v>C09903007</v>
      </c>
      <c r="E1084" s="568">
        <f>'900000'!$AH104</f>
        <v>0</v>
      </c>
      <c r="F1084" s="27" t="s">
        <v>19081</v>
      </c>
    </row>
    <row r="1085" spans="1:6">
      <c r="A1085" s="27" t="str">
        <f>Resultados!$K$3</f>
        <v/>
      </c>
      <c r="B1085" s="27" t="str">
        <f>Resultados!$K$4</f>
        <v/>
      </c>
      <c r="C1085" s="568" t="str">
        <f>'900000'!$B105</f>
        <v>09901085</v>
      </c>
      <c r="D1085" s="160" t="str">
        <f>'900000'!$AH$15</f>
        <v>C09903007</v>
      </c>
      <c r="E1085" s="568">
        <f>'900000'!$AH105</f>
        <v>0</v>
      </c>
      <c r="F1085" s="27" t="s">
        <v>19081</v>
      </c>
    </row>
    <row r="1086" spans="1:6">
      <c r="A1086" s="27" t="str">
        <f>Resultados!$K$3</f>
        <v/>
      </c>
      <c r="B1086" s="27" t="str">
        <f>Resultados!$K$4</f>
        <v/>
      </c>
      <c r="C1086" s="568" t="str">
        <f>'900000'!$B106</f>
        <v>09901086</v>
      </c>
      <c r="D1086" s="160" t="str">
        <f>'900000'!$AH$15</f>
        <v>C09903007</v>
      </c>
      <c r="E1086" s="568">
        <f>'900000'!$AH106</f>
        <v>0</v>
      </c>
      <c r="F1086" s="27" t="s">
        <v>19081</v>
      </c>
    </row>
    <row r="1087" spans="1:6">
      <c r="A1087" s="27" t="str">
        <f>Resultados!$K$3</f>
        <v/>
      </c>
      <c r="B1087" s="27" t="str">
        <f>Resultados!$K$4</f>
        <v/>
      </c>
      <c r="C1087" s="568" t="str">
        <f>'900000'!$B107</f>
        <v>09901087</v>
      </c>
      <c r="D1087" s="160" t="str">
        <f>'900000'!$AH$15</f>
        <v>C09903007</v>
      </c>
      <c r="E1087" s="568">
        <f>'900000'!$AH107</f>
        <v>0</v>
      </c>
      <c r="F1087" s="27" t="s">
        <v>19081</v>
      </c>
    </row>
    <row r="1088" spans="1:6">
      <c r="A1088" s="27" t="str">
        <f>Resultados!$K$3</f>
        <v/>
      </c>
      <c r="B1088" s="27" t="str">
        <f>Resultados!$K$4</f>
        <v/>
      </c>
      <c r="C1088" s="568" t="str">
        <f>'900000'!$B108</f>
        <v>09901088</v>
      </c>
      <c r="D1088" s="160" t="str">
        <f>'900000'!$AH$15</f>
        <v>C09903007</v>
      </c>
      <c r="E1088" s="568">
        <f>'900000'!$AH108</f>
        <v>0</v>
      </c>
      <c r="F1088" s="27" t="s">
        <v>19081</v>
      </c>
    </row>
    <row r="1089" spans="1:6">
      <c r="A1089" s="27" t="str">
        <f>Resultados!$K$3</f>
        <v/>
      </c>
      <c r="B1089" s="27" t="str">
        <f>Resultados!$K$4</f>
        <v/>
      </c>
      <c r="C1089" s="568" t="str">
        <f>'900000'!$B109</f>
        <v>09901089</v>
      </c>
      <c r="D1089" s="160" t="str">
        <f>'900000'!$AH$15</f>
        <v>C09903007</v>
      </c>
      <c r="E1089" s="568">
        <f>'900000'!$AH109</f>
        <v>0</v>
      </c>
      <c r="F1089" s="27" t="s">
        <v>19081</v>
      </c>
    </row>
    <row r="1090" spans="1:6">
      <c r="A1090" s="27" t="str">
        <f>Resultados!$K$3</f>
        <v/>
      </c>
      <c r="B1090" s="27" t="str">
        <f>Resultados!$K$4</f>
        <v/>
      </c>
      <c r="C1090" s="568" t="str">
        <f>'900000'!$B110</f>
        <v>09901090</v>
      </c>
      <c r="D1090" s="160" t="str">
        <f>'900000'!$AH$15</f>
        <v>C09903007</v>
      </c>
      <c r="E1090" s="568">
        <f>'900000'!$AH110</f>
        <v>0</v>
      </c>
      <c r="F1090" s="27" t="s">
        <v>19081</v>
      </c>
    </row>
    <row r="1091" spans="1:6">
      <c r="A1091" s="27" t="str">
        <f>Resultados!$K$3</f>
        <v/>
      </c>
      <c r="B1091" s="27" t="str">
        <f>Resultados!$K$4</f>
        <v/>
      </c>
      <c r="C1091" s="568" t="str">
        <f>'900000'!$B111</f>
        <v>09901091</v>
      </c>
      <c r="D1091" s="160" t="str">
        <f>'900000'!$AH$15</f>
        <v>C09903007</v>
      </c>
      <c r="E1091" s="568">
        <f>'900000'!$AH111</f>
        <v>0</v>
      </c>
      <c r="F1091" s="27" t="s">
        <v>19081</v>
      </c>
    </row>
    <row r="1092" spans="1:6">
      <c r="A1092" s="27" t="str">
        <f>Resultados!$K$3</f>
        <v/>
      </c>
      <c r="B1092" s="27" t="str">
        <f>Resultados!$K$4</f>
        <v/>
      </c>
      <c r="C1092" s="568" t="str">
        <f>'900000'!$B112</f>
        <v>09901092</v>
      </c>
      <c r="D1092" s="160" t="str">
        <f>'900000'!$AH$15</f>
        <v>C09903007</v>
      </c>
      <c r="E1092" s="568">
        <f>'900000'!$AH112</f>
        <v>0</v>
      </c>
      <c r="F1092" s="27" t="s">
        <v>19081</v>
      </c>
    </row>
    <row r="1093" spans="1:6">
      <c r="A1093" s="27" t="str">
        <f>Resultados!$K$3</f>
        <v/>
      </c>
      <c r="B1093" s="27" t="str">
        <f>Resultados!$K$4</f>
        <v/>
      </c>
      <c r="C1093" s="568" t="str">
        <f>'900000'!$B113</f>
        <v>09901093</v>
      </c>
      <c r="D1093" s="160" t="str">
        <f>'900000'!$AH$15</f>
        <v>C09903007</v>
      </c>
      <c r="E1093" s="568">
        <f>'900000'!$AH113</f>
        <v>0</v>
      </c>
      <c r="F1093" s="27" t="s">
        <v>19081</v>
      </c>
    </row>
    <row r="1094" spans="1:6">
      <c r="A1094" s="27" t="str">
        <f>Resultados!$K$3</f>
        <v/>
      </c>
      <c r="B1094" s="27" t="str">
        <f>Resultados!$K$4</f>
        <v/>
      </c>
      <c r="C1094" s="568" t="str">
        <f>'900000'!$B114</f>
        <v>09901094</v>
      </c>
      <c r="D1094" s="160" t="str">
        <f>'900000'!$AH$15</f>
        <v>C09903007</v>
      </c>
      <c r="E1094" s="568">
        <f>'900000'!$AH114</f>
        <v>0</v>
      </c>
      <c r="F1094" s="27" t="s">
        <v>19081</v>
      </c>
    </row>
    <row r="1095" spans="1:6">
      <c r="A1095" s="27" t="str">
        <f>Resultados!$K$3</f>
        <v/>
      </c>
      <c r="B1095" s="27" t="str">
        <f>Resultados!$K$4</f>
        <v/>
      </c>
      <c r="C1095" s="568" t="str">
        <f>'900000'!$B115</f>
        <v>09901095</v>
      </c>
      <c r="D1095" s="160" t="str">
        <f>'900000'!$AH$15</f>
        <v>C09903007</v>
      </c>
      <c r="E1095" s="568">
        <f>'900000'!$AH115</f>
        <v>0</v>
      </c>
      <c r="F1095" s="27" t="s">
        <v>19081</v>
      </c>
    </row>
    <row r="1096" spans="1:6">
      <c r="A1096" s="27" t="str">
        <f>Resultados!$K$3</f>
        <v/>
      </c>
      <c r="B1096" s="27" t="str">
        <f>Resultados!$K$4</f>
        <v/>
      </c>
      <c r="C1096" s="568" t="str">
        <f>'900000'!$B116</f>
        <v>09901096</v>
      </c>
      <c r="D1096" s="160" t="str">
        <f>'900000'!$AH$15</f>
        <v>C09903007</v>
      </c>
      <c r="E1096" s="568">
        <f>'900000'!$AH116</f>
        <v>0</v>
      </c>
      <c r="F1096" s="27" t="s">
        <v>19081</v>
      </c>
    </row>
    <row r="1097" spans="1:6">
      <c r="A1097" s="27" t="str">
        <f>Resultados!$K$3</f>
        <v/>
      </c>
      <c r="B1097" s="27" t="str">
        <f>Resultados!$K$4</f>
        <v/>
      </c>
      <c r="C1097" s="568" t="str">
        <f>'900000'!$B117</f>
        <v>09901097</v>
      </c>
      <c r="D1097" s="160" t="str">
        <f>'900000'!$AH$15</f>
        <v>C09903007</v>
      </c>
      <c r="E1097" s="568">
        <f>'900000'!$AH117</f>
        <v>0</v>
      </c>
      <c r="F1097" s="27" t="s">
        <v>19081</v>
      </c>
    </row>
    <row r="1098" spans="1:6">
      <c r="A1098" s="27" t="str">
        <f>Resultados!$K$3</f>
        <v/>
      </c>
      <c r="B1098" s="27" t="str">
        <f>Resultados!$K$4</f>
        <v/>
      </c>
      <c r="C1098" s="568" t="str">
        <f>'900000'!$B118</f>
        <v>09901098</v>
      </c>
      <c r="D1098" s="160" t="str">
        <f>'900000'!$AH$15</f>
        <v>C09903007</v>
      </c>
      <c r="E1098" s="568">
        <f>'900000'!$AH118</f>
        <v>0</v>
      </c>
      <c r="F1098" s="27" t="s">
        <v>19081</v>
      </c>
    </row>
    <row r="1099" spans="1:6">
      <c r="A1099" s="27" t="str">
        <f>Resultados!$K$3</f>
        <v/>
      </c>
      <c r="B1099" s="27" t="str">
        <f>Resultados!$K$4</f>
        <v/>
      </c>
      <c r="C1099" s="568" t="str">
        <f>'900000'!$B119</f>
        <v>09901099</v>
      </c>
      <c r="D1099" s="160" t="str">
        <f>'900000'!$AH$15</f>
        <v>C09903007</v>
      </c>
      <c r="E1099" s="568">
        <f>'900000'!$AH119</f>
        <v>0</v>
      </c>
      <c r="F1099" s="27" t="s">
        <v>19081</v>
      </c>
    </row>
    <row r="1100" spans="1:6">
      <c r="A1100" s="27" t="str">
        <f>Resultados!$K$3</f>
        <v/>
      </c>
      <c r="B1100" s="27" t="str">
        <f>Resultados!$K$4</f>
        <v/>
      </c>
      <c r="C1100" s="568" t="str">
        <f>'900000'!$B120</f>
        <v>09901100</v>
      </c>
      <c r="D1100" s="160" t="str">
        <f>'900000'!$AH$15</f>
        <v>C09903007</v>
      </c>
      <c r="E1100" s="568">
        <f>'900000'!$AH120</f>
        <v>0</v>
      </c>
      <c r="F1100" s="27" t="s">
        <v>19081</v>
      </c>
    </row>
    <row r="1101" spans="1:6">
      <c r="A1101" s="27" t="str">
        <f>Resultados!$K$3</f>
        <v/>
      </c>
      <c r="B1101" s="27" t="str">
        <f>Resultados!$K$4</f>
        <v/>
      </c>
      <c r="C1101" s="568" t="str">
        <f>'900000'!$B121</f>
        <v>09901101</v>
      </c>
      <c r="D1101" s="160" t="str">
        <f>'900000'!$AH$15</f>
        <v>C09903007</v>
      </c>
      <c r="E1101" s="568">
        <f>'900000'!$AH121</f>
        <v>0</v>
      </c>
      <c r="F1101" s="27" t="s">
        <v>19081</v>
      </c>
    </row>
    <row r="1102" spans="1:6">
      <c r="A1102" s="27" t="str">
        <f>Resultados!$K$3</f>
        <v/>
      </c>
      <c r="B1102" s="27" t="str">
        <f>Resultados!$K$4</f>
        <v/>
      </c>
      <c r="C1102" s="568" t="str">
        <f>'900000'!$B22</f>
        <v>09901002</v>
      </c>
      <c r="D1102" s="160" t="str">
        <f>'900000'!$AI$15</f>
        <v>C09903008</v>
      </c>
      <c r="E1102">
        <f>'900000'!$AI22</f>
        <v>0</v>
      </c>
      <c r="F1102" s="27" t="s">
        <v>19081</v>
      </c>
    </row>
    <row r="1103" spans="1:6">
      <c r="A1103" s="27" t="str">
        <f>Resultados!$K$3</f>
        <v/>
      </c>
      <c r="B1103" s="27" t="str">
        <f>Resultados!$K$4</f>
        <v/>
      </c>
      <c r="C1103" s="568" t="str">
        <f>'900000'!$B23</f>
        <v>09901003</v>
      </c>
      <c r="D1103" s="160" t="str">
        <f>'900000'!$AI$15</f>
        <v>C09903008</v>
      </c>
      <c r="E1103" s="27">
        <f>'900000'!$AI23</f>
        <v>0</v>
      </c>
      <c r="F1103" s="27" t="s">
        <v>19081</v>
      </c>
    </row>
    <row r="1104" spans="1:6">
      <c r="A1104" s="27" t="str">
        <f>Resultados!$K$3</f>
        <v/>
      </c>
      <c r="B1104" s="27" t="str">
        <f>Resultados!$K$4</f>
        <v/>
      </c>
      <c r="C1104" s="568" t="str">
        <f>'900000'!$B24</f>
        <v>09901004</v>
      </c>
      <c r="D1104" s="160" t="str">
        <f>'900000'!$AI$15</f>
        <v>C09903008</v>
      </c>
      <c r="E1104" s="27">
        <f>'900000'!$AI24</f>
        <v>0</v>
      </c>
      <c r="F1104" s="27" t="s">
        <v>19081</v>
      </c>
    </row>
    <row r="1105" spans="1:6">
      <c r="A1105" s="27" t="str">
        <f>Resultados!$K$3</f>
        <v/>
      </c>
      <c r="B1105" s="27" t="str">
        <f>Resultados!$K$4</f>
        <v/>
      </c>
      <c r="C1105" s="568" t="str">
        <f>'900000'!$B25</f>
        <v>09901005</v>
      </c>
      <c r="D1105" s="160" t="str">
        <f>'900000'!$AI$15</f>
        <v>C09903008</v>
      </c>
      <c r="E1105" s="27">
        <f>'900000'!$AI25</f>
        <v>0</v>
      </c>
      <c r="F1105" s="27" t="s">
        <v>19081</v>
      </c>
    </row>
    <row r="1106" spans="1:6">
      <c r="A1106" s="27" t="str">
        <f>Resultados!$K$3</f>
        <v/>
      </c>
      <c r="B1106" s="27" t="str">
        <f>Resultados!$K$4</f>
        <v/>
      </c>
      <c r="C1106" s="568" t="str">
        <f>'900000'!$B26</f>
        <v>09901006</v>
      </c>
      <c r="D1106" s="160" t="str">
        <f>'900000'!$AI$15</f>
        <v>C09903008</v>
      </c>
      <c r="E1106" s="27">
        <f>'900000'!$AI26</f>
        <v>0</v>
      </c>
      <c r="F1106" s="27" t="s">
        <v>19081</v>
      </c>
    </row>
    <row r="1107" spans="1:6">
      <c r="A1107" s="27" t="str">
        <f>Resultados!$K$3</f>
        <v/>
      </c>
      <c r="B1107" s="27" t="str">
        <f>Resultados!$K$4</f>
        <v/>
      </c>
      <c r="C1107" s="568" t="str">
        <f>'900000'!$B27</f>
        <v>09901007</v>
      </c>
      <c r="D1107" s="160" t="str">
        <f>'900000'!$AI$15</f>
        <v>C09903008</v>
      </c>
      <c r="E1107" s="27">
        <f>'900000'!$AI27</f>
        <v>0</v>
      </c>
      <c r="F1107" s="27" t="s">
        <v>19081</v>
      </c>
    </row>
    <row r="1108" spans="1:6">
      <c r="A1108" s="27" t="str">
        <f>Resultados!$K$3</f>
        <v/>
      </c>
      <c r="B1108" s="27" t="str">
        <f>Resultados!$K$4</f>
        <v/>
      </c>
      <c r="C1108" s="568" t="str">
        <f>'900000'!$B28</f>
        <v>09901008</v>
      </c>
      <c r="D1108" s="160" t="str">
        <f>'900000'!$AI$15</f>
        <v>C09903008</v>
      </c>
      <c r="E1108" s="27">
        <f>'900000'!$AI28</f>
        <v>0</v>
      </c>
      <c r="F1108" s="27" t="s">
        <v>19081</v>
      </c>
    </row>
    <row r="1109" spans="1:6">
      <c r="A1109" s="27" t="str">
        <f>Resultados!$K$3</f>
        <v/>
      </c>
      <c r="B1109" s="27" t="str">
        <f>Resultados!$K$4</f>
        <v/>
      </c>
      <c r="C1109" s="568" t="str">
        <f>'900000'!$B29</f>
        <v>09901009</v>
      </c>
      <c r="D1109" s="160" t="str">
        <f>'900000'!$AI$15</f>
        <v>C09903008</v>
      </c>
      <c r="E1109" s="27">
        <f>'900000'!$AI29</f>
        <v>0</v>
      </c>
      <c r="F1109" s="27" t="s">
        <v>19081</v>
      </c>
    </row>
    <row r="1110" spans="1:6">
      <c r="A1110" s="27" t="str">
        <f>Resultados!$K$3</f>
        <v/>
      </c>
      <c r="B1110" s="27" t="str">
        <f>Resultados!$K$4</f>
        <v/>
      </c>
      <c r="C1110" s="568" t="str">
        <f>'900000'!$B30</f>
        <v>09901010</v>
      </c>
      <c r="D1110" s="160" t="str">
        <f>'900000'!$AI$15</f>
        <v>C09903008</v>
      </c>
      <c r="E1110" s="27">
        <f>'900000'!$AI30</f>
        <v>0</v>
      </c>
      <c r="F1110" s="27" t="s">
        <v>19081</v>
      </c>
    </row>
    <row r="1111" spans="1:6">
      <c r="A1111" s="27" t="str">
        <f>Resultados!$K$3</f>
        <v/>
      </c>
      <c r="B1111" s="27" t="str">
        <f>Resultados!$K$4</f>
        <v/>
      </c>
      <c r="C1111" s="568" t="str">
        <f>'900000'!$B31</f>
        <v>09901011</v>
      </c>
      <c r="D1111" s="160" t="str">
        <f>'900000'!$AI$15</f>
        <v>C09903008</v>
      </c>
      <c r="E1111" s="27">
        <f>'900000'!$AI31</f>
        <v>0</v>
      </c>
      <c r="F1111" s="27" t="s">
        <v>19081</v>
      </c>
    </row>
    <row r="1112" spans="1:6">
      <c r="A1112" s="27" t="str">
        <f>Resultados!$K$3</f>
        <v/>
      </c>
      <c r="B1112" s="27" t="str">
        <f>Resultados!$K$4</f>
        <v/>
      </c>
      <c r="C1112" s="568" t="str">
        <f>'900000'!$B32</f>
        <v>09901012</v>
      </c>
      <c r="D1112" s="160" t="str">
        <f>'900000'!$AI$15</f>
        <v>C09903008</v>
      </c>
      <c r="E1112" s="27">
        <f>'900000'!$AI32</f>
        <v>0</v>
      </c>
      <c r="F1112" s="27" t="s">
        <v>19081</v>
      </c>
    </row>
    <row r="1113" spans="1:6">
      <c r="A1113" s="27" t="str">
        <f>Resultados!$K$3</f>
        <v/>
      </c>
      <c r="B1113" s="27" t="str">
        <f>Resultados!$K$4</f>
        <v/>
      </c>
      <c r="C1113" s="568" t="str">
        <f>'900000'!$B33</f>
        <v>09901013</v>
      </c>
      <c r="D1113" s="160" t="str">
        <f>'900000'!$AI$15</f>
        <v>C09903008</v>
      </c>
      <c r="E1113" s="27">
        <f>'900000'!$AI33</f>
        <v>0</v>
      </c>
      <c r="F1113" s="27" t="s">
        <v>19081</v>
      </c>
    </row>
    <row r="1114" spans="1:6">
      <c r="A1114" s="27" t="str">
        <f>Resultados!$K$3</f>
        <v/>
      </c>
      <c r="B1114" s="27" t="str">
        <f>Resultados!$K$4</f>
        <v/>
      </c>
      <c r="C1114" s="568" t="str">
        <f>'900000'!$B34</f>
        <v>09901014</v>
      </c>
      <c r="D1114" s="160" t="str">
        <f>'900000'!$AI$15</f>
        <v>C09903008</v>
      </c>
      <c r="E1114" s="27">
        <f>'900000'!$AI34</f>
        <v>0</v>
      </c>
      <c r="F1114" s="27" t="s">
        <v>19081</v>
      </c>
    </row>
    <row r="1115" spans="1:6">
      <c r="A1115" s="27" t="str">
        <f>Resultados!$K$3</f>
        <v/>
      </c>
      <c r="B1115" s="27" t="str">
        <f>Resultados!$K$4</f>
        <v/>
      </c>
      <c r="C1115" s="568" t="str">
        <f>'900000'!$B35</f>
        <v>09901015</v>
      </c>
      <c r="D1115" s="160" t="str">
        <f>'900000'!$AI$15</f>
        <v>C09903008</v>
      </c>
      <c r="E1115" s="27">
        <f>'900000'!$AI35</f>
        <v>0</v>
      </c>
      <c r="F1115" s="27" t="s">
        <v>19081</v>
      </c>
    </row>
    <row r="1116" spans="1:6">
      <c r="A1116" s="27" t="str">
        <f>Resultados!$K$3</f>
        <v/>
      </c>
      <c r="B1116" s="27" t="str">
        <f>Resultados!$K$4</f>
        <v/>
      </c>
      <c r="C1116" s="568" t="str">
        <f>'900000'!$B36</f>
        <v>09901016</v>
      </c>
      <c r="D1116" s="160" t="str">
        <f>'900000'!$AI$15</f>
        <v>C09903008</v>
      </c>
      <c r="E1116" s="27">
        <f>'900000'!$AI36</f>
        <v>0</v>
      </c>
      <c r="F1116" s="27" t="s">
        <v>19081</v>
      </c>
    </row>
    <row r="1117" spans="1:6">
      <c r="A1117" s="27" t="str">
        <f>Resultados!$K$3</f>
        <v/>
      </c>
      <c r="B1117" s="27" t="str">
        <f>Resultados!$K$4</f>
        <v/>
      </c>
      <c r="C1117" s="568" t="str">
        <f>'900000'!$B37</f>
        <v>09901017</v>
      </c>
      <c r="D1117" s="160" t="str">
        <f>'900000'!$AI$15</f>
        <v>C09903008</v>
      </c>
      <c r="E1117" s="27">
        <f>'900000'!$AI37</f>
        <v>0</v>
      </c>
      <c r="F1117" s="27" t="s">
        <v>19081</v>
      </c>
    </row>
    <row r="1118" spans="1:6">
      <c r="A1118" s="27" t="str">
        <f>Resultados!$K$3</f>
        <v/>
      </c>
      <c r="B1118" s="27" t="str">
        <f>Resultados!$K$4</f>
        <v/>
      </c>
      <c r="C1118" s="568" t="str">
        <f>'900000'!$B38</f>
        <v>09901018</v>
      </c>
      <c r="D1118" s="160" t="str">
        <f>'900000'!$AI$15</f>
        <v>C09903008</v>
      </c>
      <c r="E1118" s="27">
        <f>'900000'!$AI38</f>
        <v>0</v>
      </c>
      <c r="F1118" s="27" t="s">
        <v>19081</v>
      </c>
    </row>
    <row r="1119" spans="1:6">
      <c r="A1119" s="27" t="str">
        <f>Resultados!$K$3</f>
        <v/>
      </c>
      <c r="B1119" s="27" t="str">
        <f>Resultados!$K$4</f>
        <v/>
      </c>
      <c r="C1119" s="568" t="str">
        <f>'900000'!$B39</f>
        <v>09901019</v>
      </c>
      <c r="D1119" s="160" t="str">
        <f>'900000'!$AI$15</f>
        <v>C09903008</v>
      </c>
      <c r="E1119" s="27">
        <f>'900000'!$AI39</f>
        <v>0</v>
      </c>
      <c r="F1119" s="27" t="s">
        <v>19081</v>
      </c>
    </row>
    <row r="1120" spans="1:6">
      <c r="A1120" s="27" t="str">
        <f>Resultados!$K$3</f>
        <v/>
      </c>
      <c r="B1120" s="27" t="str">
        <f>Resultados!$K$4</f>
        <v/>
      </c>
      <c r="C1120" s="568" t="str">
        <f>'900000'!$B40</f>
        <v>09901020</v>
      </c>
      <c r="D1120" s="160" t="str">
        <f>'900000'!$AI$15</f>
        <v>C09903008</v>
      </c>
      <c r="E1120" s="27">
        <f>'900000'!$AI40</f>
        <v>0</v>
      </c>
      <c r="F1120" s="27" t="s">
        <v>19081</v>
      </c>
    </row>
    <row r="1121" spans="1:6">
      <c r="A1121" s="27" t="str">
        <f>Resultados!$K$3</f>
        <v/>
      </c>
      <c r="B1121" s="27" t="str">
        <f>Resultados!$K$4</f>
        <v/>
      </c>
      <c r="C1121" s="568" t="str">
        <f>'900000'!$B41</f>
        <v>09901021</v>
      </c>
      <c r="D1121" s="160" t="str">
        <f>'900000'!$AI$15</f>
        <v>C09903008</v>
      </c>
      <c r="E1121" s="27">
        <f>'900000'!$AI41</f>
        <v>0</v>
      </c>
      <c r="F1121" s="27" t="s">
        <v>19081</v>
      </c>
    </row>
    <row r="1122" spans="1:6">
      <c r="A1122" s="27" t="str">
        <f>Resultados!$K$3</f>
        <v/>
      </c>
      <c r="B1122" s="27" t="str">
        <f>Resultados!$K$4</f>
        <v/>
      </c>
      <c r="C1122" s="568" t="str">
        <f>'900000'!$B42</f>
        <v>09901022</v>
      </c>
      <c r="D1122" s="160" t="str">
        <f>'900000'!$AI$15</f>
        <v>C09903008</v>
      </c>
      <c r="E1122" s="27">
        <f>'900000'!$AI42</f>
        <v>0</v>
      </c>
      <c r="F1122" s="27" t="s">
        <v>19081</v>
      </c>
    </row>
    <row r="1123" spans="1:6">
      <c r="A1123" s="27" t="str">
        <f>Resultados!$K$3</f>
        <v/>
      </c>
      <c r="B1123" s="27" t="str">
        <f>Resultados!$K$4</f>
        <v/>
      </c>
      <c r="C1123" s="568" t="str">
        <f>'900000'!$B43</f>
        <v>09901023</v>
      </c>
      <c r="D1123" s="160" t="str">
        <f>'900000'!$AI$15</f>
        <v>C09903008</v>
      </c>
      <c r="E1123" s="27">
        <f>'900000'!$AI43</f>
        <v>0</v>
      </c>
      <c r="F1123" s="27" t="s">
        <v>19081</v>
      </c>
    </row>
    <row r="1124" spans="1:6">
      <c r="A1124" s="27" t="str">
        <f>Resultados!$K$3</f>
        <v/>
      </c>
      <c r="B1124" s="27" t="str">
        <f>Resultados!$K$4</f>
        <v/>
      </c>
      <c r="C1124" s="568" t="str">
        <f>'900000'!$B44</f>
        <v>09901024</v>
      </c>
      <c r="D1124" s="160" t="str">
        <f>'900000'!$AI$15</f>
        <v>C09903008</v>
      </c>
      <c r="E1124" s="27">
        <f>'900000'!$AI44</f>
        <v>0</v>
      </c>
      <c r="F1124" s="27" t="s">
        <v>19081</v>
      </c>
    </row>
    <row r="1125" spans="1:6">
      <c r="A1125" s="27" t="str">
        <f>Resultados!$K$3</f>
        <v/>
      </c>
      <c r="B1125" s="27" t="str">
        <f>Resultados!$K$4</f>
        <v/>
      </c>
      <c r="C1125" s="568" t="str">
        <f>'900000'!$B45</f>
        <v>09901025</v>
      </c>
      <c r="D1125" s="160" t="str">
        <f>'900000'!$AI$15</f>
        <v>C09903008</v>
      </c>
      <c r="E1125" s="27">
        <f>'900000'!$AI45</f>
        <v>0</v>
      </c>
      <c r="F1125" s="27" t="s">
        <v>19081</v>
      </c>
    </row>
    <row r="1126" spans="1:6">
      <c r="A1126" s="27" t="str">
        <f>Resultados!$K$3</f>
        <v/>
      </c>
      <c r="B1126" s="27" t="str">
        <f>Resultados!$K$4</f>
        <v/>
      </c>
      <c r="C1126" s="568" t="str">
        <f>'900000'!$B46</f>
        <v>09901026</v>
      </c>
      <c r="D1126" s="160" t="str">
        <f>'900000'!$AI$15</f>
        <v>C09903008</v>
      </c>
      <c r="E1126" s="27">
        <f>'900000'!$AI46</f>
        <v>0</v>
      </c>
      <c r="F1126" s="27" t="s">
        <v>19081</v>
      </c>
    </row>
    <row r="1127" spans="1:6">
      <c r="A1127" s="27" t="str">
        <f>Resultados!$K$3</f>
        <v/>
      </c>
      <c r="B1127" s="27" t="str">
        <f>Resultados!$K$4</f>
        <v/>
      </c>
      <c r="C1127" s="568" t="str">
        <f>'900000'!$B47</f>
        <v>09901027</v>
      </c>
      <c r="D1127" s="160" t="str">
        <f>'900000'!$AI$15</f>
        <v>C09903008</v>
      </c>
      <c r="E1127" s="27">
        <f>'900000'!$AI47</f>
        <v>0</v>
      </c>
      <c r="F1127" s="27" t="s">
        <v>19081</v>
      </c>
    </row>
    <row r="1128" spans="1:6">
      <c r="A1128" s="27" t="str">
        <f>Resultados!$K$3</f>
        <v/>
      </c>
      <c r="B1128" s="27" t="str">
        <f>Resultados!$K$4</f>
        <v/>
      </c>
      <c r="C1128" s="568" t="str">
        <f>'900000'!$B48</f>
        <v>09901028</v>
      </c>
      <c r="D1128" s="160" t="str">
        <f>'900000'!$AI$15</f>
        <v>C09903008</v>
      </c>
      <c r="E1128" s="27">
        <f>'900000'!$AI48</f>
        <v>0</v>
      </c>
      <c r="F1128" s="27" t="s">
        <v>19081</v>
      </c>
    </row>
    <row r="1129" spans="1:6">
      <c r="A1129" s="27" t="str">
        <f>Resultados!$K$3</f>
        <v/>
      </c>
      <c r="B1129" s="27" t="str">
        <f>Resultados!$K$4</f>
        <v/>
      </c>
      <c r="C1129" s="568" t="str">
        <f>'900000'!$B49</f>
        <v>09901029</v>
      </c>
      <c r="D1129" s="160" t="str">
        <f>'900000'!$AI$15</f>
        <v>C09903008</v>
      </c>
      <c r="E1129" s="27">
        <f>'900000'!$AI49</f>
        <v>0</v>
      </c>
      <c r="F1129" s="27" t="s">
        <v>19081</v>
      </c>
    </row>
    <row r="1130" spans="1:6">
      <c r="A1130" s="27" t="str">
        <f>Resultados!$K$3</f>
        <v/>
      </c>
      <c r="B1130" s="27" t="str">
        <f>Resultados!$K$4</f>
        <v/>
      </c>
      <c r="C1130" s="568" t="str">
        <f>'900000'!$B50</f>
        <v>09901030</v>
      </c>
      <c r="D1130" s="160" t="str">
        <f>'900000'!$AI$15</f>
        <v>C09903008</v>
      </c>
      <c r="E1130" s="27">
        <f>'900000'!$AI50</f>
        <v>0</v>
      </c>
      <c r="F1130" s="27" t="s">
        <v>19081</v>
      </c>
    </row>
    <row r="1131" spans="1:6">
      <c r="A1131" s="27" t="str">
        <f>Resultados!$K$3</f>
        <v/>
      </c>
      <c r="B1131" s="27" t="str">
        <f>Resultados!$K$4</f>
        <v/>
      </c>
      <c r="C1131" s="568" t="str">
        <f>'900000'!$B51</f>
        <v>09901031</v>
      </c>
      <c r="D1131" s="160" t="str">
        <f>'900000'!$AI$15</f>
        <v>C09903008</v>
      </c>
      <c r="E1131" s="27">
        <f>'900000'!$AI51</f>
        <v>0</v>
      </c>
      <c r="F1131" s="27" t="s">
        <v>19081</v>
      </c>
    </row>
    <row r="1132" spans="1:6">
      <c r="A1132" s="27" t="str">
        <f>Resultados!$K$3</f>
        <v/>
      </c>
      <c r="B1132" s="27" t="str">
        <f>Resultados!$K$4</f>
        <v/>
      </c>
      <c r="C1132" s="568" t="str">
        <f>'900000'!$B52</f>
        <v>09901032</v>
      </c>
      <c r="D1132" s="160" t="str">
        <f>'900000'!$AI$15</f>
        <v>C09903008</v>
      </c>
      <c r="E1132" s="27">
        <f>'900000'!$AI52</f>
        <v>0</v>
      </c>
      <c r="F1132" s="27" t="s">
        <v>19081</v>
      </c>
    </row>
    <row r="1133" spans="1:6">
      <c r="A1133" s="27" t="str">
        <f>Resultados!$K$3</f>
        <v/>
      </c>
      <c r="B1133" s="27" t="str">
        <f>Resultados!$K$4</f>
        <v/>
      </c>
      <c r="C1133" s="568" t="str">
        <f>'900000'!$B53</f>
        <v>09901033</v>
      </c>
      <c r="D1133" s="160" t="str">
        <f>'900000'!$AI$15</f>
        <v>C09903008</v>
      </c>
      <c r="E1133" s="27">
        <f>'900000'!$AI53</f>
        <v>0</v>
      </c>
      <c r="F1133" s="27" t="s">
        <v>19081</v>
      </c>
    </row>
    <row r="1134" spans="1:6">
      <c r="A1134" s="27" t="str">
        <f>Resultados!$K$3</f>
        <v/>
      </c>
      <c r="B1134" s="27" t="str">
        <f>Resultados!$K$4</f>
        <v/>
      </c>
      <c r="C1134" s="568" t="str">
        <f>'900000'!$B54</f>
        <v>09901034</v>
      </c>
      <c r="D1134" s="160" t="str">
        <f>'900000'!$AI$15</f>
        <v>C09903008</v>
      </c>
      <c r="E1134" s="27">
        <f>'900000'!$AI54</f>
        <v>0</v>
      </c>
      <c r="F1134" s="27" t="s">
        <v>19081</v>
      </c>
    </row>
    <row r="1135" spans="1:6">
      <c r="A1135" s="27" t="str">
        <f>Resultados!$K$3</f>
        <v/>
      </c>
      <c r="B1135" s="27" t="str">
        <f>Resultados!$K$4</f>
        <v/>
      </c>
      <c r="C1135" s="568" t="str">
        <f>'900000'!$B55</f>
        <v>09901035</v>
      </c>
      <c r="D1135" s="160" t="str">
        <f>'900000'!$AI$15</f>
        <v>C09903008</v>
      </c>
      <c r="E1135" s="27">
        <f>'900000'!$AI55</f>
        <v>0</v>
      </c>
      <c r="F1135" s="27" t="s">
        <v>19081</v>
      </c>
    </row>
    <row r="1136" spans="1:6">
      <c r="A1136" s="27" t="str">
        <f>Resultados!$K$3</f>
        <v/>
      </c>
      <c r="B1136" s="27" t="str">
        <f>Resultados!$K$4</f>
        <v/>
      </c>
      <c r="C1136" s="568" t="str">
        <f>'900000'!$B56</f>
        <v>09901036</v>
      </c>
      <c r="D1136" s="160" t="str">
        <f>'900000'!$AI$15</f>
        <v>C09903008</v>
      </c>
      <c r="E1136" s="27">
        <f>'900000'!$AI56</f>
        <v>0</v>
      </c>
      <c r="F1136" s="27" t="s">
        <v>19081</v>
      </c>
    </row>
    <row r="1137" spans="1:6">
      <c r="A1137" s="27" t="str">
        <f>Resultados!$K$3</f>
        <v/>
      </c>
      <c r="B1137" s="27" t="str">
        <f>Resultados!$K$4</f>
        <v/>
      </c>
      <c r="C1137" s="568" t="str">
        <f>'900000'!$B57</f>
        <v>09901037</v>
      </c>
      <c r="D1137" s="160" t="str">
        <f>'900000'!$AI$15</f>
        <v>C09903008</v>
      </c>
      <c r="E1137" s="27">
        <f>'900000'!$AI57</f>
        <v>0</v>
      </c>
      <c r="F1137" s="27" t="s">
        <v>19081</v>
      </c>
    </row>
    <row r="1138" spans="1:6">
      <c r="A1138" s="27" t="str">
        <f>Resultados!$K$3</f>
        <v/>
      </c>
      <c r="B1138" s="27" t="str">
        <f>Resultados!$K$4</f>
        <v/>
      </c>
      <c r="C1138" s="568" t="str">
        <f>'900000'!$B58</f>
        <v>09901038</v>
      </c>
      <c r="D1138" s="160" t="str">
        <f>'900000'!$AI$15</f>
        <v>C09903008</v>
      </c>
      <c r="E1138" s="27">
        <f>'900000'!$AI58</f>
        <v>0</v>
      </c>
      <c r="F1138" s="27" t="s">
        <v>19081</v>
      </c>
    </row>
    <row r="1139" spans="1:6">
      <c r="A1139" s="27" t="str">
        <f>Resultados!$K$3</f>
        <v/>
      </c>
      <c r="B1139" s="27" t="str">
        <f>Resultados!$K$4</f>
        <v/>
      </c>
      <c r="C1139" s="568" t="str">
        <f>'900000'!$B59</f>
        <v>09901039</v>
      </c>
      <c r="D1139" s="160" t="str">
        <f>'900000'!$AI$15</f>
        <v>C09903008</v>
      </c>
      <c r="E1139" s="27">
        <f>'900000'!$AI59</f>
        <v>0</v>
      </c>
      <c r="F1139" s="27" t="s">
        <v>19081</v>
      </c>
    </row>
    <row r="1140" spans="1:6">
      <c r="A1140" s="27" t="str">
        <f>Resultados!$K$3</f>
        <v/>
      </c>
      <c r="B1140" s="27" t="str">
        <f>Resultados!$K$4</f>
        <v/>
      </c>
      <c r="C1140" s="568" t="str">
        <f>'900000'!$B60</f>
        <v>09901040</v>
      </c>
      <c r="D1140" s="160" t="str">
        <f>'900000'!$AI$15</f>
        <v>C09903008</v>
      </c>
      <c r="E1140" s="27">
        <f>'900000'!$AI60</f>
        <v>0</v>
      </c>
      <c r="F1140" s="27" t="s">
        <v>19081</v>
      </c>
    </row>
    <row r="1141" spans="1:6">
      <c r="A1141" s="27" t="str">
        <f>Resultados!$K$3</f>
        <v/>
      </c>
      <c r="B1141" s="27" t="str">
        <f>Resultados!$K$4</f>
        <v/>
      </c>
      <c r="C1141" s="568" t="str">
        <f>'900000'!$B61</f>
        <v>09901041</v>
      </c>
      <c r="D1141" s="160" t="str">
        <f>'900000'!$AI$15</f>
        <v>C09903008</v>
      </c>
      <c r="E1141" s="27">
        <f>'900000'!$AI61</f>
        <v>0</v>
      </c>
      <c r="F1141" s="27" t="s">
        <v>19081</v>
      </c>
    </row>
    <row r="1142" spans="1:6">
      <c r="A1142" s="27" t="str">
        <f>Resultados!$K$3</f>
        <v/>
      </c>
      <c r="B1142" s="27" t="str">
        <f>Resultados!$K$4</f>
        <v/>
      </c>
      <c r="C1142" s="568" t="str">
        <f>'900000'!$B62</f>
        <v>09901042</v>
      </c>
      <c r="D1142" s="160" t="str">
        <f>'900000'!$AI$15</f>
        <v>C09903008</v>
      </c>
      <c r="E1142" s="27">
        <f>'900000'!$AI62</f>
        <v>0</v>
      </c>
      <c r="F1142" s="27" t="s">
        <v>19081</v>
      </c>
    </row>
    <row r="1143" spans="1:6">
      <c r="A1143" s="27" t="str">
        <f>Resultados!$K$3</f>
        <v/>
      </c>
      <c r="B1143" s="27" t="str">
        <f>Resultados!$K$4</f>
        <v/>
      </c>
      <c r="C1143" s="568" t="str">
        <f>'900000'!$B63</f>
        <v>09901043</v>
      </c>
      <c r="D1143" s="160" t="str">
        <f>'900000'!$AI$15</f>
        <v>C09903008</v>
      </c>
      <c r="E1143" s="27">
        <f>'900000'!$AI63</f>
        <v>0</v>
      </c>
      <c r="F1143" s="27" t="s">
        <v>19081</v>
      </c>
    </row>
    <row r="1144" spans="1:6">
      <c r="A1144" s="27" t="str">
        <f>Resultados!$K$3</f>
        <v/>
      </c>
      <c r="B1144" s="27" t="str">
        <f>Resultados!$K$4</f>
        <v/>
      </c>
      <c r="C1144" s="568" t="str">
        <f>'900000'!$B64</f>
        <v>09901044</v>
      </c>
      <c r="D1144" s="160" t="str">
        <f>'900000'!$AI$15</f>
        <v>C09903008</v>
      </c>
      <c r="E1144" s="27">
        <f>'900000'!$AI64</f>
        <v>0</v>
      </c>
      <c r="F1144" s="27" t="s">
        <v>19081</v>
      </c>
    </row>
    <row r="1145" spans="1:6">
      <c r="A1145" s="27" t="str">
        <f>Resultados!$K$3</f>
        <v/>
      </c>
      <c r="B1145" s="27" t="str">
        <f>Resultados!$K$4</f>
        <v/>
      </c>
      <c r="C1145" s="568" t="str">
        <f>'900000'!$B65</f>
        <v>09901045</v>
      </c>
      <c r="D1145" s="160" t="str">
        <f>'900000'!$AI$15</f>
        <v>C09903008</v>
      </c>
      <c r="E1145" s="27">
        <f>'900000'!$AI65</f>
        <v>0</v>
      </c>
      <c r="F1145" s="27" t="s">
        <v>19081</v>
      </c>
    </row>
    <row r="1146" spans="1:6">
      <c r="A1146" s="27" t="str">
        <f>Resultados!$K$3</f>
        <v/>
      </c>
      <c r="B1146" s="27" t="str">
        <f>Resultados!$K$4</f>
        <v/>
      </c>
      <c r="C1146" s="568" t="str">
        <f>'900000'!$B66</f>
        <v>09901046</v>
      </c>
      <c r="D1146" s="160" t="str">
        <f>'900000'!$AI$15</f>
        <v>C09903008</v>
      </c>
      <c r="E1146" s="27">
        <f>'900000'!$AI66</f>
        <v>0</v>
      </c>
      <c r="F1146" s="27" t="s">
        <v>19081</v>
      </c>
    </row>
    <row r="1147" spans="1:6">
      <c r="A1147" s="27" t="str">
        <f>Resultados!$K$3</f>
        <v/>
      </c>
      <c r="B1147" s="27" t="str">
        <f>Resultados!$K$4</f>
        <v/>
      </c>
      <c r="C1147" s="568" t="str">
        <f>'900000'!$B67</f>
        <v>09901047</v>
      </c>
      <c r="D1147" s="160" t="str">
        <f>'900000'!$AI$15</f>
        <v>C09903008</v>
      </c>
      <c r="E1147" s="27">
        <f>'900000'!$AI67</f>
        <v>0</v>
      </c>
      <c r="F1147" s="27" t="s">
        <v>19081</v>
      </c>
    </row>
    <row r="1148" spans="1:6">
      <c r="A1148" s="27" t="str">
        <f>Resultados!$K$3</f>
        <v/>
      </c>
      <c r="B1148" s="27" t="str">
        <f>Resultados!$K$4</f>
        <v/>
      </c>
      <c r="C1148" s="568" t="str">
        <f>'900000'!$B68</f>
        <v>09901048</v>
      </c>
      <c r="D1148" s="160" t="str">
        <f>'900000'!$AI$15</f>
        <v>C09903008</v>
      </c>
      <c r="E1148" s="27">
        <f>'900000'!$AI68</f>
        <v>0</v>
      </c>
      <c r="F1148" s="27" t="s">
        <v>19081</v>
      </c>
    </row>
    <row r="1149" spans="1:6">
      <c r="A1149" s="27" t="str">
        <f>Resultados!$K$3</f>
        <v/>
      </c>
      <c r="B1149" s="27" t="str">
        <f>Resultados!$K$4</f>
        <v/>
      </c>
      <c r="C1149" s="568" t="str">
        <f>'900000'!$B69</f>
        <v>09901049</v>
      </c>
      <c r="D1149" s="160" t="str">
        <f>'900000'!$AI$15</f>
        <v>C09903008</v>
      </c>
      <c r="E1149" s="27">
        <f>'900000'!$AI69</f>
        <v>0</v>
      </c>
      <c r="F1149" s="27" t="s">
        <v>19081</v>
      </c>
    </row>
    <row r="1150" spans="1:6">
      <c r="A1150" s="27" t="str">
        <f>Resultados!$K$3</f>
        <v/>
      </c>
      <c r="B1150" s="27" t="str">
        <f>Resultados!$K$4</f>
        <v/>
      </c>
      <c r="C1150" s="568" t="str">
        <f>'900000'!$B70</f>
        <v>09901050</v>
      </c>
      <c r="D1150" s="160" t="str">
        <f>'900000'!$AI$15</f>
        <v>C09903008</v>
      </c>
      <c r="E1150" s="27">
        <f>'900000'!$AI70</f>
        <v>0</v>
      </c>
      <c r="F1150" s="27" t="s">
        <v>19081</v>
      </c>
    </row>
    <row r="1151" spans="1:6">
      <c r="A1151" s="27" t="str">
        <f>Resultados!$K$3</f>
        <v/>
      </c>
      <c r="B1151" s="27" t="str">
        <f>Resultados!$K$4</f>
        <v/>
      </c>
      <c r="C1151" s="568" t="str">
        <f>'900000'!$B71</f>
        <v>09901051</v>
      </c>
      <c r="D1151" s="160" t="str">
        <f>'900000'!$AI$15</f>
        <v>C09903008</v>
      </c>
      <c r="E1151" s="27">
        <f>'900000'!$AI71</f>
        <v>0</v>
      </c>
      <c r="F1151" s="27" t="s">
        <v>19081</v>
      </c>
    </row>
    <row r="1152" spans="1:6">
      <c r="A1152" s="27" t="str">
        <f>Resultados!$K$3</f>
        <v/>
      </c>
      <c r="B1152" s="27" t="str">
        <f>Resultados!$K$4</f>
        <v/>
      </c>
      <c r="C1152" s="568" t="str">
        <f>'900000'!$B72</f>
        <v>09901052</v>
      </c>
      <c r="D1152" s="160" t="str">
        <f>'900000'!$AI$15</f>
        <v>C09903008</v>
      </c>
      <c r="E1152" s="27">
        <f>'900000'!$AI72</f>
        <v>0</v>
      </c>
      <c r="F1152" s="27" t="s">
        <v>19081</v>
      </c>
    </row>
    <row r="1153" spans="1:6">
      <c r="A1153" s="27" t="str">
        <f>Resultados!$K$3</f>
        <v/>
      </c>
      <c r="B1153" s="27" t="str">
        <f>Resultados!$K$4</f>
        <v/>
      </c>
      <c r="C1153" s="568" t="str">
        <f>'900000'!$B73</f>
        <v>09901053</v>
      </c>
      <c r="D1153" s="160" t="str">
        <f>'900000'!$AI$15</f>
        <v>C09903008</v>
      </c>
      <c r="E1153" s="27">
        <f>'900000'!$AI73</f>
        <v>0</v>
      </c>
      <c r="F1153" s="27" t="s">
        <v>19081</v>
      </c>
    </row>
    <row r="1154" spans="1:6">
      <c r="A1154" s="27" t="str">
        <f>Resultados!$K$3</f>
        <v/>
      </c>
      <c r="B1154" s="27" t="str">
        <f>Resultados!$K$4</f>
        <v/>
      </c>
      <c r="C1154" s="568" t="str">
        <f>'900000'!$B74</f>
        <v>09901054</v>
      </c>
      <c r="D1154" s="160" t="str">
        <f>'900000'!$AI$15</f>
        <v>C09903008</v>
      </c>
      <c r="E1154" s="27">
        <f>'900000'!$AI74</f>
        <v>0</v>
      </c>
      <c r="F1154" s="27" t="s">
        <v>19081</v>
      </c>
    </row>
    <row r="1155" spans="1:6">
      <c r="A1155" s="27" t="str">
        <f>Resultados!$K$3</f>
        <v/>
      </c>
      <c r="B1155" s="27" t="str">
        <f>Resultados!$K$4</f>
        <v/>
      </c>
      <c r="C1155" s="568" t="str">
        <f>'900000'!$B75</f>
        <v>09901055</v>
      </c>
      <c r="D1155" s="160" t="str">
        <f>'900000'!$AI$15</f>
        <v>C09903008</v>
      </c>
      <c r="E1155" s="27">
        <f>'900000'!$AI75</f>
        <v>0</v>
      </c>
      <c r="F1155" s="27" t="s">
        <v>19081</v>
      </c>
    </row>
    <row r="1156" spans="1:6">
      <c r="A1156" s="27" t="str">
        <f>Resultados!$K$3</f>
        <v/>
      </c>
      <c r="B1156" s="27" t="str">
        <f>Resultados!$K$4</f>
        <v/>
      </c>
      <c r="C1156" s="568" t="str">
        <f>'900000'!$B76</f>
        <v>09901056</v>
      </c>
      <c r="D1156" s="160" t="str">
        <f>'900000'!$AI$15</f>
        <v>C09903008</v>
      </c>
      <c r="E1156" s="27">
        <f>'900000'!$AI76</f>
        <v>0</v>
      </c>
      <c r="F1156" s="27" t="s">
        <v>19081</v>
      </c>
    </row>
    <row r="1157" spans="1:6">
      <c r="A1157" s="27" t="str">
        <f>Resultados!$K$3</f>
        <v/>
      </c>
      <c r="B1157" s="27" t="str">
        <f>Resultados!$K$4</f>
        <v/>
      </c>
      <c r="C1157" s="568" t="str">
        <f>'900000'!$B77</f>
        <v>09901057</v>
      </c>
      <c r="D1157" s="160" t="str">
        <f>'900000'!$AI$15</f>
        <v>C09903008</v>
      </c>
      <c r="E1157" s="27">
        <f>'900000'!$AI77</f>
        <v>0</v>
      </c>
      <c r="F1157" s="27" t="s">
        <v>19081</v>
      </c>
    </row>
    <row r="1158" spans="1:6">
      <c r="A1158" s="27" t="str">
        <f>Resultados!$K$3</f>
        <v/>
      </c>
      <c r="B1158" s="27" t="str">
        <f>Resultados!$K$4</f>
        <v/>
      </c>
      <c r="C1158" s="568" t="str">
        <f>'900000'!$B78</f>
        <v>09901058</v>
      </c>
      <c r="D1158" s="160" t="str">
        <f>'900000'!$AI$15</f>
        <v>C09903008</v>
      </c>
      <c r="E1158" s="27">
        <f>'900000'!$AI78</f>
        <v>0</v>
      </c>
      <c r="F1158" s="27" t="s">
        <v>19081</v>
      </c>
    </row>
    <row r="1159" spans="1:6">
      <c r="A1159" s="27" t="str">
        <f>Resultados!$K$3</f>
        <v/>
      </c>
      <c r="B1159" s="27" t="str">
        <f>Resultados!$K$4</f>
        <v/>
      </c>
      <c r="C1159" s="568" t="str">
        <f>'900000'!$B79</f>
        <v>09901059</v>
      </c>
      <c r="D1159" s="160" t="str">
        <f>'900000'!$AI$15</f>
        <v>C09903008</v>
      </c>
      <c r="E1159" s="27">
        <f>'900000'!$AI79</f>
        <v>0</v>
      </c>
      <c r="F1159" s="27" t="s">
        <v>19081</v>
      </c>
    </row>
    <row r="1160" spans="1:6">
      <c r="A1160" s="27" t="str">
        <f>Resultados!$K$3</f>
        <v/>
      </c>
      <c r="B1160" s="27" t="str">
        <f>Resultados!$K$4</f>
        <v/>
      </c>
      <c r="C1160" s="568" t="str">
        <f>'900000'!$B80</f>
        <v>09901060</v>
      </c>
      <c r="D1160" s="160" t="str">
        <f>'900000'!$AI$15</f>
        <v>C09903008</v>
      </c>
      <c r="E1160" s="27">
        <f>'900000'!$AI80</f>
        <v>0</v>
      </c>
      <c r="F1160" s="27" t="s">
        <v>19081</v>
      </c>
    </row>
    <row r="1161" spans="1:6">
      <c r="A1161" s="27" t="str">
        <f>Resultados!$K$3</f>
        <v/>
      </c>
      <c r="B1161" s="27" t="str">
        <f>Resultados!$K$4</f>
        <v/>
      </c>
      <c r="C1161" s="568" t="str">
        <f>'900000'!$B81</f>
        <v>09901061</v>
      </c>
      <c r="D1161" s="160" t="str">
        <f>'900000'!$AI$15</f>
        <v>C09903008</v>
      </c>
      <c r="E1161" s="27">
        <f>'900000'!$AI81</f>
        <v>0</v>
      </c>
      <c r="F1161" s="27" t="s">
        <v>19081</v>
      </c>
    </row>
    <row r="1162" spans="1:6">
      <c r="A1162" s="27" t="str">
        <f>Resultados!$K$3</f>
        <v/>
      </c>
      <c r="B1162" s="27" t="str">
        <f>Resultados!$K$4</f>
        <v/>
      </c>
      <c r="C1162" s="568" t="str">
        <f>'900000'!$B82</f>
        <v>09901062</v>
      </c>
      <c r="D1162" s="160" t="str">
        <f>'900000'!$AI$15</f>
        <v>C09903008</v>
      </c>
      <c r="E1162" s="27">
        <f>'900000'!$AI82</f>
        <v>0</v>
      </c>
      <c r="F1162" s="27" t="s">
        <v>19081</v>
      </c>
    </row>
    <row r="1163" spans="1:6">
      <c r="A1163" s="27" t="str">
        <f>Resultados!$K$3</f>
        <v/>
      </c>
      <c r="B1163" s="27" t="str">
        <f>Resultados!$K$4</f>
        <v/>
      </c>
      <c r="C1163" s="568" t="str">
        <f>'900000'!$B83</f>
        <v>09901063</v>
      </c>
      <c r="D1163" s="160" t="str">
        <f>'900000'!$AI$15</f>
        <v>C09903008</v>
      </c>
      <c r="E1163" s="27">
        <f>'900000'!$AI83</f>
        <v>0</v>
      </c>
      <c r="F1163" s="27" t="s">
        <v>19081</v>
      </c>
    </row>
    <row r="1164" spans="1:6">
      <c r="A1164" s="27" t="str">
        <f>Resultados!$K$3</f>
        <v/>
      </c>
      <c r="B1164" s="27" t="str">
        <f>Resultados!$K$4</f>
        <v/>
      </c>
      <c r="C1164" s="568" t="str">
        <f>'900000'!$B84</f>
        <v>09901064</v>
      </c>
      <c r="D1164" s="160" t="str">
        <f>'900000'!$AI$15</f>
        <v>C09903008</v>
      </c>
      <c r="E1164" s="27">
        <f>'900000'!$AI84</f>
        <v>0</v>
      </c>
      <c r="F1164" s="27" t="s">
        <v>19081</v>
      </c>
    </row>
    <row r="1165" spans="1:6">
      <c r="A1165" s="27" t="str">
        <f>Resultados!$K$3</f>
        <v/>
      </c>
      <c r="B1165" s="27" t="str">
        <f>Resultados!$K$4</f>
        <v/>
      </c>
      <c r="C1165" s="568" t="str">
        <f>'900000'!$B85</f>
        <v>09901065</v>
      </c>
      <c r="D1165" s="160" t="str">
        <f>'900000'!$AI$15</f>
        <v>C09903008</v>
      </c>
      <c r="E1165" s="27">
        <f>'900000'!$AI85</f>
        <v>0</v>
      </c>
      <c r="F1165" s="27" t="s">
        <v>19081</v>
      </c>
    </row>
    <row r="1166" spans="1:6">
      <c r="A1166" s="27" t="str">
        <f>Resultados!$K$3</f>
        <v/>
      </c>
      <c r="B1166" s="27" t="str">
        <f>Resultados!$K$4</f>
        <v/>
      </c>
      <c r="C1166" s="568" t="str">
        <f>'900000'!$B86</f>
        <v>09901066</v>
      </c>
      <c r="D1166" s="160" t="str">
        <f>'900000'!$AI$15</f>
        <v>C09903008</v>
      </c>
      <c r="E1166" s="27">
        <f>'900000'!$AI86</f>
        <v>0</v>
      </c>
      <c r="F1166" s="27" t="s">
        <v>19081</v>
      </c>
    </row>
    <row r="1167" spans="1:6">
      <c r="A1167" s="27" t="str">
        <f>Resultados!$K$3</f>
        <v/>
      </c>
      <c r="B1167" s="27" t="str">
        <f>Resultados!$K$4</f>
        <v/>
      </c>
      <c r="C1167" s="568" t="str">
        <f>'900000'!$B87</f>
        <v>09901067</v>
      </c>
      <c r="D1167" s="160" t="str">
        <f>'900000'!$AI$15</f>
        <v>C09903008</v>
      </c>
      <c r="E1167" s="27">
        <f>'900000'!$AI87</f>
        <v>0</v>
      </c>
      <c r="F1167" s="27" t="s">
        <v>19081</v>
      </c>
    </row>
    <row r="1168" spans="1:6">
      <c r="A1168" s="27" t="str">
        <f>Resultados!$K$3</f>
        <v/>
      </c>
      <c r="B1168" s="27" t="str">
        <f>Resultados!$K$4</f>
        <v/>
      </c>
      <c r="C1168" s="568" t="str">
        <f>'900000'!$B88</f>
        <v>09901068</v>
      </c>
      <c r="D1168" s="160" t="str">
        <f>'900000'!$AI$15</f>
        <v>C09903008</v>
      </c>
      <c r="E1168" s="27">
        <f>'900000'!$AI88</f>
        <v>0</v>
      </c>
      <c r="F1168" s="27" t="s">
        <v>19081</v>
      </c>
    </row>
    <row r="1169" spans="1:6">
      <c r="A1169" s="27" t="str">
        <f>Resultados!$K$3</f>
        <v/>
      </c>
      <c r="B1169" s="27" t="str">
        <f>Resultados!$K$4</f>
        <v/>
      </c>
      <c r="C1169" s="568" t="str">
        <f>'900000'!$B89</f>
        <v>09901069</v>
      </c>
      <c r="D1169" s="160" t="str">
        <f>'900000'!$AI$15</f>
        <v>C09903008</v>
      </c>
      <c r="E1169" s="27">
        <f>'900000'!$AI89</f>
        <v>0</v>
      </c>
      <c r="F1169" s="27" t="s">
        <v>19081</v>
      </c>
    </row>
    <row r="1170" spans="1:6">
      <c r="A1170" s="27" t="str">
        <f>Resultados!$K$3</f>
        <v/>
      </c>
      <c r="B1170" s="27" t="str">
        <f>Resultados!$K$4</f>
        <v/>
      </c>
      <c r="C1170" s="568" t="str">
        <f>'900000'!$B90</f>
        <v>09901070</v>
      </c>
      <c r="D1170" s="160" t="str">
        <f>'900000'!$AI$15</f>
        <v>C09903008</v>
      </c>
      <c r="E1170" s="27">
        <f>'900000'!$AI90</f>
        <v>0</v>
      </c>
      <c r="F1170" s="27" t="s">
        <v>19081</v>
      </c>
    </row>
    <row r="1171" spans="1:6">
      <c r="A1171" s="27" t="str">
        <f>Resultados!$K$3</f>
        <v/>
      </c>
      <c r="B1171" s="27" t="str">
        <f>Resultados!$K$4</f>
        <v/>
      </c>
      <c r="C1171" s="568" t="str">
        <f>'900000'!$B91</f>
        <v>09901071</v>
      </c>
      <c r="D1171" s="160" t="str">
        <f>'900000'!$AI$15</f>
        <v>C09903008</v>
      </c>
      <c r="E1171" s="27">
        <f>'900000'!$AI91</f>
        <v>0</v>
      </c>
      <c r="F1171" s="27" t="s">
        <v>19081</v>
      </c>
    </row>
    <row r="1172" spans="1:6">
      <c r="A1172" s="27" t="str">
        <f>Resultados!$K$3</f>
        <v/>
      </c>
      <c r="B1172" s="27" t="str">
        <f>Resultados!$K$4</f>
        <v/>
      </c>
      <c r="C1172" s="568" t="str">
        <f>'900000'!$B92</f>
        <v>09901072</v>
      </c>
      <c r="D1172" s="160" t="str">
        <f>'900000'!$AI$15</f>
        <v>C09903008</v>
      </c>
      <c r="E1172" s="27">
        <f>'900000'!$AI92</f>
        <v>0</v>
      </c>
      <c r="F1172" s="27" t="s">
        <v>19081</v>
      </c>
    </row>
    <row r="1173" spans="1:6">
      <c r="A1173" s="27" t="str">
        <f>Resultados!$K$3</f>
        <v/>
      </c>
      <c r="B1173" s="27" t="str">
        <f>Resultados!$K$4</f>
        <v/>
      </c>
      <c r="C1173" s="568" t="str">
        <f>'900000'!$B93</f>
        <v>09901073</v>
      </c>
      <c r="D1173" s="160" t="str">
        <f>'900000'!$AI$15</f>
        <v>C09903008</v>
      </c>
      <c r="E1173" s="27">
        <f>'900000'!$AI93</f>
        <v>0</v>
      </c>
      <c r="F1173" s="27" t="s">
        <v>19081</v>
      </c>
    </row>
    <row r="1174" spans="1:6">
      <c r="A1174" s="27" t="str">
        <f>Resultados!$K$3</f>
        <v/>
      </c>
      <c r="B1174" s="27" t="str">
        <f>Resultados!$K$4</f>
        <v/>
      </c>
      <c r="C1174" s="568" t="str">
        <f>'900000'!$B94</f>
        <v>09901074</v>
      </c>
      <c r="D1174" s="160" t="str">
        <f>'900000'!$AI$15</f>
        <v>C09903008</v>
      </c>
      <c r="E1174" s="27">
        <f>'900000'!$AI94</f>
        <v>0</v>
      </c>
      <c r="F1174" s="27" t="s">
        <v>19081</v>
      </c>
    </row>
    <row r="1175" spans="1:6">
      <c r="A1175" s="27" t="str">
        <f>Resultados!$K$3</f>
        <v/>
      </c>
      <c r="B1175" s="27" t="str">
        <f>Resultados!$K$4</f>
        <v/>
      </c>
      <c r="C1175" s="568" t="str">
        <f>'900000'!$B95</f>
        <v>09901075</v>
      </c>
      <c r="D1175" s="160" t="str">
        <f>'900000'!$AI$15</f>
        <v>C09903008</v>
      </c>
      <c r="E1175" s="27">
        <f>'900000'!$AI95</f>
        <v>0</v>
      </c>
      <c r="F1175" s="27" t="s">
        <v>19081</v>
      </c>
    </row>
    <row r="1176" spans="1:6">
      <c r="A1176" s="27" t="str">
        <f>Resultados!$K$3</f>
        <v/>
      </c>
      <c r="B1176" s="27" t="str">
        <f>Resultados!$K$4</f>
        <v/>
      </c>
      <c r="C1176" s="568" t="str">
        <f>'900000'!$B96</f>
        <v>09901076</v>
      </c>
      <c r="D1176" s="160" t="str">
        <f>'900000'!$AI$15</f>
        <v>C09903008</v>
      </c>
      <c r="E1176" s="27">
        <f>'900000'!$AI96</f>
        <v>0</v>
      </c>
      <c r="F1176" s="27" t="s">
        <v>19081</v>
      </c>
    </row>
    <row r="1177" spans="1:6">
      <c r="A1177" s="27" t="str">
        <f>Resultados!$K$3</f>
        <v/>
      </c>
      <c r="B1177" s="27" t="str">
        <f>Resultados!$K$4</f>
        <v/>
      </c>
      <c r="C1177" s="568" t="str">
        <f>'900000'!$B97</f>
        <v>09901077</v>
      </c>
      <c r="D1177" s="160" t="str">
        <f>'900000'!$AI$15</f>
        <v>C09903008</v>
      </c>
      <c r="E1177" s="27">
        <f>'900000'!$AI97</f>
        <v>0</v>
      </c>
      <c r="F1177" s="27" t="s">
        <v>19081</v>
      </c>
    </row>
    <row r="1178" spans="1:6">
      <c r="A1178" s="27" t="str">
        <f>Resultados!$K$3</f>
        <v/>
      </c>
      <c r="B1178" s="27" t="str">
        <f>Resultados!$K$4</f>
        <v/>
      </c>
      <c r="C1178" s="568" t="str">
        <f>'900000'!$B98</f>
        <v>09901078</v>
      </c>
      <c r="D1178" s="160" t="str">
        <f>'900000'!$AI$15</f>
        <v>C09903008</v>
      </c>
      <c r="E1178" s="27">
        <f>'900000'!$AI98</f>
        <v>0</v>
      </c>
      <c r="F1178" s="27" t="s">
        <v>19081</v>
      </c>
    </row>
    <row r="1179" spans="1:6">
      <c r="A1179" s="27" t="str">
        <f>Resultados!$K$3</f>
        <v/>
      </c>
      <c r="B1179" s="27" t="str">
        <f>Resultados!$K$4</f>
        <v/>
      </c>
      <c r="C1179" s="568" t="str">
        <f>'900000'!$B99</f>
        <v>09901079</v>
      </c>
      <c r="D1179" s="160" t="str">
        <f>'900000'!$AI$15</f>
        <v>C09903008</v>
      </c>
      <c r="E1179" s="27">
        <f>'900000'!$AI99</f>
        <v>0</v>
      </c>
      <c r="F1179" s="27" t="s">
        <v>19081</v>
      </c>
    </row>
    <row r="1180" spans="1:6">
      <c r="A1180" s="27" t="str">
        <f>Resultados!$K$3</f>
        <v/>
      </c>
      <c r="B1180" s="27" t="str">
        <f>Resultados!$K$4</f>
        <v/>
      </c>
      <c r="C1180" s="568" t="str">
        <f>'900000'!$B100</f>
        <v>09901080</v>
      </c>
      <c r="D1180" s="160" t="str">
        <f>'900000'!$AI$15</f>
        <v>C09903008</v>
      </c>
      <c r="E1180" s="27">
        <f>'900000'!$AI100</f>
        <v>0</v>
      </c>
      <c r="F1180" s="27" t="s">
        <v>19081</v>
      </c>
    </row>
    <row r="1181" spans="1:6">
      <c r="A1181" s="27" t="str">
        <f>Resultados!$K$3</f>
        <v/>
      </c>
      <c r="B1181" s="27" t="str">
        <f>Resultados!$K$4</f>
        <v/>
      </c>
      <c r="C1181" s="568" t="str">
        <f>'900000'!$B101</f>
        <v>09901081</v>
      </c>
      <c r="D1181" s="160" t="str">
        <f>'900000'!$AI$15</f>
        <v>C09903008</v>
      </c>
      <c r="E1181" s="27">
        <f>'900000'!$AI101</f>
        <v>0</v>
      </c>
      <c r="F1181" s="27" t="s">
        <v>19081</v>
      </c>
    </row>
    <row r="1182" spans="1:6">
      <c r="A1182" s="27" t="str">
        <f>Resultados!$K$3</f>
        <v/>
      </c>
      <c r="B1182" s="27" t="str">
        <f>Resultados!$K$4</f>
        <v/>
      </c>
      <c r="C1182" s="568" t="str">
        <f>'900000'!$B102</f>
        <v>09901082</v>
      </c>
      <c r="D1182" s="160" t="str">
        <f>'900000'!$AI$15</f>
        <v>C09903008</v>
      </c>
      <c r="E1182" s="27">
        <f>'900000'!$AI102</f>
        <v>0</v>
      </c>
      <c r="F1182" s="27" t="s">
        <v>19081</v>
      </c>
    </row>
    <row r="1183" spans="1:6">
      <c r="A1183" s="27" t="str">
        <f>Resultados!$K$3</f>
        <v/>
      </c>
      <c r="B1183" s="27" t="str">
        <f>Resultados!$K$4</f>
        <v/>
      </c>
      <c r="C1183" s="568" t="str">
        <f>'900000'!$B103</f>
        <v>09901083</v>
      </c>
      <c r="D1183" s="160" t="str">
        <f>'900000'!$AI$15</f>
        <v>C09903008</v>
      </c>
      <c r="E1183" s="27">
        <f>'900000'!$AI103</f>
        <v>0</v>
      </c>
      <c r="F1183" s="27" t="s">
        <v>19081</v>
      </c>
    </row>
    <row r="1184" spans="1:6">
      <c r="A1184" s="27" t="str">
        <f>Resultados!$K$3</f>
        <v/>
      </c>
      <c r="B1184" s="27" t="str">
        <f>Resultados!$K$4</f>
        <v/>
      </c>
      <c r="C1184" s="568" t="str">
        <f>'900000'!$B104</f>
        <v>09901084</v>
      </c>
      <c r="D1184" s="160" t="str">
        <f>'900000'!$AI$15</f>
        <v>C09903008</v>
      </c>
      <c r="E1184" s="27">
        <f>'900000'!$AI104</f>
        <v>0</v>
      </c>
      <c r="F1184" s="27" t="s">
        <v>19081</v>
      </c>
    </row>
    <row r="1185" spans="1:6">
      <c r="A1185" s="27" t="str">
        <f>Resultados!$K$3</f>
        <v/>
      </c>
      <c r="B1185" s="27" t="str">
        <f>Resultados!$K$4</f>
        <v/>
      </c>
      <c r="C1185" s="568" t="str">
        <f>'900000'!$B105</f>
        <v>09901085</v>
      </c>
      <c r="D1185" s="160" t="str">
        <f>'900000'!$AI$15</f>
        <v>C09903008</v>
      </c>
      <c r="E1185" s="27">
        <f>'900000'!$AI105</f>
        <v>0</v>
      </c>
      <c r="F1185" s="27" t="s">
        <v>19081</v>
      </c>
    </row>
    <row r="1186" spans="1:6">
      <c r="A1186" s="27" t="str">
        <f>Resultados!$K$3</f>
        <v/>
      </c>
      <c r="B1186" s="27" t="str">
        <f>Resultados!$K$4</f>
        <v/>
      </c>
      <c r="C1186" s="568" t="str">
        <f>'900000'!$B106</f>
        <v>09901086</v>
      </c>
      <c r="D1186" s="160" t="str">
        <f>'900000'!$AI$15</f>
        <v>C09903008</v>
      </c>
      <c r="E1186" s="27">
        <f>'900000'!$AI106</f>
        <v>0</v>
      </c>
      <c r="F1186" s="27" t="s">
        <v>19081</v>
      </c>
    </row>
    <row r="1187" spans="1:6">
      <c r="A1187" s="27" t="str">
        <f>Resultados!$K$3</f>
        <v/>
      </c>
      <c r="B1187" s="27" t="str">
        <f>Resultados!$K$4</f>
        <v/>
      </c>
      <c r="C1187" s="568" t="str">
        <f>'900000'!$B107</f>
        <v>09901087</v>
      </c>
      <c r="D1187" s="160" t="str">
        <f>'900000'!$AI$15</f>
        <v>C09903008</v>
      </c>
      <c r="E1187" s="27">
        <f>'900000'!$AI107</f>
        <v>0</v>
      </c>
      <c r="F1187" s="27" t="s">
        <v>19081</v>
      </c>
    </row>
    <row r="1188" spans="1:6">
      <c r="A1188" s="27" t="str">
        <f>Resultados!$K$3</f>
        <v/>
      </c>
      <c r="B1188" s="27" t="str">
        <f>Resultados!$K$4</f>
        <v/>
      </c>
      <c r="C1188" s="568" t="str">
        <f>'900000'!$B108</f>
        <v>09901088</v>
      </c>
      <c r="D1188" s="160" t="str">
        <f>'900000'!$AI$15</f>
        <v>C09903008</v>
      </c>
      <c r="E1188" s="27">
        <f>'900000'!$AI108</f>
        <v>0</v>
      </c>
      <c r="F1188" s="27" t="s">
        <v>19081</v>
      </c>
    </row>
    <row r="1189" spans="1:6">
      <c r="A1189" s="27" t="str">
        <f>Resultados!$K$3</f>
        <v/>
      </c>
      <c r="B1189" s="27" t="str">
        <f>Resultados!$K$4</f>
        <v/>
      </c>
      <c r="C1189" s="568" t="str">
        <f>'900000'!$B109</f>
        <v>09901089</v>
      </c>
      <c r="D1189" s="160" t="str">
        <f>'900000'!$AI$15</f>
        <v>C09903008</v>
      </c>
      <c r="E1189" s="27">
        <f>'900000'!$AI109</f>
        <v>0</v>
      </c>
      <c r="F1189" s="27" t="s">
        <v>19081</v>
      </c>
    </row>
    <row r="1190" spans="1:6">
      <c r="A1190" s="27" t="str">
        <f>Resultados!$K$3</f>
        <v/>
      </c>
      <c r="B1190" s="27" t="str">
        <f>Resultados!$K$4</f>
        <v/>
      </c>
      <c r="C1190" s="568" t="str">
        <f>'900000'!$B110</f>
        <v>09901090</v>
      </c>
      <c r="D1190" s="160" t="str">
        <f>'900000'!$AI$15</f>
        <v>C09903008</v>
      </c>
      <c r="E1190" s="27">
        <f>'900000'!$AI110</f>
        <v>0</v>
      </c>
      <c r="F1190" s="27" t="s">
        <v>19081</v>
      </c>
    </row>
    <row r="1191" spans="1:6">
      <c r="A1191" s="27" t="str">
        <f>Resultados!$K$3</f>
        <v/>
      </c>
      <c r="B1191" s="27" t="str">
        <f>Resultados!$K$4</f>
        <v/>
      </c>
      <c r="C1191" s="568" t="str">
        <f>'900000'!$B111</f>
        <v>09901091</v>
      </c>
      <c r="D1191" s="160" t="str">
        <f>'900000'!$AI$15</f>
        <v>C09903008</v>
      </c>
      <c r="E1191" s="27">
        <f>'900000'!$AI111</f>
        <v>0</v>
      </c>
      <c r="F1191" s="27" t="s">
        <v>19081</v>
      </c>
    </row>
    <row r="1192" spans="1:6">
      <c r="A1192" s="27" t="str">
        <f>Resultados!$K$3</f>
        <v/>
      </c>
      <c r="B1192" s="27" t="str">
        <f>Resultados!$K$4</f>
        <v/>
      </c>
      <c r="C1192" s="568" t="str">
        <f>'900000'!$B112</f>
        <v>09901092</v>
      </c>
      <c r="D1192" s="160" t="str">
        <f>'900000'!$AI$15</f>
        <v>C09903008</v>
      </c>
      <c r="E1192" s="27">
        <f>'900000'!$AI112</f>
        <v>0</v>
      </c>
      <c r="F1192" s="27" t="s">
        <v>19081</v>
      </c>
    </row>
    <row r="1193" spans="1:6">
      <c r="A1193" s="27" t="str">
        <f>Resultados!$K$3</f>
        <v/>
      </c>
      <c r="B1193" s="27" t="str">
        <f>Resultados!$K$4</f>
        <v/>
      </c>
      <c r="C1193" s="568" t="str">
        <f>'900000'!$B113</f>
        <v>09901093</v>
      </c>
      <c r="D1193" s="160" t="str">
        <f>'900000'!$AI$15</f>
        <v>C09903008</v>
      </c>
      <c r="E1193" s="27">
        <f>'900000'!$AI113</f>
        <v>0</v>
      </c>
      <c r="F1193" s="27" t="s">
        <v>19081</v>
      </c>
    </row>
    <row r="1194" spans="1:6">
      <c r="A1194" s="27" t="str">
        <f>Resultados!$K$3</f>
        <v/>
      </c>
      <c r="B1194" s="27" t="str">
        <f>Resultados!$K$4</f>
        <v/>
      </c>
      <c r="C1194" s="568" t="str">
        <f>'900000'!$B114</f>
        <v>09901094</v>
      </c>
      <c r="D1194" s="160" t="str">
        <f>'900000'!$AI$15</f>
        <v>C09903008</v>
      </c>
      <c r="E1194" s="27">
        <f>'900000'!$AI114</f>
        <v>0</v>
      </c>
      <c r="F1194" s="27" t="s">
        <v>19081</v>
      </c>
    </row>
    <row r="1195" spans="1:6">
      <c r="A1195" s="27" t="str">
        <f>Resultados!$K$3</f>
        <v/>
      </c>
      <c r="B1195" s="27" t="str">
        <f>Resultados!$K$4</f>
        <v/>
      </c>
      <c r="C1195" s="568" t="str">
        <f>'900000'!$B115</f>
        <v>09901095</v>
      </c>
      <c r="D1195" s="160" t="str">
        <f>'900000'!$AI$15</f>
        <v>C09903008</v>
      </c>
      <c r="E1195" s="27">
        <f>'900000'!$AI115</f>
        <v>0</v>
      </c>
      <c r="F1195" s="27" t="s">
        <v>19081</v>
      </c>
    </row>
    <row r="1196" spans="1:6">
      <c r="A1196" s="27" t="str">
        <f>Resultados!$K$3</f>
        <v/>
      </c>
      <c r="B1196" s="27" t="str">
        <f>Resultados!$K$4</f>
        <v/>
      </c>
      <c r="C1196" s="568" t="str">
        <f>'900000'!$B116</f>
        <v>09901096</v>
      </c>
      <c r="D1196" s="160" t="str">
        <f>'900000'!$AI$15</f>
        <v>C09903008</v>
      </c>
      <c r="E1196" s="27">
        <f>'900000'!$AI116</f>
        <v>0</v>
      </c>
      <c r="F1196" s="27" t="s">
        <v>19081</v>
      </c>
    </row>
    <row r="1197" spans="1:6">
      <c r="A1197" s="27" t="str">
        <f>Resultados!$K$3</f>
        <v/>
      </c>
      <c r="B1197" s="27" t="str">
        <f>Resultados!$K$4</f>
        <v/>
      </c>
      <c r="C1197" s="568" t="str">
        <f>'900000'!$B117</f>
        <v>09901097</v>
      </c>
      <c r="D1197" s="160" t="str">
        <f>'900000'!$AI$15</f>
        <v>C09903008</v>
      </c>
      <c r="E1197" s="27">
        <f>'900000'!$AI117</f>
        <v>0</v>
      </c>
      <c r="F1197" s="27" t="s">
        <v>19081</v>
      </c>
    </row>
    <row r="1198" spans="1:6">
      <c r="A1198" s="27" t="str">
        <f>Resultados!$K$3</f>
        <v/>
      </c>
      <c r="B1198" s="27" t="str">
        <f>Resultados!$K$4</f>
        <v/>
      </c>
      <c r="C1198" s="568" t="str">
        <f>'900000'!$B118</f>
        <v>09901098</v>
      </c>
      <c r="D1198" s="160" t="str">
        <f>'900000'!$AI$15</f>
        <v>C09903008</v>
      </c>
      <c r="E1198" s="27">
        <f>'900000'!$AI118</f>
        <v>0</v>
      </c>
      <c r="F1198" s="27" t="s">
        <v>19081</v>
      </c>
    </row>
    <row r="1199" spans="1:6">
      <c r="A1199" s="27" t="str">
        <f>Resultados!$K$3</f>
        <v/>
      </c>
      <c r="B1199" s="27" t="str">
        <f>Resultados!$K$4</f>
        <v/>
      </c>
      <c r="C1199" s="568" t="str">
        <f>'900000'!$B119</f>
        <v>09901099</v>
      </c>
      <c r="D1199" s="160" t="str">
        <f>'900000'!$AI$15</f>
        <v>C09903008</v>
      </c>
      <c r="E1199" s="27">
        <f>'900000'!$AI119</f>
        <v>0</v>
      </c>
      <c r="F1199" s="27" t="s">
        <v>19081</v>
      </c>
    </row>
    <row r="1200" spans="1:6">
      <c r="A1200" s="27" t="str">
        <f>Resultados!$K$3</f>
        <v/>
      </c>
      <c r="B1200" s="27" t="str">
        <f>Resultados!$K$4</f>
        <v/>
      </c>
      <c r="C1200" s="568" t="str">
        <f>'900000'!$B120</f>
        <v>09901100</v>
      </c>
      <c r="D1200" s="160" t="str">
        <f>'900000'!$AI$15</f>
        <v>C09903008</v>
      </c>
      <c r="E1200" s="27">
        <f>'900000'!$AI120</f>
        <v>0</v>
      </c>
      <c r="F1200" s="27" t="s">
        <v>19081</v>
      </c>
    </row>
    <row r="1201" spans="1:6">
      <c r="A1201" s="27" t="str">
        <f>Resultados!$K$3</f>
        <v/>
      </c>
      <c r="B1201" s="27" t="str">
        <f>Resultados!$K$4</f>
        <v/>
      </c>
      <c r="C1201" s="568" t="str">
        <f>'900000'!$B121</f>
        <v>09901101</v>
      </c>
      <c r="D1201" s="160" t="str">
        <f>'900000'!$AI$15</f>
        <v>C09903008</v>
      </c>
      <c r="E1201" s="27">
        <f>'900000'!$AI121</f>
        <v>0</v>
      </c>
      <c r="F1201" s="27" t="s">
        <v>19081</v>
      </c>
    </row>
    <row r="1202" spans="1:6">
      <c r="A1202" s="27" t="str">
        <f>Resultados!$K$3</f>
        <v/>
      </c>
      <c r="B1202" s="27" t="str">
        <f>Resultados!$K$4</f>
        <v/>
      </c>
      <c r="C1202" s="568" t="str">
        <f>'900000'!$B22</f>
        <v>09901002</v>
      </c>
      <c r="D1202" s="160" t="str">
        <f>'900000'!$AJ$15</f>
        <v>C09903009</v>
      </c>
      <c r="E1202">
        <f>'900000'!$AJ22</f>
        <v>0</v>
      </c>
      <c r="F1202" s="27" t="s">
        <v>19081</v>
      </c>
    </row>
    <row r="1203" spans="1:6">
      <c r="A1203" s="27" t="str">
        <f>Resultados!$K$3</f>
        <v/>
      </c>
      <c r="B1203" s="27" t="str">
        <f>Resultados!$K$4</f>
        <v/>
      </c>
      <c r="C1203" s="568" t="str">
        <f>'900000'!$B23</f>
        <v>09901003</v>
      </c>
      <c r="D1203" s="160" t="str">
        <f>'900000'!$AJ$15</f>
        <v>C09903009</v>
      </c>
      <c r="E1203" s="27">
        <f>'900000'!$AJ23</f>
        <v>0</v>
      </c>
      <c r="F1203" s="27" t="s">
        <v>19081</v>
      </c>
    </row>
    <row r="1204" spans="1:6">
      <c r="A1204" s="27" t="str">
        <f>Resultados!$K$3</f>
        <v/>
      </c>
      <c r="B1204" s="27" t="str">
        <f>Resultados!$K$4</f>
        <v/>
      </c>
      <c r="C1204" s="568" t="str">
        <f>'900000'!$B24</f>
        <v>09901004</v>
      </c>
      <c r="D1204" s="160" t="str">
        <f>'900000'!$AJ$15</f>
        <v>C09903009</v>
      </c>
      <c r="E1204" s="27">
        <f>'900000'!$AJ24</f>
        <v>0</v>
      </c>
      <c r="F1204" s="27" t="s">
        <v>19081</v>
      </c>
    </row>
    <row r="1205" spans="1:6">
      <c r="A1205" s="27" t="str">
        <f>Resultados!$K$3</f>
        <v/>
      </c>
      <c r="B1205" s="27" t="str">
        <f>Resultados!$K$4</f>
        <v/>
      </c>
      <c r="C1205" s="568" t="str">
        <f>'900000'!$B25</f>
        <v>09901005</v>
      </c>
      <c r="D1205" s="160" t="str">
        <f>'900000'!$AJ$15</f>
        <v>C09903009</v>
      </c>
      <c r="E1205" s="27">
        <f>'900000'!$AJ25</f>
        <v>0</v>
      </c>
      <c r="F1205" s="27" t="s">
        <v>19081</v>
      </c>
    </row>
    <row r="1206" spans="1:6">
      <c r="A1206" s="27" t="str">
        <f>Resultados!$K$3</f>
        <v/>
      </c>
      <c r="B1206" s="27" t="str">
        <f>Resultados!$K$4</f>
        <v/>
      </c>
      <c r="C1206" s="568" t="str">
        <f>'900000'!$B26</f>
        <v>09901006</v>
      </c>
      <c r="D1206" s="160" t="str">
        <f>'900000'!$AJ$15</f>
        <v>C09903009</v>
      </c>
      <c r="E1206" s="27">
        <f>'900000'!$AJ26</f>
        <v>0</v>
      </c>
      <c r="F1206" s="27" t="s">
        <v>19081</v>
      </c>
    </row>
    <row r="1207" spans="1:6">
      <c r="A1207" s="27" t="str">
        <f>Resultados!$K$3</f>
        <v/>
      </c>
      <c r="B1207" s="27" t="str">
        <f>Resultados!$K$4</f>
        <v/>
      </c>
      <c r="C1207" s="568" t="str">
        <f>'900000'!$B27</f>
        <v>09901007</v>
      </c>
      <c r="D1207" s="160" t="str">
        <f>'900000'!$AJ$15</f>
        <v>C09903009</v>
      </c>
      <c r="E1207" s="27">
        <f>'900000'!$AJ27</f>
        <v>0</v>
      </c>
      <c r="F1207" s="27" t="s">
        <v>19081</v>
      </c>
    </row>
    <row r="1208" spans="1:6">
      <c r="A1208" s="27" t="str">
        <f>Resultados!$K$3</f>
        <v/>
      </c>
      <c r="B1208" s="27" t="str">
        <f>Resultados!$K$4</f>
        <v/>
      </c>
      <c r="C1208" s="568" t="str">
        <f>'900000'!$B28</f>
        <v>09901008</v>
      </c>
      <c r="D1208" s="160" t="str">
        <f>'900000'!$AJ$15</f>
        <v>C09903009</v>
      </c>
      <c r="E1208" s="27">
        <f>'900000'!$AJ28</f>
        <v>0</v>
      </c>
      <c r="F1208" s="27" t="s">
        <v>19081</v>
      </c>
    </row>
    <row r="1209" spans="1:6">
      <c r="A1209" s="27" t="str">
        <f>Resultados!$K$3</f>
        <v/>
      </c>
      <c r="B1209" s="27" t="str">
        <f>Resultados!$K$4</f>
        <v/>
      </c>
      <c r="C1209" s="568" t="str">
        <f>'900000'!$B29</f>
        <v>09901009</v>
      </c>
      <c r="D1209" s="160" t="str">
        <f>'900000'!$AJ$15</f>
        <v>C09903009</v>
      </c>
      <c r="E1209" s="27">
        <f>'900000'!$AJ29</f>
        <v>0</v>
      </c>
      <c r="F1209" s="27" t="s">
        <v>19081</v>
      </c>
    </row>
    <row r="1210" spans="1:6">
      <c r="A1210" s="27" t="str">
        <f>Resultados!$K$3</f>
        <v/>
      </c>
      <c r="B1210" s="27" t="str">
        <f>Resultados!$K$4</f>
        <v/>
      </c>
      <c r="C1210" s="568" t="str">
        <f>'900000'!$B30</f>
        <v>09901010</v>
      </c>
      <c r="D1210" s="160" t="str">
        <f>'900000'!$AJ$15</f>
        <v>C09903009</v>
      </c>
      <c r="E1210" s="27">
        <f>'900000'!$AJ30</f>
        <v>0</v>
      </c>
      <c r="F1210" s="27" t="s">
        <v>19081</v>
      </c>
    </row>
    <row r="1211" spans="1:6">
      <c r="A1211" s="27" t="str">
        <f>Resultados!$K$3</f>
        <v/>
      </c>
      <c r="B1211" s="27" t="str">
        <f>Resultados!$K$4</f>
        <v/>
      </c>
      <c r="C1211" s="568" t="str">
        <f>'900000'!$B31</f>
        <v>09901011</v>
      </c>
      <c r="D1211" s="160" t="str">
        <f>'900000'!$AJ$15</f>
        <v>C09903009</v>
      </c>
      <c r="E1211" s="27">
        <f>'900000'!$AJ31</f>
        <v>0</v>
      </c>
      <c r="F1211" s="27" t="s">
        <v>19081</v>
      </c>
    </row>
    <row r="1212" spans="1:6">
      <c r="A1212" s="27" t="str">
        <f>Resultados!$K$3</f>
        <v/>
      </c>
      <c r="B1212" s="27" t="str">
        <f>Resultados!$K$4</f>
        <v/>
      </c>
      <c r="C1212" s="568" t="str">
        <f>'900000'!$B32</f>
        <v>09901012</v>
      </c>
      <c r="D1212" s="160" t="str">
        <f>'900000'!$AJ$15</f>
        <v>C09903009</v>
      </c>
      <c r="E1212" s="27">
        <f>'900000'!$AJ32</f>
        <v>0</v>
      </c>
      <c r="F1212" s="27" t="s">
        <v>19081</v>
      </c>
    </row>
    <row r="1213" spans="1:6">
      <c r="A1213" s="27" t="str">
        <f>Resultados!$K$3</f>
        <v/>
      </c>
      <c r="B1213" s="27" t="str">
        <f>Resultados!$K$4</f>
        <v/>
      </c>
      <c r="C1213" s="568" t="str">
        <f>'900000'!$B33</f>
        <v>09901013</v>
      </c>
      <c r="D1213" s="160" t="str">
        <f>'900000'!$AJ$15</f>
        <v>C09903009</v>
      </c>
      <c r="E1213" s="27">
        <f>'900000'!$AJ33</f>
        <v>0</v>
      </c>
      <c r="F1213" s="27" t="s">
        <v>19081</v>
      </c>
    </row>
    <row r="1214" spans="1:6">
      <c r="A1214" s="27" t="str">
        <f>Resultados!$K$3</f>
        <v/>
      </c>
      <c r="B1214" s="27" t="str">
        <f>Resultados!$K$4</f>
        <v/>
      </c>
      <c r="C1214" s="568" t="str">
        <f>'900000'!$B34</f>
        <v>09901014</v>
      </c>
      <c r="D1214" s="160" t="str">
        <f>'900000'!$AJ$15</f>
        <v>C09903009</v>
      </c>
      <c r="E1214" s="27">
        <f>'900000'!$AJ34</f>
        <v>0</v>
      </c>
      <c r="F1214" s="27" t="s">
        <v>19081</v>
      </c>
    </row>
    <row r="1215" spans="1:6">
      <c r="A1215" s="27" t="str">
        <f>Resultados!$K$3</f>
        <v/>
      </c>
      <c r="B1215" s="27" t="str">
        <f>Resultados!$K$4</f>
        <v/>
      </c>
      <c r="C1215" s="568" t="str">
        <f>'900000'!$B35</f>
        <v>09901015</v>
      </c>
      <c r="D1215" s="160" t="str">
        <f>'900000'!$AJ$15</f>
        <v>C09903009</v>
      </c>
      <c r="E1215" s="27">
        <f>'900000'!$AJ35</f>
        <v>0</v>
      </c>
      <c r="F1215" s="27" t="s">
        <v>19081</v>
      </c>
    </row>
    <row r="1216" spans="1:6">
      <c r="A1216" s="27" t="str">
        <f>Resultados!$K$3</f>
        <v/>
      </c>
      <c r="B1216" s="27" t="str">
        <f>Resultados!$K$4</f>
        <v/>
      </c>
      <c r="C1216" s="568" t="str">
        <f>'900000'!$B36</f>
        <v>09901016</v>
      </c>
      <c r="D1216" s="160" t="str">
        <f>'900000'!$AJ$15</f>
        <v>C09903009</v>
      </c>
      <c r="E1216" s="27">
        <f>'900000'!$AJ36</f>
        <v>0</v>
      </c>
      <c r="F1216" s="27" t="s">
        <v>19081</v>
      </c>
    </row>
    <row r="1217" spans="1:6">
      <c r="A1217" s="27" t="str">
        <f>Resultados!$K$3</f>
        <v/>
      </c>
      <c r="B1217" s="27" t="str">
        <f>Resultados!$K$4</f>
        <v/>
      </c>
      <c r="C1217" s="568" t="str">
        <f>'900000'!$B37</f>
        <v>09901017</v>
      </c>
      <c r="D1217" s="160" t="str">
        <f>'900000'!$AJ$15</f>
        <v>C09903009</v>
      </c>
      <c r="E1217" s="27">
        <f>'900000'!$AJ37</f>
        <v>0</v>
      </c>
      <c r="F1217" s="27" t="s">
        <v>19081</v>
      </c>
    </row>
    <row r="1218" spans="1:6">
      <c r="A1218" s="27" t="str">
        <f>Resultados!$K$3</f>
        <v/>
      </c>
      <c r="B1218" s="27" t="str">
        <f>Resultados!$K$4</f>
        <v/>
      </c>
      <c r="C1218" s="568" t="str">
        <f>'900000'!$B38</f>
        <v>09901018</v>
      </c>
      <c r="D1218" s="160" t="str">
        <f>'900000'!$AJ$15</f>
        <v>C09903009</v>
      </c>
      <c r="E1218" s="27">
        <f>'900000'!$AJ38</f>
        <v>0</v>
      </c>
      <c r="F1218" s="27" t="s">
        <v>19081</v>
      </c>
    </row>
    <row r="1219" spans="1:6">
      <c r="A1219" s="27" t="str">
        <f>Resultados!$K$3</f>
        <v/>
      </c>
      <c r="B1219" s="27" t="str">
        <f>Resultados!$K$4</f>
        <v/>
      </c>
      <c r="C1219" s="568" t="str">
        <f>'900000'!$B39</f>
        <v>09901019</v>
      </c>
      <c r="D1219" s="160" t="str">
        <f>'900000'!$AJ$15</f>
        <v>C09903009</v>
      </c>
      <c r="E1219" s="27">
        <f>'900000'!$AJ39</f>
        <v>0</v>
      </c>
      <c r="F1219" s="27" t="s">
        <v>19081</v>
      </c>
    </row>
    <row r="1220" spans="1:6">
      <c r="A1220" s="27" t="str">
        <f>Resultados!$K$3</f>
        <v/>
      </c>
      <c r="B1220" s="27" t="str">
        <f>Resultados!$K$4</f>
        <v/>
      </c>
      <c r="C1220" s="568" t="str">
        <f>'900000'!$B40</f>
        <v>09901020</v>
      </c>
      <c r="D1220" s="160" t="str">
        <f>'900000'!$AJ$15</f>
        <v>C09903009</v>
      </c>
      <c r="E1220" s="27">
        <f>'900000'!$AJ40</f>
        <v>0</v>
      </c>
      <c r="F1220" s="27" t="s">
        <v>19081</v>
      </c>
    </row>
    <row r="1221" spans="1:6">
      <c r="A1221" s="27" t="str">
        <f>Resultados!$K$3</f>
        <v/>
      </c>
      <c r="B1221" s="27" t="str">
        <f>Resultados!$K$4</f>
        <v/>
      </c>
      <c r="C1221" s="568" t="str">
        <f>'900000'!$B41</f>
        <v>09901021</v>
      </c>
      <c r="D1221" s="160" t="str">
        <f>'900000'!$AJ$15</f>
        <v>C09903009</v>
      </c>
      <c r="E1221" s="27">
        <f>'900000'!$AJ41</f>
        <v>0</v>
      </c>
      <c r="F1221" s="27" t="s">
        <v>19081</v>
      </c>
    </row>
    <row r="1222" spans="1:6">
      <c r="A1222" s="27" t="str">
        <f>Resultados!$K$3</f>
        <v/>
      </c>
      <c r="B1222" s="27" t="str">
        <f>Resultados!$K$4</f>
        <v/>
      </c>
      <c r="C1222" s="568" t="str">
        <f>'900000'!$B42</f>
        <v>09901022</v>
      </c>
      <c r="D1222" s="160" t="str">
        <f>'900000'!$AJ$15</f>
        <v>C09903009</v>
      </c>
      <c r="E1222" s="27">
        <f>'900000'!$AJ42</f>
        <v>0</v>
      </c>
      <c r="F1222" s="27" t="s">
        <v>19081</v>
      </c>
    </row>
    <row r="1223" spans="1:6">
      <c r="A1223" s="27" t="str">
        <f>Resultados!$K$3</f>
        <v/>
      </c>
      <c r="B1223" s="27" t="str">
        <f>Resultados!$K$4</f>
        <v/>
      </c>
      <c r="C1223" s="568" t="str">
        <f>'900000'!$B43</f>
        <v>09901023</v>
      </c>
      <c r="D1223" s="160" t="str">
        <f>'900000'!$AJ$15</f>
        <v>C09903009</v>
      </c>
      <c r="E1223" s="27">
        <f>'900000'!$AJ43</f>
        <v>0</v>
      </c>
      <c r="F1223" s="27" t="s">
        <v>19081</v>
      </c>
    </row>
    <row r="1224" spans="1:6">
      <c r="A1224" s="27" t="str">
        <f>Resultados!$K$3</f>
        <v/>
      </c>
      <c r="B1224" s="27" t="str">
        <f>Resultados!$K$4</f>
        <v/>
      </c>
      <c r="C1224" s="568" t="str">
        <f>'900000'!$B44</f>
        <v>09901024</v>
      </c>
      <c r="D1224" s="160" t="str">
        <f>'900000'!$AJ$15</f>
        <v>C09903009</v>
      </c>
      <c r="E1224" s="27">
        <f>'900000'!$AJ44</f>
        <v>0</v>
      </c>
      <c r="F1224" s="27" t="s">
        <v>19081</v>
      </c>
    </row>
    <row r="1225" spans="1:6">
      <c r="A1225" s="27" t="str">
        <f>Resultados!$K$3</f>
        <v/>
      </c>
      <c r="B1225" s="27" t="str">
        <f>Resultados!$K$4</f>
        <v/>
      </c>
      <c r="C1225" s="568" t="str">
        <f>'900000'!$B45</f>
        <v>09901025</v>
      </c>
      <c r="D1225" s="160" t="str">
        <f>'900000'!$AJ$15</f>
        <v>C09903009</v>
      </c>
      <c r="E1225" s="27">
        <f>'900000'!$AJ45</f>
        <v>0</v>
      </c>
      <c r="F1225" s="27" t="s">
        <v>19081</v>
      </c>
    </row>
    <row r="1226" spans="1:6">
      <c r="A1226" s="27" t="str">
        <f>Resultados!$K$3</f>
        <v/>
      </c>
      <c r="B1226" s="27" t="str">
        <f>Resultados!$K$4</f>
        <v/>
      </c>
      <c r="C1226" s="568" t="str">
        <f>'900000'!$B46</f>
        <v>09901026</v>
      </c>
      <c r="D1226" s="160" t="str">
        <f>'900000'!$AJ$15</f>
        <v>C09903009</v>
      </c>
      <c r="E1226" s="27">
        <f>'900000'!$AJ46</f>
        <v>0</v>
      </c>
      <c r="F1226" s="27" t="s">
        <v>19081</v>
      </c>
    </row>
    <row r="1227" spans="1:6">
      <c r="A1227" s="27" t="str">
        <f>Resultados!$K$3</f>
        <v/>
      </c>
      <c r="B1227" s="27" t="str">
        <f>Resultados!$K$4</f>
        <v/>
      </c>
      <c r="C1227" s="568" t="str">
        <f>'900000'!$B47</f>
        <v>09901027</v>
      </c>
      <c r="D1227" s="160" t="str">
        <f>'900000'!$AJ$15</f>
        <v>C09903009</v>
      </c>
      <c r="E1227" s="27">
        <f>'900000'!$AJ47</f>
        <v>0</v>
      </c>
      <c r="F1227" s="27" t="s">
        <v>19081</v>
      </c>
    </row>
    <row r="1228" spans="1:6">
      <c r="A1228" s="27" t="str">
        <f>Resultados!$K$3</f>
        <v/>
      </c>
      <c r="B1228" s="27" t="str">
        <f>Resultados!$K$4</f>
        <v/>
      </c>
      <c r="C1228" s="568" t="str">
        <f>'900000'!$B48</f>
        <v>09901028</v>
      </c>
      <c r="D1228" s="160" t="str">
        <f>'900000'!$AJ$15</f>
        <v>C09903009</v>
      </c>
      <c r="E1228" s="27">
        <f>'900000'!$AJ48</f>
        <v>0</v>
      </c>
      <c r="F1228" s="27" t="s">
        <v>19081</v>
      </c>
    </row>
    <row r="1229" spans="1:6">
      <c r="A1229" s="27" t="str">
        <f>Resultados!$K$3</f>
        <v/>
      </c>
      <c r="B1229" s="27" t="str">
        <f>Resultados!$K$4</f>
        <v/>
      </c>
      <c r="C1229" s="568" t="str">
        <f>'900000'!$B49</f>
        <v>09901029</v>
      </c>
      <c r="D1229" s="160" t="str">
        <f>'900000'!$AJ$15</f>
        <v>C09903009</v>
      </c>
      <c r="E1229" s="27">
        <f>'900000'!$AJ49</f>
        <v>0</v>
      </c>
      <c r="F1229" s="27" t="s">
        <v>19081</v>
      </c>
    </row>
    <row r="1230" spans="1:6">
      <c r="A1230" s="27" t="str">
        <f>Resultados!$K$3</f>
        <v/>
      </c>
      <c r="B1230" s="27" t="str">
        <f>Resultados!$K$4</f>
        <v/>
      </c>
      <c r="C1230" s="568" t="str">
        <f>'900000'!$B50</f>
        <v>09901030</v>
      </c>
      <c r="D1230" s="160" t="str">
        <f>'900000'!$AJ$15</f>
        <v>C09903009</v>
      </c>
      <c r="E1230" s="27">
        <f>'900000'!$AJ50</f>
        <v>0</v>
      </c>
      <c r="F1230" s="27" t="s">
        <v>19081</v>
      </c>
    </row>
    <row r="1231" spans="1:6">
      <c r="A1231" s="27" t="str">
        <f>Resultados!$K$3</f>
        <v/>
      </c>
      <c r="B1231" s="27" t="str">
        <f>Resultados!$K$4</f>
        <v/>
      </c>
      <c r="C1231" s="568" t="str">
        <f>'900000'!$B51</f>
        <v>09901031</v>
      </c>
      <c r="D1231" s="160" t="str">
        <f>'900000'!$AJ$15</f>
        <v>C09903009</v>
      </c>
      <c r="E1231" s="27">
        <f>'900000'!$AJ51</f>
        <v>0</v>
      </c>
      <c r="F1231" s="27" t="s">
        <v>19081</v>
      </c>
    </row>
    <row r="1232" spans="1:6">
      <c r="A1232" s="27" t="str">
        <f>Resultados!$K$3</f>
        <v/>
      </c>
      <c r="B1232" s="27" t="str">
        <f>Resultados!$K$4</f>
        <v/>
      </c>
      <c r="C1232" s="568" t="str">
        <f>'900000'!$B52</f>
        <v>09901032</v>
      </c>
      <c r="D1232" s="160" t="str">
        <f>'900000'!$AJ$15</f>
        <v>C09903009</v>
      </c>
      <c r="E1232" s="27">
        <f>'900000'!$AJ52</f>
        <v>0</v>
      </c>
      <c r="F1232" s="27" t="s">
        <v>19081</v>
      </c>
    </row>
    <row r="1233" spans="1:6">
      <c r="A1233" s="27" t="str">
        <f>Resultados!$K$3</f>
        <v/>
      </c>
      <c r="B1233" s="27" t="str">
        <f>Resultados!$K$4</f>
        <v/>
      </c>
      <c r="C1233" s="568" t="str">
        <f>'900000'!$B53</f>
        <v>09901033</v>
      </c>
      <c r="D1233" s="160" t="str">
        <f>'900000'!$AJ$15</f>
        <v>C09903009</v>
      </c>
      <c r="E1233" s="27">
        <f>'900000'!$AJ53</f>
        <v>0</v>
      </c>
      <c r="F1233" s="27" t="s">
        <v>19081</v>
      </c>
    </row>
    <row r="1234" spans="1:6">
      <c r="A1234" s="27" t="str">
        <f>Resultados!$K$3</f>
        <v/>
      </c>
      <c r="B1234" s="27" t="str">
        <f>Resultados!$K$4</f>
        <v/>
      </c>
      <c r="C1234" s="568" t="str">
        <f>'900000'!$B54</f>
        <v>09901034</v>
      </c>
      <c r="D1234" s="160" t="str">
        <f>'900000'!$AJ$15</f>
        <v>C09903009</v>
      </c>
      <c r="E1234" s="27">
        <f>'900000'!$AJ54</f>
        <v>0</v>
      </c>
      <c r="F1234" s="27" t="s">
        <v>19081</v>
      </c>
    </row>
    <row r="1235" spans="1:6">
      <c r="A1235" s="27" t="str">
        <f>Resultados!$K$3</f>
        <v/>
      </c>
      <c r="B1235" s="27" t="str">
        <f>Resultados!$K$4</f>
        <v/>
      </c>
      <c r="C1235" s="568" t="str">
        <f>'900000'!$B55</f>
        <v>09901035</v>
      </c>
      <c r="D1235" s="160" t="str">
        <f>'900000'!$AJ$15</f>
        <v>C09903009</v>
      </c>
      <c r="E1235" s="27">
        <f>'900000'!$AJ55</f>
        <v>0</v>
      </c>
      <c r="F1235" s="27" t="s">
        <v>19081</v>
      </c>
    </row>
    <row r="1236" spans="1:6">
      <c r="A1236" s="27" t="str">
        <f>Resultados!$K$3</f>
        <v/>
      </c>
      <c r="B1236" s="27" t="str">
        <f>Resultados!$K$4</f>
        <v/>
      </c>
      <c r="C1236" s="568" t="str">
        <f>'900000'!$B56</f>
        <v>09901036</v>
      </c>
      <c r="D1236" s="160" t="str">
        <f>'900000'!$AJ$15</f>
        <v>C09903009</v>
      </c>
      <c r="E1236" s="27">
        <f>'900000'!$AJ56</f>
        <v>0</v>
      </c>
      <c r="F1236" s="27" t="s">
        <v>19081</v>
      </c>
    </row>
    <row r="1237" spans="1:6">
      <c r="A1237" s="27" t="str">
        <f>Resultados!$K$3</f>
        <v/>
      </c>
      <c r="B1237" s="27" t="str">
        <f>Resultados!$K$4</f>
        <v/>
      </c>
      <c r="C1237" s="568" t="str">
        <f>'900000'!$B57</f>
        <v>09901037</v>
      </c>
      <c r="D1237" s="160" t="str">
        <f>'900000'!$AJ$15</f>
        <v>C09903009</v>
      </c>
      <c r="E1237" s="27">
        <f>'900000'!$AJ57</f>
        <v>0</v>
      </c>
      <c r="F1237" s="27" t="s">
        <v>19081</v>
      </c>
    </row>
    <row r="1238" spans="1:6">
      <c r="A1238" s="27" t="str">
        <f>Resultados!$K$3</f>
        <v/>
      </c>
      <c r="B1238" s="27" t="str">
        <f>Resultados!$K$4</f>
        <v/>
      </c>
      <c r="C1238" s="568" t="str">
        <f>'900000'!$B58</f>
        <v>09901038</v>
      </c>
      <c r="D1238" s="160" t="str">
        <f>'900000'!$AJ$15</f>
        <v>C09903009</v>
      </c>
      <c r="E1238" s="27">
        <f>'900000'!$AJ58</f>
        <v>0</v>
      </c>
      <c r="F1238" s="27" t="s">
        <v>19081</v>
      </c>
    </row>
    <row r="1239" spans="1:6">
      <c r="A1239" s="27" t="str">
        <f>Resultados!$K$3</f>
        <v/>
      </c>
      <c r="B1239" s="27" t="str">
        <f>Resultados!$K$4</f>
        <v/>
      </c>
      <c r="C1239" s="568" t="str">
        <f>'900000'!$B59</f>
        <v>09901039</v>
      </c>
      <c r="D1239" s="160" t="str">
        <f>'900000'!$AJ$15</f>
        <v>C09903009</v>
      </c>
      <c r="E1239" s="27">
        <f>'900000'!$AJ59</f>
        <v>0</v>
      </c>
      <c r="F1239" s="27" t="s">
        <v>19081</v>
      </c>
    </row>
    <row r="1240" spans="1:6">
      <c r="A1240" s="27" t="str">
        <f>Resultados!$K$3</f>
        <v/>
      </c>
      <c r="B1240" s="27" t="str">
        <f>Resultados!$K$4</f>
        <v/>
      </c>
      <c r="C1240" s="568" t="str">
        <f>'900000'!$B60</f>
        <v>09901040</v>
      </c>
      <c r="D1240" s="160" t="str">
        <f>'900000'!$AJ$15</f>
        <v>C09903009</v>
      </c>
      <c r="E1240" s="27">
        <f>'900000'!$AJ60</f>
        <v>0</v>
      </c>
      <c r="F1240" s="27" t="s">
        <v>19081</v>
      </c>
    </row>
    <row r="1241" spans="1:6">
      <c r="A1241" s="27" t="str">
        <f>Resultados!$K$3</f>
        <v/>
      </c>
      <c r="B1241" s="27" t="str">
        <f>Resultados!$K$4</f>
        <v/>
      </c>
      <c r="C1241" s="568" t="str">
        <f>'900000'!$B61</f>
        <v>09901041</v>
      </c>
      <c r="D1241" s="160" t="str">
        <f>'900000'!$AJ$15</f>
        <v>C09903009</v>
      </c>
      <c r="E1241" s="27">
        <f>'900000'!$AJ61</f>
        <v>0</v>
      </c>
      <c r="F1241" s="27" t="s">
        <v>19081</v>
      </c>
    </row>
    <row r="1242" spans="1:6">
      <c r="A1242" s="27" t="str">
        <f>Resultados!$K$3</f>
        <v/>
      </c>
      <c r="B1242" s="27" t="str">
        <f>Resultados!$K$4</f>
        <v/>
      </c>
      <c r="C1242" s="568" t="str">
        <f>'900000'!$B62</f>
        <v>09901042</v>
      </c>
      <c r="D1242" s="160" t="str">
        <f>'900000'!$AJ$15</f>
        <v>C09903009</v>
      </c>
      <c r="E1242" s="27">
        <f>'900000'!$AJ62</f>
        <v>0</v>
      </c>
      <c r="F1242" s="27" t="s">
        <v>19081</v>
      </c>
    </row>
    <row r="1243" spans="1:6">
      <c r="A1243" s="27" t="str">
        <f>Resultados!$K$3</f>
        <v/>
      </c>
      <c r="B1243" s="27" t="str">
        <f>Resultados!$K$4</f>
        <v/>
      </c>
      <c r="C1243" s="568" t="str">
        <f>'900000'!$B63</f>
        <v>09901043</v>
      </c>
      <c r="D1243" s="160" t="str">
        <f>'900000'!$AJ$15</f>
        <v>C09903009</v>
      </c>
      <c r="E1243" s="27">
        <f>'900000'!$AJ63</f>
        <v>0</v>
      </c>
      <c r="F1243" s="27" t="s">
        <v>19081</v>
      </c>
    </row>
    <row r="1244" spans="1:6">
      <c r="A1244" s="27" t="str">
        <f>Resultados!$K$3</f>
        <v/>
      </c>
      <c r="B1244" s="27" t="str">
        <f>Resultados!$K$4</f>
        <v/>
      </c>
      <c r="C1244" s="568" t="str">
        <f>'900000'!$B64</f>
        <v>09901044</v>
      </c>
      <c r="D1244" s="160" t="str">
        <f>'900000'!$AJ$15</f>
        <v>C09903009</v>
      </c>
      <c r="E1244" s="27">
        <f>'900000'!$AJ64</f>
        <v>0</v>
      </c>
      <c r="F1244" s="27" t="s">
        <v>19081</v>
      </c>
    </row>
    <row r="1245" spans="1:6">
      <c r="A1245" s="27" t="str">
        <f>Resultados!$K$3</f>
        <v/>
      </c>
      <c r="B1245" s="27" t="str">
        <f>Resultados!$K$4</f>
        <v/>
      </c>
      <c r="C1245" s="568" t="str">
        <f>'900000'!$B65</f>
        <v>09901045</v>
      </c>
      <c r="D1245" s="160" t="str">
        <f>'900000'!$AJ$15</f>
        <v>C09903009</v>
      </c>
      <c r="E1245" s="27">
        <f>'900000'!$AJ65</f>
        <v>0</v>
      </c>
      <c r="F1245" s="27" t="s">
        <v>19081</v>
      </c>
    </row>
    <row r="1246" spans="1:6">
      <c r="A1246" s="27" t="str">
        <f>Resultados!$K$3</f>
        <v/>
      </c>
      <c r="B1246" s="27" t="str">
        <f>Resultados!$K$4</f>
        <v/>
      </c>
      <c r="C1246" s="568" t="str">
        <f>'900000'!$B66</f>
        <v>09901046</v>
      </c>
      <c r="D1246" s="160" t="str">
        <f>'900000'!$AJ$15</f>
        <v>C09903009</v>
      </c>
      <c r="E1246" s="27">
        <f>'900000'!$AJ66</f>
        <v>0</v>
      </c>
      <c r="F1246" s="27" t="s">
        <v>19081</v>
      </c>
    </row>
    <row r="1247" spans="1:6">
      <c r="A1247" s="27" t="str">
        <f>Resultados!$K$3</f>
        <v/>
      </c>
      <c r="B1247" s="27" t="str">
        <f>Resultados!$K$4</f>
        <v/>
      </c>
      <c r="C1247" s="568" t="str">
        <f>'900000'!$B67</f>
        <v>09901047</v>
      </c>
      <c r="D1247" s="160" t="str">
        <f>'900000'!$AJ$15</f>
        <v>C09903009</v>
      </c>
      <c r="E1247" s="27">
        <f>'900000'!$AJ67</f>
        <v>0</v>
      </c>
      <c r="F1247" s="27" t="s">
        <v>19081</v>
      </c>
    </row>
    <row r="1248" spans="1:6">
      <c r="A1248" s="27" t="str">
        <f>Resultados!$K$3</f>
        <v/>
      </c>
      <c r="B1248" s="27" t="str">
        <f>Resultados!$K$4</f>
        <v/>
      </c>
      <c r="C1248" s="568" t="str">
        <f>'900000'!$B68</f>
        <v>09901048</v>
      </c>
      <c r="D1248" s="160" t="str">
        <f>'900000'!$AJ$15</f>
        <v>C09903009</v>
      </c>
      <c r="E1248" s="27">
        <f>'900000'!$AJ68</f>
        <v>0</v>
      </c>
      <c r="F1248" s="27" t="s">
        <v>19081</v>
      </c>
    </row>
    <row r="1249" spans="1:6">
      <c r="A1249" s="27" t="str">
        <f>Resultados!$K$3</f>
        <v/>
      </c>
      <c r="B1249" s="27" t="str">
        <f>Resultados!$K$4</f>
        <v/>
      </c>
      <c r="C1249" s="568" t="str">
        <f>'900000'!$B69</f>
        <v>09901049</v>
      </c>
      <c r="D1249" s="160" t="str">
        <f>'900000'!$AJ$15</f>
        <v>C09903009</v>
      </c>
      <c r="E1249" s="27">
        <f>'900000'!$AJ69</f>
        <v>0</v>
      </c>
      <c r="F1249" s="27" t="s">
        <v>19081</v>
      </c>
    </row>
    <row r="1250" spans="1:6">
      <c r="A1250" s="27" t="str">
        <f>Resultados!$K$3</f>
        <v/>
      </c>
      <c r="B1250" s="27" t="str">
        <f>Resultados!$K$4</f>
        <v/>
      </c>
      <c r="C1250" s="568" t="str">
        <f>'900000'!$B70</f>
        <v>09901050</v>
      </c>
      <c r="D1250" s="160" t="str">
        <f>'900000'!$AJ$15</f>
        <v>C09903009</v>
      </c>
      <c r="E1250" s="27">
        <f>'900000'!$AJ70</f>
        <v>0</v>
      </c>
      <c r="F1250" s="27" t="s">
        <v>19081</v>
      </c>
    </row>
    <row r="1251" spans="1:6">
      <c r="A1251" s="27" t="str">
        <f>Resultados!$K$3</f>
        <v/>
      </c>
      <c r="B1251" s="27" t="str">
        <f>Resultados!$K$4</f>
        <v/>
      </c>
      <c r="C1251" s="568" t="str">
        <f>'900000'!$B71</f>
        <v>09901051</v>
      </c>
      <c r="D1251" s="160" t="str">
        <f>'900000'!$AJ$15</f>
        <v>C09903009</v>
      </c>
      <c r="E1251" s="27">
        <f>'900000'!$AJ71</f>
        <v>0</v>
      </c>
      <c r="F1251" s="27" t="s">
        <v>19081</v>
      </c>
    </row>
    <row r="1252" spans="1:6">
      <c r="A1252" s="27" t="str">
        <f>Resultados!$K$3</f>
        <v/>
      </c>
      <c r="B1252" s="27" t="str">
        <f>Resultados!$K$4</f>
        <v/>
      </c>
      <c r="C1252" s="568" t="str">
        <f>'900000'!$B72</f>
        <v>09901052</v>
      </c>
      <c r="D1252" s="160" t="str">
        <f>'900000'!$AJ$15</f>
        <v>C09903009</v>
      </c>
      <c r="E1252" s="27">
        <f>'900000'!$AJ72</f>
        <v>0</v>
      </c>
      <c r="F1252" s="27" t="s">
        <v>19081</v>
      </c>
    </row>
    <row r="1253" spans="1:6">
      <c r="A1253" s="27" t="str">
        <f>Resultados!$K$3</f>
        <v/>
      </c>
      <c r="B1253" s="27" t="str">
        <f>Resultados!$K$4</f>
        <v/>
      </c>
      <c r="C1253" s="568" t="str">
        <f>'900000'!$B73</f>
        <v>09901053</v>
      </c>
      <c r="D1253" s="160" t="str">
        <f>'900000'!$AJ$15</f>
        <v>C09903009</v>
      </c>
      <c r="E1253" s="27">
        <f>'900000'!$AJ73</f>
        <v>0</v>
      </c>
      <c r="F1253" s="27" t="s">
        <v>19081</v>
      </c>
    </row>
    <row r="1254" spans="1:6">
      <c r="A1254" s="27" t="str">
        <f>Resultados!$K$3</f>
        <v/>
      </c>
      <c r="B1254" s="27" t="str">
        <f>Resultados!$K$4</f>
        <v/>
      </c>
      <c r="C1254" s="568" t="str">
        <f>'900000'!$B74</f>
        <v>09901054</v>
      </c>
      <c r="D1254" s="160" t="str">
        <f>'900000'!$AJ$15</f>
        <v>C09903009</v>
      </c>
      <c r="E1254" s="27">
        <f>'900000'!$AJ74</f>
        <v>0</v>
      </c>
      <c r="F1254" s="27" t="s">
        <v>19081</v>
      </c>
    </row>
    <row r="1255" spans="1:6">
      <c r="A1255" s="27" t="str">
        <f>Resultados!$K$3</f>
        <v/>
      </c>
      <c r="B1255" s="27" t="str">
        <f>Resultados!$K$4</f>
        <v/>
      </c>
      <c r="C1255" s="568" t="str">
        <f>'900000'!$B75</f>
        <v>09901055</v>
      </c>
      <c r="D1255" s="160" t="str">
        <f>'900000'!$AJ$15</f>
        <v>C09903009</v>
      </c>
      <c r="E1255" s="27">
        <f>'900000'!$AJ75</f>
        <v>0</v>
      </c>
      <c r="F1255" s="27" t="s">
        <v>19081</v>
      </c>
    </row>
    <row r="1256" spans="1:6">
      <c r="A1256" s="27" t="str">
        <f>Resultados!$K$3</f>
        <v/>
      </c>
      <c r="B1256" s="27" t="str">
        <f>Resultados!$K$4</f>
        <v/>
      </c>
      <c r="C1256" s="568" t="str">
        <f>'900000'!$B76</f>
        <v>09901056</v>
      </c>
      <c r="D1256" s="160" t="str">
        <f>'900000'!$AJ$15</f>
        <v>C09903009</v>
      </c>
      <c r="E1256" s="27">
        <f>'900000'!$AJ76</f>
        <v>0</v>
      </c>
      <c r="F1256" s="27" t="s">
        <v>19081</v>
      </c>
    </row>
    <row r="1257" spans="1:6">
      <c r="A1257" s="27" t="str">
        <f>Resultados!$K$3</f>
        <v/>
      </c>
      <c r="B1257" s="27" t="str">
        <f>Resultados!$K$4</f>
        <v/>
      </c>
      <c r="C1257" s="568" t="str">
        <f>'900000'!$B77</f>
        <v>09901057</v>
      </c>
      <c r="D1257" s="160" t="str">
        <f>'900000'!$AJ$15</f>
        <v>C09903009</v>
      </c>
      <c r="E1257" s="27">
        <f>'900000'!$AJ77</f>
        <v>0</v>
      </c>
      <c r="F1257" s="27" t="s">
        <v>19081</v>
      </c>
    </row>
    <row r="1258" spans="1:6">
      <c r="A1258" s="27" t="str">
        <f>Resultados!$K$3</f>
        <v/>
      </c>
      <c r="B1258" s="27" t="str">
        <f>Resultados!$K$4</f>
        <v/>
      </c>
      <c r="C1258" s="568" t="str">
        <f>'900000'!$B78</f>
        <v>09901058</v>
      </c>
      <c r="D1258" s="160" t="str">
        <f>'900000'!$AJ$15</f>
        <v>C09903009</v>
      </c>
      <c r="E1258" s="27">
        <f>'900000'!$AJ78</f>
        <v>0</v>
      </c>
      <c r="F1258" s="27" t="s">
        <v>19081</v>
      </c>
    </row>
    <row r="1259" spans="1:6">
      <c r="A1259" s="27" t="str">
        <f>Resultados!$K$3</f>
        <v/>
      </c>
      <c r="B1259" s="27" t="str">
        <f>Resultados!$K$4</f>
        <v/>
      </c>
      <c r="C1259" s="568" t="str">
        <f>'900000'!$B79</f>
        <v>09901059</v>
      </c>
      <c r="D1259" s="160" t="str">
        <f>'900000'!$AJ$15</f>
        <v>C09903009</v>
      </c>
      <c r="E1259" s="27">
        <f>'900000'!$AJ79</f>
        <v>0</v>
      </c>
      <c r="F1259" s="27" t="s">
        <v>19081</v>
      </c>
    </row>
    <row r="1260" spans="1:6">
      <c r="A1260" s="27" t="str">
        <f>Resultados!$K$3</f>
        <v/>
      </c>
      <c r="B1260" s="27" t="str">
        <f>Resultados!$K$4</f>
        <v/>
      </c>
      <c r="C1260" s="568" t="str">
        <f>'900000'!$B80</f>
        <v>09901060</v>
      </c>
      <c r="D1260" s="160" t="str">
        <f>'900000'!$AJ$15</f>
        <v>C09903009</v>
      </c>
      <c r="E1260" s="27">
        <f>'900000'!$AJ80</f>
        <v>0</v>
      </c>
      <c r="F1260" s="27" t="s">
        <v>19081</v>
      </c>
    </row>
    <row r="1261" spans="1:6">
      <c r="A1261" s="27" t="str">
        <f>Resultados!$K$3</f>
        <v/>
      </c>
      <c r="B1261" s="27" t="str">
        <f>Resultados!$K$4</f>
        <v/>
      </c>
      <c r="C1261" s="568" t="str">
        <f>'900000'!$B81</f>
        <v>09901061</v>
      </c>
      <c r="D1261" s="160" t="str">
        <f>'900000'!$AJ$15</f>
        <v>C09903009</v>
      </c>
      <c r="E1261" s="27">
        <f>'900000'!$AJ81</f>
        <v>0</v>
      </c>
      <c r="F1261" s="27" t="s">
        <v>19081</v>
      </c>
    </row>
    <row r="1262" spans="1:6">
      <c r="A1262" s="27" t="str">
        <f>Resultados!$K$3</f>
        <v/>
      </c>
      <c r="B1262" s="27" t="str">
        <f>Resultados!$K$4</f>
        <v/>
      </c>
      <c r="C1262" s="568" t="str">
        <f>'900000'!$B82</f>
        <v>09901062</v>
      </c>
      <c r="D1262" s="160" t="str">
        <f>'900000'!$AJ$15</f>
        <v>C09903009</v>
      </c>
      <c r="E1262" s="27">
        <f>'900000'!$AJ82</f>
        <v>0</v>
      </c>
      <c r="F1262" s="27" t="s">
        <v>19081</v>
      </c>
    </row>
    <row r="1263" spans="1:6">
      <c r="A1263" s="27" t="str">
        <f>Resultados!$K$3</f>
        <v/>
      </c>
      <c r="B1263" s="27" t="str">
        <f>Resultados!$K$4</f>
        <v/>
      </c>
      <c r="C1263" s="568" t="str">
        <f>'900000'!$B83</f>
        <v>09901063</v>
      </c>
      <c r="D1263" s="160" t="str">
        <f>'900000'!$AJ$15</f>
        <v>C09903009</v>
      </c>
      <c r="E1263" s="27">
        <f>'900000'!$AJ83</f>
        <v>0</v>
      </c>
      <c r="F1263" s="27" t="s">
        <v>19081</v>
      </c>
    </row>
    <row r="1264" spans="1:6">
      <c r="A1264" s="27" t="str">
        <f>Resultados!$K$3</f>
        <v/>
      </c>
      <c r="B1264" s="27" t="str">
        <f>Resultados!$K$4</f>
        <v/>
      </c>
      <c r="C1264" s="568" t="str">
        <f>'900000'!$B84</f>
        <v>09901064</v>
      </c>
      <c r="D1264" s="160" t="str">
        <f>'900000'!$AJ$15</f>
        <v>C09903009</v>
      </c>
      <c r="E1264" s="27">
        <f>'900000'!$AJ84</f>
        <v>0</v>
      </c>
      <c r="F1264" s="27" t="s">
        <v>19081</v>
      </c>
    </row>
    <row r="1265" spans="1:6">
      <c r="A1265" s="27" t="str">
        <f>Resultados!$K$3</f>
        <v/>
      </c>
      <c r="B1265" s="27" t="str">
        <f>Resultados!$K$4</f>
        <v/>
      </c>
      <c r="C1265" s="568" t="str">
        <f>'900000'!$B85</f>
        <v>09901065</v>
      </c>
      <c r="D1265" s="160" t="str">
        <f>'900000'!$AJ$15</f>
        <v>C09903009</v>
      </c>
      <c r="E1265" s="27">
        <f>'900000'!$AJ85</f>
        <v>0</v>
      </c>
      <c r="F1265" s="27" t="s">
        <v>19081</v>
      </c>
    </row>
    <row r="1266" spans="1:6">
      <c r="A1266" s="27" t="str">
        <f>Resultados!$K$3</f>
        <v/>
      </c>
      <c r="B1266" s="27" t="str">
        <f>Resultados!$K$4</f>
        <v/>
      </c>
      <c r="C1266" s="568" t="str">
        <f>'900000'!$B86</f>
        <v>09901066</v>
      </c>
      <c r="D1266" s="160" t="str">
        <f>'900000'!$AJ$15</f>
        <v>C09903009</v>
      </c>
      <c r="E1266" s="27">
        <f>'900000'!$AJ86</f>
        <v>0</v>
      </c>
      <c r="F1266" s="27" t="s">
        <v>19081</v>
      </c>
    </row>
    <row r="1267" spans="1:6">
      <c r="A1267" s="27" t="str">
        <f>Resultados!$K$3</f>
        <v/>
      </c>
      <c r="B1267" s="27" t="str">
        <f>Resultados!$K$4</f>
        <v/>
      </c>
      <c r="C1267" s="568" t="str">
        <f>'900000'!$B87</f>
        <v>09901067</v>
      </c>
      <c r="D1267" s="160" t="str">
        <f>'900000'!$AJ$15</f>
        <v>C09903009</v>
      </c>
      <c r="E1267" s="27">
        <f>'900000'!$AJ87</f>
        <v>0</v>
      </c>
      <c r="F1267" s="27" t="s">
        <v>19081</v>
      </c>
    </row>
    <row r="1268" spans="1:6">
      <c r="A1268" s="27" t="str">
        <f>Resultados!$K$3</f>
        <v/>
      </c>
      <c r="B1268" s="27" t="str">
        <f>Resultados!$K$4</f>
        <v/>
      </c>
      <c r="C1268" s="568" t="str">
        <f>'900000'!$B88</f>
        <v>09901068</v>
      </c>
      <c r="D1268" s="160" t="str">
        <f>'900000'!$AJ$15</f>
        <v>C09903009</v>
      </c>
      <c r="E1268" s="27">
        <f>'900000'!$AJ88</f>
        <v>0</v>
      </c>
      <c r="F1268" s="27" t="s">
        <v>19081</v>
      </c>
    </row>
    <row r="1269" spans="1:6">
      <c r="A1269" s="27" t="str">
        <f>Resultados!$K$3</f>
        <v/>
      </c>
      <c r="B1269" s="27" t="str">
        <f>Resultados!$K$4</f>
        <v/>
      </c>
      <c r="C1269" s="568" t="str">
        <f>'900000'!$B89</f>
        <v>09901069</v>
      </c>
      <c r="D1269" s="160" t="str">
        <f>'900000'!$AJ$15</f>
        <v>C09903009</v>
      </c>
      <c r="E1269" s="27">
        <f>'900000'!$AJ89</f>
        <v>0</v>
      </c>
      <c r="F1269" s="27" t="s">
        <v>19081</v>
      </c>
    </row>
    <row r="1270" spans="1:6">
      <c r="A1270" s="27" t="str">
        <f>Resultados!$K$3</f>
        <v/>
      </c>
      <c r="B1270" s="27" t="str">
        <f>Resultados!$K$4</f>
        <v/>
      </c>
      <c r="C1270" s="568" t="str">
        <f>'900000'!$B90</f>
        <v>09901070</v>
      </c>
      <c r="D1270" s="160" t="str">
        <f>'900000'!$AJ$15</f>
        <v>C09903009</v>
      </c>
      <c r="E1270" s="27">
        <f>'900000'!$AJ90</f>
        <v>0</v>
      </c>
      <c r="F1270" s="27" t="s">
        <v>19081</v>
      </c>
    </row>
    <row r="1271" spans="1:6">
      <c r="A1271" s="27" t="str">
        <f>Resultados!$K$3</f>
        <v/>
      </c>
      <c r="B1271" s="27" t="str">
        <f>Resultados!$K$4</f>
        <v/>
      </c>
      <c r="C1271" s="568" t="str">
        <f>'900000'!$B91</f>
        <v>09901071</v>
      </c>
      <c r="D1271" s="160" t="str">
        <f>'900000'!$AJ$15</f>
        <v>C09903009</v>
      </c>
      <c r="E1271" s="27">
        <f>'900000'!$AJ91</f>
        <v>0</v>
      </c>
      <c r="F1271" s="27" t="s">
        <v>19081</v>
      </c>
    </row>
    <row r="1272" spans="1:6">
      <c r="A1272" s="27" t="str">
        <f>Resultados!$K$3</f>
        <v/>
      </c>
      <c r="B1272" s="27" t="str">
        <f>Resultados!$K$4</f>
        <v/>
      </c>
      <c r="C1272" s="568" t="str">
        <f>'900000'!$B92</f>
        <v>09901072</v>
      </c>
      <c r="D1272" s="160" t="str">
        <f>'900000'!$AJ$15</f>
        <v>C09903009</v>
      </c>
      <c r="E1272" s="27">
        <f>'900000'!$AJ92</f>
        <v>0</v>
      </c>
      <c r="F1272" s="27" t="s">
        <v>19081</v>
      </c>
    </row>
    <row r="1273" spans="1:6">
      <c r="A1273" s="27" t="str">
        <f>Resultados!$K$3</f>
        <v/>
      </c>
      <c r="B1273" s="27" t="str">
        <f>Resultados!$K$4</f>
        <v/>
      </c>
      <c r="C1273" s="568" t="str">
        <f>'900000'!$B93</f>
        <v>09901073</v>
      </c>
      <c r="D1273" s="160" t="str">
        <f>'900000'!$AJ$15</f>
        <v>C09903009</v>
      </c>
      <c r="E1273" s="27">
        <f>'900000'!$AJ93</f>
        <v>0</v>
      </c>
      <c r="F1273" s="27" t="s">
        <v>19081</v>
      </c>
    </row>
    <row r="1274" spans="1:6">
      <c r="A1274" s="27" t="str">
        <f>Resultados!$K$3</f>
        <v/>
      </c>
      <c r="B1274" s="27" t="str">
        <f>Resultados!$K$4</f>
        <v/>
      </c>
      <c r="C1274" s="568" t="str">
        <f>'900000'!$B94</f>
        <v>09901074</v>
      </c>
      <c r="D1274" s="160" t="str">
        <f>'900000'!$AJ$15</f>
        <v>C09903009</v>
      </c>
      <c r="E1274" s="27">
        <f>'900000'!$AJ94</f>
        <v>0</v>
      </c>
      <c r="F1274" s="27" t="s">
        <v>19081</v>
      </c>
    </row>
    <row r="1275" spans="1:6">
      <c r="A1275" s="27" t="str">
        <f>Resultados!$K$3</f>
        <v/>
      </c>
      <c r="B1275" s="27" t="str">
        <f>Resultados!$K$4</f>
        <v/>
      </c>
      <c r="C1275" s="568" t="str">
        <f>'900000'!$B95</f>
        <v>09901075</v>
      </c>
      <c r="D1275" s="160" t="str">
        <f>'900000'!$AJ$15</f>
        <v>C09903009</v>
      </c>
      <c r="E1275" s="27">
        <f>'900000'!$AJ95</f>
        <v>0</v>
      </c>
      <c r="F1275" s="27" t="s">
        <v>19081</v>
      </c>
    </row>
    <row r="1276" spans="1:6">
      <c r="A1276" s="27" t="str">
        <f>Resultados!$K$3</f>
        <v/>
      </c>
      <c r="B1276" s="27" t="str">
        <f>Resultados!$K$4</f>
        <v/>
      </c>
      <c r="C1276" s="568" t="str">
        <f>'900000'!$B96</f>
        <v>09901076</v>
      </c>
      <c r="D1276" s="160" t="str">
        <f>'900000'!$AJ$15</f>
        <v>C09903009</v>
      </c>
      <c r="E1276" s="27">
        <f>'900000'!$AJ96</f>
        <v>0</v>
      </c>
      <c r="F1276" s="27" t="s">
        <v>19081</v>
      </c>
    </row>
    <row r="1277" spans="1:6">
      <c r="A1277" s="27" t="str">
        <f>Resultados!$K$3</f>
        <v/>
      </c>
      <c r="B1277" s="27" t="str">
        <f>Resultados!$K$4</f>
        <v/>
      </c>
      <c r="C1277" s="568" t="str">
        <f>'900000'!$B97</f>
        <v>09901077</v>
      </c>
      <c r="D1277" s="160" t="str">
        <f>'900000'!$AJ$15</f>
        <v>C09903009</v>
      </c>
      <c r="E1277" s="27">
        <f>'900000'!$AJ97</f>
        <v>0</v>
      </c>
      <c r="F1277" s="27" t="s">
        <v>19081</v>
      </c>
    </row>
    <row r="1278" spans="1:6">
      <c r="A1278" s="27" t="str">
        <f>Resultados!$K$3</f>
        <v/>
      </c>
      <c r="B1278" s="27" t="str">
        <f>Resultados!$K$4</f>
        <v/>
      </c>
      <c r="C1278" s="568" t="str">
        <f>'900000'!$B98</f>
        <v>09901078</v>
      </c>
      <c r="D1278" s="160" t="str">
        <f>'900000'!$AJ$15</f>
        <v>C09903009</v>
      </c>
      <c r="E1278" s="27">
        <f>'900000'!$AJ98</f>
        <v>0</v>
      </c>
      <c r="F1278" s="27" t="s">
        <v>19081</v>
      </c>
    </row>
    <row r="1279" spans="1:6">
      <c r="A1279" s="27" t="str">
        <f>Resultados!$K$3</f>
        <v/>
      </c>
      <c r="B1279" s="27" t="str">
        <f>Resultados!$K$4</f>
        <v/>
      </c>
      <c r="C1279" s="568" t="str">
        <f>'900000'!$B99</f>
        <v>09901079</v>
      </c>
      <c r="D1279" s="160" t="str">
        <f>'900000'!$AJ$15</f>
        <v>C09903009</v>
      </c>
      <c r="E1279" s="27">
        <f>'900000'!$AJ99</f>
        <v>0</v>
      </c>
      <c r="F1279" s="27" t="s">
        <v>19081</v>
      </c>
    </row>
    <row r="1280" spans="1:6">
      <c r="A1280" s="27" t="str">
        <f>Resultados!$K$3</f>
        <v/>
      </c>
      <c r="B1280" s="27" t="str">
        <f>Resultados!$K$4</f>
        <v/>
      </c>
      <c r="C1280" s="568" t="str">
        <f>'900000'!$B100</f>
        <v>09901080</v>
      </c>
      <c r="D1280" s="160" t="str">
        <f>'900000'!$AJ$15</f>
        <v>C09903009</v>
      </c>
      <c r="E1280" s="27">
        <f>'900000'!$AJ100</f>
        <v>0</v>
      </c>
      <c r="F1280" s="27" t="s">
        <v>19081</v>
      </c>
    </row>
    <row r="1281" spans="1:6">
      <c r="A1281" s="27" t="str">
        <f>Resultados!$K$3</f>
        <v/>
      </c>
      <c r="B1281" s="27" t="str">
        <f>Resultados!$K$4</f>
        <v/>
      </c>
      <c r="C1281" s="568" t="str">
        <f>'900000'!$B101</f>
        <v>09901081</v>
      </c>
      <c r="D1281" s="160" t="str">
        <f>'900000'!$AJ$15</f>
        <v>C09903009</v>
      </c>
      <c r="E1281" s="27">
        <f>'900000'!$AJ101</f>
        <v>0</v>
      </c>
      <c r="F1281" s="27" t="s">
        <v>19081</v>
      </c>
    </row>
    <row r="1282" spans="1:6">
      <c r="A1282" s="27" t="str">
        <f>Resultados!$K$3</f>
        <v/>
      </c>
      <c r="B1282" s="27" t="str">
        <f>Resultados!$K$4</f>
        <v/>
      </c>
      <c r="C1282" s="568" t="str">
        <f>'900000'!$B102</f>
        <v>09901082</v>
      </c>
      <c r="D1282" s="160" t="str">
        <f>'900000'!$AJ$15</f>
        <v>C09903009</v>
      </c>
      <c r="E1282" s="27">
        <f>'900000'!$AJ102</f>
        <v>0</v>
      </c>
      <c r="F1282" s="27" t="s">
        <v>19081</v>
      </c>
    </row>
    <row r="1283" spans="1:6">
      <c r="A1283" s="27" t="str">
        <f>Resultados!$K$3</f>
        <v/>
      </c>
      <c r="B1283" s="27" t="str">
        <f>Resultados!$K$4</f>
        <v/>
      </c>
      <c r="C1283" s="568" t="str">
        <f>'900000'!$B103</f>
        <v>09901083</v>
      </c>
      <c r="D1283" s="160" t="str">
        <f>'900000'!$AJ$15</f>
        <v>C09903009</v>
      </c>
      <c r="E1283" s="27">
        <f>'900000'!$AJ103</f>
        <v>0</v>
      </c>
      <c r="F1283" s="27" t="s">
        <v>19081</v>
      </c>
    </row>
    <row r="1284" spans="1:6">
      <c r="A1284" s="27" t="str">
        <f>Resultados!$K$3</f>
        <v/>
      </c>
      <c r="B1284" s="27" t="str">
        <f>Resultados!$K$4</f>
        <v/>
      </c>
      <c r="C1284" s="568" t="str">
        <f>'900000'!$B104</f>
        <v>09901084</v>
      </c>
      <c r="D1284" s="160" t="str">
        <f>'900000'!$AJ$15</f>
        <v>C09903009</v>
      </c>
      <c r="E1284" s="27">
        <f>'900000'!$AJ104</f>
        <v>0</v>
      </c>
      <c r="F1284" s="27" t="s">
        <v>19081</v>
      </c>
    </row>
    <row r="1285" spans="1:6">
      <c r="A1285" s="27" t="str">
        <f>Resultados!$K$3</f>
        <v/>
      </c>
      <c r="B1285" s="27" t="str">
        <f>Resultados!$K$4</f>
        <v/>
      </c>
      <c r="C1285" s="568" t="str">
        <f>'900000'!$B105</f>
        <v>09901085</v>
      </c>
      <c r="D1285" s="160" t="str">
        <f>'900000'!$AJ$15</f>
        <v>C09903009</v>
      </c>
      <c r="E1285" s="27">
        <f>'900000'!$AJ105</f>
        <v>0</v>
      </c>
      <c r="F1285" s="27" t="s">
        <v>19081</v>
      </c>
    </row>
    <row r="1286" spans="1:6">
      <c r="A1286" s="27" t="str">
        <f>Resultados!$K$3</f>
        <v/>
      </c>
      <c r="B1286" s="27" t="str">
        <f>Resultados!$K$4</f>
        <v/>
      </c>
      <c r="C1286" s="568" t="str">
        <f>'900000'!$B106</f>
        <v>09901086</v>
      </c>
      <c r="D1286" s="160" t="str">
        <f>'900000'!$AJ$15</f>
        <v>C09903009</v>
      </c>
      <c r="E1286" s="27">
        <f>'900000'!$AJ106</f>
        <v>0</v>
      </c>
      <c r="F1286" s="27" t="s">
        <v>19081</v>
      </c>
    </row>
    <row r="1287" spans="1:6">
      <c r="A1287" s="27" t="str">
        <f>Resultados!$K$3</f>
        <v/>
      </c>
      <c r="B1287" s="27" t="str">
        <f>Resultados!$K$4</f>
        <v/>
      </c>
      <c r="C1287" s="568" t="str">
        <f>'900000'!$B107</f>
        <v>09901087</v>
      </c>
      <c r="D1287" s="160" t="str">
        <f>'900000'!$AJ$15</f>
        <v>C09903009</v>
      </c>
      <c r="E1287" s="27">
        <f>'900000'!$AJ107</f>
        <v>0</v>
      </c>
      <c r="F1287" s="27" t="s">
        <v>19081</v>
      </c>
    </row>
    <row r="1288" spans="1:6">
      <c r="A1288" s="27" t="str">
        <f>Resultados!$K$3</f>
        <v/>
      </c>
      <c r="B1288" s="27" t="str">
        <f>Resultados!$K$4</f>
        <v/>
      </c>
      <c r="C1288" s="568" t="str">
        <f>'900000'!$B108</f>
        <v>09901088</v>
      </c>
      <c r="D1288" s="160" t="str">
        <f>'900000'!$AJ$15</f>
        <v>C09903009</v>
      </c>
      <c r="E1288" s="27">
        <f>'900000'!$AJ108</f>
        <v>0</v>
      </c>
      <c r="F1288" s="27" t="s">
        <v>19081</v>
      </c>
    </row>
    <row r="1289" spans="1:6">
      <c r="A1289" s="27" t="str">
        <f>Resultados!$K$3</f>
        <v/>
      </c>
      <c r="B1289" s="27" t="str">
        <f>Resultados!$K$4</f>
        <v/>
      </c>
      <c r="C1289" s="568" t="str">
        <f>'900000'!$B109</f>
        <v>09901089</v>
      </c>
      <c r="D1289" s="160" t="str">
        <f>'900000'!$AJ$15</f>
        <v>C09903009</v>
      </c>
      <c r="E1289" s="27">
        <f>'900000'!$AJ109</f>
        <v>0</v>
      </c>
      <c r="F1289" s="27" t="s">
        <v>19081</v>
      </c>
    </row>
    <row r="1290" spans="1:6">
      <c r="A1290" s="27" t="str">
        <f>Resultados!$K$3</f>
        <v/>
      </c>
      <c r="B1290" s="27" t="str">
        <f>Resultados!$K$4</f>
        <v/>
      </c>
      <c r="C1290" s="568" t="str">
        <f>'900000'!$B110</f>
        <v>09901090</v>
      </c>
      <c r="D1290" s="160" t="str">
        <f>'900000'!$AJ$15</f>
        <v>C09903009</v>
      </c>
      <c r="E1290" s="27">
        <f>'900000'!$AJ110</f>
        <v>0</v>
      </c>
      <c r="F1290" s="27" t="s">
        <v>19081</v>
      </c>
    </row>
    <row r="1291" spans="1:6">
      <c r="A1291" s="27" t="str">
        <f>Resultados!$K$3</f>
        <v/>
      </c>
      <c r="B1291" s="27" t="str">
        <f>Resultados!$K$4</f>
        <v/>
      </c>
      <c r="C1291" s="568" t="str">
        <f>'900000'!$B111</f>
        <v>09901091</v>
      </c>
      <c r="D1291" s="160" t="str">
        <f>'900000'!$AJ$15</f>
        <v>C09903009</v>
      </c>
      <c r="E1291" s="27">
        <f>'900000'!$AJ111</f>
        <v>0</v>
      </c>
      <c r="F1291" s="27" t="s">
        <v>19081</v>
      </c>
    </row>
    <row r="1292" spans="1:6">
      <c r="A1292" s="27" t="str">
        <f>Resultados!$K$3</f>
        <v/>
      </c>
      <c r="B1292" s="27" t="str">
        <f>Resultados!$K$4</f>
        <v/>
      </c>
      <c r="C1292" s="568" t="str">
        <f>'900000'!$B112</f>
        <v>09901092</v>
      </c>
      <c r="D1292" s="160" t="str">
        <f>'900000'!$AJ$15</f>
        <v>C09903009</v>
      </c>
      <c r="E1292" s="27">
        <f>'900000'!$AJ112</f>
        <v>0</v>
      </c>
      <c r="F1292" s="27" t="s">
        <v>19081</v>
      </c>
    </row>
    <row r="1293" spans="1:6">
      <c r="A1293" s="27" t="str">
        <f>Resultados!$K$3</f>
        <v/>
      </c>
      <c r="B1293" s="27" t="str">
        <f>Resultados!$K$4</f>
        <v/>
      </c>
      <c r="C1293" s="568" t="str">
        <f>'900000'!$B113</f>
        <v>09901093</v>
      </c>
      <c r="D1293" s="160" t="str">
        <f>'900000'!$AJ$15</f>
        <v>C09903009</v>
      </c>
      <c r="E1293" s="27">
        <f>'900000'!$AJ113</f>
        <v>0</v>
      </c>
      <c r="F1293" s="27" t="s">
        <v>19081</v>
      </c>
    </row>
    <row r="1294" spans="1:6">
      <c r="A1294" s="27" t="str">
        <f>Resultados!$K$3</f>
        <v/>
      </c>
      <c r="B1294" s="27" t="str">
        <f>Resultados!$K$4</f>
        <v/>
      </c>
      <c r="C1294" s="568" t="str">
        <f>'900000'!$B114</f>
        <v>09901094</v>
      </c>
      <c r="D1294" s="160" t="str">
        <f>'900000'!$AJ$15</f>
        <v>C09903009</v>
      </c>
      <c r="E1294" s="27">
        <f>'900000'!$AJ114</f>
        <v>0</v>
      </c>
      <c r="F1294" s="27" t="s">
        <v>19081</v>
      </c>
    </row>
    <row r="1295" spans="1:6">
      <c r="A1295" s="27" t="str">
        <f>Resultados!$K$3</f>
        <v/>
      </c>
      <c r="B1295" s="27" t="str">
        <f>Resultados!$K$4</f>
        <v/>
      </c>
      <c r="C1295" s="568" t="str">
        <f>'900000'!$B115</f>
        <v>09901095</v>
      </c>
      <c r="D1295" s="160" t="str">
        <f>'900000'!$AJ$15</f>
        <v>C09903009</v>
      </c>
      <c r="E1295" s="27">
        <f>'900000'!$AJ115</f>
        <v>0</v>
      </c>
      <c r="F1295" s="27" t="s">
        <v>19081</v>
      </c>
    </row>
    <row r="1296" spans="1:6">
      <c r="A1296" s="27" t="str">
        <f>Resultados!$K$3</f>
        <v/>
      </c>
      <c r="B1296" s="27" t="str">
        <f>Resultados!$K$4</f>
        <v/>
      </c>
      <c r="C1296" s="568" t="str">
        <f>'900000'!$B116</f>
        <v>09901096</v>
      </c>
      <c r="D1296" s="160" t="str">
        <f>'900000'!$AJ$15</f>
        <v>C09903009</v>
      </c>
      <c r="E1296" s="27">
        <f>'900000'!$AJ116</f>
        <v>0</v>
      </c>
      <c r="F1296" s="27" t="s">
        <v>19081</v>
      </c>
    </row>
    <row r="1297" spans="1:6">
      <c r="A1297" s="27" t="str">
        <f>Resultados!$K$3</f>
        <v/>
      </c>
      <c r="B1297" s="27" t="str">
        <f>Resultados!$K$4</f>
        <v/>
      </c>
      <c r="C1297" s="568" t="str">
        <f>'900000'!$B117</f>
        <v>09901097</v>
      </c>
      <c r="D1297" s="160" t="str">
        <f>'900000'!$AJ$15</f>
        <v>C09903009</v>
      </c>
      <c r="E1297" s="27">
        <f>'900000'!$AJ117</f>
        <v>0</v>
      </c>
      <c r="F1297" s="27" t="s">
        <v>19081</v>
      </c>
    </row>
    <row r="1298" spans="1:6">
      <c r="A1298" s="27" t="str">
        <f>Resultados!$K$3</f>
        <v/>
      </c>
      <c r="B1298" s="27" t="str">
        <f>Resultados!$K$4</f>
        <v/>
      </c>
      <c r="C1298" s="568" t="str">
        <f>'900000'!$B118</f>
        <v>09901098</v>
      </c>
      <c r="D1298" s="160" t="str">
        <f>'900000'!$AJ$15</f>
        <v>C09903009</v>
      </c>
      <c r="E1298" s="27">
        <f>'900000'!$AJ118</f>
        <v>0</v>
      </c>
      <c r="F1298" s="27" t="s">
        <v>19081</v>
      </c>
    </row>
    <row r="1299" spans="1:6">
      <c r="A1299" s="27" t="str">
        <f>Resultados!$K$3</f>
        <v/>
      </c>
      <c r="B1299" s="27" t="str">
        <f>Resultados!$K$4</f>
        <v/>
      </c>
      <c r="C1299" s="568" t="str">
        <f>'900000'!$B119</f>
        <v>09901099</v>
      </c>
      <c r="D1299" s="160" t="str">
        <f>'900000'!$AJ$15</f>
        <v>C09903009</v>
      </c>
      <c r="E1299" s="27">
        <f>'900000'!$AJ119</f>
        <v>0</v>
      </c>
      <c r="F1299" s="27" t="s">
        <v>19081</v>
      </c>
    </row>
    <row r="1300" spans="1:6">
      <c r="A1300" s="27" t="str">
        <f>Resultados!$K$3</f>
        <v/>
      </c>
      <c r="B1300" s="27" t="str">
        <f>Resultados!$K$4</f>
        <v/>
      </c>
      <c r="C1300" s="568" t="str">
        <f>'900000'!$B120</f>
        <v>09901100</v>
      </c>
      <c r="D1300" s="160" t="str">
        <f>'900000'!$AJ$15</f>
        <v>C09903009</v>
      </c>
      <c r="E1300" s="27">
        <f>'900000'!$AJ120</f>
        <v>0</v>
      </c>
      <c r="F1300" s="27" t="s">
        <v>19081</v>
      </c>
    </row>
    <row r="1301" spans="1:6">
      <c r="A1301" s="27" t="str">
        <f>Resultados!$K$3</f>
        <v/>
      </c>
      <c r="B1301" s="27" t="str">
        <f>Resultados!$K$4</f>
        <v/>
      </c>
      <c r="C1301" s="568" t="str">
        <f>'900000'!$B121</f>
        <v>09901101</v>
      </c>
      <c r="D1301" s="160" t="str">
        <f>'900000'!$AJ$15</f>
        <v>C09903009</v>
      </c>
      <c r="E1301" s="27">
        <f>'900000'!$AJ121</f>
        <v>0</v>
      </c>
      <c r="F1301" s="27" t="s">
        <v>19081</v>
      </c>
    </row>
    <row r="1302" spans="1:6">
      <c r="A1302" s="27" t="str">
        <f>Resultados!$K$3</f>
        <v/>
      </c>
      <c r="B1302" s="27" t="str">
        <f>Resultados!$K$4</f>
        <v/>
      </c>
      <c r="C1302" s="568" t="str">
        <f>'900000'!$B$127</f>
        <v>09902002</v>
      </c>
      <c r="D1302" s="160" t="str">
        <f>'900000'!$U$19</f>
        <v>C09901019</v>
      </c>
      <c r="E1302" s="568">
        <f>'900000'!$U$127</f>
        <v>0</v>
      </c>
      <c r="F1302" s="27" t="s">
        <v>19081</v>
      </c>
    </row>
    <row r="1303" spans="1:6">
      <c r="A1303" s="27" t="str">
        <f>Resultados!$K$3</f>
        <v/>
      </c>
      <c r="B1303" s="27" t="str">
        <f>Resultados!$K$4</f>
        <v/>
      </c>
      <c r="C1303" s="568" t="str">
        <f>'900000'!$B$127</f>
        <v>09902002</v>
      </c>
      <c r="D1303" s="160" t="str">
        <f>'900000'!$V$19</f>
        <v>C09901020</v>
      </c>
      <c r="E1303" s="568">
        <f>'900000'!$V$127</f>
        <v>0</v>
      </c>
      <c r="F1303" s="27" t="s">
        <v>19081</v>
      </c>
    </row>
    <row r="1304" spans="1:6">
      <c r="A1304" s="27" t="str">
        <f>Resultados!$K$3</f>
        <v/>
      </c>
      <c r="B1304" s="27" t="str">
        <f>Resultados!$K$4</f>
        <v/>
      </c>
      <c r="C1304" s="568" t="str">
        <f>'900000'!$B$127</f>
        <v>09902002</v>
      </c>
      <c r="D1304" s="160" t="str">
        <f>'900000'!$AD$15</f>
        <v>C09903003</v>
      </c>
      <c r="E1304" s="568">
        <f>'900000'!$AD$127</f>
        <v>0</v>
      </c>
      <c r="F1304" s="27" t="s">
        <v>19081</v>
      </c>
    </row>
    <row r="1305" spans="1:6">
      <c r="A1305" s="27" t="str">
        <f>Resultados!$K$3</f>
        <v/>
      </c>
      <c r="B1305" s="27" t="str">
        <f>Resultados!$K$4</f>
        <v/>
      </c>
      <c r="C1305" s="568" t="str">
        <f>'900000'!$B$127</f>
        <v>09902002</v>
      </c>
      <c r="D1305" s="160" t="str">
        <f>'900000'!$AG$15</f>
        <v>C09903006</v>
      </c>
      <c r="E1305" s="568">
        <f>'900000'!$AG$127</f>
        <v>0</v>
      </c>
      <c r="F1305" s="27" t="s">
        <v>19081</v>
      </c>
    </row>
    <row r="1306" spans="1:6">
      <c r="A1306" s="27" t="str">
        <f>Resultados!$K$3</f>
        <v/>
      </c>
      <c r="B1306" s="27" t="str">
        <f>Resultados!$K$4</f>
        <v/>
      </c>
      <c r="C1306" s="568" t="str">
        <f>'900000'!$B$127</f>
        <v>09902002</v>
      </c>
      <c r="D1306" s="160" t="str">
        <f>'900000'!$AH$15</f>
        <v>C09903007</v>
      </c>
      <c r="E1306" s="568">
        <f>'900000'!$AH$127</f>
        <v>0</v>
      </c>
      <c r="F1306" s="27" t="s">
        <v>19081</v>
      </c>
    </row>
    <row r="1307" spans="1:6">
      <c r="A1307" s="27" t="str">
        <f>Resultados!$K$3</f>
        <v/>
      </c>
      <c r="B1307" s="27" t="str">
        <f>Resultados!$K$4</f>
        <v/>
      </c>
      <c r="C1307" s="568" t="str">
        <f>'900000'!$B$127</f>
        <v>09902002</v>
      </c>
      <c r="D1307" s="160" t="str">
        <f>'900000'!$AI$15</f>
        <v>C09903008</v>
      </c>
      <c r="E1307" s="568">
        <f>'900000'!$AI$127</f>
        <v>0</v>
      </c>
      <c r="F1307" s="27" t="s">
        <v>19081</v>
      </c>
    </row>
    <row r="1308" spans="1:6">
      <c r="A1308" s="27" t="str">
        <f>Resultados!$K$3</f>
        <v/>
      </c>
      <c r="B1308" s="27" t="str">
        <f>Resultados!$K$4</f>
        <v/>
      </c>
      <c r="C1308" s="568" t="str">
        <f>'900000'!$B$127</f>
        <v>09902002</v>
      </c>
      <c r="D1308" s="160" t="str">
        <f>'900000'!$AJ$15</f>
        <v>C09903009</v>
      </c>
      <c r="E1308" s="568">
        <f>'900000'!$AJ$127</f>
        <v>0</v>
      </c>
      <c r="F1308" s="27" t="s">
        <v>19081</v>
      </c>
    </row>
    <row r="1309" spans="1:6">
      <c r="A1309" s="27" t="str">
        <f>Resultados!$K$3</f>
        <v/>
      </c>
      <c r="B1309" s="27" t="str">
        <f>Resultados!$K$4</f>
        <v/>
      </c>
      <c r="C1309" s="568" t="str">
        <f>'900000'!$B$129</f>
        <v>09902003</v>
      </c>
      <c r="D1309" s="160" t="str">
        <f>'900000'!$U$19</f>
        <v>C09901019</v>
      </c>
      <c r="E1309" s="568">
        <f>'900000'!$U$129</f>
        <v>0</v>
      </c>
      <c r="F1309" s="27" t="s">
        <v>19081</v>
      </c>
    </row>
    <row r="1310" spans="1:6">
      <c r="A1310" s="27" t="str">
        <f>Resultados!$K$3</f>
        <v/>
      </c>
      <c r="B1310" s="27" t="str">
        <f>Resultados!$K$4</f>
        <v/>
      </c>
      <c r="C1310" s="568" t="str">
        <f>'900000'!$B$129</f>
        <v>09902003</v>
      </c>
      <c r="D1310" s="160" t="str">
        <f>'900000'!$V$19</f>
        <v>C09901020</v>
      </c>
      <c r="E1310" s="568">
        <f>'900000'!$V$129</f>
        <v>0</v>
      </c>
      <c r="F1310" s="27" t="s">
        <v>19081</v>
      </c>
    </row>
    <row r="1311" spans="1:6">
      <c r="A1311" s="27" t="str">
        <f>Resultados!$K$3</f>
        <v/>
      </c>
      <c r="B1311" s="27" t="str">
        <f>Resultados!$K$4</f>
        <v/>
      </c>
      <c r="C1311" s="568" t="str">
        <f>'900000'!$B$129</f>
        <v>09902003</v>
      </c>
      <c r="D1311" s="160" t="str">
        <f>'900000'!$AD$15</f>
        <v>C09903003</v>
      </c>
      <c r="E1311" s="568">
        <f>'900000'!$AD$129</f>
        <v>0</v>
      </c>
      <c r="F1311" s="27" t="s">
        <v>19081</v>
      </c>
    </row>
    <row r="1312" spans="1:6">
      <c r="A1312" s="27" t="str">
        <f>Resultados!$K$3</f>
        <v/>
      </c>
      <c r="B1312" s="27" t="str">
        <f>Resultados!$K$4</f>
        <v/>
      </c>
      <c r="C1312" s="568" t="str">
        <f>'900000'!$B$129</f>
        <v>09902003</v>
      </c>
      <c r="D1312" s="160" t="str">
        <f>'900000'!$AG$15</f>
        <v>C09903006</v>
      </c>
      <c r="E1312" s="568">
        <f>'900000'!$AG$129</f>
        <v>0</v>
      </c>
      <c r="F1312" s="27" t="s">
        <v>19081</v>
      </c>
    </row>
    <row r="1313" spans="1:6">
      <c r="A1313" s="27" t="str">
        <f>Resultados!$K$3</f>
        <v/>
      </c>
      <c r="B1313" s="27" t="str">
        <f>Resultados!$K$4</f>
        <v/>
      </c>
      <c r="C1313" s="568" t="str">
        <f>'900000'!$B$129</f>
        <v>09902003</v>
      </c>
      <c r="D1313" s="160" t="str">
        <f>'900000'!$AH$15</f>
        <v>C09903007</v>
      </c>
      <c r="E1313" s="568">
        <f>'900000'!$AH$129</f>
        <v>0</v>
      </c>
      <c r="F1313" s="27" t="s">
        <v>19081</v>
      </c>
    </row>
    <row r="1314" spans="1:6">
      <c r="A1314" s="27" t="str">
        <f>Resultados!$K$3</f>
        <v/>
      </c>
      <c r="B1314" s="27" t="str">
        <f>Resultados!$K$4</f>
        <v/>
      </c>
      <c r="C1314" s="568" t="str">
        <f>'900000'!$B$129</f>
        <v>09902003</v>
      </c>
      <c r="D1314" s="160" t="str">
        <f>'900000'!$AI$15</f>
        <v>C09903008</v>
      </c>
      <c r="E1314" s="568">
        <f>'900000'!$AI$129</f>
        <v>0</v>
      </c>
      <c r="F1314" s="27" t="s">
        <v>19081</v>
      </c>
    </row>
    <row r="1315" spans="1:6">
      <c r="A1315" s="27" t="str">
        <f>Resultados!$K$3</f>
        <v/>
      </c>
      <c r="B1315" s="27" t="str">
        <f>Resultados!$K$4</f>
        <v/>
      </c>
      <c r="C1315" s="568" t="str">
        <f>'900000'!$B$129</f>
        <v>09902003</v>
      </c>
      <c r="D1315" s="160" t="str">
        <f>'900000'!$AJ$15</f>
        <v>C09903009</v>
      </c>
      <c r="E1315" s="568">
        <f>'900000'!$AJ$129</f>
        <v>0</v>
      </c>
      <c r="F1315" s="27" t="s">
        <v>19081</v>
      </c>
    </row>
    <row r="1316" spans="1:6">
      <c r="A1316" s="27" t="str">
        <f>Resultados!$K$3</f>
        <v/>
      </c>
      <c r="B1316" s="27" t="str">
        <f>Resultados!$K$4</f>
        <v/>
      </c>
      <c r="C1316" s="568" t="str">
        <f>'900000'!$B$130</f>
        <v>09902004</v>
      </c>
      <c r="D1316" s="160" t="str">
        <f>'900000'!$U$19</f>
        <v>C09901019</v>
      </c>
      <c r="E1316" s="568">
        <f>'900000'!$U$130</f>
        <v>0</v>
      </c>
      <c r="F1316" s="27" t="s">
        <v>19081</v>
      </c>
    </row>
    <row r="1317" spans="1:6">
      <c r="A1317" s="27" t="str">
        <f>Resultados!$K$3</f>
        <v/>
      </c>
      <c r="B1317" s="27" t="str">
        <f>Resultados!$K$4</f>
        <v/>
      </c>
      <c r="C1317" s="568" t="str">
        <f>'900000'!$B$130</f>
        <v>09902004</v>
      </c>
      <c r="D1317" s="160" t="str">
        <f>'900000'!$V$19</f>
        <v>C09901020</v>
      </c>
      <c r="E1317" s="568">
        <f>'900000'!$V$130</f>
        <v>0</v>
      </c>
      <c r="F1317" s="27" t="s">
        <v>19081</v>
      </c>
    </row>
    <row r="1318" spans="1:6">
      <c r="A1318" s="27" t="str">
        <f>Resultados!$K$3</f>
        <v/>
      </c>
      <c r="B1318" s="27" t="str">
        <f>Resultados!$K$4</f>
        <v/>
      </c>
      <c r="C1318" s="568" t="str">
        <f>'900000'!$B$130</f>
        <v>09902004</v>
      </c>
      <c r="D1318" s="160" t="str">
        <f>'900000'!$AD$15</f>
        <v>C09903003</v>
      </c>
      <c r="E1318" s="568">
        <f>'900000'!$AD$130</f>
        <v>0</v>
      </c>
      <c r="F1318" s="27" t="s">
        <v>19081</v>
      </c>
    </row>
    <row r="1319" spans="1:6">
      <c r="A1319" s="27" t="str">
        <f>Resultados!$K$3</f>
        <v/>
      </c>
      <c r="B1319" s="27" t="str">
        <f>Resultados!$K$4</f>
        <v/>
      </c>
      <c r="C1319" s="568" t="str">
        <f>'900000'!$B$130</f>
        <v>09902004</v>
      </c>
      <c r="D1319" s="160" t="str">
        <f>'900000'!$AG$15</f>
        <v>C09903006</v>
      </c>
      <c r="E1319" s="568">
        <f>'900000'!$AG$130</f>
        <v>0</v>
      </c>
      <c r="F1319" s="27" t="s">
        <v>19081</v>
      </c>
    </row>
    <row r="1320" spans="1:6">
      <c r="A1320" s="27" t="str">
        <f>Resultados!$K$3</f>
        <v/>
      </c>
      <c r="B1320" s="27" t="str">
        <f>Resultados!$K$4</f>
        <v/>
      </c>
      <c r="C1320" s="568" t="str">
        <f>'900000'!$B$130</f>
        <v>09902004</v>
      </c>
      <c r="D1320" s="160" t="str">
        <f>'900000'!$AH$15</f>
        <v>C09903007</v>
      </c>
      <c r="E1320" s="568">
        <f>'900000'!$AH$130</f>
        <v>0</v>
      </c>
      <c r="F1320" s="27" t="s">
        <v>19081</v>
      </c>
    </row>
    <row r="1321" spans="1:6">
      <c r="A1321" s="27" t="str">
        <f>Resultados!$K$3</f>
        <v/>
      </c>
      <c r="B1321" s="27" t="str">
        <f>Resultados!$K$4</f>
        <v/>
      </c>
      <c r="C1321" s="568" t="str">
        <f>'900000'!$B$130</f>
        <v>09902004</v>
      </c>
      <c r="D1321" s="160" t="str">
        <f>'900000'!$AI$15</f>
        <v>C09903008</v>
      </c>
      <c r="E1321" s="568">
        <f>'900000'!$AI$130</f>
        <v>0</v>
      </c>
      <c r="F1321" s="27" t="s">
        <v>19081</v>
      </c>
    </row>
    <row r="1322" spans="1:6">
      <c r="A1322" s="27" t="str">
        <f>Resultados!$K$3</f>
        <v/>
      </c>
      <c r="B1322" s="27" t="str">
        <f>Resultados!$K$4</f>
        <v/>
      </c>
      <c r="C1322" s="568" t="str">
        <f>'900000'!$B$130</f>
        <v>09902004</v>
      </c>
      <c r="D1322" s="160" t="str">
        <f>'900000'!$AJ$15</f>
        <v>C09903009</v>
      </c>
      <c r="E1322" s="568">
        <f>'900000'!$AJ$130</f>
        <v>0</v>
      </c>
      <c r="F1322" s="27" t="s">
        <v>19081</v>
      </c>
    </row>
    <row r="1323" spans="1:6">
      <c r="A1323" s="27" t="str">
        <f>Resultados!$K$3</f>
        <v/>
      </c>
      <c r="B1323" s="27" t="str">
        <f>Resultados!$K$4</f>
        <v/>
      </c>
      <c r="C1323" s="568" t="str">
        <f>'900000'!$B$135</f>
        <v>09903001</v>
      </c>
      <c r="D1323" s="160" t="str">
        <f>'900000'!$U$19</f>
        <v>C09901019</v>
      </c>
      <c r="E1323" s="568">
        <f>'900000'!$W$135</f>
        <v>0</v>
      </c>
      <c r="F1323" s="27" t="s">
        <v>19081</v>
      </c>
    </row>
    <row r="1324" spans="1:6">
      <c r="A1324" s="27" t="str">
        <f>Resultados!$K$3</f>
        <v/>
      </c>
      <c r="B1324" s="27" t="str">
        <f>Resultados!$K$4</f>
        <v/>
      </c>
      <c r="C1324" s="568" t="str">
        <f>'900000'!$B$136</f>
        <v>09903002</v>
      </c>
      <c r="D1324" s="160" t="str">
        <f>'900000'!$U$19</f>
        <v>C09901019</v>
      </c>
      <c r="E1324" s="568">
        <f>'900000'!$W$136</f>
        <v>0</v>
      </c>
      <c r="F1324" s="27" t="s">
        <v>19081</v>
      </c>
    </row>
    <row r="1325" spans="1:6">
      <c r="A1325" s="27" t="str">
        <f>Resultados!$K$3</f>
        <v/>
      </c>
      <c r="B1325" s="27" t="str">
        <f>Resultados!$K$4</f>
        <v/>
      </c>
      <c r="C1325" s="569" t="str">
        <f>'900002'!$B21</f>
        <v>11101013</v>
      </c>
      <c r="D1325" t="str">
        <f>'900002'!$D$18</f>
        <v>C11101002</v>
      </c>
      <c r="E1325" s="570">
        <f>'900002'!$D21</f>
        <v>0</v>
      </c>
      <c r="F1325" s="27" t="s">
        <v>19082</v>
      </c>
    </row>
    <row r="1326" spans="1:6">
      <c r="A1326" s="27" t="str">
        <f>Resultados!$K$3</f>
        <v/>
      </c>
      <c r="B1326" s="27" t="str">
        <f>Resultados!$K$4</f>
        <v/>
      </c>
      <c r="C1326" s="569" t="str">
        <f>'900002'!$B22</f>
        <v>11101012</v>
      </c>
      <c r="D1326" s="27" t="str">
        <f>'900002'!$D$18</f>
        <v>C11101002</v>
      </c>
      <c r="E1326" s="570">
        <f>'900002'!$D22</f>
        <v>0</v>
      </c>
      <c r="F1326" s="27" t="s">
        <v>19082</v>
      </c>
    </row>
    <row r="1327" spans="1:6">
      <c r="A1327" s="27" t="str">
        <f>Resultados!$K$3</f>
        <v/>
      </c>
      <c r="B1327" s="27" t="str">
        <f>Resultados!$K$4</f>
        <v/>
      </c>
      <c r="C1327" s="569" t="str">
        <f>'900002'!$B23</f>
        <v>11101017</v>
      </c>
      <c r="D1327" s="27" t="str">
        <f>'900002'!$D$18</f>
        <v>C11101002</v>
      </c>
      <c r="E1327" s="570">
        <f>'900002'!$D23</f>
        <v>0</v>
      </c>
      <c r="F1327" s="27" t="s">
        <v>19082</v>
      </c>
    </row>
    <row r="1328" spans="1:6">
      <c r="A1328" s="27" t="str">
        <f>Resultados!$K$3</f>
        <v/>
      </c>
      <c r="B1328" s="27" t="str">
        <f>Resultados!$K$4</f>
        <v/>
      </c>
      <c r="C1328" s="569" t="str">
        <f>'900002'!$B24</f>
        <v>11101016</v>
      </c>
      <c r="D1328" s="27" t="str">
        <f>'900002'!$D$18</f>
        <v>C11101002</v>
      </c>
      <c r="E1328" s="570">
        <f>'900002'!$D24</f>
        <v>0</v>
      </c>
      <c r="F1328" s="27" t="s">
        <v>19082</v>
      </c>
    </row>
    <row r="1329" spans="1:6">
      <c r="A1329" s="27" t="str">
        <f>Resultados!$K$3</f>
        <v/>
      </c>
      <c r="B1329" s="27" t="str">
        <f>Resultados!$K$4</f>
        <v/>
      </c>
      <c r="C1329" s="569" t="str">
        <f>'900002'!$B26</f>
        <v>11101010</v>
      </c>
      <c r="D1329" s="27" t="str">
        <f>'900002'!$D$18</f>
        <v>C11101002</v>
      </c>
      <c r="E1329" s="570">
        <f>'900002'!$D26</f>
        <v>0</v>
      </c>
      <c r="F1329" s="27" t="s">
        <v>19082</v>
      </c>
    </row>
    <row r="1330" spans="1:6">
      <c r="A1330" s="27" t="str">
        <f>Resultados!$K$3</f>
        <v/>
      </c>
      <c r="B1330" s="27" t="str">
        <f>Resultados!$K$4</f>
        <v/>
      </c>
      <c r="C1330" s="569" t="str">
        <f>'900002'!$B27</f>
        <v>11101009</v>
      </c>
      <c r="D1330" s="27" t="str">
        <f>'900002'!$D$18</f>
        <v>C11101002</v>
      </c>
      <c r="E1330" s="570">
        <f>'900002'!$D27</f>
        <v>0</v>
      </c>
      <c r="F1330" s="27" t="s">
        <v>19082</v>
      </c>
    </row>
    <row r="1331" spans="1:6">
      <c r="A1331" s="27" t="str">
        <f>Resultados!$K$3</f>
        <v/>
      </c>
      <c r="B1331" s="27" t="str">
        <f>Resultados!$K$4</f>
        <v/>
      </c>
      <c r="C1331" s="569" t="str">
        <f>'900002'!$B28</f>
        <v>11101008</v>
      </c>
      <c r="D1331" s="27" t="str">
        <f>'900002'!$D$18</f>
        <v>C11101002</v>
      </c>
      <c r="E1331" s="570">
        <f>'900002'!$D28</f>
        <v>0</v>
      </c>
      <c r="F1331" s="27" t="s">
        <v>19082</v>
      </c>
    </row>
    <row r="1332" spans="1:6">
      <c r="A1332" s="27" t="str">
        <f>Resultados!$K$3</f>
        <v/>
      </c>
      <c r="B1332" s="27" t="str">
        <f>Resultados!$K$4</f>
        <v/>
      </c>
      <c r="C1332" s="569" t="str">
        <f>'900002'!$B29</f>
        <v>11101007</v>
      </c>
      <c r="D1332" s="27" t="str">
        <f>'900002'!$D$18</f>
        <v>C11101002</v>
      </c>
      <c r="E1332" s="570">
        <f>'900002'!$D29</f>
        <v>0</v>
      </c>
      <c r="F1332" s="27" t="s">
        <v>19082</v>
      </c>
    </row>
    <row r="1333" spans="1:6">
      <c r="A1333" s="27" t="str">
        <f>Resultados!$K$3</f>
        <v/>
      </c>
      <c r="B1333" s="27" t="str">
        <f>Resultados!$K$4</f>
        <v/>
      </c>
      <c r="C1333" s="569" t="str">
        <f>'900002'!$B30</f>
        <v>11101015</v>
      </c>
      <c r="D1333" s="27" t="str">
        <f>'900002'!$D$18</f>
        <v>C11101002</v>
      </c>
      <c r="E1333" s="570">
        <f>'900002'!$D30</f>
        <v>0</v>
      </c>
      <c r="F1333" s="27" t="s">
        <v>19082</v>
      </c>
    </row>
    <row r="1334" spans="1:6">
      <c r="A1334" s="27" t="str">
        <f>Resultados!$K$3</f>
        <v/>
      </c>
      <c r="B1334" s="27" t="str">
        <f>Resultados!$K$4</f>
        <v/>
      </c>
      <c r="C1334" s="569" t="str">
        <f>'900002'!$B31</f>
        <v>11101014</v>
      </c>
      <c r="D1334" s="27" t="str">
        <f>'900002'!$D$18</f>
        <v>C11101002</v>
      </c>
      <c r="E1334" s="570">
        <f>'900002'!$D31</f>
        <v>0</v>
      </c>
      <c r="F1334" s="27" t="s">
        <v>19082</v>
      </c>
    </row>
    <row r="1335" spans="1:6">
      <c r="A1335" s="27" t="str">
        <f>Resultados!$K$3</f>
        <v/>
      </c>
      <c r="B1335" s="27" t="str">
        <f>Resultados!$K$4</f>
        <v/>
      </c>
      <c r="C1335" s="569" t="str">
        <f>'900002'!$B33</f>
        <v>11101005</v>
      </c>
      <c r="D1335" s="27" t="str">
        <f>'900002'!$D$18</f>
        <v>C11101002</v>
      </c>
      <c r="E1335" s="570">
        <f>'900002'!$D33</f>
        <v>0</v>
      </c>
      <c r="F1335" s="27" t="s">
        <v>19082</v>
      </c>
    </row>
    <row r="1336" spans="1:6">
      <c r="A1336" s="27" t="str">
        <f>Resultados!$K$3</f>
        <v/>
      </c>
      <c r="B1336" s="27" t="str">
        <f>Resultados!$K$4</f>
        <v/>
      </c>
      <c r="C1336" s="569" t="str">
        <f>'900002'!$B34</f>
        <v>11101004</v>
      </c>
      <c r="D1336" s="27" t="str">
        <f>'900002'!$D$18</f>
        <v>C11101002</v>
      </c>
      <c r="E1336" s="570">
        <f>'900002'!$D34</f>
        <v>0</v>
      </c>
      <c r="F1336" s="27" t="s">
        <v>19082</v>
      </c>
    </row>
    <row r="1337" spans="1:6">
      <c r="A1337" s="27" t="str">
        <f>Resultados!$K$3</f>
        <v/>
      </c>
      <c r="B1337" s="27" t="str">
        <f>Resultados!$K$4</f>
        <v/>
      </c>
      <c r="C1337" s="569" t="str">
        <f>'900002'!$B35</f>
        <v>11101003</v>
      </c>
      <c r="D1337" s="27" t="str">
        <f>'900002'!$D$18</f>
        <v>C11101002</v>
      </c>
      <c r="E1337" s="570">
        <f>'900002'!$D35</f>
        <v>0</v>
      </c>
      <c r="F1337" s="27" t="s">
        <v>19082</v>
      </c>
    </row>
    <row r="1338" spans="1:6">
      <c r="A1338" s="27" t="str">
        <f>Resultados!$K$3</f>
        <v/>
      </c>
      <c r="B1338" s="27" t="str">
        <f>Resultados!$K$4</f>
        <v/>
      </c>
      <c r="C1338" s="569" t="str">
        <f>'900002'!$B21</f>
        <v>11101013</v>
      </c>
      <c r="D1338" s="27" t="str">
        <f>'900002'!$E$18</f>
        <v>C11101003</v>
      </c>
      <c r="E1338" s="570">
        <f>'900002'!$E21</f>
        <v>0</v>
      </c>
      <c r="F1338" s="27" t="s">
        <v>19082</v>
      </c>
    </row>
    <row r="1339" spans="1:6">
      <c r="A1339" s="27" t="str">
        <f>Resultados!$K$3</f>
        <v/>
      </c>
      <c r="B1339" s="27" t="str">
        <f>Resultados!$K$4</f>
        <v/>
      </c>
      <c r="C1339" s="569" t="str">
        <f>'900002'!$B22</f>
        <v>11101012</v>
      </c>
      <c r="D1339" s="27" t="str">
        <f>'900002'!$E$18</f>
        <v>C11101003</v>
      </c>
      <c r="E1339" s="570">
        <f>'900002'!$E22</f>
        <v>0</v>
      </c>
      <c r="F1339" s="27" t="s">
        <v>19082</v>
      </c>
    </row>
    <row r="1340" spans="1:6">
      <c r="A1340" s="27" t="str">
        <f>Resultados!$K$3</f>
        <v/>
      </c>
      <c r="B1340" s="27" t="str">
        <f>Resultados!$K$4</f>
        <v/>
      </c>
      <c r="C1340" s="569" t="str">
        <f>'900002'!$B23</f>
        <v>11101017</v>
      </c>
      <c r="D1340" s="27" t="str">
        <f>'900002'!$E$18</f>
        <v>C11101003</v>
      </c>
      <c r="E1340" s="570">
        <f>'900002'!$E23</f>
        <v>0</v>
      </c>
      <c r="F1340" s="27" t="s">
        <v>19082</v>
      </c>
    </row>
    <row r="1341" spans="1:6">
      <c r="A1341" s="27" t="str">
        <f>Resultados!$K$3</f>
        <v/>
      </c>
      <c r="B1341" s="27" t="str">
        <f>Resultados!$K$4</f>
        <v/>
      </c>
      <c r="C1341" s="569" t="str">
        <f>'900002'!$B24</f>
        <v>11101016</v>
      </c>
      <c r="D1341" s="27" t="str">
        <f>'900002'!$E$18</f>
        <v>C11101003</v>
      </c>
      <c r="E1341" s="570">
        <f>'900002'!$E24</f>
        <v>0</v>
      </c>
      <c r="F1341" s="27" t="s">
        <v>19082</v>
      </c>
    </row>
    <row r="1342" spans="1:6">
      <c r="A1342" s="27" t="str">
        <f>Resultados!$K$3</f>
        <v/>
      </c>
      <c r="B1342" s="27" t="str">
        <f>Resultados!$K$4</f>
        <v/>
      </c>
      <c r="C1342" s="569" t="str">
        <f>'900002'!$B26</f>
        <v>11101010</v>
      </c>
      <c r="D1342" s="27" t="str">
        <f>'900002'!$E$18</f>
        <v>C11101003</v>
      </c>
      <c r="E1342" s="570">
        <f>'900002'!$E26</f>
        <v>0</v>
      </c>
      <c r="F1342" s="27" t="s">
        <v>19082</v>
      </c>
    </row>
    <row r="1343" spans="1:6">
      <c r="A1343" s="27" t="str">
        <f>Resultados!$K$3</f>
        <v/>
      </c>
      <c r="B1343" s="27" t="str">
        <f>Resultados!$K$4</f>
        <v/>
      </c>
      <c r="C1343" s="569" t="str">
        <f>'900002'!$B27</f>
        <v>11101009</v>
      </c>
      <c r="D1343" s="27" t="str">
        <f>'900002'!$E$18</f>
        <v>C11101003</v>
      </c>
      <c r="E1343" s="570">
        <f>'900002'!$E27</f>
        <v>0</v>
      </c>
      <c r="F1343" s="27" t="s">
        <v>19082</v>
      </c>
    </row>
    <row r="1344" spans="1:6">
      <c r="A1344" s="27" t="str">
        <f>Resultados!$K$3</f>
        <v/>
      </c>
      <c r="B1344" s="27" t="str">
        <f>Resultados!$K$4</f>
        <v/>
      </c>
      <c r="C1344" s="569" t="str">
        <f>'900002'!$B28</f>
        <v>11101008</v>
      </c>
      <c r="D1344" s="27" t="str">
        <f>'900002'!$E$18</f>
        <v>C11101003</v>
      </c>
      <c r="E1344" s="570">
        <f>'900002'!$E28</f>
        <v>0</v>
      </c>
      <c r="F1344" s="27" t="s">
        <v>19082</v>
      </c>
    </row>
    <row r="1345" spans="1:6">
      <c r="A1345" s="27" t="str">
        <f>Resultados!$K$3</f>
        <v/>
      </c>
      <c r="B1345" s="27" t="str">
        <f>Resultados!$K$4</f>
        <v/>
      </c>
      <c r="C1345" s="569" t="str">
        <f>'900002'!$B29</f>
        <v>11101007</v>
      </c>
      <c r="D1345" s="27" t="str">
        <f>'900002'!$E$18</f>
        <v>C11101003</v>
      </c>
      <c r="E1345" s="570">
        <f>'900002'!$E29</f>
        <v>0</v>
      </c>
      <c r="F1345" s="27" t="s">
        <v>19082</v>
      </c>
    </row>
    <row r="1346" spans="1:6">
      <c r="A1346" s="27" t="str">
        <f>Resultados!$K$3</f>
        <v/>
      </c>
      <c r="B1346" s="27" t="str">
        <f>Resultados!$K$4</f>
        <v/>
      </c>
      <c r="C1346" s="569" t="str">
        <f>'900002'!$B30</f>
        <v>11101015</v>
      </c>
      <c r="D1346" s="27" t="str">
        <f>'900002'!$E$18</f>
        <v>C11101003</v>
      </c>
      <c r="E1346" s="570">
        <f>'900002'!$E30</f>
        <v>0</v>
      </c>
      <c r="F1346" s="27" t="s">
        <v>19082</v>
      </c>
    </row>
    <row r="1347" spans="1:6">
      <c r="A1347" s="27" t="str">
        <f>Resultados!$K$3</f>
        <v/>
      </c>
      <c r="B1347" s="27" t="str">
        <f>Resultados!$K$4</f>
        <v/>
      </c>
      <c r="C1347" s="569" t="str">
        <f>'900002'!$B31</f>
        <v>11101014</v>
      </c>
      <c r="D1347" s="27" t="str">
        <f>'900002'!$E$18</f>
        <v>C11101003</v>
      </c>
      <c r="E1347" s="570">
        <f>'900002'!$E31</f>
        <v>0</v>
      </c>
      <c r="F1347" s="27" t="s">
        <v>19082</v>
      </c>
    </row>
    <row r="1348" spans="1:6">
      <c r="A1348" s="27" t="str">
        <f>Resultados!$K$3</f>
        <v/>
      </c>
      <c r="B1348" s="27" t="str">
        <f>Resultados!$K$4</f>
        <v/>
      </c>
      <c r="C1348" s="569" t="str">
        <f>'900002'!$B33</f>
        <v>11101005</v>
      </c>
      <c r="D1348" s="27" t="str">
        <f>'900002'!$E$18</f>
        <v>C11101003</v>
      </c>
      <c r="E1348" s="570">
        <f>'900002'!$E33</f>
        <v>0</v>
      </c>
      <c r="F1348" s="27" t="s">
        <v>19082</v>
      </c>
    </row>
    <row r="1349" spans="1:6">
      <c r="A1349" s="27" t="str">
        <f>Resultados!$K$3</f>
        <v/>
      </c>
      <c r="B1349" s="27" t="str">
        <f>Resultados!$K$4</f>
        <v/>
      </c>
      <c r="C1349" s="569" t="str">
        <f>'900002'!$B34</f>
        <v>11101004</v>
      </c>
      <c r="D1349" s="27" t="str">
        <f>'900002'!$E$18</f>
        <v>C11101003</v>
      </c>
      <c r="E1349" s="570">
        <f>'900002'!$E34</f>
        <v>0</v>
      </c>
      <c r="F1349" s="27" t="s">
        <v>19082</v>
      </c>
    </row>
    <row r="1350" spans="1:6">
      <c r="A1350" s="27" t="str">
        <f>Resultados!$K$3</f>
        <v/>
      </c>
      <c r="B1350" s="27" t="str">
        <f>Resultados!$K$4</f>
        <v/>
      </c>
      <c r="C1350" s="569" t="str">
        <f>'900002'!$B35</f>
        <v>11101003</v>
      </c>
      <c r="D1350" s="27" t="str">
        <f>'900002'!$E$18</f>
        <v>C11101003</v>
      </c>
      <c r="E1350" s="570">
        <f>'900002'!$E35</f>
        <v>0</v>
      </c>
      <c r="F1350" s="27" t="s">
        <v>19082</v>
      </c>
    </row>
    <row r="1351" spans="1:6">
      <c r="A1351" s="27" t="str">
        <f>Resultados!$K$3</f>
        <v/>
      </c>
      <c r="B1351" s="27" t="str">
        <f>Resultados!$K$4</f>
        <v/>
      </c>
      <c r="C1351" s="569" t="str">
        <f>'900002'!$B21</f>
        <v>11101013</v>
      </c>
      <c r="D1351" s="27" t="str">
        <f>'900002'!$F$18</f>
        <v>C11101004</v>
      </c>
      <c r="E1351" s="570">
        <f>'900002'!$F21</f>
        <v>0</v>
      </c>
      <c r="F1351" s="27" t="s">
        <v>19082</v>
      </c>
    </row>
    <row r="1352" spans="1:6">
      <c r="A1352" s="27" t="str">
        <f>Resultados!$K$3</f>
        <v/>
      </c>
      <c r="B1352" s="27" t="str">
        <f>Resultados!$K$4</f>
        <v/>
      </c>
      <c r="C1352" s="569" t="str">
        <f>'900002'!$B22</f>
        <v>11101012</v>
      </c>
      <c r="D1352" s="27" t="str">
        <f>'900002'!$F$18</f>
        <v>C11101004</v>
      </c>
      <c r="E1352" s="570">
        <f>'900002'!$F22</f>
        <v>0</v>
      </c>
      <c r="F1352" s="27" t="s">
        <v>19082</v>
      </c>
    </row>
    <row r="1353" spans="1:6">
      <c r="A1353" s="27" t="str">
        <f>Resultados!$K$3</f>
        <v/>
      </c>
      <c r="B1353" s="27" t="str">
        <f>Resultados!$K$4</f>
        <v/>
      </c>
      <c r="C1353" s="569" t="str">
        <f>'900002'!$B23</f>
        <v>11101017</v>
      </c>
      <c r="D1353" s="27" t="str">
        <f>'900002'!$F$18</f>
        <v>C11101004</v>
      </c>
      <c r="E1353" s="570">
        <f>'900002'!$F23</f>
        <v>0</v>
      </c>
      <c r="F1353" s="27" t="s">
        <v>19082</v>
      </c>
    </row>
    <row r="1354" spans="1:6">
      <c r="A1354" s="27" t="str">
        <f>Resultados!$K$3</f>
        <v/>
      </c>
      <c r="B1354" s="27" t="str">
        <f>Resultados!$K$4</f>
        <v/>
      </c>
      <c r="C1354" s="569" t="str">
        <f>'900002'!$B24</f>
        <v>11101016</v>
      </c>
      <c r="D1354" s="27" t="str">
        <f>'900002'!$F$18</f>
        <v>C11101004</v>
      </c>
      <c r="E1354" s="570">
        <f>'900002'!$F24</f>
        <v>0</v>
      </c>
      <c r="F1354" s="27" t="s">
        <v>19082</v>
      </c>
    </row>
    <row r="1355" spans="1:6">
      <c r="A1355" s="27" t="str">
        <f>Resultados!$K$3</f>
        <v/>
      </c>
      <c r="B1355" s="27" t="str">
        <f>Resultados!$K$4</f>
        <v/>
      </c>
      <c r="C1355" s="569" t="str">
        <f>'900002'!$B26</f>
        <v>11101010</v>
      </c>
      <c r="D1355" s="27" t="str">
        <f>'900002'!$F$18</f>
        <v>C11101004</v>
      </c>
      <c r="E1355" s="570">
        <f>'900002'!$F26</f>
        <v>0</v>
      </c>
      <c r="F1355" s="27" t="s">
        <v>19082</v>
      </c>
    </row>
    <row r="1356" spans="1:6">
      <c r="A1356" s="27" t="str">
        <f>Resultados!$K$3</f>
        <v/>
      </c>
      <c r="B1356" s="27" t="str">
        <f>Resultados!$K$4</f>
        <v/>
      </c>
      <c r="C1356" s="569" t="str">
        <f>'900002'!$B27</f>
        <v>11101009</v>
      </c>
      <c r="D1356" s="27" t="str">
        <f>'900002'!$F$18</f>
        <v>C11101004</v>
      </c>
      <c r="E1356" s="570">
        <f>'900002'!$F27</f>
        <v>0</v>
      </c>
      <c r="F1356" s="27" t="s">
        <v>19082</v>
      </c>
    </row>
    <row r="1357" spans="1:6">
      <c r="A1357" s="27" t="str">
        <f>Resultados!$K$3</f>
        <v/>
      </c>
      <c r="B1357" s="27" t="str">
        <f>Resultados!$K$4</f>
        <v/>
      </c>
      <c r="C1357" s="569" t="str">
        <f>'900002'!$B28</f>
        <v>11101008</v>
      </c>
      <c r="D1357" s="27" t="str">
        <f>'900002'!$F$18</f>
        <v>C11101004</v>
      </c>
      <c r="E1357" s="570">
        <f>'900002'!$F28</f>
        <v>0</v>
      </c>
      <c r="F1357" s="27" t="s">
        <v>19082</v>
      </c>
    </row>
    <row r="1358" spans="1:6">
      <c r="A1358" s="27" t="str">
        <f>Resultados!$K$3</f>
        <v/>
      </c>
      <c r="B1358" s="27" t="str">
        <f>Resultados!$K$4</f>
        <v/>
      </c>
      <c r="C1358" s="569" t="str">
        <f>'900002'!$B29</f>
        <v>11101007</v>
      </c>
      <c r="D1358" s="27" t="str">
        <f>'900002'!$F$18</f>
        <v>C11101004</v>
      </c>
      <c r="E1358" s="570">
        <f>'900002'!$F29</f>
        <v>0</v>
      </c>
      <c r="F1358" s="27" t="s">
        <v>19082</v>
      </c>
    </row>
    <row r="1359" spans="1:6">
      <c r="A1359" s="27" t="str">
        <f>Resultados!$K$3</f>
        <v/>
      </c>
      <c r="B1359" s="27" t="str">
        <f>Resultados!$K$4</f>
        <v/>
      </c>
      <c r="C1359" s="569" t="str">
        <f>'900002'!$B30</f>
        <v>11101015</v>
      </c>
      <c r="D1359" s="27" t="str">
        <f>'900002'!$F$18</f>
        <v>C11101004</v>
      </c>
      <c r="E1359" s="570">
        <f>'900002'!$F30</f>
        <v>0</v>
      </c>
      <c r="F1359" s="27" t="s">
        <v>19082</v>
      </c>
    </row>
    <row r="1360" spans="1:6">
      <c r="A1360" s="27" t="str">
        <f>Resultados!$K$3</f>
        <v/>
      </c>
      <c r="B1360" s="27" t="str">
        <f>Resultados!$K$4</f>
        <v/>
      </c>
      <c r="C1360" s="569" t="str">
        <f>'900002'!$B31</f>
        <v>11101014</v>
      </c>
      <c r="D1360" s="27" t="str">
        <f>'900002'!$F$18</f>
        <v>C11101004</v>
      </c>
      <c r="E1360" s="570">
        <f>'900002'!$F31</f>
        <v>0</v>
      </c>
      <c r="F1360" s="27" t="s">
        <v>19082</v>
      </c>
    </row>
    <row r="1361" spans="1:6">
      <c r="A1361" s="27" t="str">
        <f>Resultados!$K$3</f>
        <v/>
      </c>
      <c r="B1361" s="27" t="str">
        <f>Resultados!$K$4</f>
        <v/>
      </c>
      <c r="C1361" s="569" t="str">
        <f>'900002'!$B33</f>
        <v>11101005</v>
      </c>
      <c r="D1361" s="27" t="str">
        <f>'900002'!$F$18</f>
        <v>C11101004</v>
      </c>
      <c r="E1361" s="570">
        <f>'900002'!$F33</f>
        <v>0</v>
      </c>
      <c r="F1361" s="27" t="s">
        <v>19082</v>
      </c>
    </row>
    <row r="1362" spans="1:6">
      <c r="A1362" s="27" t="str">
        <f>Resultados!$K$3</f>
        <v/>
      </c>
      <c r="B1362" s="27" t="str">
        <f>Resultados!$K$4</f>
        <v/>
      </c>
      <c r="C1362" s="569" t="str">
        <f>'900002'!$B34</f>
        <v>11101004</v>
      </c>
      <c r="D1362" s="27" t="str">
        <f>'900002'!$F$18</f>
        <v>C11101004</v>
      </c>
      <c r="E1362" s="570">
        <f>'900002'!$F34</f>
        <v>0</v>
      </c>
      <c r="F1362" s="27" t="s">
        <v>19082</v>
      </c>
    </row>
    <row r="1363" spans="1:6">
      <c r="A1363" s="27" t="str">
        <f>Resultados!$K$3</f>
        <v/>
      </c>
      <c r="B1363" s="27" t="str">
        <f>Resultados!$K$4</f>
        <v/>
      </c>
      <c r="C1363" s="569" t="str">
        <f>'900002'!$B35</f>
        <v>11101003</v>
      </c>
      <c r="D1363" s="27" t="str">
        <f>'900002'!$F$18</f>
        <v>C11101004</v>
      </c>
      <c r="E1363" s="570">
        <f>'900002'!$F35</f>
        <v>0</v>
      </c>
      <c r="F1363" s="27" t="s">
        <v>19082</v>
      </c>
    </row>
    <row r="1364" spans="1:6">
      <c r="A1364" s="27" t="str">
        <f>Resultados!$K$3</f>
        <v/>
      </c>
      <c r="B1364" s="27" t="str">
        <f>Resultados!$K$4</f>
        <v/>
      </c>
      <c r="C1364" s="569" t="str">
        <f>'900002'!$B21</f>
        <v>11101013</v>
      </c>
      <c r="D1364" s="27" t="str">
        <f>'900002'!$G$18</f>
        <v>C11101005</v>
      </c>
      <c r="E1364" s="570">
        <f>'900002'!$G21</f>
        <v>0</v>
      </c>
      <c r="F1364" s="27" t="s">
        <v>19082</v>
      </c>
    </row>
    <row r="1365" spans="1:6">
      <c r="A1365" s="27" t="str">
        <f>Resultados!$K$3</f>
        <v/>
      </c>
      <c r="B1365" s="27" t="str">
        <f>Resultados!$K$4</f>
        <v/>
      </c>
      <c r="C1365" s="569" t="str">
        <f>'900002'!$B22</f>
        <v>11101012</v>
      </c>
      <c r="D1365" s="27" t="str">
        <f>'900002'!$G$18</f>
        <v>C11101005</v>
      </c>
      <c r="E1365" s="570">
        <f>'900002'!$G22</f>
        <v>0</v>
      </c>
      <c r="F1365" s="27" t="s">
        <v>19082</v>
      </c>
    </row>
    <row r="1366" spans="1:6">
      <c r="A1366" s="27" t="str">
        <f>Resultados!$K$3</f>
        <v/>
      </c>
      <c r="B1366" s="27" t="str">
        <f>Resultados!$K$4</f>
        <v/>
      </c>
      <c r="C1366" s="569" t="str">
        <f>'900002'!$B23</f>
        <v>11101017</v>
      </c>
      <c r="D1366" s="27" t="str">
        <f>'900002'!$G$18</f>
        <v>C11101005</v>
      </c>
      <c r="E1366" s="570">
        <f>'900002'!$G23</f>
        <v>0</v>
      </c>
      <c r="F1366" s="27" t="s">
        <v>19082</v>
      </c>
    </row>
    <row r="1367" spans="1:6">
      <c r="A1367" s="27" t="str">
        <f>Resultados!$K$3</f>
        <v/>
      </c>
      <c r="B1367" s="27" t="str">
        <f>Resultados!$K$4</f>
        <v/>
      </c>
      <c r="C1367" s="569" t="str">
        <f>'900002'!$B24</f>
        <v>11101016</v>
      </c>
      <c r="D1367" s="27" t="str">
        <f>'900002'!$G$18</f>
        <v>C11101005</v>
      </c>
      <c r="E1367" s="570">
        <f>'900002'!$G24</f>
        <v>0</v>
      </c>
      <c r="F1367" s="27" t="s">
        <v>19082</v>
      </c>
    </row>
    <row r="1368" spans="1:6">
      <c r="A1368" s="27" t="str">
        <f>Resultados!$K$3</f>
        <v/>
      </c>
      <c r="B1368" s="27" t="str">
        <f>Resultados!$K$4</f>
        <v/>
      </c>
      <c r="C1368" s="569" t="str">
        <f>'900002'!$B26</f>
        <v>11101010</v>
      </c>
      <c r="D1368" s="27" t="str">
        <f>'900002'!$G$18</f>
        <v>C11101005</v>
      </c>
      <c r="E1368" s="570">
        <f>'900002'!$G26</f>
        <v>0</v>
      </c>
      <c r="F1368" s="27" t="s">
        <v>19082</v>
      </c>
    </row>
    <row r="1369" spans="1:6">
      <c r="A1369" s="27" t="str">
        <f>Resultados!$K$3</f>
        <v/>
      </c>
      <c r="B1369" s="27" t="str">
        <f>Resultados!$K$4</f>
        <v/>
      </c>
      <c r="C1369" s="569" t="str">
        <f>'900002'!$B27</f>
        <v>11101009</v>
      </c>
      <c r="D1369" s="27" t="str">
        <f>'900002'!$G$18</f>
        <v>C11101005</v>
      </c>
      <c r="E1369" s="570">
        <f>'900002'!$G27</f>
        <v>0</v>
      </c>
      <c r="F1369" s="27" t="s">
        <v>19082</v>
      </c>
    </row>
    <row r="1370" spans="1:6">
      <c r="A1370" s="27" t="str">
        <f>Resultados!$K$3</f>
        <v/>
      </c>
      <c r="B1370" s="27" t="str">
        <f>Resultados!$K$4</f>
        <v/>
      </c>
      <c r="C1370" s="569" t="str">
        <f>'900002'!$B28</f>
        <v>11101008</v>
      </c>
      <c r="D1370" s="27" t="str">
        <f>'900002'!$G$18</f>
        <v>C11101005</v>
      </c>
      <c r="E1370" s="570">
        <f>'900002'!$G28</f>
        <v>0</v>
      </c>
      <c r="F1370" s="27" t="s">
        <v>19082</v>
      </c>
    </row>
    <row r="1371" spans="1:6">
      <c r="A1371" s="27" t="str">
        <f>Resultados!$K$3</f>
        <v/>
      </c>
      <c r="B1371" s="27" t="str">
        <f>Resultados!$K$4</f>
        <v/>
      </c>
      <c r="C1371" s="569" t="str">
        <f>'900002'!$B29</f>
        <v>11101007</v>
      </c>
      <c r="D1371" s="27" t="str">
        <f>'900002'!$G$18</f>
        <v>C11101005</v>
      </c>
      <c r="E1371" s="570">
        <f>'900002'!$G29</f>
        <v>0</v>
      </c>
      <c r="F1371" s="27" t="s">
        <v>19082</v>
      </c>
    </row>
    <row r="1372" spans="1:6">
      <c r="A1372" s="27" t="str">
        <f>Resultados!$K$3</f>
        <v/>
      </c>
      <c r="B1372" s="27" t="str">
        <f>Resultados!$K$4</f>
        <v/>
      </c>
      <c r="C1372" s="569" t="str">
        <f>'900002'!$B30</f>
        <v>11101015</v>
      </c>
      <c r="D1372" s="27" t="str">
        <f>'900002'!$G$18</f>
        <v>C11101005</v>
      </c>
      <c r="E1372" s="570">
        <f>'900002'!$G30</f>
        <v>0</v>
      </c>
      <c r="F1372" s="27" t="s">
        <v>19082</v>
      </c>
    </row>
    <row r="1373" spans="1:6">
      <c r="A1373" s="27" t="str">
        <f>Resultados!$K$3</f>
        <v/>
      </c>
      <c r="B1373" s="27" t="str">
        <f>Resultados!$K$4</f>
        <v/>
      </c>
      <c r="C1373" s="569" t="str">
        <f>'900002'!$B31</f>
        <v>11101014</v>
      </c>
      <c r="D1373" s="27" t="str">
        <f>'900002'!$G$18</f>
        <v>C11101005</v>
      </c>
      <c r="E1373" s="570">
        <f>'900002'!$G31</f>
        <v>0</v>
      </c>
      <c r="F1373" s="27" t="s">
        <v>19082</v>
      </c>
    </row>
    <row r="1374" spans="1:6">
      <c r="A1374" s="27" t="str">
        <f>Resultados!$K$3</f>
        <v/>
      </c>
      <c r="B1374" s="27" t="str">
        <f>Resultados!$K$4</f>
        <v/>
      </c>
      <c r="C1374" s="569" t="str">
        <f>'900002'!$B33</f>
        <v>11101005</v>
      </c>
      <c r="D1374" s="27" t="str">
        <f>'900002'!$G$18</f>
        <v>C11101005</v>
      </c>
      <c r="E1374" s="570">
        <f>'900002'!$G33</f>
        <v>0</v>
      </c>
      <c r="F1374" s="27" t="s">
        <v>19082</v>
      </c>
    </row>
    <row r="1375" spans="1:6">
      <c r="A1375" s="27" t="str">
        <f>Resultados!$K$3</f>
        <v/>
      </c>
      <c r="B1375" s="27" t="str">
        <f>Resultados!$K$4</f>
        <v/>
      </c>
      <c r="C1375" s="569" t="str">
        <f>'900002'!$B34</f>
        <v>11101004</v>
      </c>
      <c r="D1375" s="27" t="str">
        <f>'900002'!$G$18</f>
        <v>C11101005</v>
      </c>
      <c r="E1375" s="570">
        <f>'900002'!$G34</f>
        <v>0</v>
      </c>
      <c r="F1375" s="27" t="s">
        <v>19082</v>
      </c>
    </row>
    <row r="1376" spans="1:6">
      <c r="A1376" s="27" t="str">
        <f>Resultados!$K$3</f>
        <v/>
      </c>
      <c r="B1376" s="27" t="str">
        <f>Resultados!$K$4</f>
        <v/>
      </c>
      <c r="C1376" s="569" t="str">
        <f>'900002'!$B35</f>
        <v>11101003</v>
      </c>
      <c r="D1376" s="27" t="str">
        <f>'900002'!$G$18</f>
        <v>C11101005</v>
      </c>
      <c r="E1376" s="570">
        <f>'900002'!$G35</f>
        <v>0</v>
      </c>
      <c r="F1376" s="27" t="s">
        <v>19082</v>
      </c>
    </row>
    <row r="1377" spans="1:6">
      <c r="A1377" s="27" t="str">
        <f>Resultados!$K$3</f>
        <v/>
      </c>
      <c r="B1377" s="27" t="str">
        <f>Resultados!$K$4</f>
        <v/>
      </c>
      <c r="C1377" s="569" t="str">
        <f>'900002'!$B21</f>
        <v>11101013</v>
      </c>
      <c r="D1377" s="27" t="str">
        <f>'900002'!$H$18</f>
        <v>C11101006</v>
      </c>
      <c r="E1377" s="570">
        <f>'900002'!$H21</f>
        <v>0</v>
      </c>
      <c r="F1377" s="27" t="s">
        <v>19082</v>
      </c>
    </row>
    <row r="1378" spans="1:6">
      <c r="A1378" s="27" t="str">
        <f>Resultados!$K$3</f>
        <v/>
      </c>
      <c r="B1378" s="27" t="str">
        <f>Resultados!$K$4</f>
        <v/>
      </c>
      <c r="C1378" s="569" t="str">
        <f>'900002'!$B22</f>
        <v>11101012</v>
      </c>
      <c r="D1378" s="27" t="str">
        <f>'900002'!$H$18</f>
        <v>C11101006</v>
      </c>
      <c r="E1378" s="570">
        <f>'900002'!$H22</f>
        <v>0</v>
      </c>
      <c r="F1378" s="27" t="s">
        <v>19082</v>
      </c>
    </row>
    <row r="1379" spans="1:6">
      <c r="A1379" s="27" t="str">
        <f>Resultados!$K$3</f>
        <v/>
      </c>
      <c r="B1379" s="27" t="str">
        <f>Resultados!$K$4</f>
        <v/>
      </c>
      <c r="C1379" s="569" t="str">
        <f>'900002'!$B23</f>
        <v>11101017</v>
      </c>
      <c r="D1379" s="27" t="str">
        <f>'900002'!$H$18</f>
        <v>C11101006</v>
      </c>
      <c r="E1379" s="570">
        <f>'900002'!$H23</f>
        <v>0</v>
      </c>
      <c r="F1379" s="27" t="s">
        <v>19082</v>
      </c>
    </row>
    <row r="1380" spans="1:6">
      <c r="A1380" s="27" t="str">
        <f>Resultados!$K$3</f>
        <v/>
      </c>
      <c r="B1380" s="27" t="str">
        <f>Resultados!$K$4</f>
        <v/>
      </c>
      <c r="C1380" s="569" t="str">
        <f>'900002'!$B24</f>
        <v>11101016</v>
      </c>
      <c r="D1380" s="27" t="str">
        <f>'900002'!$H$18</f>
        <v>C11101006</v>
      </c>
      <c r="E1380" s="570">
        <f>'900002'!$H24</f>
        <v>0</v>
      </c>
      <c r="F1380" s="27" t="s">
        <v>19082</v>
      </c>
    </row>
    <row r="1381" spans="1:6">
      <c r="A1381" s="27" t="str">
        <f>Resultados!$K$3</f>
        <v/>
      </c>
      <c r="B1381" s="27" t="str">
        <f>Resultados!$K$4</f>
        <v/>
      </c>
      <c r="C1381" s="569" t="str">
        <f>'900002'!$B26</f>
        <v>11101010</v>
      </c>
      <c r="D1381" s="27" t="str">
        <f>'900002'!$H$18</f>
        <v>C11101006</v>
      </c>
      <c r="E1381" s="570">
        <f>'900002'!$H26</f>
        <v>0</v>
      </c>
      <c r="F1381" s="27" t="s">
        <v>19082</v>
      </c>
    </row>
    <row r="1382" spans="1:6">
      <c r="A1382" s="27" t="str">
        <f>Resultados!$K$3</f>
        <v/>
      </c>
      <c r="B1382" s="27" t="str">
        <f>Resultados!$K$4</f>
        <v/>
      </c>
      <c r="C1382" s="569" t="str">
        <f>'900002'!$B27</f>
        <v>11101009</v>
      </c>
      <c r="D1382" s="27" t="str">
        <f>'900002'!$H$18</f>
        <v>C11101006</v>
      </c>
      <c r="E1382" s="570">
        <f>'900002'!$H27</f>
        <v>0</v>
      </c>
      <c r="F1382" s="27" t="s">
        <v>19082</v>
      </c>
    </row>
    <row r="1383" spans="1:6">
      <c r="A1383" s="27" t="str">
        <f>Resultados!$K$3</f>
        <v/>
      </c>
      <c r="B1383" s="27" t="str">
        <f>Resultados!$K$4</f>
        <v/>
      </c>
      <c r="C1383" s="569" t="str">
        <f>'900002'!$B28</f>
        <v>11101008</v>
      </c>
      <c r="D1383" s="27" t="str">
        <f>'900002'!$H$18</f>
        <v>C11101006</v>
      </c>
      <c r="E1383" s="570">
        <f>'900002'!$H28</f>
        <v>0</v>
      </c>
      <c r="F1383" s="27" t="s">
        <v>19082</v>
      </c>
    </row>
    <row r="1384" spans="1:6">
      <c r="A1384" s="27" t="str">
        <f>Resultados!$K$3</f>
        <v/>
      </c>
      <c r="B1384" s="27" t="str">
        <f>Resultados!$K$4</f>
        <v/>
      </c>
      <c r="C1384" s="569" t="str">
        <f>'900002'!$B29</f>
        <v>11101007</v>
      </c>
      <c r="D1384" s="27" t="str">
        <f>'900002'!$H$18</f>
        <v>C11101006</v>
      </c>
      <c r="E1384" s="570">
        <f>'900002'!$H29</f>
        <v>0</v>
      </c>
      <c r="F1384" s="27" t="s">
        <v>19082</v>
      </c>
    </row>
    <row r="1385" spans="1:6">
      <c r="A1385" s="27" t="str">
        <f>Resultados!$K$3</f>
        <v/>
      </c>
      <c r="B1385" s="27" t="str">
        <f>Resultados!$K$4</f>
        <v/>
      </c>
      <c r="C1385" s="569" t="str">
        <f>'900002'!$B30</f>
        <v>11101015</v>
      </c>
      <c r="D1385" s="27" t="str">
        <f>'900002'!$H$18</f>
        <v>C11101006</v>
      </c>
      <c r="E1385" s="570">
        <f>'900002'!$H30</f>
        <v>0</v>
      </c>
      <c r="F1385" s="27" t="s">
        <v>19082</v>
      </c>
    </row>
    <row r="1386" spans="1:6">
      <c r="A1386" s="27" t="str">
        <f>Resultados!$K$3</f>
        <v/>
      </c>
      <c r="B1386" s="27" t="str">
        <f>Resultados!$K$4</f>
        <v/>
      </c>
      <c r="C1386" s="569" t="str">
        <f>'900002'!$B31</f>
        <v>11101014</v>
      </c>
      <c r="D1386" s="27" t="str">
        <f>'900002'!$H$18</f>
        <v>C11101006</v>
      </c>
      <c r="E1386" s="570">
        <f>'900002'!$H31</f>
        <v>0</v>
      </c>
      <c r="F1386" s="27" t="s">
        <v>19082</v>
      </c>
    </row>
    <row r="1387" spans="1:6">
      <c r="A1387" s="27" t="str">
        <f>Resultados!$K$3</f>
        <v/>
      </c>
      <c r="B1387" s="27" t="str">
        <f>Resultados!$K$4</f>
        <v/>
      </c>
      <c r="C1387" s="569" t="str">
        <f>'900002'!$B33</f>
        <v>11101005</v>
      </c>
      <c r="D1387" s="27" t="str">
        <f>'900002'!$H$18</f>
        <v>C11101006</v>
      </c>
      <c r="E1387" s="570">
        <f>'900002'!$H33</f>
        <v>0</v>
      </c>
      <c r="F1387" s="27" t="s">
        <v>19082</v>
      </c>
    </row>
    <row r="1388" spans="1:6">
      <c r="A1388" s="27" t="str">
        <f>Resultados!$K$3</f>
        <v/>
      </c>
      <c r="B1388" s="27" t="str">
        <f>Resultados!$K$4</f>
        <v/>
      </c>
      <c r="C1388" s="569" t="str">
        <f>'900002'!$B34</f>
        <v>11101004</v>
      </c>
      <c r="D1388" s="27" t="str">
        <f>'900002'!$H$18</f>
        <v>C11101006</v>
      </c>
      <c r="E1388" s="570">
        <f>'900002'!$H34</f>
        <v>0</v>
      </c>
      <c r="F1388" s="27" t="s">
        <v>19082</v>
      </c>
    </row>
    <row r="1389" spans="1:6">
      <c r="A1389" s="27" t="str">
        <f>Resultados!$K$3</f>
        <v/>
      </c>
      <c r="B1389" s="27" t="str">
        <f>Resultados!$K$4</f>
        <v/>
      </c>
      <c r="C1389" s="569" t="str">
        <f>'900002'!$B35</f>
        <v>11101003</v>
      </c>
      <c r="D1389" s="27" t="str">
        <f>'900002'!$H$18</f>
        <v>C11101006</v>
      </c>
      <c r="E1389" s="570">
        <f>'900002'!$H35</f>
        <v>0</v>
      </c>
      <c r="F1389" s="27" t="s">
        <v>19082</v>
      </c>
    </row>
    <row r="1390" spans="1:6">
      <c r="A1390" s="27" t="str">
        <f>Resultados!$K$3</f>
        <v/>
      </c>
      <c r="B1390" s="27" t="str">
        <f>Resultados!$K$4</f>
        <v/>
      </c>
      <c r="C1390" s="569" t="str">
        <f>'900002'!$B21</f>
        <v>11101013</v>
      </c>
      <c r="D1390" s="27" t="str">
        <f>'900002'!$I$18</f>
        <v>C11101007</v>
      </c>
      <c r="E1390" s="570">
        <f>'900002'!$I21</f>
        <v>0</v>
      </c>
      <c r="F1390" s="27" t="s">
        <v>19082</v>
      </c>
    </row>
    <row r="1391" spans="1:6">
      <c r="A1391" s="27" t="str">
        <f>Resultados!$K$3</f>
        <v/>
      </c>
      <c r="B1391" s="27" t="str">
        <f>Resultados!$K$4</f>
        <v/>
      </c>
      <c r="C1391" s="569" t="str">
        <f>'900002'!$B22</f>
        <v>11101012</v>
      </c>
      <c r="D1391" s="27" t="str">
        <f>'900002'!$I$18</f>
        <v>C11101007</v>
      </c>
      <c r="E1391" s="570">
        <f>'900002'!$I22</f>
        <v>0</v>
      </c>
      <c r="F1391" s="27" t="s">
        <v>19082</v>
      </c>
    </row>
    <row r="1392" spans="1:6">
      <c r="A1392" s="27" t="str">
        <f>Resultados!$K$3</f>
        <v/>
      </c>
      <c r="B1392" s="27" t="str">
        <f>Resultados!$K$4</f>
        <v/>
      </c>
      <c r="C1392" s="569" t="str">
        <f>'900002'!$B23</f>
        <v>11101017</v>
      </c>
      <c r="D1392" s="27" t="str">
        <f>'900002'!$I$18</f>
        <v>C11101007</v>
      </c>
      <c r="E1392" s="570">
        <f>'900002'!$I23</f>
        <v>0</v>
      </c>
      <c r="F1392" s="27" t="s">
        <v>19082</v>
      </c>
    </row>
    <row r="1393" spans="1:6">
      <c r="A1393" s="27" t="str">
        <f>Resultados!$K$3</f>
        <v/>
      </c>
      <c r="B1393" s="27" t="str">
        <f>Resultados!$K$4</f>
        <v/>
      </c>
      <c r="C1393" s="569" t="str">
        <f>'900002'!$B24</f>
        <v>11101016</v>
      </c>
      <c r="D1393" s="27" t="str">
        <f>'900002'!$I$18</f>
        <v>C11101007</v>
      </c>
      <c r="E1393" s="570">
        <f>'900002'!$I24</f>
        <v>0</v>
      </c>
      <c r="F1393" s="27" t="s">
        <v>19082</v>
      </c>
    </row>
    <row r="1394" spans="1:6">
      <c r="A1394" s="27" t="str">
        <f>Resultados!$K$3</f>
        <v/>
      </c>
      <c r="B1394" s="27" t="str">
        <f>Resultados!$K$4</f>
        <v/>
      </c>
      <c r="C1394" s="569" t="str">
        <f>'900002'!$B26</f>
        <v>11101010</v>
      </c>
      <c r="D1394" s="27" t="str">
        <f>'900002'!$I$18</f>
        <v>C11101007</v>
      </c>
      <c r="E1394" s="570">
        <f>'900002'!$I26</f>
        <v>0</v>
      </c>
      <c r="F1394" s="27" t="s">
        <v>19082</v>
      </c>
    </row>
    <row r="1395" spans="1:6">
      <c r="A1395" s="27" t="str">
        <f>Resultados!$K$3</f>
        <v/>
      </c>
      <c r="B1395" s="27" t="str">
        <f>Resultados!$K$4</f>
        <v/>
      </c>
      <c r="C1395" s="569" t="str">
        <f>'900002'!$B27</f>
        <v>11101009</v>
      </c>
      <c r="D1395" s="27" t="str">
        <f>'900002'!$I$18</f>
        <v>C11101007</v>
      </c>
      <c r="E1395" s="570">
        <f>'900002'!$I27</f>
        <v>0</v>
      </c>
      <c r="F1395" s="27" t="s">
        <v>19082</v>
      </c>
    </row>
    <row r="1396" spans="1:6">
      <c r="A1396" s="27" t="str">
        <f>Resultados!$K$3</f>
        <v/>
      </c>
      <c r="B1396" s="27" t="str">
        <f>Resultados!$K$4</f>
        <v/>
      </c>
      <c r="C1396" s="569" t="str">
        <f>'900002'!$B28</f>
        <v>11101008</v>
      </c>
      <c r="D1396" s="27" t="str">
        <f>'900002'!$I$18</f>
        <v>C11101007</v>
      </c>
      <c r="E1396" s="570">
        <f>'900002'!$I28</f>
        <v>0</v>
      </c>
      <c r="F1396" s="27" t="s">
        <v>19082</v>
      </c>
    </row>
    <row r="1397" spans="1:6">
      <c r="A1397" s="27" t="str">
        <f>Resultados!$K$3</f>
        <v/>
      </c>
      <c r="B1397" s="27" t="str">
        <f>Resultados!$K$4</f>
        <v/>
      </c>
      <c r="C1397" s="569" t="str">
        <f>'900002'!$B29</f>
        <v>11101007</v>
      </c>
      <c r="D1397" s="27" t="str">
        <f>'900002'!$I$18</f>
        <v>C11101007</v>
      </c>
      <c r="E1397" s="570">
        <f>'900002'!$I29</f>
        <v>0</v>
      </c>
      <c r="F1397" s="27" t="s">
        <v>19082</v>
      </c>
    </row>
    <row r="1398" spans="1:6">
      <c r="A1398" s="27" t="str">
        <f>Resultados!$K$3</f>
        <v/>
      </c>
      <c r="B1398" s="27" t="str">
        <f>Resultados!$K$4</f>
        <v/>
      </c>
      <c r="C1398" s="569" t="str">
        <f>'900002'!$B30</f>
        <v>11101015</v>
      </c>
      <c r="D1398" s="27" t="str">
        <f>'900002'!$I$18</f>
        <v>C11101007</v>
      </c>
      <c r="E1398" s="570">
        <f>'900002'!$I30</f>
        <v>0</v>
      </c>
      <c r="F1398" s="27" t="s">
        <v>19082</v>
      </c>
    </row>
    <row r="1399" spans="1:6">
      <c r="A1399" s="27" t="str">
        <f>Resultados!$K$3</f>
        <v/>
      </c>
      <c r="B1399" s="27" t="str">
        <f>Resultados!$K$4</f>
        <v/>
      </c>
      <c r="C1399" s="569" t="str">
        <f>'900002'!$B31</f>
        <v>11101014</v>
      </c>
      <c r="D1399" s="27" t="str">
        <f>'900002'!$I$18</f>
        <v>C11101007</v>
      </c>
      <c r="E1399" s="570">
        <f>'900002'!$I31</f>
        <v>0</v>
      </c>
      <c r="F1399" s="27" t="s">
        <v>19082</v>
      </c>
    </row>
    <row r="1400" spans="1:6">
      <c r="A1400" s="27" t="str">
        <f>Resultados!$K$3</f>
        <v/>
      </c>
      <c r="B1400" s="27" t="str">
        <f>Resultados!$K$4</f>
        <v/>
      </c>
      <c r="C1400" s="569" t="str">
        <f>'900002'!$B33</f>
        <v>11101005</v>
      </c>
      <c r="D1400" s="27" t="str">
        <f>'900002'!$I$18</f>
        <v>C11101007</v>
      </c>
      <c r="E1400" s="570">
        <f>'900002'!$I33</f>
        <v>0</v>
      </c>
      <c r="F1400" s="27" t="s">
        <v>19082</v>
      </c>
    </row>
    <row r="1401" spans="1:6">
      <c r="A1401" s="27" t="str">
        <f>Resultados!$K$3</f>
        <v/>
      </c>
      <c r="B1401" s="27" t="str">
        <f>Resultados!$K$4</f>
        <v/>
      </c>
      <c r="C1401" s="569" t="str">
        <f>'900002'!$B34</f>
        <v>11101004</v>
      </c>
      <c r="D1401" s="27" t="str">
        <f>'900002'!$I$18</f>
        <v>C11101007</v>
      </c>
      <c r="E1401" s="570">
        <f>'900002'!$I34</f>
        <v>0</v>
      </c>
      <c r="F1401" s="27" t="s">
        <v>19082</v>
      </c>
    </row>
    <row r="1402" spans="1:6">
      <c r="A1402" s="27" t="str">
        <f>Resultados!$K$3</f>
        <v/>
      </c>
      <c r="B1402" s="27" t="str">
        <f>Resultados!$K$4</f>
        <v/>
      </c>
      <c r="C1402" s="569" t="str">
        <f>'900002'!$B35</f>
        <v>11101003</v>
      </c>
      <c r="D1402" s="27" t="str">
        <f>'900002'!$I$18</f>
        <v>C11101007</v>
      </c>
      <c r="E1402" s="570">
        <f>'900002'!$I35</f>
        <v>0</v>
      </c>
      <c r="F1402" s="27" t="s">
        <v>19082</v>
      </c>
    </row>
    <row r="1403" spans="1:6">
      <c r="A1403" s="27" t="str">
        <f>Resultados!$K$3</f>
        <v/>
      </c>
      <c r="B1403" s="27" t="str">
        <f>Resultados!$K$4</f>
        <v/>
      </c>
      <c r="C1403" s="569" t="str">
        <f>'900002'!$B21</f>
        <v>11101013</v>
      </c>
      <c r="D1403" s="27" t="str">
        <f>'900002'!$J$18</f>
        <v>C11101008</v>
      </c>
      <c r="E1403" s="570">
        <f>'900002'!$J21</f>
        <v>0</v>
      </c>
      <c r="F1403" s="27" t="s">
        <v>19082</v>
      </c>
    </row>
    <row r="1404" spans="1:6">
      <c r="A1404" s="27" t="str">
        <f>Resultados!$K$3</f>
        <v/>
      </c>
      <c r="B1404" s="27" t="str">
        <f>Resultados!$K$4</f>
        <v/>
      </c>
      <c r="C1404" s="569" t="str">
        <f>'900002'!$B22</f>
        <v>11101012</v>
      </c>
      <c r="D1404" s="27" t="str">
        <f>'900002'!$J$18</f>
        <v>C11101008</v>
      </c>
      <c r="E1404" s="570">
        <f>'900002'!$J22</f>
        <v>0</v>
      </c>
      <c r="F1404" s="27" t="s">
        <v>19082</v>
      </c>
    </row>
    <row r="1405" spans="1:6">
      <c r="A1405" s="27" t="str">
        <f>Resultados!$K$3</f>
        <v/>
      </c>
      <c r="B1405" s="27" t="str">
        <f>Resultados!$K$4</f>
        <v/>
      </c>
      <c r="C1405" s="569" t="str">
        <f>'900002'!$B23</f>
        <v>11101017</v>
      </c>
      <c r="D1405" s="27" t="str">
        <f>'900002'!$J$18</f>
        <v>C11101008</v>
      </c>
      <c r="E1405" s="570">
        <f>'900002'!$J23</f>
        <v>0</v>
      </c>
      <c r="F1405" s="27" t="s">
        <v>19082</v>
      </c>
    </row>
    <row r="1406" spans="1:6">
      <c r="A1406" s="27" t="str">
        <f>Resultados!$K$3</f>
        <v/>
      </c>
      <c r="B1406" s="27" t="str">
        <f>Resultados!$K$4</f>
        <v/>
      </c>
      <c r="C1406" s="569" t="str">
        <f>'900002'!$B24</f>
        <v>11101016</v>
      </c>
      <c r="D1406" s="27" t="str">
        <f>'900002'!$J$18</f>
        <v>C11101008</v>
      </c>
      <c r="E1406" s="570">
        <f>'900002'!$J24</f>
        <v>0</v>
      </c>
      <c r="F1406" s="27" t="s">
        <v>19082</v>
      </c>
    </row>
    <row r="1407" spans="1:6">
      <c r="A1407" s="27" t="str">
        <f>Resultados!$K$3</f>
        <v/>
      </c>
      <c r="B1407" s="27" t="str">
        <f>Resultados!$K$4</f>
        <v/>
      </c>
      <c r="C1407" s="569" t="str">
        <f>'900002'!$B26</f>
        <v>11101010</v>
      </c>
      <c r="D1407" s="27" t="str">
        <f>'900002'!$J$18</f>
        <v>C11101008</v>
      </c>
      <c r="E1407" s="570">
        <f>'900002'!$J26</f>
        <v>0</v>
      </c>
      <c r="F1407" s="27" t="s">
        <v>19082</v>
      </c>
    </row>
    <row r="1408" spans="1:6">
      <c r="A1408" s="27" t="str">
        <f>Resultados!$K$3</f>
        <v/>
      </c>
      <c r="B1408" s="27" t="str">
        <f>Resultados!$K$4</f>
        <v/>
      </c>
      <c r="C1408" s="569" t="str">
        <f>'900002'!$B27</f>
        <v>11101009</v>
      </c>
      <c r="D1408" s="27" t="str">
        <f>'900002'!$J$18</f>
        <v>C11101008</v>
      </c>
      <c r="E1408" s="570">
        <f>'900002'!$J27</f>
        <v>0</v>
      </c>
      <c r="F1408" s="27" t="s">
        <v>19082</v>
      </c>
    </row>
    <row r="1409" spans="1:6">
      <c r="A1409" s="27" t="str">
        <f>Resultados!$K$3</f>
        <v/>
      </c>
      <c r="B1409" s="27" t="str">
        <f>Resultados!$K$4</f>
        <v/>
      </c>
      <c r="C1409" s="569" t="str">
        <f>'900002'!$B28</f>
        <v>11101008</v>
      </c>
      <c r="D1409" s="27" t="str">
        <f>'900002'!$J$18</f>
        <v>C11101008</v>
      </c>
      <c r="E1409" s="570">
        <f>'900002'!$J28</f>
        <v>0</v>
      </c>
      <c r="F1409" s="27" t="s">
        <v>19082</v>
      </c>
    </row>
    <row r="1410" spans="1:6">
      <c r="A1410" s="27" t="str">
        <f>Resultados!$K$3</f>
        <v/>
      </c>
      <c r="B1410" s="27" t="str">
        <f>Resultados!$K$4</f>
        <v/>
      </c>
      <c r="C1410" s="569" t="str">
        <f>'900002'!$B29</f>
        <v>11101007</v>
      </c>
      <c r="D1410" s="27" t="str">
        <f>'900002'!$J$18</f>
        <v>C11101008</v>
      </c>
      <c r="E1410" s="570">
        <f>'900002'!$J29</f>
        <v>0</v>
      </c>
      <c r="F1410" s="27" t="s">
        <v>19082</v>
      </c>
    </row>
    <row r="1411" spans="1:6">
      <c r="A1411" s="27" t="str">
        <f>Resultados!$K$3</f>
        <v/>
      </c>
      <c r="B1411" s="27" t="str">
        <f>Resultados!$K$4</f>
        <v/>
      </c>
      <c r="C1411" s="569" t="str">
        <f>'900002'!$B30</f>
        <v>11101015</v>
      </c>
      <c r="D1411" s="27" t="str">
        <f>'900002'!$J$18</f>
        <v>C11101008</v>
      </c>
      <c r="E1411" s="570">
        <f>'900002'!$J30</f>
        <v>0</v>
      </c>
      <c r="F1411" s="27" t="s">
        <v>19082</v>
      </c>
    </row>
    <row r="1412" spans="1:6">
      <c r="A1412" s="27" t="str">
        <f>Resultados!$K$3</f>
        <v/>
      </c>
      <c r="B1412" s="27" t="str">
        <f>Resultados!$K$4</f>
        <v/>
      </c>
      <c r="C1412" s="569" t="str">
        <f>'900002'!$B31</f>
        <v>11101014</v>
      </c>
      <c r="D1412" s="27" t="str">
        <f>'900002'!$J$18</f>
        <v>C11101008</v>
      </c>
      <c r="E1412" s="570">
        <f>'900002'!$J31</f>
        <v>0</v>
      </c>
      <c r="F1412" s="27" t="s">
        <v>19082</v>
      </c>
    </row>
    <row r="1413" spans="1:6">
      <c r="A1413" s="27" t="str">
        <f>Resultados!$K$3</f>
        <v/>
      </c>
      <c r="B1413" s="27" t="str">
        <f>Resultados!$K$4</f>
        <v/>
      </c>
      <c r="C1413" s="569" t="str">
        <f>'900002'!$B33</f>
        <v>11101005</v>
      </c>
      <c r="D1413" s="27" t="str">
        <f>'900002'!$J$18</f>
        <v>C11101008</v>
      </c>
      <c r="E1413" s="570">
        <f>'900002'!$J33</f>
        <v>0</v>
      </c>
      <c r="F1413" s="27" t="s">
        <v>19082</v>
      </c>
    </row>
    <row r="1414" spans="1:6">
      <c r="A1414" s="27" t="str">
        <f>Resultados!$K$3</f>
        <v/>
      </c>
      <c r="B1414" s="27" t="str">
        <f>Resultados!$K$4</f>
        <v/>
      </c>
      <c r="C1414" s="569" t="str">
        <f>'900002'!$B34</f>
        <v>11101004</v>
      </c>
      <c r="D1414" s="27" t="str">
        <f>'900002'!$J$18</f>
        <v>C11101008</v>
      </c>
      <c r="E1414" s="570">
        <f>'900002'!$J34</f>
        <v>0</v>
      </c>
      <c r="F1414" s="27" t="s">
        <v>19082</v>
      </c>
    </row>
    <row r="1415" spans="1:6">
      <c r="A1415" s="27" t="str">
        <f>Resultados!$K$3</f>
        <v/>
      </c>
      <c r="B1415" s="27" t="str">
        <f>Resultados!$K$4</f>
        <v/>
      </c>
      <c r="C1415" s="569" t="str">
        <f>'900002'!$B35</f>
        <v>11101003</v>
      </c>
      <c r="D1415" s="27" t="str">
        <f>'900002'!$J$18</f>
        <v>C11101008</v>
      </c>
      <c r="E1415" s="570">
        <f>'900002'!$J35</f>
        <v>0</v>
      </c>
      <c r="F1415" s="27" t="s">
        <v>19082</v>
      </c>
    </row>
    <row r="1416" spans="1:6">
      <c r="A1416" s="27" t="str">
        <f>Resultados!$K$3</f>
        <v/>
      </c>
      <c r="B1416" s="27" t="str">
        <f>Resultados!$K$4</f>
        <v/>
      </c>
      <c r="C1416" s="569" t="str">
        <f>'900002'!$B21</f>
        <v>11101013</v>
      </c>
      <c r="D1416" s="27" t="str">
        <f>'900002'!$L$18</f>
        <v>C11101009</v>
      </c>
      <c r="E1416" s="570">
        <f>'900002'!$L21</f>
        <v>0</v>
      </c>
      <c r="F1416" s="27" t="s">
        <v>19082</v>
      </c>
    </row>
    <row r="1417" spans="1:6">
      <c r="A1417" s="27" t="str">
        <f>Resultados!$K$3</f>
        <v/>
      </c>
      <c r="B1417" s="27" t="str">
        <f>Resultados!$K$4</f>
        <v/>
      </c>
      <c r="C1417" s="569" t="str">
        <f>'900002'!$B22</f>
        <v>11101012</v>
      </c>
      <c r="D1417" s="27" t="str">
        <f>'900002'!$L$18</f>
        <v>C11101009</v>
      </c>
      <c r="E1417" s="570">
        <f>'900002'!$L22</f>
        <v>0</v>
      </c>
      <c r="F1417" s="27" t="s">
        <v>19082</v>
      </c>
    </row>
    <row r="1418" spans="1:6">
      <c r="A1418" s="27" t="str">
        <f>Resultados!$K$3</f>
        <v/>
      </c>
      <c r="B1418" s="27" t="str">
        <f>Resultados!$K$4</f>
        <v/>
      </c>
      <c r="C1418" s="569" t="str">
        <f>'900002'!$B23</f>
        <v>11101017</v>
      </c>
      <c r="D1418" s="27" t="str">
        <f>'900002'!$L$18</f>
        <v>C11101009</v>
      </c>
      <c r="E1418" s="570">
        <f>'900002'!$L23</f>
        <v>0</v>
      </c>
      <c r="F1418" s="27" t="s">
        <v>19082</v>
      </c>
    </row>
    <row r="1419" spans="1:6">
      <c r="A1419" s="27" t="str">
        <f>Resultados!$K$3</f>
        <v/>
      </c>
      <c r="B1419" s="27" t="str">
        <f>Resultados!$K$4</f>
        <v/>
      </c>
      <c r="C1419" s="569" t="str">
        <f>'900002'!$B24</f>
        <v>11101016</v>
      </c>
      <c r="D1419" s="27" t="str">
        <f>'900002'!$L$18</f>
        <v>C11101009</v>
      </c>
      <c r="E1419" s="570">
        <f>'900002'!$L24</f>
        <v>0</v>
      </c>
      <c r="F1419" s="27" t="s">
        <v>19082</v>
      </c>
    </row>
    <row r="1420" spans="1:6">
      <c r="A1420" s="27" t="str">
        <f>Resultados!$K$3</f>
        <v/>
      </c>
      <c r="B1420" s="27" t="str">
        <f>Resultados!$K$4</f>
        <v/>
      </c>
      <c r="C1420" s="569" t="str">
        <f>'900002'!$B26</f>
        <v>11101010</v>
      </c>
      <c r="D1420" s="27" t="str">
        <f>'900002'!$L$18</f>
        <v>C11101009</v>
      </c>
      <c r="E1420" s="570">
        <f>'900002'!$L26</f>
        <v>0</v>
      </c>
      <c r="F1420" s="27" t="s">
        <v>19082</v>
      </c>
    </row>
    <row r="1421" spans="1:6">
      <c r="A1421" s="27" t="str">
        <f>Resultados!$K$3</f>
        <v/>
      </c>
      <c r="B1421" s="27" t="str">
        <f>Resultados!$K$4</f>
        <v/>
      </c>
      <c r="C1421" s="569" t="str">
        <f>'900002'!$B27</f>
        <v>11101009</v>
      </c>
      <c r="D1421" s="27" t="str">
        <f>'900002'!$L$18</f>
        <v>C11101009</v>
      </c>
      <c r="E1421" s="570">
        <f>'900002'!$L27</f>
        <v>0</v>
      </c>
      <c r="F1421" s="27" t="s">
        <v>19082</v>
      </c>
    </row>
    <row r="1422" spans="1:6">
      <c r="A1422" s="27" t="str">
        <f>Resultados!$K$3</f>
        <v/>
      </c>
      <c r="B1422" s="27" t="str">
        <f>Resultados!$K$4</f>
        <v/>
      </c>
      <c r="C1422" s="569" t="str">
        <f>'900002'!$B28</f>
        <v>11101008</v>
      </c>
      <c r="D1422" s="27" t="str">
        <f>'900002'!$L$18</f>
        <v>C11101009</v>
      </c>
      <c r="E1422" s="570">
        <f>'900002'!$L28</f>
        <v>0</v>
      </c>
      <c r="F1422" s="27" t="s">
        <v>19082</v>
      </c>
    </row>
    <row r="1423" spans="1:6">
      <c r="A1423" s="27" t="str">
        <f>Resultados!$K$3</f>
        <v/>
      </c>
      <c r="B1423" s="27" t="str">
        <f>Resultados!$K$4</f>
        <v/>
      </c>
      <c r="C1423" s="569" t="str">
        <f>'900002'!$B29</f>
        <v>11101007</v>
      </c>
      <c r="D1423" s="27" t="str">
        <f>'900002'!$L$18</f>
        <v>C11101009</v>
      </c>
      <c r="E1423" s="570">
        <f>'900002'!$L29</f>
        <v>0</v>
      </c>
      <c r="F1423" s="27" t="s">
        <v>19082</v>
      </c>
    </row>
    <row r="1424" spans="1:6">
      <c r="A1424" s="27" t="str">
        <f>Resultados!$K$3</f>
        <v/>
      </c>
      <c r="B1424" s="27" t="str">
        <f>Resultados!$K$4</f>
        <v/>
      </c>
      <c r="C1424" s="569" t="str">
        <f>'900002'!$B30</f>
        <v>11101015</v>
      </c>
      <c r="D1424" s="27" t="str">
        <f>'900002'!$L$18</f>
        <v>C11101009</v>
      </c>
      <c r="E1424" s="570">
        <f>'900002'!$L30</f>
        <v>0</v>
      </c>
      <c r="F1424" s="27" t="s">
        <v>19082</v>
      </c>
    </row>
    <row r="1425" spans="1:6">
      <c r="A1425" s="27" t="str">
        <f>Resultados!$K$3</f>
        <v/>
      </c>
      <c r="B1425" s="27" t="str">
        <f>Resultados!$K$4</f>
        <v/>
      </c>
      <c r="C1425" s="569" t="str">
        <f>'900002'!$B31</f>
        <v>11101014</v>
      </c>
      <c r="D1425" s="27" t="str">
        <f>'900002'!$L$18</f>
        <v>C11101009</v>
      </c>
      <c r="E1425" s="570">
        <f>'900002'!$L31</f>
        <v>0</v>
      </c>
      <c r="F1425" s="27" t="s">
        <v>19082</v>
      </c>
    </row>
    <row r="1426" spans="1:6">
      <c r="A1426" s="27" t="str">
        <f>Resultados!$K$3</f>
        <v/>
      </c>
      <c r="B1426" s="27" t="str">
        <f>Resultados!$K$4</f>
        <v/>
      </c>
      <c r="C1426" s="569" t="str">
        <f>'900002'!$B33</f>
        <v>11101005</v>
      </c>
      <c r="D1426" s="27" t="str">
        <f>'900002'!$L$18</f>
        <v>C11101009</v>
      </c>
      <c r="E1426" s="570">
        <f>'900002'!$L33</f>
        <v>0</v>
      </c>
      <c r="F1426" s="27" t="s">
        <v>19082</v>
      </c>
    </row>
    <row r="1427" spans="1:6">
      <c r="A1427" s="27" t="str">
        <f>Resultados!$K$3</f>
        <v/>
      </c>
      <c r="B1427" s="27" t="str">
        <f>Resultados!$K$4</f>
        <v/>
      </c>
      <c r="C1427" s="569" t="str">
        <f>'900002'!$B34</f>
        <v>11101004</v>
      </c>
      <c r="D1427" s="27" t="str">
        <f>'900002'!$L$18</f>
        <v>C11101009</v>
      </c>
      <c r="E1427" s="570">
        <f>'900002'!$L34</f>
        <v>0</v>
      </c>
      <c r="F1427" s="27" t="s">
        <v>19082</v>
      </c>
    </row>
    <row r="1428" spans="1:6">
      <c r="A1428" s="27" t="str">
        <f>Resultados!$K$3</f>
        <v/>
      </c>
      <c r="B1428" s="27" t="str">
        <f>Resultados!$K$4</f>
        <v/>
      </c>
      <c r="C1428" s="569" t="str">
        <f>'900002'!$B35</f>
        <v>11101003</v>
      </c>
      <c r="D1428" s="27" t="str">
        <f>'900002'!$L$18</f>
        <v>C11101009</v>
      </c>
      <c r="E1428" s="570">
        <f>'900002'!$L35</f>
        <v>0</v>
      </c>
      <c r="F1428" s="27" t="s">
        <v>19082</v>
      </c>
    </row>
    <row r="1429" spans="1:6">
      <c r="A1429" s="27" t="str">
        <f>Resultados!$K$3</f>
        <v/>
      </c>
      <c r="B1429" s="27" t="str">
        <f>Resultados!$K$4</f>
        <v/>
      </c>
      <c r="C1429" s="569" t="str">
        <f>'900003'!$B$16</f>
        <v>11201003</v>
      </c>
      <c r="D1429" t="str">
        <f>'900003'!D$14</f>
        <v>C11201002</v>
      </c>
      <c r="E1429" s="571">
        <f>'900003'!D17</f>
        <v>262091406</v>
      </c>
      <c r="F1429" s="27" t="s">
        <v>19083</v>
      </c>
    </row>
    <row r="1430" spans="1:6">
      <c r="A1430" s="27" t="str">
        <f>Resultados!$K$3</f>
        <v/>
      </c>
      <c r="B1430" s="27" t="str">
        <f>Resultados!$K$4</f>
        <v/>
      </c>
      <c r="C1430" s="569" t="str">
        <f>'900003'!$B$16</f>
        <v>11201003</v>
      </c>
      <c r="D1430" s="27" t="str">
        <f>'900003'!E$14</f>
        <v>C11201003</v>
      </c>
      <c r="E1430" s="571">
        <f>'900003'!E17</f>
        <v>0</v>
      </c>
      <c r="F1430" s="27" t="s">
        <v>19083</v>
      </c>
    </row>
    <row r="1431" spans="1:6">
      <c r="A1431" s="27" t="str">
        <f>Resultados!$K$3</f>
        <v/>
      </c>
      <c r="B1431" s="27" t="str">
        <f>Resultados!$K$4</f>
        <v/>
      </c>
      <c r="C1431" s="569">
        <f>'900004'!$B16</f>
        <v>11301002</v>
      </c>
      <c r="D1431" t="str">
        <f>'900004'!$D$13</f>
        <v>C11301001</v>
      </c>
      <c r="E1431" s="572">
        <f>'900004'!$D16</f>
        <v>0</v>
      </c>
      <c r="F1431" s="27" t="s">
        <v>19084</v>
      </c>
    </row>
    <row r="1432" spans="1:6">
      <c r="A1432" s="27" t="str">
        <f>Resultados!$K$3</f>
        <v/>
      </c>
      <c r="B1432" s="27" t="str">
        <f>Resultados!$K$4</f>
        <v/>
      </c>
      <c r="C1432" s="569" t="str">
        <f>'900004'!$B17</f>
        <v>11301003</v>
      </c>
      <c r="D1432" s="27" t="str">
        <f>'900004'!$D$13</f>
        <v>C11301001</v>
      </c>
      <c r="E1432" s="572">
        <f>'900004'!$D17</f>
        <v>0</v>
      </c>
      <c r="F1432" s="27" t="s">
        <v>19084</v>
      </c>
    </row>
    <row r="1433" spans="1:6">
      <c r="A1433" s="27" t="str">
        <f>Resultados!$K$3</f>
        <v/>
      </c>
      <c r="B1433" s="27" t="str">
        <f>Resultados!$K$4</f>
        <v/>
      </c>
      <c r="C1433" s="569">
        <f>'900004'!$B18</f>
        <v>11301004</v>
      </c>
      <c r="D1433" s="27" t="str">
        <f>'900004'!$D$13</f>
        <v>C11301001</v>
      </c>
      <c r="E1433" s="572">
        <f>'900004'!$D18</f>
        <v>0</v>
      </c>
      <c r="F1433" s="27" t="s">
        <v>19084</v>
      </c>
    </row>
    <row r="1434" spans="1:6">
      <c r="A1434" s="27" t="str">
        <f>Resultados!$K$3</f>
        <v/>
      </c>
      <c r="B1434" s="27" t="str">
        <f>Resultados!$K$4</f>
        <v/>
      </c>
      <c r="C1434" s="569" t="str">
        <f>'900004'!$B19</f>
        <v>11301005</v>
      </c>
      <c r="D1434" s="27" t="str">
        <f>'900004'!$D$13</f>
        <v>C11301001</v>
      </c>
      <c r="E1434" s="572">
        <f>'900004'!$D19</f>
        <v>0</v>
      </c>
      <c r="F1434" s="27" t="s">
        <v>19084</v>
      </c>
    </row>
    <row r="1435" spans="1:6">
      <c r="A1435" s="27" t="str">
        <f>Resultados!$K$3</f>
        <v/>
      </c>
      <c r="B1435" s="27" t="str">
        <f>Resultados!$K$4</f>
        <v/>
      </c>
      <c r="C1435" s="569" t="str">
        <f>'900004'!$B20</f>
        <v>11301006</v>
      </c>
      <c r="D1435" s="27" t="str">
        <f>'900004'!$D$13</f>
        <v>C11301001</v>
      </c>
      <c r="E1435" s="572">
        <f>'900004'!$D20</f>
        <v>0</v>
      </c>
      <c r="F1435" s="27" t="s">
        <v>19084</v>
      </c>
    </row>
    <row r="1436" spans="1:6">
      <c r="A1436" s="27" t="str">
        <f>Resultados!$K$3</f>
        <v/>
      </c>
      <c r="B1436" s="27" t="str">
        <f>Resultados!$K$4</f>
        <v/>
      </c>
      <c r="C1436" s="569">
        <f>'900004'!$B16</f>
        <v>11301002</v>
      </c>
      <c r="D1436" s="27" t="str">
        <f>'900004'!$E$13</f>
        <v>C11301002</v>
      </c>
      <c r="E1436" s="572">
        <f>'900004'!$E16</f>
        <v>0</v>
      </c>
      <c r="F1436" s="27" t="s">
        <v>19084</v>
      </c>
    </row>
    <row r="1437" spans="1:6">
      <c r="A1437" s="27" t="str">
        <f>Resultados!$K$3</f>
        <v/>
      </c>
      <c r="B1437" s="27" t="str">
        <f>Resultados!$K$4</f>
        <v/>
      </c>
      <c r="C1437" s="569" t="str">
        <f>'900004'!$B17</f>
        <v>11301003</v>
      </c>
      <c r="D1437" s="27" t="str">
        <f>'900004'!$E$13</f>
        <v>C11301002</v>
      </c>
      <c r="E1437" s="572">
        <f>'900004'!$E17</f>
        <v>0</v>
      </c>
      <c r="F1437" s="27" t="s">
        <v>19084</v>
      </c>
    </row>
    <row r="1438" spans="1:6">
      <c r="A1438" s="27" t="str">
        <f>Resultados!$K$3</f>
        <v/>
      </c>
      <c r="B1438" s="27" t="str">
        <f>Resultados!$K$4</f>
        <v/>
      </c>
      <c r="C1438" s="569">
        <f>'900004'!$B18</f>
        <v>11301004</v>
      </c>
      <c r="D1438" s="27" t="str">
        <f>'900004'!$E$13</f>
        <v>C11301002</v>
      </c>
      <c r="E1438" s="572">
        <f>'900004'!$E18</f>
        <v>0</v>
      </c>
      <c r="F1438" s="27" t="s">
        <v>19084</v>
      </c>
    </row>
    <row r="1439" spans="1:6">
      <c r="A1439" s="27" t="str">
        <f>Resultados!$K$3</f>
        <v/>
      </c>
      <c r="B1439" s="27" t="str">
        <f>Resultados!$K$4</f>
        <v/>
      </c>
      <c r="C1439" s="569" t="str">
        <f>'900004'!$B19</f>
        <v>11301005</v>
      </c>
      <c r="D1439" s="27" t="str">
        <f>'900004'!$E$13</f>
        <v>C11301002</v>
      </c>
      <c r="E1439" s="572">
        <f>'900004'!$E19</f>
        <v>0</v>
      </c>
      <c r="F1439" s="27" t="s">
        <v>19084</v>
      </c>
    </row>
    <row r="1440" spans="1:6">
      <c r="A1440" s="27" t="str">
        <f>Resultados!$K$3</f>
        <v/>
      </c>
      <c r="B1440" s="27" t="str">
        <f>Resultados!$K$4</f>
        <v/>
      </c>
      <c r="C1440" s="569" t="str">
        <f>'900004'!$B20</f>
        <v>11301006</v>
      </c>
      <c r="D1440" s="27" t="str">
        <f>'900004'!$E$13</f>
        <v>C11301002</v>
      </c>
      <c r="E1440" s="572">
        <f>'900004'!$E20</f>
        <v>0</v>
      </c>
      <c r="F1440" s="27" t="s">
        <v>19084</v>
      </c>
    </row>
    <row r="1441" spans="1:6">
      <c r="A1441" s="27" t="str">
        <f>Resultados!$K$3</f>
        <v/>
      </c>
      <c r="B1441" s="27" t="str">
        <f>Resultados!$K$4</f>
        <v/>
      </c>
      <c r="C1441" s="569" t="str">
        <f>'900004'!$B35</f>
        <v>11302002</v>
      </c>
      <c r="D1441" s="27" t="str">
        <f>'900004'!$D$32</f>
        <v>C11302002</v>
      </c>
      <c r="E1441" s="572">
        <f>'900004'!$D35</f>
        <v>0</v>
      </c>
      <c r="F1441" s="27" t="s">
        <v>19084</v>
      </c>
    </row>
    <row r="1442" spans="1:6">
      <c r="A1442" s="27" t="str">
        <f>Resultados!$K$3</f>
        <v/>
      </c>
      <c r="B1442" s="27" t="str">
        <f>Resultados!$K$4</f>
        <v/>
      </c>
      <c r="C1442" s="569" t="str">
        <f>'900004'!$B36</f>
        <v>11302003</v>
      </c>
      <c r="D1442" s="27" t="str">
        <f>'900004'!$D$32</f>
        <v>C11302002</v>
      </c>
      <c r="E1442" s="572">
        <f>'900004'!$D36</f>
        <v>0</v>
      </c>
      <c r="F1442" s="27" t="s">
        <v>19084</v>
      </c>
    </row>
    <row r="1443" spans="1:6">
      <c r="A1443" s="27" t="str">
        <f>Resultados!$K$3</f>
        <v/>
      </c>
      <c r="B1443" s="27" t="str">
        <f>Resultados!$K$4</f>
        <v/>
      </c>
      <c r="C1443" s="569" t="str">
        <f>'900004'!$B37</f>
        <v>11302004</v>
      </c>
      <c r="D1443" s="27" t="str">
        <f>'900004'!$D$32</f>
        <v>C11302002</v>
      </c>
      <c r="E1443" s="572">
        <f>'900004'!$D37</f>
        <v>0</v>
      </c>
      <c r="F1443" s="27" t="s">
        <v>19084</v>
      </c>
    </row>
    <row r="1444" spans="1:6">
      <c r="A1444" s="27" t="str">
        <f>Resultados!$K$3</f>
        <v/>
      </c>
      <c r="B1444" s="27" t="str">
        <f>Resultados!$K$4</f>
        <v/>
      </c>
      <c r="C1444" s="569" t="str">
        <f>'900004'!$B38</f>
        <v>11302005</v>
      </c>
      <c r="D1444" s="27" t="str">
        <f>'900004'!$D$32</f>
        <v>C11302002</v>
      </c>
      <c r="E1444" s="572">
        <f>'900004'!$D38</f>
        <v>0</v>
      </c>
      <c r="F1444" s="27" t="s">
        <v>19084</v>
      </c>
    </row>
    <row r="1445" spans="1:6">
      <c r="A1445" s="27" t="str">
        <f>Resultados!$K$3</f>
        <v/>
      </c>
      <c r="B1445" s="27" t="str">
        <f>Resultados!$K$4</f>
        <v/>
      </c>
      <c r="C1445" s="569" t="str">
        <f>'900004'!$B40</f>
        <v>11302007</v>
      </c>
      <c r="D1445" s="27" t="str">
        <f>'900004'!$D$32</f>
        <v>C11302002</v>
      </c>
      <c r="E1445" s="572">
        <f>'900004'!$D40</f>
        <v>0</v>
      </c>
      <c r="F1445" s="27" t="s">
        <v>19084</v>
      </c>
    </row>
    <row r="1446" spans="1:6">
      <c r="A1446" s="27" t="str">
        <f>Resultados!$K$3</f>
        <v/>
      </c>
      <c r="B1446" s="27" t="str">
        <f>Resultados!$K$4</f>
        <v/>
      </c>
      <c r="C1446" s="569" t="str">
        <f>'900004'!$B35</f>
        <v>11302002</v>
      </c>
      <c r="D1446" s="27" t="str">
        <f>'900004'!$E$32</f>
        <v>C11302003</v>
      </c>
      <c r="E1446" s="572">
        <f>'900004'!$E35</f>
        <v>0</v>
      </c>
      <c r="F1446" s="27" t="s">
        <v>19084</v>
      </c>
    </row>
    <row r="1447" spans="1:6">
      <c r="A1447" s="27" t="str">
        <f>Resultados!$K$3</f>
        <v/>
      </c>
      <c r="B1447" s="27" t="str">
        <f>Resultados!$K$4</f>
        <v/>
      </c>
      <c r="C1447" s="569" t="str">
        <f>'900004'!$B36</f>
        <v>11302003</v>
      </c>
      <c r="D1447" s="27" t="str">
        <f>'900004'!$E$32</f>
        <v>C11302003</v>
      </c>
      <c r="E1447" s="572">
        <f>'900004'!$E36</f>
        <v>0</v>
      </c>
      <c r="F1447" s="27" t="s">
        <v>19084</v>
      </c>
    </row>
    <row r="1448" spans="1:6">
      <c r="A1448" s="27" t="str">
        <f>Resultados!$K$3</f>
        <v/>
      </c>
      <c r="B1448" s="27" t="str">
        <f>Resultados!$K$4</f>
        <v/>
      </c>
      <c r="C1448" s="569" t="str">
        <f>'900004'!$B37</f>
        <v>11302004</v>
      </c>
      <c r="D1448" s="27" t="str">
        <f>'900004'!$E$32</f>
        <v>C11302003</v>
      </c>
      <c r="E1448" s="572">
        <f>'900004'!$E37</f>
        <v>0</v>
      </c>
      <c r="F1448" s="27" t="s">
        <v>19084</v>
      </c>
    </row>
    <row r="1449" spans="1:6">
      <c r="A1449" s="27" t="str">
        <f>Resultados!$K$3</f>
        <v/>
      </c>
      <c r="B1449" s="27" t="str">
        <f>Resultados!$K$4</f>
        <v/>
      </c>
      <c r="C1449" s="569" t="str">
        <f>'900004'!$B38</f>
        <v>11302005</v>
      </c>
      <c r="D1449" s="27" t="str">
        <f>'900004'!$E$32</f>
        <v>C11302003</v>
      </c>
      <c r="E1449" s="572">
        <f>'900004'!$E38</f>
        <v>0</v>
      </c>
      <c r="F1449" s="27" t="s">
        <v>19084</v>
      </c>
    </row>
    <row r="1450" spans="1:6">
      <c r="A1450" s="27" t="str">
        <f>Resultados!$K$3</f>
        <v/>
      </c>
      <c r="B1450" s="27" t="str">
        <f>Resultados!$K$4</f>
        <v/>
      </c>
      <c r="C1450" s="569" t="str">
        <f>'900004'!$B40</f>
        <v>11302007</v>
      </c>
      <c r="D1450" s="27" t="str">
        <f>'900004'!$E$32</f>
        <v>C11302003</v>
      </c>
      <c r="E1450" s="572">
        <f>'900004'!$E40</f>
        <v>0</v>
      </c>
      <c r="F1450" s="27" t="s">
        <v>19084</v>
      </c>
    </row>
    <row r="1451" spans="1:6">
      <c r="A1451" s="27" t="str">
        <f>Resultados!$K$3</f>
        <v/>
      </c>
      <c r="B1451" s="27" t="str">
        <f>Resultados!$K$4</f>
        <v/>
      </c>
      <c r="C1451" s="569" t="str">
        <f>'900005'!$B19</f>
        <v/>
      </c>
      <c r="D1451" t="str">
        <f>'900005'!$E$16</f>
        <v>C11601001</v>
      </c>
      <c r="E1451" s="573">
        <f>'900005'!$E19</f>
        <v>0</v>
      </c>
      <c r="F1451" s="27" t="s">
        <v>19085</v>
      </c>
    </row>
    <row r="1452" spans="1:6">
      <c r="A1452" s="27" t="str">
        <f>Resultados!$K$3</f>
        <v/>
      </c>
      <c r="B1452" s="27" t="str">
        <f>Resultados!$K$4</f>
        <v/>
      </c>
      <c r="C1452" s="569" t="str">
        <f>'900005'!$B20</f>
        <v/>
      </c>
      <c r="D1452" s="27" t="str">
        <f>'900005'!$E$16</f>
        <v>C11601001</v>
      </c>
      <c r="E1452" s="573">
        <f>'900005'!$E20</f>
        <v>0</v>
      </c>
      <c r="F1452" s="27" t="s">
        <v>19085</v>
      </c>
    </row>
    <row r="1453" spans="1:6">
      <c r="A1453" s="27" t="str">
        <f>Resultados!$K$3</f>
        <v/>
      </c>
      <c r="B1453" s="27" t="str">
        <f>Resultados!$K$4</f>
        <v/>
      </c>
      <c r="C1453" s="569" t="str">
        <f>'900005'!$B21</f>
        <v/>
      </c>
      <c r="D1453" s="27" t="str">
        <f>'900005'!$E$16</f>
        <v>C11601001</v>
      </c>
      <c r="E1453" s="573">
        <f>'900005'!$E21</f>
        <v>0</v>
      </c>
      <c r="F1453" s="27" t="s">
        <v>19085</v>
      </c>
    </row>
    <row r="1454" spans="1:6">
      <c r="A1454" s="27" t="str">
        <f>Resultados!$K$3</f>
        <v/>
      </c>
      <c r="B1454" s="27" t="str">
        <f>Resultados!$K$4</f>
        <v/>
      </c>
      <c r="C1454" s="569" t="str">
        <f>'900005'!$B22</f>
        <v/>
      </c>
      <c r="D1454" s="27" t="str">
        <f>'900005'!$E$16</f>
        <v>C11601001</v>
      </c>
      <c r="E1454" s="573">
        <f>'900005'!$E22</f>
        <v>0</v>
      </c>
      <c r="F1454" s="27" t="s">
        <v>19085</v>
      </c>
    </row>
    <row r="1455" spans="1:6">
      <c r="A1455" s="27" t="str">
        <f>Resultados!$K$3</f>
        <v/>
      </c>
      <c r="B1455" s="27" t="str">
        <f>Resultados!$K$4</f>
        <v/>
      </c>
      <c r="C1455" s="569" t="str">
        <f>'900005'!$B23</f>
        <v/>
      </c>
      <c r="D1455" s="27" t="str">
        <f>'900005'!$E$16</f>
        <v>C11601001</v>
      </c>
      <c r="E1455" s="573">
        <f>'900005'!$E23</f>
        <v>0</v>
      </c>
      <c r="F1455" s="27" t="s">
        <v>19085</v>
      </c>
    </row>
    <row r="1456" spans="1:6">
      <c r="A1456" s="27" t="str">
        <f>Resultados!$K$3</f>
        <v/>
      </c>
      <c r="B1456" s="27" t="str">
        <f>Resultados!$K$4</f>
        <v/>
      </c>
      <c r="C1456" s="569" t="str">
        <f>'900005'!$B24</f>
        <v/>
      </c>
      <c r="D1456" s="27" t="str">
        <f>'900005'!$E$16</f>
        <v>C11601001</v>
      </c>
      <c r="E1456" s="573">
        <f>'900005'!$E24</f>
        <v>0</v>
      </c>
      <c r="F1456" s="27" t="s">
        <v>19085</v>
      </c>
    </row>
    <row r="1457" spans="1:6">
      <c r="A1457" s="27" t="str">
        <f>Resultados!$K$3</f>
        <v/>
      </c>
      <c r="B1457" s="27" t="str">
        <f>Resultados!$K$4</f>
        <v/>
      </c>
      <c r="C1457" s="569" t="str">
        <f>'900005'!$B25</f>
        <v/>
      </c>
      <c r="D1457" s="27" t="str">
        <f>'900005'!$E$16</f>
        <v>C11601001</v>
      </c>
      <c r="E1457" s="573">
        <f>'900005'!$E25</f>
        <v>0</v>
      </c>
      <c r="F1457" s="27" t="s">
        <v>19085</v>
      </c>
    </row>
    <row r="1458" spans="1:6">
      <c r="A1458" s="27" t="str">
        <f>Resultados!$K$3</f>
        <v/>
      </c>
      <c r="B1458" s="27" t="str">
        <f>Resultados!$K$4</f>
        <v/>
      </c>
      <c r="C1458" s="569" t="str">
        <f>'900005'!$B26</f>
        <v/>
      </c>
      <c r="D1458" s="27" t="str">
        <f>'900005'!$E$16</f>
        <v>C11601001</v>
      </c>
      <c r="E1458" s="573">
        <f>'900005'!$E26</f>
        <v>0</v>
      </c>
      <c r="F1458" s="27" t="s">
        <v>19085</v>
      </c>
    </row>
    <row r="1459" spans="1:6">
      <c r="A1459" s="27" t="str">
        <f>Resultados!$K$3</f>
        <v/>
      </c>
      <c r="B1459" s="27" t="str">
        <f>Resultados!$K$4</f>
        <v/>
      </c>
      <c r="C1459" s="569" t="str">
        <f>'900005'!$B27</f>
        <v/>
      </c>
      <c r="D1459" s="27" t="str">
        <f>'900005'!$E$16</f>
        <v>C11601001</v>
      </c>
      <c r="E1459" s="573">
        <f>'900005'!$E27</f>
        <v>0</v>
      </c>
      <c r="F1459" s="27" t="s">
        <v>19085</v>
      </c>
    </row>
    <row r="1460" spans="1:6">
      <c r="A1460" s="27" t="str">
        <f>Resultados!$K$3</f>
        <v/>
      </c>
      <c r="B1460" s="27" t="str">
        <f>Resultados!$K$4</f>
        <v/>
      </c>
      <c r="C1460" s="569" t="str">
        <f>'900005'!$B28</f>
        <v/>
      </c>
      <c r="D1460" s="27" t="str">
        <f>'900005'!$E$16</f>
        <v>C11601001</v>
      </c>
      <c r="E1460" s="573">
        <f>'900005'!$E28</f>
        <v>0</v>
      </c>
      <c r="F1460" s="27" t="s">
        <v>19085</v>
      </c>
    </row>
    <row r="1461" spans="1:6">
      <c r="A1461" s="27" t="str">
        <f>Resultados!$K$3</f>
        <v/>
      </c>
      <c r="B1461" s="27" t="str">
        <f>Resultados!$K$4</f>
        <v/>
      </c>
      <c r="C1461" s="569" t="str">
        <f>'900005'!$B29</f>
        <v/>
      </c>
      <c r="D1461" s="27" t="str">
        <f>'900005'!$E$16</f>
        <v>C11601001</v>
      </c>
      <c r="E1461" s="573">
        <f>'900005'!$E29</f>
        <v>0</v>
      </c>
      <c r="F1461" s="27" t="s">
        <v>19085</v>
      </c>
    </row>
    <row r="1462" spans="1:6">
      <c r="A1462" s="27" t="str">
        <f>Resultados!$K$3</f>
        <v/>
      </c>
      <c r="B1462" s="27" t="str">
        <f>Resultados!$K$4</f>
        <v/>
      </c>
      <c r="C1462" s="569" t="str">
        <f>'900005'!$B30</f>
        <v/>
      </c>
      <c r="D1462" s="27" t="str">
        <f>'900005'!$E$16</f>
        <v>C11601001</v>
      </c>
      <c r="E1462" s="573">
        <f>'900005'!$E30</f>
        <v>0</v>
      </c>
      <c r="F1462" s="27" t="s">
        <v>19085</v>
      </c>
    </row>
    <row r="1463" spans="1:6">
      <c r="A1463" s="27" t="str">
        <f>Resultados!$K$3</f>
        <v/>
      </c>
      <c r="B1463" s="27" t="str">
        <f>Resultados!$K$4</f>
        <v/>
      </c>
      <c r="C1463" s="569" t="str">
        <f>'900005'!$B31</f>
        <v/>
      </c>
      <c r="D1463" s="27" t="str">
        <f>'900005'!$E$16</f>
        <v>C11601001</v>
      </c>
      <c r="E1463" s="573">
        <f>'900005'!$E31</f>
        <v>0</v>
      </c>
      <c r="F1463" s="27" t="s">
        <v>19085</v>
      </c>
    </row>
    <row r="1464" spans="1:6">
      <c r="A1464" s="27" t="str">
        <f>Resultados!$K$3</f>
        <v/>
      </c>
      <c r="B1464" s="27" t="str">
        <f>Resultados!$K$4</f>
        <v/>
      </c>
      <c r="C1464" s="569" t="str">
        <f>'900005'!$B32</f>
        <v/>
      </c>
      <c r="D1464" s="27" t="str">
        <f>'900005'!$E$16</f>
        <v>C11601001</v>
      </c>
      <c r="E1464" s="573">
        <f>'900005'!$E32</f>
        <v>0</v>
      </c>
      <c r="F1464" s="27" t="s">
        <v>19085</v>
      </c>
    </row>
    <row r="1465" spans="1:6">
      <c r="A1465" s="27" t="str">
        <f>Resultados!$K$3</f>
        <v/>
      </c>
      <c r="B1465" s="27" t="str">
        <f>Resultados!$K$4</f>
        <v/>
      </c>
      <c r="C1465" s="569" t="str">
        <f>'900005'!$B33</f>
        <v/>
      </c>
      <c r="D1465" s="27" t="str">
        <f>'900005'!$E$16</f>
        <v>C11601001</v>
      </c>
      <c r="E1465" s="573">
        <f>'900005'!$E33</f>
        <v>0</v>
      </c>
      <c r="F1465" s="27" t="s">
        <v>19085</v>
      </c>
    </row>
    <row r="1466" spans="1:6">
      <c r="A1466" s="27" t="str">
        <f>Resultados!$K$3</f>
        <v/>
      </c>
      <c r="B1466" s="27" t="str">
        <f>Resultados!$K$4</f>
        <v/>
      </c>
      <c r="C1466" s="569" t="str">
        <f>'900005'!$B34</f>
        <v/>
      </c>
      <c r="D1466" s="27" t="str">
        <f>'900005'!$E$16</f>
        <v>C11601001</v>
      </c>
      <c r="E1466" s="573">
        <f>'900005'!$E34</f>
        <v>0</v>
      </c>
      <c r="F1466" s="27" t="s">
        <v>19085</v>
      </c>
    </row>
    <row r="1467" spans="1:6">
      <c r="A1467" s="27" t="str">
        <f>Resultados!$K$3</f>
        <v/>
      </c>
      <c r="B1467" s="27" t="str">
        <f>Resultados!$K$4</f>
        <v/>
      </c>
      <c r="C1467" s="569" t="str">
        <f>'900005'!$B35</f>
        <v/>
      </c>
      <c r="D1467" s="27" t="str">
        <f>'900005'!$E$16</f>
        <v>C11601001</v>
      </c>
      <c r="E1467" s="573">
        <f>'900005'!$E35</f>
        <v>0</v>
      </c>
      <c r="F1467" s="27" t="s">
        <v>19085</v>
      </c>
    </row>
    <row r="1468" spans="1:6">
      <c r="A1468" s="27" t="str">
        <f>Resultados!$K$3</f>
        <v/>
      </c>
      <c r="B1468" s="27" t="str">
        <f>Resultados!$K$4</f>
        <v/>
      </c>
      <c r="C1468" s="569" t="str">
        <f>'900005'!$B36</f>
        <v/>
      </c>
      <c r="D1468" s="27" t="str">
        <f>'900005'!$E$16</f>
        <v>C11601001</v>
      </c>
      <c r="E1468" s="573">
        <f>'900005'!$E36</f>
        <v>0</v>
      </c>
      <c r="F1468" s="27" t="s">
        <v>19085</v>
      </c>
    </row>
    <row r="1469" spans="1:6">
      <c r="A1469" s="27" t="str">
        <f>Resultados!$K$3</f>
        <v/>
      </c>
      <c r="B1469" s="27" t="str">
        <f>Resultados!$K$4</f>
        <v/>
      </c>
      <c r="C1469" s="569" t="str">
        <f>'900005'!$B37</f>
        <v/>
      </c>
      <c r="D1469" s="27" t="str">
        <f>'900005'!$E$16</f>
        <v>C11601001</v>
      </c>
      <c r="E1469" s="573">
        <f>'900005'!$E37</f>
        <v>0</v>
      </c>
      <c r="F1469" s="27" t="s">
        <v>19085</v>
      </c>
    </row>
    <row r="1470" spans="1:6">
      <c r="A1470" s="27" t="str">
        <f>Resultados!$K$3</f>
        <v/>
      </c>
      <c r="B1470" s="27" t="str">
        <f>Resultados!$K$4</f>
        <v/>
      </c>
      <c r="C1470" s="569" t="str">
        <f>'900005'!$B38</f>
        <v/>
      </c>
      <c r="D1470" s="27" t="str">
        <f>'900005'!$E$16</f>
        <v>C11601001</v>
      </c>
      <c r="E1470" s="573">
        <f>'900005'!$E38</f>
        <v>0</v>
      </c>
      <c r="F1470" s="27" t="s">
        <v>19085</v>
      </c>
    </row>
    <row r="1471" spans="1:6">
      <c r="A1471" s="27" t="str">
        <f>Resultados!$K$3</f>
        <v/>
      </c>
      <c r="B1471" s="27" t="str">
        <f>Resultados!$K$4</f>
        <v/>
      </c>
      <c r="C1471" s="569" t="str">
        <f>'900005'!$B39</f>
        <v/>
      </c>
      <c r="D1471" s="27" t="str">
        <f>'900005'!$E$16</f>
        <v>C11601001</v>
      </c>
      <c r="E1471" s="573">
        <f>'900005'!$E39</f>
        <v>0</v>
      </c>
      <c r="F1471" s="27" t="s">
        <v>19085</v>
      </c>
    </row>
    <row r="1472" spans="1:6">
      <c r="A1472" s="27" t="str">
        <f>Resultados!$K$3</f>
        <v/>
      </c>
      <c r="B1472" s="27" t="str">
        <f>Resultados!$K$4</f>
        <v/>
      </c>
      <c r="C1472" s="569" t="str">
        <f>'900005'!$B40</f>
        <v/>
      </c>
      <c r="D1472" s="27" t="str">
        <f>'900005'!$E$16</f>
        <v>C11601001</v>
      </c>
      <c r="E1472" s="573">
        <f>'900005'!$E40</f>
        <v>0</v>
      </c>
      <c r="F1472" s="27" t="s">
        <v>19085</v>
      </c>
    </row>
    <row r="1473" spans="1:6">
      <c r="A1473" s="27" t="str">
        <f>Resultados!$K$3</f>
        <v/>
      </c>
      <c r="B1473" s="27" t="str">
        <f>Resultados!$K$4</f>
        <v/>
      </c>
      <c r="C1473" s="569" t="str">
        <f>'900005'!$B41</f>
        <v/>
      </c>
      <c r="D1473" s="27" t="str">
        <f>'900005'!$E$16</f>
        <v>C11601001</v>
      </c>
      <c r="E1473" s="573">
        <f>'900005'!$E41</f>
        <v>0</v>
      </c>
      <c r="F1473" s="27" t="s">
        <v>19085</v>
      </c>
    </row>
    <row r="1474" spans="1:6">
      <c r="A1474" s="27" t="str">
        <f>Resultados!$K$3</f>
        <v/>
      </c>
      <c r="B1474" s="27" t="str">
        <f>Resultados!$K$4</f>
        <v/>
      </c>
      <c r="C1474" s="569" t="str">
        <f>'900005'!$B42</f>
        <v/>
      </c>
      <c r="D1474" s="27" t="str">
        <f>'900005'!$E$16</f>
        <v>C11601001</v>
      </c>
      <c r="E1474" s="573">
        <f>'900005'!$E42</f>
        <v>0</v>
      </c>
      <c r="F1474" s="27" t="s">
        <v>19085</v>
      </c>
    </row>
    <row r="1475" spans="1:6">
      <c r="A1475" s="27" t="str">
        <f>Resultados!$K$3</f>
        <v/>
      </c>
      <c r="B1475" s="27" t="str">
        <f>Resultados!$K$4</f>
        <v/>
      </c>
      <c r="C1475" s="569" t="str">
        <f>'900005'!$B43</f>
        <v/>
      </c>
      <c r="D1475" s="27" t="str">
        <f>'900005'!$E$16</f>
        <v>C11601001</v>
      </c>
      <c r="E1475" s="573">
        <f>'900005'!$E43</f>
        <v>0</v>
      </c>
      <c r="F1475" s="27" t="s">
        <v>19085</v>
      </c>
    </row>
    <row r="1476" spans="1:6">
      <c r="A1476" s="27" t="str">
        <f>Resultados!$K$3</f>
        <v/>
      </c>
      <c r="B1476" s="27" t="str">
        <f>Resultados!$K$4</f>
        <v/>
      </c>
      <c r="C1476" s="569" t="str">
        <f>'900005'!$B44</f>
        <v/>
      </c>
      <c r="D1476" s="27" t="str">
        <f>'900005'!$E$16</f>
        <v>C11601001</v>
      </c>
      <c r="E1476" s="573">
        <f>'900005'!$E44</f>
        <v>0</v>
      </c>
      <c r="F1476" s="27" t="s">
        <v>19085</v>
      </c>
    </row>
    <row r="1477" spans="1:6">
      <c r="A1477" s="27" t="str">
        <f>Resultados!$K$3</f>
        <v/>
      </c>
      <c r="B1477" s="27" t="str">
        <f>Resultados!$K$4</f>
        <v/>
      </c>
      <c r="C1477" s="569" t="str">
        <f>'900005'!$B45</f>
        <v/>
      </c>
      <c r="D1477" s="27" t="str">
        <f>'900005'!$E$16</f>
        <v>C11601001</v>
      </c>
      <c r="E1477" s="573">
        <f>'900005'!$E45</f>
        <v>0</v>
      </c>
      <c r="F1477" s="27" t="s">
        <v>19085</v>
      </c>
    </row>
    <row r="1478" spans="1:6">
      <c r="A1478" s="27" t="str">
        <f>Resultados!$K$3</f>
        <v/>
      </c>
      <c r="B1478" s="27" t="str">
        <f>Resultados!$K$4</f>
        <v/>
      </c>
      <c r="C1478" s="569" t="str">
        <f>'900005'!$B46</f>
        <v/>
      </c>
      <c r="D1478" s="27" t="str">
        <f>'900005'!$E$16</f>
        <v>C11601001</v>
      </c>
      <c r="E1478" s="573">
        <f>'900005'!$E46</f>
        <v>0</v>
      </c>
      <c r="F1478" s="27" t="s">
        <v>19085</v>
      </c>
    </row>
    <row r="1479" spans="1:6">
      <c r="A1479" s="27" t="str">
        <f>Resultados!$K$3</f>
        <v/>
      </c>
      <c r="B1479" s="27" t="str">
        <f>Resultados!$K$4</f>
        <v/>
      </c>
      <c r="C1479" s="569" t="str">
        <f>'900005'!$B47</f>
        <v/>
      </c>
      <c r="D1479" s="27" t="str">
        <f>'900005'!$E$16</f>
        <v>C11601001</v>
      </c>
      <c r="E1479" s="573">
        <f>'900005'!$E47</f>
        <v>0</v>
      </c>
      <c r="F1479" s="27" t="s">
        <v>19085</v>
      </c>
    </row>
    <row r="1480" spans="1:6">
      <c r="A1480" s="27" t="str">
        <f>Resultados!$K$3</f>
        <v/>
      </c>
      <c r="B1480" s="27" t="str">
        <f>Resultados!$K$4</f>
        <v/>
      </c>
      <c r="C1480" s="569" t="str">
        <f>'900005'!$B48</f>
        <v/>
      </c>
      <c r="D1480" s="27" t="str">
        <f>'900005'!$E$16</f>
        <v>C11601001</v>
      </c>
      <c r="E1480" s="573">
        <f>'900005'!$E48</f>
        <v>0</v>
      </c>
      <c r="F1480" s="27" t="s">
        <v>19085</v>
      </c>
    </row>
    <row r="1481" spans="1:6">
      <c r="A1481" s="27" t="str">
        <f>Resultados!$K$3</f>
        <v/>
      </c>
      <c r="B1481" s="27" t="str">
        <f>Resultados!$K$4</f>
        <v/>
      </c>
      <c r="C1481" s="569" t="str">
        <f>'900005'!$B49</f>
        <v/>
      </c>
      <c r="D1481" s="27" t="str">
        <f>'900005'!$E$16</f>
        <v>C11601001</v>
      </c>
      <c r="E1481" s="573">
        <f>'900005'!$E49</f>
        <v>0</v>
      </c>
      <c r="F1481" s="27" t="s">
        <v>19085</v>
      </c>
    </row>
    <row r="1482" spans="1:6">
      <c r="A1482" s="27" t="str">
        <f>Resultados!$K$3</f>
        <v/>
      </c>
      <c r="B1482" s="27" t="str">
        <f>Resultados!$K$4</f>
        <v/>
      </c>
      <c r="C1482" s="569" t="str">
        <f>'900005'!$B50</f>
        <v/>
      </c>
      <c r="D1482" s="27" t="str">
        <f>'900005'!$E$16</f>
        <v>C11601001</v>
      </c>
      <c r="E1482" s="573">
        <f>'900005'!$E50</f>
        <v>0</v>
      </c>
      <c r="F1482" s="27" t="s">
        <v>19085</v>
      </c>
    </row>
    <row r="1483" spans="1:6">
      <c r="A1483" s="27" t="str">
        <f>Resultados!$K$3</f>
        <v/>
      </c>
      <c r="B1483" s="27" t="str">
        <f>Resultados!$K$4</f>
        <v/>
      </c>
      <c r="C1483" s="569" t="str">
        <f>'900005'!$B51</f>
        <v/>
      </c>
      <c r="D1483" s="27" t="str">
        <f>'900005'!$E$16</f>
        <v>C11601001</v>
      </c>
      <c r="E1483" s="573">
        <f>'900005'!$E51</f>
        <v>0</v>
      </c>
      <c r="F1483" s="27" t="s">
        <v>19085</v>
      </c>
    </row>
    <row r="1484" spans="1:6">
      <c r="A1484" s="27" t="str">
        <f>Resultados!$K$3</f>
        <v/>
      </c>
      <c r="B1484" s="27" t="str">
        <f>Resultados!$K$4</f>
        <v/>
      </c>
      <c r="C1484" s="569" t="str">
        <f>'900005'!$B52</f>
        <v/>
      </c>
      <c r="D1484" s="27" t="str">
        <f>'900005'!$E$16</f>
        <v>C11601001</v>
      </c>
      <c r="E1484" s="573">
        <f>'900005'!$E52</f>
        <v>0</v>
      </c>
      <c r="F1484" s="27" t="s">
        <v>19085</v>
      </c>
    </row>
    <row r="1485" spans="1:6">
      <c r="A1485" s="27" t="str">
        <f>Resultados!$K$3</f>
        <v/>
      </c>
      <c r="B1485" s="27" t="str">
        <f>Resultados!$K$4</f>
        <v/>
      </c>
      <c r="C1485" s="569" t="str">
        <f>'900005'!$B53</f>
        <v/>
      </c>
      <c r="D1485" s="27" t="str">
        <f>'900005'!$E$16</f>
        <v>C11601001</v>
      </c>
      <c r="E1485" s="573">
        <f>'900005'!$E53</f>
        <v>0</v>
      </c>
      <c r="F1485" s="27" t="s">
        <v>19085</v>
      </c>
    </row>
    <row r="1486" spans="1:6">
      <c r="A1486" s="27" t="str">
        <f>Resultados!$K$3</f>
        <v/>
      </c>
      <c r="B1486" s="27" t="str">
        <f>Resultados!$K$4</f>
        <v/>
      </c>
      <c r="C1486" s="569" t="str">
        <f>'900005'!$B54</f>
        <v/>
      </c>
      <c r="D1486" s="27" t="str">
        <f>'900005'!$E$16</f>
        <v>C11601001</v>
      </c>
      <c r="E1486" s="573">
        <f>'900005'!$E54</f>
        <v>0</v>
      </c>
      <c r="F1486" s="27" t="s">
        <v>19085</v>
      </c>
    </row>
    <row r="1487" spans="1:6">
      <c r="A1487" s="27" t="str">
        <f>Resultados!$K$3</f>
        <v/>
      </c>
      <c r="B1487" s="27" t="str">
        <f>Resultados!$K$4</f>
        <v/>
      </c>
      <c r="C1487" s="569" t="str">
        <f>'900005'!$B56</f>
        <v/>
      </c>
      <c r="D1487" s="27" t="str">
        <f>'900005'!$E$16</f>
        <v>C11601001</v>
      </c>
      <c r="E1487" s="573">
        <f>'900005'!$E56</f>
        <v>0</v>
      </c>
      <c r="F1487" s="27" t="s">
        <v>19085</v>
      </c>
    </row>
    <row r="1488" spans="1:6">
      <c r="A1488" s="27" t="str">
        <f>Resultados!$K$3</f>
        <v/>
      </c>
      <c r="B1488" s="27" t="str">
        <f>Resultados!$K$4</f>
        <v/>
      </c>
      <c r="C1488" s="569" t="str">
        <f>'900005'!$B57</f>
        <v/>
      </c>
      <c r="D1488" s="27" t="str">
        <f>'900005'!$E$16</f>
        <v>C11601001</v>
      </c>
      <c r="E1488" s="573">
        <f>'900005'!$E57</f>
        <v>0</v>
      </c>
      <c r="F1488" s="27" t="s">
        <v>19085</v>
      </c>
    </row>
    <row r="1489" spans="1:6">
      <c r="A1489" s="27" t="str">
        <f>Resultados!$K$3</f>
        <v/>
      </c>
      <c r="B1489" s="27" t="str">
        <f>Resultados!$K$4</f>
        <v/>
      </c>
      <c r="C1489" s="569" t="str">
        <f>'900005'!$B58</f>
        <v/>
      </c>
      <c r="D1489" s="27" t="str">
        <f>'900005'!$E$16</f>
        <v>C11601001</v>
      </c>
      <c r="E1489" s="573">
        <f>'900005'!$E58</f>
        <v>0</v>
      </c>
      <c r="F1489" s="27" t="s">
        <v>19085</v>
      </c>
    </row>
    <row r="1490" spans="1:6">
      <c r="A1490" s="27" t="str">
        <f>Resultados!$K$3</f>
        <v/>
      </c>
      <c r="B1490" s="27" t="str">
        <f>Resultados!$K$4</f>
        <v/>
      </c>
      <c r="C1490" s="569" t="str">
        <f>'900005'!$B59</f>
        <v/>
      </c>
      <c r="D1490" s="27" t="str">
        <f>'900005'!$E$16</f>
        <v>C11601001</v>
      </c>
      <c r="E1490" s="573">
        <f>'900005'!$E59</f>
        <v>0</v>
      </c>
      <c r="F1490" s="27" t="s">
        <v>19085</v>
      </c>
    </row>
    <row r="1491" spans="1:6">
      <c r="A1491" s="27" t="str">
        <f>Resultados!$K$3</f>
        <v/>
      </c>
      <c r="B1491" s="27" t="str">
        <f>Resultados!$K$4</f>
        <v/>
      </c>
      <c r="C1491" s="569" t="str">
        <f>'900005'!$B60</f>
        <v/>
      </c>
      <c r="D1491" s="27" t="str">
        <f>'900005'!$E$16</f>
        <v>C11601001</v>
      </c>
      <c r="E1491" s="573">
        <f>'900005'!$E60</f>
        <v>0</v>
      </c>
      <c r="F1491" s="27" t="s">
        <v>19085</v>
      </c>
    </row>
    <row r="1492" spans="1:6">
      <c r="A1492" s="27" t="str">
        <f>Resultados!$K$3</f>
        <v/>
      </c>
      <c r="B1492" s="27" t="str">
        <f>Resultados!$K$4</f>
        <v/>
      </c>
      <c r="C1492" s="569" t="str">
        <f>'900005'!$B61</f>
        <v/>
      </c>
      <c r="D1492" s="27" t="str">
        <f>'900005'!$E$16</f>
        <v>C11601001</v>
      </c>
      <c r="E1492" s="573">
        <f>'900005'!$E61</f>
        <v>0</v>
      </c>
      <c r="F1492" s="27" t="s">
        <v>19085</v>
      </c>
    </row>
    <row r="1493" spans="1:6">
      <c r="A1493" s="27" t="str">
        <f>Resultados!$K$3</f>
        <v/>
      </c>
      <c r="B1493" s="27" t="str">
        <f>Resultados!$K$4</f>
        <v/>
      </c>
      <c r="C1493" s="569" t="str">
        <f>'900005'!$B62</f>
        <v/>
      </c>
      <c r="D1493" s="27" t="str">
        <f>'900005'!$E$16</f>
        <v>C11601001</v>
      </c>
      <c r="E1493" s="573">
        <f>'900005'!$E62</f>
        <v>0</v>
      </c>
      <c r="F1493" s="27" t="s">
        <v>19085</v>
      </c>
    </row>
    <row r="1494" spans="1:6">
      <c r="A1494" s="27" t="str">
        <f>Resultados!$K$3</f>
        <v/>
      </c>
      <c r="B1494" s="27" t="str">
        <f>Resultados!$K$4</f>
        <v/>
      </c>
      <c r="C1494" s="569" t="str">
        <f>'900005'!$B63</f>
        <v/>
      </c>
      <c r="D1494" s="27" t="str">
        <f>'900005'!$E$16</f>
        <v>C11601001</v>
      </c>
      <c r="E1494" s="573">
        <f>'900005'!$E63</f>
        <v>0</v>
      </c>
      <c r="F1494" s="27" t="s">
        <v>19085</v>
      </c>
    </row>
    <row r="1495" spans="1:6">
      <c r="A1495" s="27" t="str">
        <f>Resultados!$K$3</f>
        <v/>
      </c>
      <c r="B1495" s="27" t="str">
        <f>Resultados!$K$4</f>
        <v/>
      </c>
      <c r="C1495" s="569" t="str">
        <f>'900005'!$B64</f>
        <v/>
      </c>
      <c r="D1495" s="27" t="str">
        <f>'900005'!$E$16</f>
        <v>C11601001</v>
      </c>
      <c r="E1495" s="573">
        <f>'900005'!$E64</f>
        <v>0</v>
      </c>
      <c r="F1495" s="27" t="s">
        <v>19085</v>
      </c>
    </row>
    <row r="1496" spans="1:6">
      <c r="A1496" s="27" t="str">
        <f>Resultados!$K$3</f>
        <v/>
      </c>
      <c r="B1496" s="27" t="str">
        <f>Resultados!$K$4</f>
        <v/>
      </c>
      <c r="C1496" s="569" t="str">
        <f>'900005'!$B65</f>
        <v/>
      </c>
      <c r="D1496" s="27" t="str">
        <f>'900005'!$E$16</f>
        <v>C11601001</v>
      </c>
      <c r="E1496" s="573">
        <f>'900005'!$E65</f>
        <v>0</v>
      </c>
      <c r="F1496" s="27" t="s">
        <v>19085</v>
      </c>
    </row>
    <row r="1497" spans="1:6">
      <c r="A1497" s="27" t="str">
        <f>Resultados!$K$3</f>
        <v/>
      </c>
      <c r="B1497" s="27" t="str">
        <f>Resultados!$K$4</f>
        <v/>
      </c>
      <c r="C1497" s="569" t="str">
        <f>'900005'!$B66</f>
        <v/>
      </c>
      <c r="D1497" s="27" t="str">
        <f>'900005'!$E$16</f>
        <v>C11601001</v>
      </c>
      <c r="E1497" s="573">
        <f>'900005'!$E66</f>
        <v>0</v>
      </c>
      <c r="F1497" s="27" t="s">
        <v>19085</v>
      </c>
    </row>
    <row r="1498" spans="1:6">
      <c r="A1498" s="27" t="str">
        <f>Resultados!$K$3</f>
        <v/>
      </c>
      <c r="B1498" s="27" t="str">
        <f>Resultados!$K$4</f>
        <v/>
      </c>
      <c r="C1498" s="569" t="str">
        <f>'900005'!$B68</f>
        <v/>
      </c>
      <c r="D1498" s="27" t="str">
        <f>'900005'!$E$16</f>
        <v>C11601001</v>
      </c>
      <c r="E1498" s="573">
        <f>'900005'!$E68</f>
        <v>0</v>
      </c>
      <c r="F1498" s="27" t="s">
        <v>19085</v>
      </c>
    </row>
    <row r="1499" spans="1:6">
      <c r="A1499" s="27" t="str">
        <f>Resultados!$K$3</f>
        <v/>
      </c>
      <c r="B1499" s="27" t="str">
        <f>Resultados!$K$4</f>
        <v/>
      </c>
      <c r="C1499" s="569" t="str">
        <f>'900005'!$B69</f>
        <v/>
      </c>
      <c r="D1499" s="27" t="str">
        <f>'900005'!$E$16</f>
        <v>C11601001</v>
      </c>
      <c r="E1499" s="573">
        <f>'900005'!$E69</f>
        <v>0</v>
      </c>
      <c r="F1499" s="27" t="s">
        <v>19085</v>
      </c>
    </row>
    <row r="1500" spans="1:6">
      <c r="A1500" s="27" t="str">
        <f>Resultados!$K$3</f>
        <v/>
      </c>
      <c r="B1500" s="27" t="str">
        <f>Resultados!$K$4</f>
        <v/>
      </c>
      <c r="C1500" s="569" t="str">
        <f>'900005'!$B70</f>
        <v/>
      </c>
      <c r="D1500" s="27" t="str">
        <f>'900005'!$E$16</f>
        <v>C11601001</v>
      </c>
      <c r="E1500" s="573">
        <f>'900005'!$E70</f>
        <v>0</v>
      </c>
      <c r="F1500" s="27" t="s">
        <v>19085</v>
      </c>
    </row>
    <row r="1501" spans="1:6">
      <c r="A1501" s="27" t="str">
        <f>Resultados!$K$3</f>
        <v/>
      </c>
      <c r="B1501" s="27" t="str">
        <f>Resultados!$K$4</f>
        <v/>
      </c>
      <c r="C1501" s="569" t="str">
        <f>'900005'!$B71</f>
        <v/>
      </c>
      <c r="D1501" s="27" t="str">
        <f>'900005'!$E$16</f>
        <v>C11601001</v>
      </c>
      <c r="E1501" s="573">
        <f>'900005'!$E71</f>
        <v>0</v>
      </c>
      <c r="F1501" s="27" t="s">
        <v>19085</v>
      </c>
    </row>
    <row r="1502" spans="1:6">
      <c r="A1502" s="27" t="str">
        <f>Resultados!$K$3</f>
        <v/>
      </c>
      <c r="B1502" s="27" t="str">
        <f>Resultados!$K$4</f>
        <v/>
      </c>
      <c r="C1502" s="569" t="str">
        <f>'900005'!$B72</f>
        <v/>
      </c>
      <c r="D1502" s="27" t="str">
        <f>'900005'!$E$16</f>
        <v>C11601001</v>
      </c>
      <c r="E1502" s="573">
        <f>'900005'!$E72</f>
        <v>0</v>
      </c>
      <c r="F1502" s="27" t="s">
        <v>19085</v>
      </c>
    </row>
    <row r="1503" spans="1:6">
      <c r="A1503" s="27" t="str">
        <f>Resultados!$K$3</f>
        <v/>
      </c>
      <c r="B1503" s="27" t="str">
        <f>Resultados!$K$4</f>
        <v/>
      </c>
      <c r="C1503" s="569" t="str">
        <f>'900005'!$B73</f>
        <v/>
      </c>
      <c r="D1503" s="27" t="str">
        <f>'900005'!$E$16</f>
        <v>C11601001</v>
      </c>
      <c r="E1503" s="573">
        <f>'900005'!$E73</f>
        <v>0</v>
      </c>
      <c r="F1503" s="27" t="s">
        <v>19085</v>
      </c>
    </row>
    <row r="1504" spans="1:6">
      <c r="A1504" s="27" t="str">
        <f>Resultados!$K$3</f>
        <v/>
      </c>
      <c r="B1504" s="27" t="str">
        <f>Resultados!$K$4</f>
        <v/>
      </c>
      <c r="C1504" s="569" t="str">
        <f>'900005'!$B74</f>
        <v/>
      </c>
      <c r="D1504" s="27" t="str">
        <f>'900005'!$E$16</f>
        <v>C11601001</v>
      </c>
      <c r="E1504" s="573">
        <f>'900005'!$E74</f>
        <v>0</v>
      </c>
      <c r="F1504" s="27" t="s">
        <v>19085</v>
      </c>
    </row>
    <row r="1505" spans="1:6">
      <c r="A1505" s="27" t="str">
        <f>Resultados!$K$3</f>
        <v/>
      </c>
      <c r="B1505" s="27" t="str">
        <f>Resultados!$K$4</f>
        <v/>
      </c>
      <c r="C1505" s="569" t="str">
        <f>'900005'!$B76</f>
        <v/>
      </c>
      <c r="D1505" s="27" t="str">
        <f>'900005'!$E$16</f>
        <v>C11601001</v>
      </c>
      <c r="E1505" s="573">
        <f>'900005'!$E76</f>
        <v>0</v>
      </c>
      <c r="F1505" s="27" t="s">
        <v>19085</v>
      </c>
    </row>
    <row r="1506" spans="1:6">
      <c r="A1506" s="27" t="str">
        <f>Resultados!$K$3</f>
        <v/>
      </c>
      <c r="B1506" s="27" t="str">
        <f>Resultados!$K$4</f>
        <v/>
      </c>
      <c r="C1506" s="569" t="str">
        <f>'900005'!$B77</f>
        <v/>
      </c>
      <c r="D1506" s="27" t="str">
        <f>'900005'!$E$16</f>
        <v>C11601001</v>
      </c>
      <c r="E1506" s="573">
        <f>'900005'!$E77</f>
        <v>0</v>
      </c>
      <c r="F1506" s="27" t="s">
        <v>19085</v>
      </c>
    </row>
    <row r="1507" spans="1:6">
      <c r="A1507" s="27" t="str">
        <f>Resultados!$K$3</f>
        <v/>
      </c>
      <c r="B1507" s="27" t="str">
        <f>Resultados!$K$4</f>
        <v/>
      </c>
      <c r="C1507" s="569" t="str">
        <f>'900005'!$B78</f>
        <v/>
      </c>
      <c r="D1507" s="27" t="str">
        <f>'900005'!$E$16</f>
        <v>C11601001</v>
      </c>
      <c r="E1507" s="573">
        <f>'900005'!$E78</f>
        <v>0</v>
      </c>
      <c r="F1507" s="27" t="s">
        <v>19085</v>
      </c>
    </row>
    <row r="1508" spans="1:6">
      <c r="A1508" s="27" t="str">
        <f>Resultados!$K$3</f>
        <v/>
      </c>
      <c r="B1508" s="27" t="str">
        <f>Resultados!$K$4</f>
        <v/>
      </c>
      <c r="C1508" s="569" t="str">
        <f>'900005'!$B79</f>
        <v/>
      </c>
      <c r="D1508" s="27" t="str">
        <f>'900005'!$E$16</f>
        <v>C11601001</v>
      </c>
      <c r="E1508" s="573">
        <f>'900005'!$E79</f>
        <v>0</v>
      </c>
      <c r="F1508" s="27" t="s">
        <v>19085</v>
      </c>
    </row>
    <row r="1509" spans="1:6">
      <c r="A1509" s="27" t="str">
        <f>Resultados!$K$3</f>
        <v/>
      </c>
      <c r="B1509" s="27" t="str">
        <f>Resultados!$K$4</f>
        <v/>
      </c>
      <c r="C1509" s="569" t="str">
        <f>'900005'!$B80</f>
        <v/>
      </c>
      <c r="D1509" s="27" t="str">
        <f>'900005'!$E$16</f>
        <v>C11601001</v>
      </c>
      <c r="E1509" s="573">
        <f>'900005'!$E80</f>
        <v>0</v>
      </c>
      <c r="F1509" s="27" t="s">
        <v>19085</v>
      </c>
    </row>
    <row r="1510" spans="1:6">
      <c r="A1510" s="27" t="str">
        <f>Resultados!$K$3</f>
        <v/>
      </c>
      <c r="B1510" s="27" t="str">
        <f>Resultados!$K$4</f>
        <v/>
      </c>
      <c r="C1510" s="569" t="str">
        <f>'900005'!$B81</f>
        <v/>
      </c>
      <c r="D1510" s="27" t="str">
        <f>'900005'!$E$16</f>
        <v>C11601001</v>
      </c>
      <c r="E1510" s="573">
        <f>'900005'!$E81</f>
        <v>0</v>
      </c>
      <c r="F1510" s="27" t="s">
        <v>19085</v>
      </c>
    </row>
    <row r="1511" spans="1:6">
      <c r="A1511" s="27" t="str">
        <f>Resultados!$K$3</f>
        <v/>
      </c>
      <c r="B1511" s="27" t="str">
        <f>Resultados!$K$4</f>
        <v/>
      </c>
      <c r="C1511" s="569" t="str">
        <f>'900005'!$B83</f>
        <v/>
      </c>
      <c r="D1511" s="27" t="str">
        <f>'900005'!$E$16</f>
        <v>C11601001</v>
      </c>
      <c r="E1511" s="573">
        <f>'900005'!$E83</f>
        <v>0</v>
      </c>
      <c r="F1511" s="27" t="s">
        <v>19085</v>
      </c>
    </row>
    <row r="1512" spans="1:6">
      <c r="A1512" s="27" t="str">
        <f>Resultados!$K$3</f>
        <v/>
      </c>
      <c r="B1512" s="27" t="str">
        <f>Resultados!$K$4</f>
        <v/>
      </c>
      <c r="C1512" s="569" t="str">
        <f>'900005'!$B87</f>
        <v/>
      </c>
      <c r="D1512" s="27" t="str">
        <f>'900005'!$E$16</f>
        <v>C11601001</v>
      </c>
      <c r="E1512" s="573">
        <f>'900005'!$E87</f>
        <v>0</v>
      </c>
      <c r="F1512" s="27" t="s">
        <v>19085</v>
      </c>
    </row>
    <row r="1513" spans="1:6">
      <c r="A1513" s="27" t="str">
        <f>Resultados!$K$3</f>
        <v/>
      </c>
      <c r="B1513" s="27" t="str">
        <f>Resultados!$K$4</f>
        <v/>
      </c>
      <c r="C1513" s="569" t="str">
        <f>'900005'!$B88</f>
        <v/>
      </c>
      <c r="D1513" s="27" t="str">
        <f>'900005'!$E$16</f>
        <v>C11601001</v>
      </c>
      <c r="E1513" s="573">
        <f>'900005'!$E88</f>
        <v>0</v>
      </c>
      <c r="F1513" s="27" t="s">
        <v>19085</v>
      </c>
    </row>
    <row r="1514" spans="1:6">
      <c r="A1514" s="27" t="str">
        <f>Resultados!$K$3</f>
        <v/>
      </c>
      <c r="B1514" s="27" t="str">
        <f>Resultados!$K$4</f>
        <v/>
      </c>
      <c r="C1514" s="569" t="str">
        <f>'900005'!$B91</f>
        <v/>
      </c>
      <c r="D1514" s="27" t="str">
        <f>'900005'!$E$16</f>
        <v>C11601001</v>
      </c>
      <c r="E1514" s="573">
        <f>'900005'!$E91</f>
        <v>0</v>
      </c>
      <c r="F1514" s="27" t="s">
        <v>19085</v>
      </c>
    </row>
    <row r="1515" spans="1:6">
      <c r="A1515" s="27" t="str">
        <f>Resultados!$K$3</f>
        <v/>
      </c>
      <c r="B1515" s="27" t="str">
        <f>Resultados!$K$4</f>
        <v/>
      </c>
      <c r="C1515" s="569" t="str">
        <f>'900005'!$B92</f>
        <v/>
      </c>
      <c r="D1515" s="27" t="str">
        <f>'900005'!$E$16</f>
        <v>C11601001</v>
      </c>
      <c r="E1515" s="573">
        <f>'900005'!$E92</f>
        <v>0</v>
      </c>
      <c r="F1515" s="27" t="s">
        <v>19085</v>
      </c>
    </row>
    <row r="1516" spans="1:6">
      <c r="A1516" s="27" t="str">
        <f>Resultados!$K$3</f>
        <v/>
      </c>
      <c r="B1516" s="27" t="str">
        <f>Resultados!$K$4</f>
        <v/>
      </c>
      <c r="C1516" s="569" t="str">
        <f>'900005'!$B93</f>
        <v/>
      </c>
      <c r="D1516" s="27" t="str">
        <f>'900005'!$E$16</f>
        <v>C11601001</v>
      </c>
      <c r="E1516" s="573">
        <f>'900005'!$E93</f>
        <v>0</v>
      </c>
      <c r="F1516" s="27" t="s">
        <v>19085</v>
      </c>
    </row>
    <row r="1517" spans="1:6">
      <c r="A1517" s="27" t="str">
        <f>Resultados!$K$3</f>
        <v/>
      </c>
      <c r="B1517" s="27" t="str">
        <f>Resultados!$K$4</f>
        <v/>
      </c>
      <c r="C1517" s="569" t="str">
        <f>'900005'!$B95</f>
        <v/>
      </c>
      <c r="D1517" s="27" t="str">
        <f>'900005'!$E$16</f>
        <v>C11601001</v>
      </c>
      <c r="E1517" s="573">
        <f>'900005'!$E95</f>
        <v>0</v>
      </c>
      <c r="F1517" s="27" t="s">
        <v>19085</v>
      </c>
    </row>
    <row r="1518" spans="1:6">
      <c r="A1518" s="27" t="str">
        <f>Resultados!$K$3</f>
        <v/>
      </c>
      <c r="B1518" s="27" t="str">
        <f>Resultados!$K$4</f>
        <v/>
      </c>
      <c r="C1518" s="569" t="str">
        <f>'900005'!$B96</f>
        <v/>
      </c>
      <c r="D1518" s="27" t="str">
        <f>'900005'!$E$16</f>
        <v>C11601001</v>
      </c>
      <c r="E1518" s="573">
        <f>'900005'!$E96</f>
        <v>0</v>
      </c>
      <c r="F1518" s="27" t="s">
        <v>19085</v>
      </c>
    </row>
    <row r="1519" spans="1:6">
      <c r="A1519" s="27" t="str">
        <f>Resultados!$K$3</f>
        <v/>
      </c>
      <c r="B1519" s="27" t="str">
        <f>Resultados!$K$4</f>
        <v/>
      </c>
      <c r="C1519" s="569" t="str">
        <f>'900005'!$B97</f>
        <v/>
      </c>
      <c r="D1519" s="27" t="str">
        <f>'900005'!$E$16</f>
        <v>C11601001</v>
      </c>
      <c r="E1519" s="573">
        <f>'900005'!$E97</f>
        <v>0</v>
      </c>
      <c r="F1519" s="27" t="s">
        <v>19085</v>
      </c>
    </row>
    <row r="1520" spans="1:6">
      <c r="A1520" s="27" t="str">
        <f>Resultados!$K$3</f>
        <v/>
      </c>
      <c r="B1520" s="27" t="str">
        <f>Resultados!$K$4</f>
        <v/>
      </c>
      <c r="C1520" s="569" t="str">
        <f>'900005'!$B98</f>
        <v/>
      </c>
      <c r="D1520" s="27" t="str">
        <f>'900005'!$E$16</f>
        <v>C11601001</v>
      </c>
      <c r="E1520" s="573">
        <f>'900005'!$E98</f>
        <v>0</v>
      </c>
      <c r="F1520" s="27" t="s">
        <v>19085</v>
      </c>
    </row>
    <row r="1521" spans="1:6">
      <c r="A1521" s="27" t="str">
        <f>Resultados!$K$3</f>
        <v/>
      </c>
      <c r="B1521" s="27" t="str">
        <f>Resultados!$K$4</f>
        <v/>
      </c>
      <c r="C1521" s="569" t="str">
        <f>'900005'!$B19</f>
        <v/>
      </c>
      <c r="D1521" t="str">
        <f>'900005'!$F$16</f>
        <v>C11601002</v>
      </c>
      <c r="E1521" s="573">
        <f>'900005'!$F19</f>
        <v>0</v>
      </c>
      <c r="F1521" s="27" t="s">
        <v>19085</v>
      </c>
    </row>
    <row r="1522" spans="1:6">
      <c r="A1522" s="27" t="str">
        <f>Resultados!$K$3</f>
        <v/>
      </c>
      <c r="B1522" s="27" t="str">
        <f>Resultados!$K$4</f>
        <v/>
      </c>
      <c r="C1522" s="569" t="str">
        <f>'900005'!$B20</f>
        <v/>
      </c>
      <c r="D1522" s="27" t="str">
        <f>'900005'!$F$16</f>
        <v>C11601002</v>
      </c>
      <c r="E1522" s="573">
        <f>'900005'!$F20</f>
        <v>0</v>
      </c>
      <c r="F1522" s="27" t="s">
        <v>19085</v>
      </c>
    </row>
    <row r="1523" spans="1:6">
      <c r="A1523" s="27" t="str">
        <f>Resultados!$K$3</f>
        <v/>
      </c>
      <c r="B1523" s="27" t="str">
        <f>Resultados!$K$4</f>
        <v/>
      </c>
      <c r="C1523" s="569" t="str">
        <f>'900005'!$B21</f>
        <v/>
      </c>
      <c r="D1523" s="27" t="str">
        <f>'900005'!$F$16</f>
        <v>C11601002</v>
      </c>
      <c r="E1523" s="573">
        <f>'900005'!$F21</f>
        <v>0</v>
      </c>
      <c r="F1523" s="27" t="s">
        <v>19085</v>
      </c>
    </row>
    <row r="1524" spans="1:6">
      <c r="A1524" s="27" t="str">
        <f>Resultados!$K$3</f>
        <v/>
      </c>
      <c r="B1524" s="27" t="str">
        <f>Resultados!$K$4</f>
        <v/>
      </c>
      <c r="C1524" s="569" t="str">
        <f>'900005'!$B22</f>
        <v/>
      </c>
      <c r="D1524" s="27" t="str">
        <f>'900005'!$F$16</f>
        <v>C11601002</v>
      </c>
      <c r="E1524" s="573">
        <f>'900005'!$F22</f>
        <v>0</v>
      </c>
      <c r="F1524" s="27" t="s">
        <v>19085</v>
      </c>
    </row>
    <row r="1525" spans="1:6">
      <c r="A1525" s="27" t="str">
        <f>Resultados!$K$3</f>
        <v/>
      </c>
      <c r="B1525" s="27" t="str">
        <f>Resultados!$K$4</f>
        <v/>
      </c>
      <c r="C1525" s="569" t="str">
        <f>'900005'!$B23</f>
        <v/>
      </c>
      <c r="D1525" s="27" t="str">
        <f>'900005'!$F$16</f>
        <v>C11601002</v>
      </c>
      <c r="E1525" s="573">
        <f>'900005'!$F23</f>
        <v>0</v>
      </c>
      <c r="F1525" s="27" t="s">
        <v>19085</v>
      </c>
    </row>
    <row r="1526" spans="1:6">
      <c r="A1526" s="27" t="str">
        <f>Resultados!$K$3</f>
        <v/>
      </c>
      <c r="B1526" s="27" t="str">
        <f>Resultados!$K$4</f>
        <v/>
      </c>
      <c r="C1526" s="569" t="str">
        <f>'900005'!$B24</f>
        <v/>
      </c>
      <c r="D1526" s="27" t="str">
        <f>'900005'!$F$16</f>
        <v>C11601002</v>
      </c>
      <c r="E1526" s="573">
        <f>'900005'!$F24</f>
        <v>0</v>
      </c>
      <c r="F1526" s="27" t="s">
        <v>19085</v>
      </c>
    </row>
    <row r="1527" spans="1:6">
      <c r="A1527" s="27" t="str">
        <f>Resultados!$K$3</f>
        <v/>
      </c>
      <c r="B1527" s="27" t="str">
        <f>Resultados!$K$4</f>
        <v/>
      </c>
      <c r="C1527" s="569" t="str">
        <f>'900005'!$B25</f>
        <v/>
      </c>
      <c r="D1527" s="27" t="str">
        <f>'900005'!$F$16</f>
        <v>C11601002</v>
      </c>
      <c r="E1527" s="573">
        <f>'900005'!$F25</f>
        <v>0</v>
      </c>
      <c r="F1527" s="27" t="s">
        <v>19085</v>
      </c>
    </row>
    <row r="1528" spans="1:6">
      <c r="A1528" s="27" t="str">
        <f>Resultados!$K$3</f>
        <v/>
      </c>
      <c r="B1528" s="27" t="str">
        <f>Resultados!$K$4</f>
        <v/>
      </c>
      <c r="C1528" s="569" t="str">
        <f>'900005'!$B26</f>
        <v/>
      </c>
      <c r="D1528" s="27" t="str">
        <f>'900005'!$F$16</f>
        <v>C11601002</v>
      </c>
      <c r="E1528" s="573">
        <f>'900005'!$F26</f>
        <v>0</v>
      </c>
      <c r="F1528" s="27" t="s">
        <v>19085</v>
      </c>
    </row>
    <row r="1529" spans="1:6">
      <c r="A1529" s="27" t="str">
        <f>Resultados!$K$3</f>
        <v/>
      </c>
      <c r="B1529" s="27" t="str">
        <f>Resultados!$K$4</f>
        <v/>
      </c>
      <c r="C1529" s="569" t="str">
        <f>'900005'!$B27</f>
        <v/>
      </c>
      <c r="D1529" s="27" t="str">
        <f>'900005'!$F$16</f>
        <v>C11601002</v>
      </c>
      <c r="E1529" s="573">
        <f>'900005'!$F27</f>
        <v>0</v>
      </c>
      <c r="F1529" s="27" t="s">
        <v>19085</v>
      </c>
    </row>
    <row r="1530" spans="1:6">
      <c r="A1530" s="27" t="str">
        <f>Resultados!$K$3</f>
        <v/>
      </c>
      <c r="B1530" s="27" t="str">
        <f>Resultados!$K$4</f>
        <v/>
      </c>
      <c r="C1530" s="569" t="str">
        <f>'900005'!$B28</f>
        <v/>
      </c>
      <c r="D1530" s="27" t="str">
        <f>'900005'!$F$16</f>
        <v>C11601002</v>
      </c>
      <c r="E1530" s="573">
        <f>'900005'!$F28</f>
        <v>0</v>
      </c>
      <c r="F1530" s="27" t="s">
        <v>19085</v>
      </c>
    </row>
    <row r="1531" spans="1:6">
      <c r="A1531" s="27" t="str">
        <f>Resultados!$K$3</f>
        <v/>
      </c>
      <c r="B1531" s="27" t="str">
        <f>Resultados!$K$4</f>
        <v/>
      </c>
      <c r="C1531" s="569" t="str">
        <f>'900005'!$B29</f>
        <v/>
      </c>
      <c r="D1531" s="27" t="str">
        <f>'900005'!$F$16</f>
        <v>C11601002</v>
      </c>
      <c r="E1531" s="573">
        <f>'900005'!$F29</f>
        <v>0</v>
      </c>
      <c r="F1531" s="27" t="s">
        <v>19085</v>
      </c>
    </row>
    <row r="1532" spans="1:6">
      <c r="A1532" s="27" t="str">
        <f>Resultados!$K$3</f>
        <v/>
      </c>
      <c r="B1532" s="27" t="str">
        <f>Resultados!$K$4</f>
        <v/>
      </c>
      <c r="C1532" s="569" t="str">
        <f>'900005'!$B30</f>
        <v/>
      </c>
      <c r="D1532" s="27" t="str">
        <f>'900005'!$F$16</f>
        <v>C11601002</v>
      </c>
      <c r="E1532" s="573">
        <f>'900005'!$F30</f>
        <v>0</v>
      </c>
      <c r="F1532" s="27" t="s">
        <v>19085</v>
      </c>
    </row>
    <row r="1533" spans="1:6">
      <c r="A1533" s="27" t="str">
        <f>Resultados!$K$3</f>
        <v/>
      </c>
      <c r="B1533" s="27" t="str">
        <f>Resultados!$K$4</f>
        <v/>
      </c>
      <c r="C1533" s="569" t="str">
        <f>'900005'!$B31</f>
        <v/>
      </c>
      <c r="D1533" s="27" t="str">
        <f>'900005'!$F$16</f>
        <v>C11601002</v>
      </c>
      <c r="E1533" s="573">
        <f>'900005'!$F31</f>
        <v>0</v>
      </c>
      <c r="F1533" s="27" t="s">
        <v>19085</v>
      </c>
    </row>
    <row r="1534" spans="1:6">
      <c r="A1534" s="27" t="str">
        <f>Resultados!$K$3</f>
        <v/>
      </c>
      <c r="B1534" s="27" t="str">
        <f>Resultados!$K$4</f>
        <v/>
      </c>
      <c r="C1534" s="569" t="str">
        <f>'900005'!$B32</f>
        <v/>
      </c>
      <c r="D1534" s="27" t="str">
        <f>'900005'!$F$16</f>
        <v>C11601002</v>
      </c>
      <c r="E1534" s="573">
        <f>'900005'!$F32</f>
        <v>0</v>
      </c>
      <c r="F1534" s="27" t="s">
        <v>19085</v>
      </c>
    </row>
    <row r="1535" spans="1:6">
      <c r="A1535" s="27" t="str">
        <f>Resultados!$K$3</f>
        <v/>
      </c>
      <c r="B1535" s="27" t="str">
        <f>Resultados!$K$4</f>
        <v/>
      </c>
      <c r="C1535" s="569" t="str">
        <f>'900005'!$B33</f>
        <v/>
      </c>
      <c r="D1535" s="27" t="str">
        <f>'900005'!$F$16</f>
        <v>C11601002</v>
      </c>
      <c r="E1535" s="573">
        <f>'900005'!$F33</f>
        <v>0</v>
      </c>
      <c r="F1535" s="27" t="s">
        <v>19085</v>
      </c>
    </row>
    <row r="1536" spans="1:6">
      <c r="A1536" s="27" t="str">
        <f>Resultados!$K$3</f>
        <v/>
      </c>
      <c r="B1536" s="27" t="str">
        <f>Resultados!$K$4</f>
        <v/>
      </c>
      <c r="C1536" s="569" t="str">
        <f>'900005'!$B34</f>
        <v/>
      </c>
      <c r="D1536" s="27" t="str">
        <f>'900005'!$F$16</f>
        <v>C11601002</v>
      </c>
      <c r="E1536" s="573">
        <f>'900005'!$F34</f>
        <v>0</v>
      </c>
      <c r="F1536" s="27" t="s">
        <v>19085</v>
      </c>
    </row>
    <row r="1537" spans="1:6">
      <c r="A1537" s="27" t="str">
        <f>Resultados!$K$3</f>
        <v/>
      </c>
      <c r="B1537" s="27" t="str">
        <f>Resultados!$K$4</f>
        <v/>
      </c>
      <c r="C1537" s="569" t="str">
        <f>'900005'!$B35</f>
        <v/>
      </c>
      <c r="D1537" s="27" t="str">
        <f>'900005'!$F$16</f>
        <v>C11601002</v>
      </c>
      <c r="E1537" s="573">
        <f>'900005'!$F35</f>
        <v>0</v>
      </c>
      <c r="F1537" s="27" t="s">
        <v>19085</v>
      </c>
    </row>
    <row r="1538" spans="1:6">
      <c r="A1538" s="27" t="str">
        <f>Resultados!$K$3</f>
        <v/>
      </c>
      <c r="B1538" s="27" t="str">
        <f>Resultados!$K$4</f>
        <v/>
      </c>
      <c r="C1538" s="569" t="str">
        <f>'900005'!$B36</f>
        <v/>
      </c>
      <c r="D1538" s="27" t="str">
        <f>'900005'!$F$16</f>
        <v>C11601002</v>
      </c>
      <c r="E1538" s="573">
        <f>'900005'!$F36</f>
        <v>0</v>
      </c>
      <c r="F1538" s="27" t="s">
        <v>19085</v>
      </c>
    </row>
    <row r="1539" spans="1:6">
      <c r="A1539" s="27" t="str">
        <f>Resultados!$K$3</f>
        <v/>
      </c>
      <c r="B1539" s="27" t="str">
        <f>Resultados!$K$4</f>
        <v/>
      </c>
      <c r="C1539" s="569" t="str">
        <f>'900005'!$B37</f>
        <v/>
      </c>
      <c r="D1539" s="27" t="str">
        <f>'900005'!$F$16</f>
        <v>C11601002</v>
      </c>
      <c r="E1539" s="573">
        <f>'900005'!$F37</f>
        <v>0</v>
      </c>
      <c r="F1539" s="27" t="s">
        <v>19085</v>
      </c>
    </row>
    <row r="1540" spans="1:6">
      <c r="A1540" s="27" t="str">
        <f>Resultados!$K$3</f>
        <v/>
      </c>
      <c r="B1540" s="27" t="str">
        <f>Resultados!$K$4</f>
        <v/>
      </c>
      <c r="C1540" s="569" t="str">
        <f>'900005'!$B38</f>
        <v/>
      </c>
      <c r="D1540" s="27" t="str">
        <f>'900005'!$F$16</f>
        <v>C11601002</v>
      </c>
      <c r="E1540" s="573">
        <f>'900005'!$F38</f>
        <v>0</v>
      </c>
      <c r="F1540" s="27" t="s">
        <v>19085</v>
      </c>
    </row>
    <row r="1541" spans="1:6">
      <c r="A1541" s="27" t="str">
        <f>Resultados!$K$3</f>
        <v/>
      </c>
      <c r="B1541" s="27" t="str">
        <f>Resultados!$K$4</f>
        <v/>
      </c>
      <c r="C1541" s="569" t="str">
        <f>'900005'!$B39</f>
        <v/>
      </c>
      <c r="D1541" s="27" t="str">
        <f>'900005'!$F$16</f>
        <v>C11601002</v>
      </c>
      <c r="E1541" s="573">
        <f>'900005'!$F39</f>
        <v>0</v>
      </c>
      <c r="F1541" s="27" t="s">
        <v>19085</v>
      </c>
    </row>
    <row r="1542" spans="1:6">
      <c r="A1542" s="27" t="str">
        <f>Resultados!$K$3</f>
        <v/>
      </c>
      <c r="B1542" s="27" t="str">
        <f>Resultados!$K$4</f>
        <v/>
      </c>
      <c r="C1542" s="569" t="str">
        <f>'900005'!$B40</f>
        <v/>
      </c>
      <c r="D1542" s="27" t="str">
        <f>'900005'!$F$16</f>
        <v>C11601002</v>
      </c>
      <c r="E1542" s="573">
        <f>'900005'!$F40</f>
        <v>0</v>
      </c>
      <c r="F1542" s="27" t="s">
        <v>19085</v>
      </c>
    </row>
    <row r="1543" spans="1:6">
      <c r="A1543" s="27" t="str">
        <f>Resultados!$K$3</f>
        <v/>
      </c>
      <c r="B1543" s="27" t="str">
        <f>Resultados!$K$4</f>
        <v/>
      </c>
      <c r="C1543" s="569" t="str">
        <f>'900005'!$B41</f>
        <v/>
      </c>
      <c r="D1543" s="27" t="str">
        <f>'900005'!$F$16</f>
        <v>C11601002</v>
      </c>
      <c r="E1543" s="573">
        <f>'900005'!$F41</f>
        <v>0</v>
      </c>
      <c r="F1543" s="27" t="s">
        <v>19085</v>
      </c>
    </row>
    <row r="1544" spans="1:6">
      <c r="A1544" s="27" t="str">
        <f>Resultados!$K$3</f>
        <v/>
      </c>
      <c r="B1544" s="27" t="str">
        <f>Resultados!$K$4</f>
        <v/>
      </c>
      <c r="C1544" s="569" t="str">
        <f>'900005'!$B42</f>
        <v/>
      </c>
      <c r="D1544" s="27" t="str">
        <f>'900005'!$F$16</f>
        <v>C11601002</v>
      </c>
      <c r="E1544" s="573">
        <f>'900005'!$F42</f>
        <v>0</v>
      </c>
      <c r="F1544" s="27" t="s">
        <v>19085</v>
      </c>
    </row>
    <row r="1545" spans="1:6">
      <c r="A1545" s="27" t="str">
        <f>Resultados!$K$3</f>
        <v/>
      </c>
      <c r="B1545" s="27" t="str">
        <f>Resultados!$K$4</f>
        <v/>
      </c>
      <c r="C1545" s="569" t="str">
        <f>'900005'!$B43</f>
        <v/>
      </c>
      <c r="D1545" s="27" t="str">
        <f>'900005'!$F$16</f>
        <v>C11601002</v>
      </c>
      <c r="E1545" s="573">
        <f>'900005'!$F43</f>
        <v>0</v>
      </c>
      <c r="F1545" s="27" t="s">
        <v>19085</v>
      </c>
    </row>
    <row r="1546" spans="1:6">
      <c r="A1546" s="27" t="str">
        <f>Resultados!$K$3</f>
        <v/>
      </c>
      <c r="B1546" s="27" t="str">
        <f>Resultados!$K$4</f>
        <v/>
      </c>
      <c r="C1546" s="569" t="str">
        <f>'900005'!$B44</f>
        <v/>
      </c>
      <c r="D1546" s="27" t="str">
        <f>'900005'!$F$16</f>
        <v>C11601002</v>
      </c>
      <c r="E1546" s="573">
        <f>'900005'!$F44</f>
        <v>0</v>
      </c>
      <c r="F1546" s="27" t="s">
        <v>19085</v>
      </c>
    </row>
    <row r="1547" spans="1:6">
      <c r="A1547" s="27" t="str">
        <f>Resultados!$K$3</f>
        <v/>
      </c>
      <c r="B1547" s="27" t="str">
        <f>Resultados!$K$4</f>
        <v/>
      </c>
      <c r="C1547" s="569" t="str">
        <f>'900005'!$B45</f>
        <v/>
      </c>
      <c r="D1547" s="27" t="str">
        <f>'900005'!$F$16</f>
        <v>C11601002</v>
      </c>
      <c r="E1547" s="573">
        <f>'900005'!$F45</f>
        <v>0</v>
      </c>
      <c r="F1547" s="27" t="s">
        <v>19085</v>
      </c>
    </row>
    <row r="1548" spans="1:6">
      <c r="A1548" s="27" t="str">
        <f>Resultados!$K$3</f>
        <v/>
      </c>
      <c r="B1548" s="27" t="str">
        <f>Resultados!$K$4</f>
        <v/>
      </c>
      <c r="C1548" s="569" t="str">
        <f>'900005'!$B46</f>
        <v/>
      </c>
      <c r="D1548" s="27" t="str">
        <f>'900005'!$F$16</f>
        <v>C11601002</v>
      </c>
      <c r="E1548" s="573">
        <f>'900005'!$F46</f>
        <v>0</v>
      </c>
      <c r="F1548" s="27" t="s">
        <v>19085</v>
      </c>
    </row>
    <row r="1549" spans="1:6">
      <c r="A1549" s="27" t="str">
        <f>Resultados!$K$3</f>
        <v/>
      </c>
      <c r="B1549" s="27" t="str">
        <f>Resultados!$K$4</f>
        <v/>
      </c>
      <c r="C1549" s="569" t="str">
        <f>'900005'!$B47</f>
        <v/>
      </c>
      <c r="D1549" s="27" t="str">
        <f>'900005'!$F$16</f>
        <v>C11601002</v>
      </c>
      <c r="E1549" s="573">
        <f>'900005'!$F47</f>
        <v>0</v>
      </c>
      <c r="F1549" s="27" t="s">
        <v>19085</v>
      </c>
    </row>
    <row r="1550" spans="1:6">
      <c r="A1550" s="27" t="str">
        <f>Resultados!$K$3</f>
        <v/>
      </c>
      <c r="B1550" s="27" t="str">
        <f>Resultados!$K$4</f>
        <v/>
      </c>
      <c r="C1550" s="569" t="str">
        <f>'900005'!$B48</f>
        <v/>
      </c>
      <c r="D1550" s="27" t="str">
        <f>'900005'!$F$16</f>
        <v>C11601002</v>
      </c>
      <c r="E1550" s="573">
        <f>'900005'!$F48</f>
        <v>0</v>
      </c>
      <c r="F1550" s="27" t="s">
        <v>19085</v>
      </c>
    </row>
    <row r="1551" spans="1:6">
      <c r="A1551" s="27" t="str">
        <f>Resultados!$K$3</f>
        <v/>
      </c>
      <c r="B1551" s="27" t="str">
        <f>Resultados!$K$4</f>
        <v/>
      </c>
      <c r="C1551" s="569" t="str">
        <f>'900005'!$B49</f>
        <v/>
      </c>
      <c r="D1551" s="27" t="str">
        <f>'900005'!$F$16</f>
        <v>C11601002</v>
      </c>
      <c r="E1551" s="573">
        <f>'900005'!$F49</f>
        <v>0</v>
      </c>
      <c r="F1551" s="27" t="s">
        <v>19085</v>
      </c>
    </row>
    <row r="1552" spans="1:6">
      <c r="A1552" s="27" t="str">
        <f>Resultados!$K$3</f>
        <v/>
      </c>
      <c r="B1552" s="27" t="str">
        <f>Resultados!$K$4</f>
        <v/>
      </c>
      <c r="C1552" s="569" t="str">
        <f>'900005'!$B50</f>
        <v/>
      </c>
      <c r="D1552" s="27" t="str">
        <f>'900005'!$F$16</f>
        <v>C11601002</v>
      </c>
      <c r="E1552" s="573">
        <f>'900005'!$F50</f>
        <v>0</v>
      </c>
      <c r="F1552" s="27" t="s">
        <v>19085</v>
      </c>
    </row>
    <row r="1553" spans="1:6">
      <c r="A1553" s="27" t="str">
        <f>Resultados!$K$3</f>
        <v/>
      </c>
      <c r="B1553" s="27" t="str">
        <f>Resultados!$K$4</f>
        <v/>
      </c>
      <c r="C1553" s="569" t="str">
        <f>'900005'!$B51</f>
        <v/>
      </c>
      <c r="D1553" s="27" t="str">
        <f>'900005'!$F$16</f>
        <v>C11601002</v>
      </c>
      <c r="E1553" s="573">
        <f>'900005'!$F51</f>
        <v>0</v>
      </c>
      <c r="F1553" s="27" t="s">
        <v>19085</v>
      </c>
    </row>
    <row r="1554" spans="1:6">
      <c r="A1554" s="27" t="str">
        <f>Resultados!$K$3</f>
        <v/>
      </c>
      <c r="B1554" s="27" t="str">
        <f>Resultados!$K$4</f>
        <v/>
      </c>
      <c r="C1554" s="569" t="str">
        <f>'900005'!$B52</f>
        <v/>
      </c>
      <c r="D1554" s="27" t="str">
        <f>'900005'!$F$16</f>
        <v>C11601002</v>
      </c>
      <c r="E1554" s="573">
        <f>'900005'!$F52</f>
        <v>0</v>
      </c>
      <c r="F1554" s="27" t="s">
        <v>19085</v>
      </c>
    </row>
    <row r="1555" spans="1:6">
      <c r="A1555" s="27" t="str">
        <f>Resultados!$K$3</f>
        <v/>
      </c>
      <c r="B1555" s="27" t="str">
        <f>Resultados!$K$4</f>
        <v/>
      </c>
      <c r="C1555" s="569" t="str">
        <f>'900005'!$B53</f>
        <v/>
      </c>
      <c r="D1555" s="27" t="str">
        <f>'900005'!$F$16</f>
        <v>C11601002</v>
      </c>
      <c r="E1555" s="573">
        <f>'900005'!$F53</f>
        <v>0</v>
      </c>
      <c r="F1555" s="27" t="s">
        <v>19085</v>
      </c>
    </row>
    <row r="1556" spans="1:6">
      <c r="A1556" s="27" t="str">
        <f>Resultados!$K$3</f>
        <v/>
      </c>
      <c r="B1556" s="27" t="str">
        <f>Resultados!$K$4</f>
        <v/>
      </c>
      <c r="C1556" s="569" t="str">
        <f>'900005'!$B54</f>
        <v/>
      </c>
      <c r="D1556" s="27" t="str">
        <f>'900005'!$F$16</f>
        <v>C11601002</v>
      </c>
      <c r="E1556" s="573">
        <f>'900005'!$F54</f>
        <v>0</v>
      </c>
      <c r="F1556" s="27" t="s">
        <v>19085</v>
      </c>
    </row>
    <row r="1557" spans="1:6">
      <c r="A1557" s="27" t="str">
        <f>Resultados!$K$3</f>
        <v/>
      </c>
      <c r="B1557" s="27" t="str">
        <f>Resultados!$K$4</f>
        <v/>
      </c>
      <c r="C1557" s="569" t="str">
        <f>'900005'!$B56</f>
        <v/>
      </c>
      <c r="D1557" s="27" t="str">
        <f>'900005'!$F$16</f>
        <v>C11601002</v>
      </c>
      <c r="E1557" s="573">
        <f>'900005'!$F56</f>
        <v>0</v>
      </c>
      <c r="F1557" s="27" t="s">
        <v>19085</v>
      </c>
    </row>
    <row r="1558" spans="1:6">
      <c r="A1558" s="27" t="str">
        <f>Resultados!$K$3</f>
        <v/>
      </c>
      <c r="B1558" s="27" t="str">
        <f>Resultados!$K$4</f>
        <v/>
      </c>
      <c r="C1558" s="569" t="str">
        <f>'900005'!$B57</f>
        <v/>
      </c>
      <c r="D1558" s="27" t="str">
        <f>'900005'!$F$16</f>
        <v>C11601002</v>
      </c>
      <c r="E1558" s="573">
        <f>'900005'!$F57</f>
        <v>0</v>
      </c>
      <c r="F1558" s="27" t="s">
        <v>19085</v>
      </c>
    </row>
    <row r="1559" spans="1:6">
      <c r="A1559" s="27" t="str">
        <f>Resultados!$K$3</f>
        <v/>
      </c>
      <c r="B1559" s="27" t="str">
        <f>Resultados!$K$4</f>
        <v/>
      </c>
      <c r="C1559" s="569" t="str">
        <f>'900005'!$B58</f>
        <v/>
      </c>
      <c r="D1559" s="27" t="str">
        <f>'900005'!$F$16</f>
        <v>C11601002</v>
      </c>
      <c r="E1559" s="573">
        <f>'900005'!$F58</f>
        <v>0</v>
      </c>
      <c r="F1559" s="27" t="s">
        <v>19085</v>
      </c>
    </row>
    <row r="1560" spans="1:6">
      <c r="A1560" s="27" t="str">
        <f>Resultados!$K$3</f>
        <v/>
      </c>
      <c r="B1560" s="27" t="str">
        <f>Resultados!$K$4</f>
        <v/>
      </c>
      <c r="C1560" s="569" t="str">
        <f>'900005'!$B59</f>
        <v/>
      </c>
      <c r="D1560" s="27" t="str">
        <f>'900005'!$F$16</f>
        <v>C11601002</v>
      </c>
      <c r="E1560" s="573">
        <f>'900005'!$F59</f>
        <v>0</v>
      </c>
      <c r="F1560" s="27" t="s">
        <v>19085</v>
      </c>
    </row>
    <row r="1561" spans="1:6">
      <c r="A1561" s="27" t="str">
        <f>Resultados!$K$3</f>
        <v/>
      </c>
      <c r="B1561" s="27" t="str">
        <f>Resultados!$K$4</f>
        <v/>
      </c>
      <c r="C1561" s="569" t="str">
        <f>'900005'!$B60</f>
        <v/>
      </c>
      <c r="D1561" s="27" t="str">
        <f>'900005'!$F$16</f>
        <v>C11601002</v>
      </c>
      <c r="E1561" s="573">
        <f>'900005'!$F60</f>
        <v>0</v>
      </c>
      <c r="F1561" s="27" t="s">
        <v>19085</v>
      </c>
    </row>
    <row r="1562" spans="1:6">
      <c r="A1562" s="27" t="str">
        <f>Resultados!$K$3</f>
        <v/>
      </c>
      <c r="B1562" s="27" t="str">
        <f>Resultados!$K$4</f>
        <v/>
      </c>
      <c r="C1562" s="569" t="str">
        <f>'900005'!$B61</f>
        <v/>
      </c>
      <c r="D1562" s="27" t="str">
        <f>'900005'!$F$16</f>
        <v>C11601002</v>
      </c>
      <c r="E1562" s="573">
        <f>'900005'!$F61</f>
        <v>0</v>
      </c>
      <c r="F1562" s="27" t="s">
        <v>19085</v>
      </c>
    </row>
    <row r="1563" spans="1:6">
      <c r="A1563" s="27" t="str">
        <f>Resultados!$K$3</f>
        <v/>
      </c>
      <c r="B1563" s="27" t="str">
        <f>Resultados!$K$4</f>
        <v/>
      </c>
      <c r="C1563" s="569" t="str">
        <f>'900005'!$B62</f>
        <v/>
      </c>
      <c r="D1563" s="27" t="str">
        <f>'900005'!$F$16</f>
        <v>C11601002</v>
      </c>
      <c r="E1563" s="573">
        <f>'900005'!$F62</f>
        <v>0</v>
      </c>
      <c r="F1563" s="27" t="s">
        <v>19085</v>
      </c>
    </row>
    <row r="1564" spans="1:6">
      <c r="A1564" s="27" t="str">
        <f>Resultados!$K$3</f>
        <v/>
      </c>
      <c r="B1564" s="27" t="str">
        <f>Resultados!$K$4</f>
        <v/>
      </c>
      <c r="C1564" s="569" t="str">
        <f>'900005'!$B63</f>
        <v/>
      </c>
      <c r="D1564" s="27" t="str">
        <f>'900005'!$F$16</f>
        <v>C11601002</v>
      </c>
      <c r="E1564" s="573">
        <f>'900005'!$F63</f>
        <v>0</v>
      </c>
      <c r="F1564" s="27" t="s">
        <v>19085</v>
      </c>
    </row>
    <row r="1565" spans="1:6">
      <c r="A1565" s="27" t="str">
        <f>Resultados!$K$3</f>
        <v/>
      </c>
      <c r="B1565" s="27" t="str">
        <f>Resultados!$K$4</f>
        <v/>
      </c>
      <c r="C1565" s="569" t="str">
        <f>'900005'!$B64</f>
        <v/>
      </c>
      <c r="D1565" s="27" t="str">
        <f>'900005'!$F$16</f>
        <v>C11601002</v>
      </c>
      <c r="E1565" s="573">
        <f>'900005'!$F64</f>
        <v>0</v>
      </c>
      <c r="F1565" s="27" t="s">
        <v>19085</v>
      </c>
    </row>
    <row r="1566" spans="1:6">
      <c r="A1566" s="27" t="str">
        <f>Resultados!$K$3</f>
        <v/>
      </c>
      <c r="B1566" s="27" t="str">
        <f>Resultados!$K$4</f>
        <v/>
      </c>
      <c r="C1566" s="569" t="str">
        <f>'900005'!$B65</f>
        <v/>
      </c>
      <c r="D1566" s="27" t="str">
        <f>'900005'!$F$16</f>
        <v>C11601002</v>
      </c>
      <c r="E1566" s="573">
        <f>'900005'!$F65</f>
        <v>0</v>
      </c>
      <c r="F1566" s="27" t="s">
        <v>19085</v>
      </c>
    </row>
    <row r="1567" spans="1:6">
      <c r="A1567" s="27" t="str">
        <f>Resultados!$K$3</f>
        <v/>
      </c>
      <c r="B1567" s="27" t="str">
        <f>Resultados!$K$4</f>
        <v/>
      </c>
      <c r="C1567" s="569" t="str">
        <f>'900005'!$B66</f>
        <v/>
      </c>
      <c r="D1567" s="27" t="str">
        <f>'900005'!$F$16</f>
        <v>C11601002</v>
      </c>
      <c r="E1567" s="573">
        <f>'900005'!$F66</f>
        <v>0</v>
      </c>
      <c r="F1567" s="27" t="s">
        <v>19085</v>
      </c>
    </row>
    <row r="1568" spans="1:6">
      <c r="A1568" s="27" t="str">
        <f>Resultados!$K$3</f>
        <v/>
      </c>
      <c r="B1568" s="27" t="str">
        <f>Resultados!$K$4</f>
        <v/>
      </c>
      <c r="C1568" s="569" t="str">
        <f>'900005'!$B68</f>
        <v/>
      </c>
      <c r="D1568" s="27" t="str">
        <f>'900005'!$F$16</f>
        <v>C11601002</v>
      </c>
      <c r="E1568" s="573">
        <f>'900005'!$F68</f>
        <v>0</v>
      </c>
      <c r="F1568" s="27" t="s">
        <v>19085</v>
      </c>
    </row>
    <row r="1569" spans="1:6">
      <c r="A1569" s="27" t="str">
        <f>Resultados!$K$3</f>
        <v/>
      </c>
      <c r="B1569" s="27" t="str">
        <f>Resultados!$K$4</f>
        <v/>
      </c>
      <c r="C1569" s="569" t="str">
        <f>'900005'!$B69</f>
        <v/>
      </c>
      <c r="D1569" s="27" t="str">
        <f>'900005'!$F$16</f>
        <v>C11601002</v>
      </c>
      <c r="E1569" s="573">
        <f>'900005'!$F69</f>
        <v>0</v>
      </c>
      <c r="F1569" s="27" t="s">
        <v>19085</v>
      </c>
    </row>
    <row r="1570" spans="1:6">
      <c r="A1570" s="27" t="str">
        <f>Resultados!$K$3</f>
        <v/>
      </c>
      <c r="B1570" s="27" t="str">
        <f>Resultados!$K$4</f>
        <v/>
      </c>
      <c r="C1570" s="569" t="str">
        <f>'900005'!$B70</f>
        <v/>
      </c>
      <c r="D1570" s="27" t="str">
        <f>'900005'!$F$16</f>
        <v>C11601002</v>
      </c>
      <c r="E1570" s="573">
        <f>'900005'!$F70</f>
        <v>0</v>
      </c>
      <c r="F1570" s="27" t="s">
        <v>19085</v>
      </c>
    </row>
    <row r="1571" spans="1:6">
      <c r="A1571" s="27" t="str">
        <f>Resultados!$K$3</f>
        <v/>
      </c>
      <c r="B1571" s="27" t="str">
        <f>Resultados!$K$4</f>
        <v/>
      </c>
      <c r="C1571" s="569" t="str">
        <f>'900005'!$B71</f>
        <v/>
      </c>
      <c r="D1571" s="27" t="str">
        <f>'900005'!$F$16</f>
        <v>C11601002</v>
      </c>
      <c r="E1571" s="573">
        <f>'900005'!$F71</f>
        <v>0</v>
      </c>
      <c r="F1571" s="27" t="s">
        <v>19085</v>
      </c>
    </row>
    <row r="1572" spans="1:6">
      <c r="A1572" s="27" t="str">
        <f>Resultados!$K$3</f>
        <v/>
      </c>
      <c r="B1572" s="27" t="str">
        <f>Resultados!$K$4</f>
        <v/>
      </c>
      <c r="C1572" s="569" t="str">
        <f>'900005'!$B72</f>
        <v/>
      </c>
      <c r="D1572" s="27" t="str">
        <f>'900005'!$F$16</f>
        <v>C11601002</v>
      </c>
      <c r="E1572" s="573">
        <f>'900005'!$F72</f>
        <v>0</v>
      </c>
      <c r="F1572" s="27" t="s">
        <v>19085</v>
      </c>
    </row>
    <row r="1573" spans="1:6">
      <c r="A1573" s="27" t="str">
        <f>Resultados!$K$3</f>
        <v/>
      </c>
      <c r="B1573" s="27" t="str">
        <f>Resultados!$K$4</f>
        <v/>
      </c>
      <c r="C1573" s="569" t="str">
        <f>'900005'!$B73</f>
        <v/>
      </c>
      <c r="D1573" s="27" t="str">
        <f>'900005'!$F$16</f>
        <v>C11601002</v>
      </c>
      <c r="E1573" s="573">
        <f>'900005'!$F73</f>
        <v>0</v>
      </c>
      <c r="F1573" s="27" t="s">
        <v>19085</v>
      </c>
    </row>
    <row r="1574" spans="1:6">
      <c r="A1574" s="27" t="str">
        <f>Resultados!$K$3</f>
        <v/>
      </c>
      <c r="B1574" s="27" t="str">
        <f>Resultados!$K$4</f>
        <v/>
      </c>
      <c r="C1574" s="569" t="str">
        <f>'900005'!$B74</f>
        <v/>
      </c>
      <c r="D1574" s="27" t="str">
        <f>'900005'!$F$16</f>
        <v>C11601002</v>
      </c>
      <c r="E1574" s="573">
        <f>'900005'!$F74</f>
        <v>0</v>
      </c>
      <c r="F1574" s="27" t="s">
        <v>19085</v>
      </c>
    </row>
    <row r="1575" spans="1:6">
      <c r="A1575" s="27" t="str">
        <f>Resultados!$K$3</f>
        <v/>
      </c>
      <c r="B1575" s="27" t="str">
        <f>Resultados!$K$4</f>
        <v/>
      </c>
      <c r="C1575" s="569" t="str">
        <f>'900005'!$B76</f>
        <v/>
      </c>
      <c r="D1575" s="27" t="str">
        <f>'900005'!$F$16</f>
        <v>C11601002</v>
      </c>
      <c r="E1575" s="573">
        <f>'900005'!$F76</f>
        <v>0</v>
      </c>
      <c r="F1575" s="27" t="s">
        <v>19085</v>
      </c>
    </row>
    <row r="1576" spans="1:6">
      <c r="A1576" s="27" t="str">
        <f>Resultados!$K$3</f>
        <v/>
      </c>
      <c r="B1576" s="27" t="str">
        <f>Resultados!$K$4</f>
        <v/>
      </c>
      <c r="C1576" s="569" t="str">
        <f>'900005'!$B77</f>
        <v/>
      </c>
      <c r="D1576" s="27" t="str">
        <f>'900005'!$F$16</f>
        <v>C11601002</v>
      </c>
      <c r="E1576" s="573">
        <f>'900005'!$F77</f>
        <v>0</v>
      </c>
      <c r="F1576" s="27" t="s">
        <v>19085</v>
      </c>
    </row>
    <row r="1577" spans="1:6">
      <c r="A1577" s="27" t="str">
        <f>Resultados!$K$3</f>
        <v/>
      </c>
      <c r="B1577" s="27" t="str">
        <f>Resultados!$K$4</f>
        <v/>
      </c>
      <c r="C1577" s="569" t="str">
        <f>'900005'!$B78</f>
        <v/>
      </c>
      <c r="D1577" s="27" t="str">
        <f>'900005'!$F$16</f>
        <v>C11601002</v>
      </c>
      <c r="E1577" s="573">
        <f>'900005'!$F78</f>
        <v>0</v>
      </c>
      <c r="F1577" s="27" t="s">
        <v>19085</v>
      </c>
    </row>
    <row r="1578" spans="1:6">
      <c r="A1578" s="27" t="str">
        <f>Resultados!$K$3</f>
        <v/>
      </c>
      <c r="B1578" s="27" t="str">
        <f>Resultados!$K$4</f>
        <v/>
      </c>
      <c r="C1578" s="569" t="str">
        <f>'900005'!$B79</f>
        <v/>
      </c>
      <c r="D1578" s="27" t="str">
        <f>'900005'!$F$16</f>
        <v>C11601002</v>
      </c>
      <c r="E1578" s="573">
        <f>'900005'!$F79</f>
        <v>0</v>
      </c>
      <c r="F1578" s="27" t="s">
        <v>19085</v>
      </c>
    </row>
    <row r="1579" spans="1:6">
      <c r="A1579" s="27" t="str">
        <f>Resultados!$K$3</f>
        <v/>
      </c>
      <c r="B1579" s="27" t="str">
        <f>Resultados!$K$4</f>
        <v/>
      </c>
      <c r="C1579" s="569" t="str">
        <f>'900005'!$B80</f>
        <v/>
      </c>
      <c r="D1579" s="27" t="str">
        <f>'900005'!$F$16</f>
        <v>C11601002</v>
      </c>
      <c r="E1579" s="573">
        <f>'900005'!$F80</f>
        <v>0</v>
      </c>
      <c r="F1579" s="27" t="s">
        <v>19085</v>
      </c>
    </row>
    <row r="1580" spans="1:6">
      <c r="A1580" s="27" t="str">
        <f>Resultados!$K$3</f>
        <v/>
      </c>
      <c r="B1580" s="27" t="str">
        <f>Resultados!$K$4</f>
        <v/>
      </c>
      <c r="C1580" s="569" t="str">
        <f>'900005'!$B81</f>
        <v/>
      </c>
      <c r="D1580" s="27" t="str">
        <f>'900005'!$F$16</f>
        <v>C11601002</v>
      </c>
      <c r="E1580" s="573">
        <f>'900005'!$F81</f>
        <v>0</v>
      </c>
      <c r="F1580" s="27" t="s">
        <v>19085</v>
      </c>
    </row>
    <row r="1581" spans="1:6">
      <c r="A1581" s="27" t="str">
        <f>Resultados!$K$3</f>
        <v/>
      </c>
      <c r="B1581" s="27" t="str">
        <f>Resultados!$K$4</f>
        <v/>
      </c>
      <c r="C1581" s="569" t="str">
        <f>'900005'!$B83</f>
        <v/>
      </c>
      <c r="D1581" s="27" t="str">
        <f>'900005'!$F$16</f>
        <v>C11601002</v>
      </c>
      <c r="E1581" s="573">
        <f>'900005'!$F83</f>
        <v>0</v>
      </c>
      <c r="F1581" s="27" t="s">
        <v>19085</v>
      </c>
    </row>
    <row r="1582" spans="1:6">
      <c r="A1582" s="27" t="str">
        <f>Resultados!$K$3</f>
        <v/>
      </c>
      <c r="B1582" s="27" t="str">
        <f>Resultados!$K$4</f>
        <v/>
      </c>
      <c r="C1582" s="569" t="str">
        <f>'900005'!$B87</f>
        <v/>
      </c>
      <c r="D1582" s="27" t="str">
        <f>'900005'!$F$16</f>
        <v>C11601002</v>
      </c>
      <c r="E1582" s="573">
        <f>'900005'!$F87</f>
        <v>0</v>
      </c>
      <c r="F1582" s="27" t="s">
        <v>19085</v>
      </c>
    </row>
    <row r="1583" spans="1:6">
      <c r="A1583" s="27" t="str">
        <f>Resultados!$K$3</f>
        <v/>
      </c>
      <c r="B1583" s="27" t="str">
        <f>Resultados!$K$4</f>
        <v/>
      </c>
      <c r="C1583" s="569" t="str">
        <f>'900005'!$B88</f>
        <v/>
      </c>
      <c r="D1583" s="27" t="str">
        <f>'900005'!$F$16</f>
        <v>C11601002</v>
      </c>
      <c r="E1583" s="573">
        <f>'900005'!$F88</f>
        <v>0</v>
      </c>
      <c r="F1583" s="27" t="s">
        <v>19085</v>
      </c>
    </row>
    <row r="1584" spans="1:6">
      <c r="A1584" s="27" t="str">
        <f>Resultados!$K$3</f>
        <v/>
      </c>
      <c r="B1584" s="27" t="str">
        <f>Resultados!$K$4</f>
        <v/>
      </c>
      <c r="C1584" s="569" t="str">
        <f>'900005'!$B91</f>
        <v/>
      </c>
      <c r="D1584" s="27" t="str">
        <f>'900005'!$F$16</f>
        <v>C11601002</v>
      </c>
      <c r="E1584" s="573">
        <f>'900005'!$F91</f>
        <v>0</v>
      </c>
      <c r="F1584" s="27" t="s">
        <v>19085</v>
      </c>
    </row>
    <row r="1585" spans="1:6">
      <c r="A1585" s="27" t="str">
        <f>Resultados!$K$3</f>
        <v/>
      </c>
      <c r="B1585" s="27" t="str">
        <f>Resultados!$K$4</f>
        <v/>
      </c>
      <c r="C1585" s="569" t="str">
        <f>'900005'!$B92</f>
        <v/>
      </c>
      <c r="D1585" s="27" t="str">
        <f>'900005'!$F$16</f>
        <v>C11601002</v>
      </c>
      <c r="E1585" s="573">
        <f>'900005'!$F92</f>
        <v>0</v>
      </c>
      <c r="F1585" s="27" t="s">
        <v>19085</v>
      </c>
    </row>
    <row r="1586" spans="1:6">
      <c r="A1586" s="27" t="str">
        <f>Resultados!$K$3</f>
        <v/>
      </c>
      <c r="B1586" s="27" t="str">
        <f>Resultados!$K$4</f>
        <v/>
      </c>
      <c r="C1586" s="569" t="str">
        <f>'900005'!$B93</f>
        <v/>
      </c>
      <c r="D1586" s="27" t="str">
        <f>'900005'!$F$16</f>
        <v>C11601002</v>
      </c>
      <c r="E1586" s="573">
        <f>'900005'!$F93</f>
        <v>0</v>
      </c>
      <c r="F1586" s="27" t="s">
        <v>19085</v>
      </c>
    </row>
    <row r="1587" spans="1:6">
      <c r="A1587" s="27" t="str">
        <f>Resultados!$K$3</f>
        <v/>
      </c>
      <c r="B1587" s="27" t="str">
        <f>Resultados!$K$4</f>
        <v/>
      </c>
      <c r="C1587" s="569" t="str">
        <f>'900005'!$B95</f>
        <v/>
      </c>
      <c r="D1587" s="27" t="str">
        <f>'900005'!$F$16</f>
        <v>C11601002</v>
      </c>
      <c r="E1587" s="573">
        <f>'900005'!$F95</f>
        <v>0</v>
      </c>
      <c r="F1587" s="27" t="s">
        <v>19085</v>
      </c>
    </row>
    <row r="1588" spans="1:6">
      <c r="A1588" s="27" t="str">
        <f>Resultados!$K$3</f>
        <v/>
      </c>
      <c r="B1588" s="27" t="str">
        <f>Resultados!$K$4</f>
        <v/>
      </c>
      <c r="C1588" s="569" t="str">
        <f>'900005'!$B96</f>
        <v/>
      </c>
      <c r="D1588" s="27" t="str">
        <f>'900005'!$F$16</f>
        <v>C11601002</v>
      </c>
      <c r="E1588" s="573">
        <f>'900005'!$F96</f>
        <v>0</v>
      </c>
      <c r="F1588" s="27" t="s">
        <v>19085</v>
      </c>
    </row>
    <row r="1589" spans="1:6">
      <c r="A1589" s="27" t="str">
        <f>Resultados!$K$3</f>
        <v/>
      </c>
      <c r="B1589" s="27" t="str">
        <f>Resultados!$K$4</f>
        <v/>
      </c>
      <c r="C1589" s="569" t="str">
        <f>'900005'!$B97</f>
        <v/>
      </c>
      <c r="D1589" s="27" t="str">
        <f>'900005'!$F$16</f>
        <v>C11601002</v>
      </c>
      <c r="E1589" s="573">
        <f>'900005'!$F97</f>
        <v>0</v>
      </c>
      <c r="F1589" s="27" t="s">
        <v>19085</v>
      </c>
    </row>
    <row r="1590" spans="1:6">
      <c r="A1590" s="27" t="str">
        <f>Resultados!$K$3</f>
        <v/>
      </c>
      <c r="B1590" s="27" t="str">
        <f>Resultados!$K$4</f>
        <v/>
      </c>
      <c r="C1590" s="569" t="str">
        <f>'900005'!$B98</f>
        <v/>
      </c>
      <c r="D1590" s="27" t="str">
        <f>'900005'!$F$16</f>
        <v>C11601002</v>
      </c>
      <c r="E1590" s="573">
        <f>'900005'!$F98</f>
        <v>0</v>
      </c>
      <c r="F1590" s="27" t="s">
        <v>19085</v>
      </c>
    </row>
    <row r="1591" spans="1:6">
      <c r="A1591" s="27" t="str">
        <f>Resultados!$K$3</f>
        <v/>
      </c>
      <c r="B1591" s="27" t="str">
        <f>Resultados!$K$4</f>
        <v/>
      </c>
      <c r="C1591" s="569" t="str">
        <f>'900005'!$B19</f>
        <v/>
      </c>
      <c r="D1591" t="str">
        <f>'900005'!$G$16</f>
        <v>C11601003</v>
      </c>
      <c r="E1591" s="573">
        <f>'900005'!$G19</f>
        <v>0</v>
      </c>
      <c r="F1591" s="27" t="s">
        <v>19085</v>
      </c>
    </row>
    <row r="1592" spans="1:6">
      <c r="A1592" s="27" t="str">
        <f>Resultados!$K$3</f>
        <v/>
      </c>
      <c r="B1592" s="27" t="str">
        <f>Resultados!$K$4</f>
        <v/>
      </c>
      <c r="C1592" s="569" t="str">
        <f>'900005'!$B20</f>
        <v/>
      </c>
      <c r="D1592" s="27" t="str">
        <f>'900005'!$G$16</f>
        <v>C11601003</v>
      </c>
      <c r="E1592" s="573">
        <f>'900005'!$G20</f>
        <v>0</v>
      </c>
      <c r="F1592" s="27" t="s">
        <v>19085</v>
      </c>
    </row>
    <row r="1593" spans="1:6">
      <c r="A1593" s="27" t="str">
        <f>Resultados!$K$3</f>
        <v/>
      </c>
      <c r="B1593" s="27" t="str">
        <f>Resultados!$K$4</f>
        <v/>
      </c>
      <c r="C1593" s="569" t="str">
        <f>'900005'!$B21</f>
        <v/>
      </c>
      <c r="D1593" s="27" t="str">
        <f>'900005'!$G$16</f>
        <v>C11601003</v>
      </c>
      <c r="E1593" s="573">
        <f>'900005'!$G21</f>
        <v>0</v>
      </c>
      <c r="F1593" s="27" t="s">
        <v>19085</v>
      </c>
    </row>
    <row r="1594" spans="1:6">
      <c r="A1594" s="27" t="str">
        <f>Resultados!$K$3</f>
        <v/>
      </c>
      <c r="B1594" s="27" t="str">
        <f>Resultados!$K$4</f>
        <v/>
      </c>
      <c r="C1594" s="569" t="str">
        <f>'900005'!$B22</f>
        <v/>
      </c>
      <c r="D1594" s="27" t="str">
        <f>'900005'!$G$16</f>
        <v>C11601003</v>
      </c>
      <c r="E1594" s="573">
        <f>'900005'!$G22</f>
        <v>0</v>
      </c>
      <c r="F1594" s="27" t="s">
        <v>19085</v>
      </c>
    </row>
    <row r="1595" spans="1:6">
      <c r="A1595" s="27" t="str">
        <f>Resultados!$K$3</f>
        <v/>
      </c>
      <c r="B1595" s="27" t="str">
        <f>Resultados!$K$4</f>
        <v/>
      </c>
      <c r="C1595" s="569" t="str">
        <f>'900005'!$B23</f>
        <v/>
      </c>
      <c r="D1595" s="27" t="str">
        <f>'900005'!$G$16</f>
        <v>C11601003</v>
      </c>
      <c r="E1595" s="573">
        <f>'900005'!$G23</f>
        <v>0</v>
      </c>
      <c r="F1595" s="27" t="s">
        <v>19085</v>
      </c>
    </row>
    <row r="1596" spans="1:6">
      <c r="A1596" s="27" t="str">
        <f>Resultados!$K$3</f>
        <v/>
      </c>
      <c r="B1596" s="27" t="str">
        <f>Resultados!$K$4</f>
        <v/>
      </c>
      <c r="C1596" s="569" t="str">
        <f>'900005'!$B24</f>
        <v/>
      </c>
      <c r="D1596" s="27" t="str">
        <f>'900005'!$G$16</f>
        <v>C11601003</v>
      </c>
      <c r="E1596" s="573">
        <f>'900005'!$G24</f>
        <v>0</v>
      </c>
      <c r="F1596" s="27" t="s">
        <v>19085</v>
      </c>
    </row>
    <row r="1597" spans="1:6">
      <c r="A1597" s="27" t="str">
        <f>Resultados!$K$3</f>
        <v/>
      </c>
      <c r="B1597" s="27" t="str">
        <f>Resultados!$K$4</f>
        <v/>
      </c>
      <c r="C1597" s="569" t="str">
        <f>'900005'!$B25</f>
        <v/>
      </c>
      <c r="D1597" s="27" t="str">
        <f>'900005'!$G$16</f>
        <v>C11601003</v>
      </c>
      <c r="E1597" s="573">
        <f>'900005'!$G25</f>
        <v>0</v>
      </c>
      <c r="F1597" s="27" t="s">
        <v>19085</v>
      </c>
    </row>
    <row r="1598" spans="1:6">
      <c r="A1598" s="27" t="str">
        <f>Resultados!$K$3</f>
        <v/>
      </c>
      <c r="B1598" s="27" t="str">
        <f>Resultados!$K$4</f>
        <v/>
      </c>
      <c r="C1598" s="569" t="str">
        <f>'900005'!$B26</f>
        <v/>
      </c>
      <c r="D1598" s="27" t="str">
        <f>'900005'!$G$16</f>
        <v>C11601003</v>
      </c>
      <c r="E1598" s="573">
        <f>'900005'!$G26</f>
        <v>0</v>
      </c>
      <c r="F1598" s="27" t="s">
        <v>19085</v>
      </c>
    </row>
    <row r="1599" spans="1:6">
      <c r="A1599" s="27" t="str">
        <f>Resultados!$K$3</f>
        <v/>
      </c>
      <c r="B1599" s="27" t="str">
        <f>Resultados!$K$4</f>
        <v/>
      </c>
      <c r="C1599" s="569" t="str">
        <f>'900005'!$B27</f>
        <v/>
      </c>
      <c r="D1599" s="27" t="str">
        <f>'900005'!$G$16</f>
        <v>C11601003</v>
      </c>
      <c r="E1599" s="573">
        <f>'900005'!$G27</f>
        <v>0</v>
      </c>
      <c r="F1599" s="27" t="s">
        <v>19085</v>
      </c>
    </row>
    <row r="1600" spans="1:6">
      <c r="A1600" s="27" t="str">
        <f>Resultados!$K$3</f>
        <v/>
      </c>
      <c r="B1600" s="27" t="str">
        <f>Resultados!$K$4</f>
        <v/>
      </c>
      <c r="C1600" s="569" t="str">
        <f>'900005'!$B28</f>
        <v/>
      </c>
      <c r="D1600" s="27" t="str">
        <f>'900005'!$G$16</f>
        <v>C11601003</v>
      </c>
      <c r="E1600" s="573">
        <f>'900005'!$G28</f>
        <v>0</v>
      </c>
      <c r="F1600" s="27" t="s">
        <v>19085</v>
      </c>
    </row>
    <row r="1601" spans="1:6">
      <c r="A1601" s="27" t="str">
        <f>Resultados!$K$3</f>
        <v/>
      </c>
      <c r="B1601" s="27" t="str">
        <f>Resultados!$K$4</f>
        <v/>
      </c>
      <c r="C1601" s="569" t="str">
        <f>'900005'!$B29</f>
        <v/>
      </c>
      <c r="D1601" s="27" t="str">
        <f>'900005'!$G$16</f>
        <v>C11601003</v>
      </c>
      <c r="E1601" s="573">
        <f>'900005'!$G29</f>
        <v>0</v>
      </c>
      <c r="F1601" s="27" t="s">
        <v>19085</v>
      </c>
    </row>
    <row r="1602" spans="1:6">
      <c r="A1602" s="27" t="str">
        <f>Resultados!$K$3</f>
        <v/>
      </c>
      <c r="B1602" s="27" t="str">
        <f>Resultados!$K$4</f>
        <v/>
      </c>
      <c r="C1602" s="569" t="str">
        <f>'900005'!$B30</f>
        <v/>
      </c>
      <c r="D1602" s="27" t="str">
        <f>'900005'!$G$16</f>
        <v>C11601003</v>
      </c>
      <c r="E1602" s="573">
        <f>'900005'!$G30</f>
        <v>0</v>
      </c>
      <c r="F1602" s="27" t="s">
        <v>19085</v>
      </c>
    </row>
    <row r="1603" spans="1:6">
      <c r="A1603" s="27" t="str">
        <f>Resultados!$K$3</f>
        <v/>
      </c>
      <c r="B1603" s="27" t="str">
        <f>Resultados!$K$4</f>
        <v/>
      </c>
      <c r="C1603" s="569" t="str">
        <f>'900005'!$B31</f>
        <v/>
      </c>
      <c r="D1603" s="27" t="str">
        <f>'900005'!$G$16</f>
        <v>C11601003</v>
      </c>
      <c r="E1603" s="573">
        <f>'900005'!$G31</f>
        <v>0</v>
      </c>
      <c r="F1603" s="27" t="s">
        <v>19085</v>
      </c>
    </row>
    <row r="1604" spans="1:6">
      <c r="A1604" s="27" t="str">
        <f>Resultados!$K$3</f>
        <v/>
      </c>
      <c r="B1604" s="27" t="str">
        <f>Resultados!$K$4</f>
        <v/>
      </c>
      <c r="C1604" s="569" t="str">
        <f>'900005'!$B32</f>
        <v/>
      </c>
      <c r="D1604" s="27" t="str">
        <f>'900005'!$G$16</f>
        <v>C11601003</v>
      </c>
      <c r="E1604" s="573">
        <f>'900005'!$G32</f>
        <v>0</v>
      </c>
      <c r="F1604" s="27" t="s">
        <v>19085</v>
      </c>
    </row>
    <row r="1605" spans="1:6">
      <c r="A1605" s="27" t="str">
        <f>Resultados!$K$3</f>
        <v/>
      </c>
      <c r="B1605" s="27" t="str">
        <f>Resultados!$K$4</f>
        <v/>
      </c>
      <c r="C1605" s="569" t="str">
        <f>'900005'!$B33</f>
        <v/>
      </c>
      <c r="D1605" s="27" t="str">
        <f>'900005'!$G$16</f>
        <v>C11601003</v>
      </c>
      <c r="E1605" s="573">
        <f>'900005'!$G33</f>
        <v>0</v>
      </c>
      <c r="F1605" s="27" t="s">
        <v>19085</v>
      </c>
    </row>
    <row r="1606" spans="1:6">
      <c r="A1606" s="27" t="str">
        <f>Resultados!$K$3</f>
        <v/>
      </c>
      <c r="B1606" s="27" t="str">
        <f>Resultados!$K$4</f>
        <v/>
      </c>
      <c r="C1606" s="569" t="str">
        <f>'900005'!$B34</f>
        <v/>
      </c>
      <c r="D1606" s="27" t="str">
        <f>'900005'!$G$16</f>
        <v>C11601003</v>
      </c>
      <c r="E1606" s="573">
        <f>'900005'!$G34</f>
        <v>0</v>
      </c>
      <c r="F1606" s="27" t="s">
        <v>19085</v>
      </c>
    </row>
    <row r="1607" spans="1:6">
      <c r="A1607" s="27" t="str">
        <f>Resultados!$K$3</f>
        <v/>
      </c>
      <c r="B1607" s="27" t="str">
        <f>Resultados!$K$4</f>
        <v/>
      </c>
      <c r="C1607" s="569" t="str">
        <f>'900005'!$B35</f>
        <v/>
      </c>
      <c r="D1607" s="27" t="str">
        <f>'900005'!$G$16</f>
        <v>C11601003</v>
      </c>
      <c r="E1607" s="573">
        <f>'900005'!$G35</f>
        <v>0</v>
      </c>
      <c r="F1607" s="27" t="s">
        <v>19085</v>
      </c>
    </row>
    <row r="1608" spans="1:6">
      <c r="A1608" s="27" t="str">
        <f>Resultados!$K$3</f>
        <v/>
      </c>
      <c r="B1608" s="27" t="str">
        <f>Resultados!$K$4</f>
        <v/>
      </c>
      <c r="C1608" s="569" t="str">
        <f>'900005'!$B36</f>
        <v/>
      </c>
      <c r="D1608" s="27" t="str">
        <f>'900005'!$G$16</f>
        <v>C11601003</v>
      </c>
      <c r="E1608" s="573">
        <f>'900005'!$G36</f>
        <v>0</v>
      </c>
      <c r="F1608" s="27" t="s">
        <v>19085</v>
      </c>
    </row>
    <row r="1609" spans="1:6">
      <c r="A1609" s="27" t="str">
        <f>Resultados!$K$3</f>
        <v/>
      </c>
      <c r="B1609" s="27" t="str">
        <f>Resultados!$K$4</f>
        <v/>
      </c>
      <c r="C1609" s="569" t="str">
        <f>'900005'!$B37</f>
        <v/>
      </c>
      <c r="D1609" s="27" t="str">
        <f>'900005'!$G$16</f>
        <v>C11601003</v>
      </c>
      <c r="E1609" s="573">
        <f>'900005'!$G37</f>
        <v>0</v>
      </c>
      <c r="F1609" s="27" t="s">
        <v>19085</v>
      </c>
    </row>
    <row r="1610" spans="1:6">
      <c r="A1610" s="27" t="str">
        <f>Resultados!$K$3</f>
        <v/>
      </c>
      <c r="B1610" s="27" t="str">
        <f>Resultados!$K$4</f>
        <v/>
      </c>
      <c r="C1610" s="569" t="str">
        <f>'900005'!$B38</f>
        <v/>
      </c>
      <c r="D1610" s="27" t="str">
        <f>'900005'!$G$16</f>
        <v>C11601003</v>
      </c>
      <c r="E1610" s="573">
        <f>'900005'!$G38</f>
        <v>0</v>
      </c>
      <c r="F1610" s="27" t="s">
        <v>19085</v>
      </c>
    </row>
    <row r="1611" spans="1:6">
      <c r="A1611" s="27" t="str">
        <f>Resultados!$K$3</f>
        <v/>
      </c>
      <c r="B1611" s="27" t="str">
        <f>Resultados!$K$4</f>
        <v/>
      </c>
      <c r="C1611" s="569" t="str">
        <f>'900005'!$B39</f>
        <v/>
      </c>
      <c r="D1611" s="27" t="str">
        <f>'900005'!$G$16</f>
        <v>C11601003</v>
      </c>
      <c r="E1611" s="573">
        <f>'900005'!$G39</f>
        <v>0</v>
      </c>
      <c r="F1611" s="27" t="s">
        <v>19085</v>
      </c>
    </row>
    <row r="1612" spans="1:6">
      <c r="A1612" s="27" t="str">
        <f>Resultados!$K$3</f>
        <v/>
      </c>
      <c r="B1612" s="27" t="str">
        <f>Resultados!$K$4</f>
        <v/>
      </c>
      <c r="C1612" s="569" t="str">
        <f>'900005'!$B40</f>
        <v/>
      </c>
      <c r="D1612" s="27" t="str">
        <f>'900005'!$G$16</f>
        <v>C11601003</v>
      </c>
      <c r="E1612" s="573">
        <f>'900005'!$G40</f>
        <v>0</v>
      </c>
      <c r="F1612" s="27" t="s">
        <v>19085</v>
      </c>
    </row>
    <row r="1613" spans="1:6">
      <c r="A1613" s="27" t="str">
        <f>Resultados!$K$3</f>
        <v/>
      </c>
      <c r="B1613" s="27" t="str">
        <f>Resultados!$K$4</f>
        <v/>
      </c>
      <c r="C1613" s="569" t="str">
        <f>'900005'!$B41</f>
        <v/>
      </c>
      <c r="D1613" s="27" t="str">
        <f>'900005'!$G$16</f>
        <v>C11601003</v>
      </c>
      <c r="E1613" s="573">
        <f>'900005'!$G41</f>
        <v>0</v>
      </c>
      <c r="F1613" s="27" t="s">
        <v>19085</v>
      </c>
    </row>
    <row r="1614" spans="1:6">
      <c r="A1614" s="27" t="str">
        <f>Resultados!$K$3</f>
        <v/>
      </c>
      <c r="B1614" s="27" t="str">
        <f>Resultados!$K$4</f>
        <v/>
      </c>
      <c r="C1614" s="569" t="str">
        <f>'900005'!$B42</f>
        <v/>
      </c>
      <c r="D1614" s="27" t="str">
        <f>'900005'!$G$16</f>
        <v>C11601003</v>
      </c>
      <c r="E1614" s="573">
        <f>'900005'!$G42</f>
        <v>0</v>
      </c>
      <c r="F1614" s="27" t="s">
        <v>19085</v>
      </c>
    </row>
    <row r="1615" spans="1:6">
      <c r="A1615" s="27" t="str">
        <f>Resultados!$K$3</f>
        <v/>
      </c>
      <c r="B1615" s="27" t="str">
        <f>Resultados!$K$4</f>
        <v/>
      </c>
      <c r="C1615" s="569" t="str">
        <f>'900005'!$B43</f>
        <v/>
      </c>
      <c r="D1615" s="27" t="str">
        <f>'900005'!$G$16</f>
        <v>C11601003</v>
      </c>
      <c r="E1615" s="573">
        <f>'900005'!$G43</f>
        <v>0</v>
      </c>
      <c r="F1615" s="27" t="s">
        <v>19085</v>
      </c>
    </row>
    <row r="1616" spans="1:6">
      <c r="A1616" s="27" t="str">
        <f>Resultados!$K$3</f>
        <v/>
      </c>
      <c r="B1616" s="27" t="str">
        <f>Resultados!$K$4</f>
        <v/>
      </c>
      <c r="C1616" s="569" t="str">
        <f>'900005'!$B44</f>
        <v/>
      </c>
      <c r="D1616" s="27" t="str">
        <f>'900005'!$G$16</f>
        <v>C11601003</v>
      </c>
      <c r="E1616" s="573">
        <f>'900005'!$G44</f>
        <v>0</v>
      </c>
      <c r="F1616" s="27" t="s">
        <v>19085</v>
      </c>
    </row>
    <row r="1617" spans="1:6">
      <c r="A1617" s="27" t="str">
        <f>Resultados!$K$3</f>
        <v/>
      </c>
      <c r="B1617" s="27" t="str">
        <f>Resultados!$K$4</f>
        <v/>
      </c>
      <c r="C1617" s="569" t="str">
        <f>'900005'!$B45</f>
        <v/>
      </c>
      <c r="D1617" s="27" t="str">
        <f>'900005'!$G$16</f>
        <v>C11601003</v>
      </c>
      <c r="E1617" s="573">
        <f>'900005'!$G45</f>
        <v>0</v>
      </c>
      <c r="F1617" s="27" t="s">
        <v>19085</v>
      </c>
    </row>
    <row r="1618" spans="1:6">
      <c r="A1618" s="27" t="str">
        <f>Resultados!$K$3</f>
        <v/>
      </c>
      <c r="B1618" s="27" t="str">
        <f>Resultados!$K$4</f>
        <v/>
      </c>
      <c r="C1618" s="569" t="str">
        <f>'900005'!$B46</f>
        <v/>
      </c>
      <c r="D1618" s="27" t="str">
        <f>'900005'!$G$16</f>
        <v>C11601003</v>
      </c>
      <c r="E1618" s="573">
        <f>'900005'!$G46</f>
        <v>0</v>
      </c>
      <c r="F1618" s="27" t="s">
        <v>19085</v>
      </c>
    </row>
    <row r="1619" spans="1:6">
      <c r="A1619" s="27" t="str">
        <f>Resultados!$K$3</f>
        <v/>
      </c>
      <c r="B1619" s="27" t="str">
        <f>Resultados!$K$4</f>
        <v/>
      </c>
      <c r="C1619" s="569" t="str">
        <f>'900005'!$B47</f>
        <v/>
      </c>
      <c r="D1619" s="27" t="str">
        <f>'900005'!$G$16</f>
        <v>C11601003</v>
      </c>
      <c r="E1619" s="573">
        <f>'900005'!$G47</f>
        <v>0</v>
      </c>
      <c r="F1619" s="27" t="s">
        <v>19085</v>
      </c>
    </row>
    <row r="1620" spans="1:6">
      <c r="A1620" s="27" t="str">
        <f>Resultados!$K$3</f>
        <v/>
      </c>
      <c r="B1620" s="27" t="str">
        <f>Resultados!$K$4</f>
        <v/>
      </c>
      <c r="C1620" s="569" t="str">
        <f>'900005'!$B48</f>
        <v/>
      </c>
      <c r="D1620" s="27" t="str">
        <f>'900005'!$G$16</f>
        <v>C11601003</v>
      </c>
      <c r="E1620" s="573">
        <f>'900005'!$G48</f>
        <v>0</v>
      </c>
      <c r="F1620" s="27" t="s">
        <v>19085</v>
      </c>
    </row>
    <row r="1621" spans="1:6">
      <c r="A1621" s="27" t="str">
        <f>Resultados!$K$3</f>
        <v/>
      </c>
      <c r="B1621" s="27" t="str">
        <f>Resultados!$K$4</f>
        <v/>
      </c>
      <c r="C1621" s="569" t="str">
        <f>'900005'!$B49</f>
        <v/>
      </c>
      <c r="D1621" s="27" t="str">
        <f>'900005'!$G$16</f>
        <v>C11601003</v>
      </c>
      <c r="E1621" s="573">
        <f>'900005'!$G49</f>
        <v>0</v>
      </c>
      <c r="F1621" s="27" t="s">
        <v>19085</v>
      </c>
    </row>
    <row r="1622" spans="1:6">
      <c r="A1622" s="27" t="str">
        <f>Resultados!$K$3</f>
        <v/>
      </c>
      <c r="B1622" s="27" t="str">
        <f>Resultados!$K$4</f>
        <v/>
      </c>
      <c r="C1622" s="569" t="str">
        <f>'900005'!$B50</f>
        <v/>
      </c>
      <c r="D1622" s="27" t="str">
        <f>'900005'!$G$16</f>
        <v>C11601003</v>
      </c>
      <c r="E1622" s="573">
        <f>'900005'!$G50</f>
        <v>0</v>
      </c>
      <c r="F1622" s="27" t="s">
        <v>19085</v>
      </c>
    </row>
    <row r="1623" spans="1:6">
      <c r="A1623" s="27" t="str">
        <f>Resultados!$K$3</f>
        <v/>
      </c>
      <c r="B1623" s="27" t="str">
        <f>Resultados!$K$4</f>
        <v/>
      </c>
      <c r="C1623" s="569" t="str">
        <f>'900005'!$B51</f>
        <v/>
      </c>
      <c r="D1623" s="27" t="str">
        <f>'900005'!$G$16</f>
        <v>C11601003</v>
      </c>
      <c r="E1623" s="573">
        <f>'900005'!$G51</f>
        <v>0</v>
      </c>
      <c r="F1623" s="27" t="s">
        <v>19085</v>
      </c>
    </row>
    <row r="1624" spans="1:6">
      <c r="A1624" s="27" t="str">
        <f>Resultados!$K$3</f>
        <v/>
      </c>
      <c r="B1624" s="27" t="str">
        <f>Resultados!$K$4</f>
        <v/>
      </c>
      <c r="C1624" s="569" t="str">
        <f>'900005'!$B52</f>
        <v/>
      </c>
      <c r="D1624" s="27" t="str">
        <f>'900005'!$G$16</f>
        <v>C11601003</v>
      </c>
      <c r="E1624" s="573">
        <f>'900005'!$G52</f>
        <v>0</v>
      </c>
      <c r="F1624" s="27" t="s">
        <v>19085</v>
      </c>
    </row>
    <row r="1625" spans="1:6">
      <c r="A1625" s="27" t="str">
        <f>Resultados!$K$3</f>
        <v/>
      </c>
      <c r="B1625" s="27" t="str">
        <f>Resultados!$K$4</f>
        <v/>
      </c>
      <c r="C1625" s="569" t="str">
        <f>'900005'!$B53</f>
        <v/>
      </c>
      <c r="D1625" s="27" t="str">
        <f>'900005'!$G$16</f>
        <v>C11601003</v>
      </c>
      <c r="E1625" s="573">
        <f>'900005'!$G53</f>
        <v>0</v>
      </c>
      <c r="F1625" s="27" t="s">
        <v>19085</v>
      </c>
    </row>
    <row r="1626" spans="1:6">
      <c r="A1626" s="27" t="str">
        <f>Resultados!$K$3</f>
        <v/>
      </c>
      <c r="B1626" s="27" t="str">
        <f>Resultados!$K$4</f>
        <v/>
      </c>
      <c r="C1626" s="569" t="str">
        <f>'900005'!$B54</f>
        <v/>
      </c>
      <c r="D1626" s="27" t="str">
        <f>'900005'!$G$16</f>
        <v>C11601003</v>
      </c>
      <c r="E1626" s="573">
        <f>'900005'!$G54</f>
        <v>0</v>
      </c>
      <c r="F1626" s="27" t="s">
        <v>19085</v>
      </c>
    </row>
    <row r="1627" spans="1:6">
      <c r="A1627" s="27" t="str">
        <f>Resultados!$K$3</f>
        <v/>
      </c>
      <c r="B1627" s="27" t="str">
        <f>Resultados!$K$4</f>
        <v/>
      </c>
      <c r="C1627" s="569" t="str">
        <f>'900005'!$B56</f>
        <v/>
      </c>
      <c r="D1627" s="27" t="str">
        <f>'900005'!$G$16</f>
        <v>C11601003</v>
      </c>
      <c r="E1627" s="573">
        <f>'900005'!$G56</f>
        <v>0</v>
      </c>
      <c r="F1627" s="27" t="s">
        <v>19085</v>
      </c>
    </row>
    <row r="1628" spans="1:6">
      <c r="A1628" s="27" t="str">
        <f>Resultados!$K$3</f>
        <v/>
      </c>
      <c r="B1628" s="27" t="str">
        <f>Resultados!$K$4</f>
        <v/>
      </c>
      <c r="C1628" s="569" t="str">
        <f>'900005'!$B57</f>
        <v/>
      </c>
      <c r="D1628" s="27" t="str">
        <f>'900005'!$G$16</f>
        <v>C11601003</v>
      </c>
      <c r="E1628" s="573">
        <f>'900005'!$G57</f>
        <v>0</v>
      </c>
      <c r="F1628" s="27" t="s">
        <v>19085</v>
      </c>
    </row>
    <row r="1629" spans="1:6">
      <c r="A1629" s="27" t="str">
        <f>Resultados!$K$3</f>
        <v/>
      </c>
      <c r="B1629" s="27" t="str">
        <f>Resultados!$K$4</f>
        <v/>
      </c>
      <c r="C1629" s="569" t="str">
        <f>'900005'!$B58</f>
        <v/>
      </c>
      <c r="D1629" s="27" t="str">
        <f>'900005'!$G$16</f>
        <v>C11601003</v>
      </c>
      <c r="E1629" s="573">
        <f>'900005'!$G58</f>
        <v>0</v>
      </c>
      <c r="F1629" s="27" t="s">
        <v>19085</v>
      </c>
    </row>
    <row r="1630" spans="1:6">
      <c r="A1630" s="27" t="str">
        <f>Resultados!$K$3</f>
        <v/>
      </c>
      <c r="B1630" s="27" t="str">
        <f>Resultados!$K$4</f>
        <v/>
      </c>
      <c r="C1630" s="569" t="str">
        <f>'900005'!$B59</f>
        <v/>
      </c>
      <c r="D1630" s="27" t="str">
        <f>'900005'!$G$16</f>
        <v>C11601003</v>
      </c>
      <c r="E1630" s="573">
        <f>'900005'!$G59</f>
        <v>0</v>
      </c>
      <c r="F1630" s="27" t="s">
        <v>19085</v>
      </c>
    </row>
    <row r="1631" spans="1:6">
      <c r="A1631" s="27" t="str">
        <f>Resultados!$K$3</f>
        <v/>
      </c>
      <c r="B1631" s="27" t="str">
        <f>Resultados!$K$4</f>
        <v/>
      </c>
      <c r="C1631" s="569" t="str">
        <f>'900005'!$B60</f>
        <v/>
      </c>
      <c r="D1631" s="27" t="str">
        <f>'900005'!$G$16</f>
        <v>C11601003</v>
      </c>
      <c r="E1631" s="573">
        <f>'900005'!$G60</f>
        <v>0</v>
      </c>
      <c r="F1631" s="27" t="s">
        <v>19085</v>
      </c>
    </row>
    <row r="1632" spans="1:6">
      <c r="A1632" s="27" t="str">
        <f>Resultados!$K$3</f>
        <v/>
      </c>
      <c r="B1632" s="27" t="str">
        <f>Resultados!$K$4</f>
        <v/>
      </c>
      <c r="C1632" s="569" t="str">
        <f>'900005'!$B61</f>
        <v/>
      </c>
      <c r="D1632" s="27" t="str">
        <f>'900005'!$G$16</f>
        <v>C11601003</v>
      </c>
      <c r="E1632" s="573">
        <f>'900005'!$G61</f>
        <v>0</v>
      </c>
      <c r="F1632" s="27" t="s">
        <v>19085</v>
      </c>
    </row>
    <row r="1633" spans="1:6">
      <c r="A1633" s="27" t="str">
        <f>Resultados!$K$3</f>
        <v/>
      </c>
      <c r="B1633" s="27" t="str">
        <f>Resultados!$K$4</f>
        <v/>
      </c>
      <c r="C1633" s="569" t="str">
        <f>'900005'!$B62</f>
        <v/>
      </c>
      <c r="D1633" s="27" t="str">
        <f>'900005'!$G$16</f>
        <v>C11601003</v>
      </c>
      <c r="E1633" s="573">
        <f>'900005'!$G62</f>
        <v>0</v>
      </c>
      <c r="F1633" s="27" t="s">
        <v>19085</v>
      </c>
    </row>
    <row r="1634" spans="1:6">
      <c r="A1634" s="27" t="str">
        <f>Resultados!$K$3</f>
        <v/>
      </c>
      <c r="B1634" s="27" t="str">
        <f>Resultados!$K$4</f>
        <v/>
      </c>
      <c r="C1634" s="569" t="str">
        <f>'900005'!$B63</f>
        <v/>
      </c>
      <c r="D1634" s="27" t="str">
        <f>'900005'!$G$16</f>
        <v>C11601003</v>
      </c>
      <c r="E1634" s="573">
        <f>'900005'!$G63</f>
        <v>0</v>
      </c>
      <c r="F1634" s="27" t="s">
        <v>19085</v>
      </c>
    </row>
    <row r="1635" spans="1:6">
      <c r="A1635" s="27" t="str">
        <f>Resultados!$K$3</f>
        <v/>
      </c>
      <c r="B1635" s="27" t="str">
        <f>Resultados!$K$4</f>
        <v/>
      </c>
      <c r="C1635" s="569" t="str">
        <f>'900005'!$B64</f>
        <v/>
      </c>
      <c r="D1635" s="27" t="str">
        <f>'900005'!$G$16</f>
        <v>C11601003</v>
      </c>
      <c r="E1635" s="573">
        <f>'900005'!$G64</f>
        <v>0</v>
      </c>
      <c r="F1635" s="27" t="s">
        <v>19085</v>
      </c>
    </row>
    <row r="1636" spans="1:6">
      <c r="A1636" s="27" t="str">
        <f>Resultados!$K$3</f>
        <v/>
      </c>
      <c r="B1636" s="27" t="str">
        <f>Resultados!$K$4</f>
        <v/>
      </c>
      <c r="C1636" s="569" t="str">
        <f>'900005'!$B65</f>
        <v/>
      </c>
      <c r="D1636" s="27" t="str">
        <f>'900005'!$G$16</f>
        <v>C11601003</v>
      </c>
      <c r="E1636" s="573">
        <f>'900005'!$G65</f>
        <v>0</v>
      </c>
      <c r="F1636" s="27" t="s">
        <v>19085</v>
      </c>
    </row>
    <row r="1637" spans="1:6">
      <c r="A1637" s="27" t="str">
        <f>Resultados!$K$3</f>
        <v/>
      </c>
      <c r="B1637" s="27" t="str">
        <f>Resultados!$K$4</f>
        <v/>
      </c>
      <c r="C1637" s="569" t="str">
        <f>'900005'!$B66</f>
        <v/>
      </c>
      <c r="D1637" s="27" t="str">
        <f>'900005'!$G$16</f>
        <v>C11601003</v>
      </c>
      <c r="E1637" s="573">
        <f>'900005'!$G66</f>
        <v>0</v>
      </c>
      <c r="F1637" s="27" t="s">
        <v>19085</v>
      </c>
    </row>
    <row r="1638" spans="1:6">
      <c r="A1638" s="27" t="str">
        <f>Resultados!$K$3</f>
        <v/>
      </c>
      <c r="B1638" s="27" t="str">
        <f>Resultados!$K$4</f>
        <v/>
      </c>
      <c r="C1638" s="569" t="str">
        <f>'900005'!$B68</f>
        <v/>
      </c>
      <c r="D1638" s="27" t="str">
        <f>'900005'!$G$16</f>
        <v>C11601003</v>
      </c>
      <c r="E1638" s="573">
        <f>'900005'!$G68</f>
        <v>0</v>
      </c>
      <c r="F1638" s="27" t="s">
        <v>19085</v>
      </c>
    </row>
    <row r="1639" spans="1:6">
      <c r="A1639" s="27" t="str">
        <f>Resultados!$K$3</f>
        <v/>
      </c>
      <c r="B1639" s="27" t="str">
        <f>Resultados!$K$4</f>
        <v/>
      </c>
      <c r="C1639" s="569" t="str">
        <f>'900005'!$B69</f>
        <v/>
      </c>
      <c r="D1639" s="27" t="str">
        <f>'900005'!$G$16</f>
        <v>C11601003</v>
      </c>
      <c r="E1639" s="573">
        <f>'900005'!$G69</f>
        <v>0</v>
      </c>
      <c r="F1639" s="27" t="s">
        <v>19085</v>
      </c>
    </row>
    <row r="1640" spans="1:6">
      <c r="A1640" s="27" t="str">
        <f>Resultados!$K$3</f>
        <v/>
      </c>
      <c r="B1640" s="27" t="str">
        <f>Resultados!$K$4</f>
        <v/>
      </c>
      <c r="C1640" s="569" t="str">
        <f>'900005'!$B70</f>
        <v/>
      </c>
      <c r="D1640" s="27" t="str">
        <f>'900005'!$G$16</f>
        <v>C11601003</v>
      </c>
      <c r="E1640" s="573">
        <f>'900005'!$G70</f>
        <v>0</v>
      </c>
      <c r="F1640" s="27" t="s">
        <v>19085</v>
      </c>
    </row>
    <row r="1641" spans="1:6">
      <c r="A1641" s="27" t="str">
        <f>Resultados!$K$3</f>
        <v/>
      </c>
      <c r="B1641" s="27" t="str">
        <f>Resultados!$K$4</f>
        <v/>
      </c>
      <c r="C1641" s="569" t="str">
        <f>'900005'!$B71</f>
        <v/>
      </c>
      <c r="D1641" s="27" t="str">
        <f>'900005'!$G$16</f>
        <v>C11601003</v>
      </c>
      <c r="E1641" s="573">
        <f>'900005'!$G71</f>
        <v>0</v>
      </c>
      <c r="F1641" s="27" t="s">
        <v>19085</v>
      </c>
    </row>
    <row r="1642" spans="1:6">
      <c r="A1642" s="27" t="str">
        <f>Resultados!$K$3</f>
        <v/>
      </c>
      <c r="B1642" s="27" t="str">
        <f>Resultados!$K$4</f>
        <v/>
      </c>
      <c r="C1642" s="569" t="str">
        <f>'900005'!$B72</f>
        <v/>
      </c>
      <c r="D1642" s="27" t="str">
        <f>'900005'!$G$16</f>
        <v>C11601003</v>
      </c>
      <c r="E1642" s="573">
        <f>'900005'!$G72</f>
        <v>0</v>
      </c>
      <c r="F1642" s="27" t="s">
        <v>19085</v>
      </c>
    </row>
    <row r="1643" spans="1:6">
      <c r="A1643" s="27" t="str">
        <f>Resultados!$K$3</f>
        <v/>
      </c>
      <c r="B1643" s="27" t="str">
        <f>Resultados!$K$4</f>
        <v/>
      </c>
      <c r="C1643" s="569" t="str">
        <f>'900005'!$B73</f>
        <v/>
      </c>
      <c r="D1643" s="27" t="str">
        <f>'900005'!$G$16</f>
        <v>C11601003</v>
      </c>
      <c r="E1643" s="573">
        <f>'900005'!$G73</f>
        <v>0</v>
      </c>
      <c r="F1643" s="27" t="s">
        <v>19085</v>
      </c>
    </row>
    <row r="1644" spans="1:6">
      <c r="A1644" s="27" t="str">
        <f>Resultados!$K$3</f>
        <v/>
      </c>
      <c r="B1644" s="27" t="str">
        <f>Resultados!$K$4</f>
        <v/>
      </c>
      <c r="C1644" s="569" t="str">
        <f>'900005'!$B74</f>
        <v/>
      </c>
      <c r="D1644" s="27" t="str">
        <f>'900005'!$G$16</f>
        <v>C11601003</v>
      </c>
      <c r="E1644" s="573">
        <f>'900005'!$G74</f>
        <v>0</v>
      </c>
      <c r="F1644" s="27" t="s">
        <v>19085</v>
      </c>
    </row>
    <row r="1645" spans="1:6">
      <c r="A1645" s="27" t="str">
        <f>Resultados!$K$3</f>
        <v/>
      </c>
      <c r="B1645" s="27" t="str">
        <f>Resultados!$K$4</f>
        <v/>
      </c>
      <c r="C1645" s="569" t="str">
        <f>'900005'!$B76</f>
        <v/>
      </c>
      <c r="D1645" s="27" t="str">
        <f>'900005'!$G$16</f>
        <v>C11601003</v>
      </c>
      <c r="E1645" s="573">
        <f>'900005'!$G76</f>
        <v>0</v>
      </c>
      <c r="F1645" s="27" t="s">
        <v>19085</v>
      </c>
    </row>
    <row r="1646" spans="1:6">
      <c r="A1646" s="27" t="str">
        <f>Resultados!$K$3</f>
        <v/>
      </c>
      <c r="B1646" s="27" t="str">
        <f>Resultados!$K$4</f>
        <v/>
      </c>
      <c r="C1646" s="569" t="str">
        <f>'900005'!$B77</f>
        <v/>
      </c>
      <c r="D1646" s="27" t="str">
        <f>'900005'!$G$16</f>
        <v>C11601003</v>
      </c>
      <c r="E1646" s="573">
        <f>'900005'!$G77</f>
        <v>0</v>
      </c>
      <c r="F1646" s="27" t="s">
        <v>19085</v>
      </c>
    </row>
    <row r="1647" spans="1:6">
      <c r="A1647" s="27" t="str">
        <f>Resultados!$K$3</f>
        <v/>
      </c>
      <c r="B1647" s="27" t="str">
        <f>Resultados!$K$4</f>
        <v/>
      </c>
      <c r="C1647" s="569" t="str">
        <f>'900005'!$B78</f>
        <v/>
      </c>
      <c r="D1647" s="27" t="str">
        <f>'900005'!$G$16</f>
        <v>C11601003</v>
      </c>
      <c r="E1647" s="573">
        <f>'900005'!$G78</f>
        <v>0</v>
      </c>
      <c r="F1647" s="27" t="s">
        <v>19085</v>
      </c>
    </row>
    <row r="1648" spans="1:6">
      <c r="A1648" s="27" t="str">
        <f>Resultados!$K$3</f>
        <v/>
      </c>
      <c r="B1648" s="27" t="str">
        <f>Resultados!$K$4</f>
        <v/>
      </c>
      <c r="C1648" s="569" t="str">
        <f>'900005'!$B79</f>
        <v/>
      </c>
      <c r="D1648" s="27" t="str">
        <f>'900005'!$G$16</f>
        <v>C11601003</v>
      </c>
      <c r="E1648" s="573">
        <f>'900005'!$G79</f>
        <v>0</v>
      </c>
      <c r="F1648" s="27" t="s">
        <v>19085</v>
      </c>
    </row>
    <row r="1649" spans="1:6">
      <c r="A1649" s="27" t="str">
        <f>Resultados!$K$3</f>
        <v/>
      </c>
      <c r="B1649" s="27" t="str">
        <f>Resultados!$K$4</f>
        <v/>
      </c>
      <c r="C1649" s="569" t="str">
        <f>'900005'!$B80</f>
        <v/>
      </c>
      <c r="D1649" s="27" t="str">
        <f>'900005'!$G$16</f>
        <v>C11601003</v>
      </c>
      <c r="E1649" s="573">
        <f>'900005'!$G80</f>
        <v>0</v>
      </c>
      <c r="F1649" s="27" t="s">
        <v>19085</v>
      </c>
    </row>
    <row r="1650" spans="1:6">
      <c r="A1650" s="27" t="str">
        <f>Resultados!$K$3</f>
        <v/>
      </c>
      <c r="B1650" s="27" t="str">
        <f>Resultados!$K$4</f>
        <v/>
      </c>
      <c r="C1650" s="569" t="str">
        <f>'900005'!$B81</f>
        <v/>
      </c>
      <c r="D1650" s="27" t="str">
        <f>'900005'!$G$16</f>
        <v>C11601003</v>
      </c>
      <c r="E1650" s="573">
        <f>'900005'!$G81</f>
        <v>0</v>
      </c>
      <c r="F1650" s="27" t="s">
        <v>19085</v>
      </c>
    </row>
    <row r="1651" spans="1:6">
      <c r="A1651" s="27" t="str">
        <f>Resultados!$K$3</f>
        <v/>
      </c>
      <c r="B1651" s="27" t="str">
        <f>Resultados!$K$4</f>
        <v/>
      </c>
      <c r="C1651" s="569" t="str">
        <f>'900005'!$B83</f>
        <v/>
      </c>
      <c r="D1651" s="27" t="str">
        <f>'900005'!$G$16</f>
        <v>C11601003</v>
      </c>
      <c r="E1651" s="573">
        <f>'900005'!$G83</f>
        <v>0</v>
      </c>
      <c r="F1651" s="27" t="s">
        <v>19085</v>
      </c>
    </row>
    <row r="1652" spans="1:6">
      <c r="A1652" s="27" t="str">
        <f>Resultados!$K$3</f>
        <v/>
      </c>
      <c r="B1652" s="27" t="str">
        <f>Resultados!$K$4</f>
        <v/>
      </c>
      <c r="C1652" s="569" t="str">
        <f>'900005'!$B87</f>
        <v/>
      </c>
      <c r="D1652" s="27" t="str">
        <f>'900005'!$G$16</f>
        <v>C11601003</v>
      </c>
      <c r="E1652" s="573">
        <f>'900005'!$G87</f>
        <v>0</v>
      </c>
      <c r="F1652" s="27" t="s">
        <v>19085</v>
      </c>
    </row>
    <row r="1653" spans="1:6">
      <c r="A1653" s="27" t="str">
        <f>Resultados!$K$3</f>
        <v/>
      </c>
      <c r="B1653" s="27" t="str">
        <f>Resultados!$K$4</f>
        <v/>
      </c>
      <c r="C1653" s="569" t="str">
        <f>'900005'!$B88</f>
        <v/>
      </c>
      <c r="D1653" s="27" t="str">
        <f>'900005'!$G$16</f>
        <v>C11601003</v>
      </c>
      <c r="E1653" s="573">
        <f>'900005'!$G88</f>
        <v>0</v>
      </c>
      <c r="F1653" s="27" t="s">
        <v>19085</v>
      </c>
    </row>
    <row r="1654" spans="1:6">
      <c r="A1654" s="27" t="str">
        <f>Resultados!$K$3</f>
        <v/>
      </c>
      <c r="B1654" s="27" t="str">
        <f>Resultados!$K$4</f>
        <v/>
      </c>
      <c r="C1654" s="569" t="str">
        <f>'900005'!$B91</f>
        <v/>
      </c>
      <c r="D1654" s="27" t="str">
        <f>'900005'!$G$16</f>
        <v>C11601003</v>
      </c>
      <c r="E1654" s="573">
        <f>'900005'!$G91</f>
        <v>0</v>
      </c>
      <c r="F1654" s="27" t="s">
        <v>19085</v>
      </c>
    </row>
    <row r="1655" spans="1:6">
      <c r="A1655" s="27" t="str">
        <f>Resultados!$K$3</f>
        <v/>
      </c>
      <c r="B1655" s="27" t="str">
        <f>Resultados!$K$4</f>
        <v/>
      </c>
      <c r="C1655" s="569" t="str">
        <f>'900005'!$B92</f>
        <v/>
      </c>
      <c r="D1655" s="27" t="str">
        <f>'900005'!$G$16</f>
        <v>C11601003</v>
      </c>
      <c r="E1655" s="573">
        <f>'900005'!$G92</f>
        <v>0</v>
      </c>
      <c r="F1655" s="27" t="s">
        <v>19085</v>
      </c>
    </row>
    <row r="1656" spans="1:6">
      <c r="A1656" s="27" t="str">
        <f>Resultados!$K$3</f>
        <v/>
      </c>
      <c r="B1656" s="27" t="str">
        <f>Resultados!$K$4</f>
        <v/>
      </c>
      <c r="C1656" s="569" t="str">
        <f>'900005'!$B93</f>
        <v/>
      </c>
      <c r="D1656" s="27" t="str">
        <f>'900005'!$G$16</f>
        <v>C11601003</v>
      </c>
      <c r="E1656" s="573">
        <f>'900005'!$G93</f>
        <v>0</v>
      </c>
      <c r="F1656" s="27" t="s">
        <v>19085</v>
      </c>
    </row>
    <row r="1657" spans="1:6">
      <c r="A1657" s="27" t="str">
        <f>Resultados!$K$3</f>
        <v/>
      </c>
      <c r="B1657" s="27" t="str">
        <f>Resultados!$K$4</f>
        <v/>
      </c>
      <c r="C1657" s="569" t="str">
        <f>'900005'!$B95</f>
        <v/>
      </c>
      <c r="D1657" s="27" t="str">
        <f>'900005'!$G$16</f>
        <v>C11601003</v>
      </c>
      <c r="E1657" s="573">
        <f>'900005'!$G95</f>
        <v>0</v>
      </c>
      <c r="F1657" s="27" t="s">
        <v>19085</v>
      </c>
    </row>
    <row r="1658" spans="1:6">
      <c r="A1658" s="27" t="str">
        <f>Resultados!$K$3</f>
        <v/>
      </c>
      <c r="B1658" s="27" t="str">
        <f>Resultados!$K$4</f>
        <v/>
      </c>
      <c r="C1658" s="569" t="str">
        <f>'900005'!$B96</f>
        <v/>
      </c>
      <c r="D1658" s="27" t="str">
        <f>'900005'!$G$16</f>
        <v>C11601003</v>
      </c>
      <c r="E1658" s="573">
        <f>'900005'!$G96</f>
        <v>0</v>
      </c>
      <c r="F1658" s="27" t="s">
        <v>19085</v>
      </c>
    </row>
    <row r="1659" spans="1:6">
      <c r="A1659" s="27" t="str">
        <f>Resultados!$K$3</f>
        <v/>
      </c>
      <c r="B1659" s="27" t="str">
        <f>Resultados!$K$4</f>
        <v/>
      </c>
      <c r="C1659" s="569" t="str">
        <f>'900005'!$B97</f>
        <v/>
      </c>
      <c r="D1659" s="27" t="str">
        <f>'900005'!$G$16</f>
        <v>C11601003</v>
      </c>
      <c r="E1659" s="573">
        <f>'900005'!$G97</f>
        <v>0</v>
      </c>
      <c r="F1659" s="27" t="s">
        <v>19085</v>
      </c>
    </row>
    <row r="1660" spans="1:6">
      <c r="A1660" s="27" t="str">
        <f>Resultados!$K$3</f>
        <v/>
      </c>
      <c r="B1660" s="27" t="str">
        <f>Resultados!$K$4</f>
        <v/>
      </c>
      <c r="C1660" s="569" t="str">
        <f>'900005'!$B98</f>
        <v/>
      </c>
      <c r="D1660" s="27" t="str">
        <f>'900005'!$G$16</f>
        <v>C11601003</v>
      </c>
      <c r="E1660" s="573">
        <f>'900005'!$G98</f>
        <v>0</v>
      </c>
      <c r="F1660" s="27" t="s">
        <v>19085</v>
      </c>
    </row>
    <row r="1661" spans="1:6">
      <c r="A1661" s="27" t="str">
        <f>Resultados!$K$3</f>
        <v/>
      </c>
      <c r="B1661" s="27" t="str">
        <f>Resultados!$K$4</f>
        <v/>
      </c>
      <c r="C1661" s="569" t="str">
        <f>'900005'!$B19</f>
        <v/>
      </c>
      <c r="D1661" t="str">
        <f>'900005'!$H$16</f>
        <v>C11601004</v>
      </c>
      <c r="E1661" s="573">
        <f>'900005'!$H19</f>
        <v>0</v>
      </c>
      <c r="F1661" s="27" t="s">
        <v>19085</v>
      </c>
    </row>
    <row r="1662" spans="1:6">
      <c r="A1662" s="27" t="str">
        <f>Resultados!$K$3</f>
        <v/>
      </c>
      <c r="B1662" s="27" t="str">
        <f>Resultados!$K$4</f>
        <v/>
      </c>
      <c r="C1662" s="569" t="str">
        <f>'900005'!$B20</f>
        <v/>
      </c>
      <c r="D1662" s="27" t="str">
        <f>'900005'!$H$16</f>
        <v>C11601004</v>
      </c>
      <c r="E1662" s="573">
        <f>'900005'!$H20</f>
        <v>0</v>
      </c>
      <c r="F1662" s="27" t="s">
        <v>19085</v>
      </c>
    </row>
    <row r="1663" spans="1:6">
      <c r="A1663" s="27" t="str">
        <f>Resultados!$K$3</f>
        <v/>
      </c>
      <c r="B1663" s="27" t="str">
        <f>Resultados!$K$4</f>
        <v/>
      </c>
      <c r="C1663" s="569" t="str">
        <f>'900005'!$B21</f>
        <v/>
      </c>
      <c r="D1663" s="27" t="str">
        <f>'900005'!$H$16</f>
        <v>C11601004</v>
      </c>
      <c r="E1663" s="573">
        <f>'900005'!$H21</f>
        <v>0</v>
      </c>
      <c r="F1663" s="27" t="s">
        <v>19085</v>
      </c>
    </row>
    <row r="1664" spans="1:6">
      <c r="A1664" s="27" t="str">
        <f>Resultados!$K$3</f>
        <v/>
      </c>
      <c r="B1664" s="27" t="str">
        <f>Resultados!$K$4</f>
        <v/>
      </c>
      <c r="C1664" s="569" t="str">
        <f>'900005'!$B22</f>
        <v/>
      </c>
      <c r="D1664" s="27" t="str">
        <f>'900005'!$H$16</f>
        <v>C11601004</v>
      </c>
      <c r="E1664" s="573">
        <f>'900005'!$H22</f>
        <v>0</v>
      </c>
      <c r="F1664" s="27" t="s">
        <v>19085</v>
      </c>
    </row>
    <row r="1665" spans="1:6">
      <c r="A1665" s="27" t="str">
        <f>Resultados!$K$3</f>
        <v/>
      </c>
      <c r="B1665" s="27" t="str">
        <f>Resultados!$K$4</f>
        <v/>
      </c>
      <c r="C1665" s="569" t="str">
        <f>'900005'!$B23</f>
        <v/>
      </c>
      <c r="D1665" s="27" t="str">
        <f>'900005'!$H$16</f>
        <v>C11601004</v>
      </c>
      <c r="E1665" s="573">
        <f>'900005'!$H23</f>
        <v>0</v>
      </c>
      <c r="F1665" s="27" t="s">
        <v>19085</v>
      </c>
    </row>
    <row r="1666" spans="1:6">
      <c r="A1666" s="27" t="str">
        <f>Resultados!$K$3</f>
        <v/>
      </c>
      <c r="B1666" s="27" t="str">
        <f>Resultados!$K$4</f>
        <v/>
      </c>
      <c r="C1666" s="569" t="str">
        <f>'900005'!$B24</f>
        <v/>
      </c>
      <c r="D1666" s="27" t="str">
        <f>'900005'!$H$16</f>
        <v>C11601004</v>
      </c>
      <c r="E1666" s="573">
        <f>'900005'!$H24</f>
        <v>0</v>
      </c>
      <c r="F1666" s="27" t="s">
        <v>19085</v>
      </c>
    </row>
    <row r="1667" spans="1:6">
      <c r="A1667" s="27" t="str">
        <f>Resultados!$K$3</f>
        <v/>
      </c>
      <c r="B1667" s="27" t="str">
        <f>Resultados!$K$4</f>
        <v/>
      </c>
      <c r="C1667" s="569" t="str">
        <f>'900005'!$B25</f>
        <v/>
      </c>
      <c r="D1667" s="27" t="str">
        <f>'900005'!$H$16</f>
        <v>C11601004</v>
      </c>
      <c r="E1667" s="573">
        <f>'900005'!$H25</f>
        <v>0</v>
      </c>
      <c r="F1667" s="27" t="s">
        <v>19085</v>
      </c>
    </row>
    <row r="1668" spans="1:6">
      <c r="A1668" s="27" t="str">
        <f>Resultados!$K$3</f>
        <v/>
      </c>
      <c r="B1668" s="27" t="str">
        <f>Resultados!$K$4</f>
        <v/>
      </c>
      <c r="C1668" s="569" t="str">
        <f>'900005'!$B26</f>
        <v/>
      </c>
      <c r="D1668" s="27" t="str">
        <f>'900005'!$H$16</f>
        <v>C11601004</v>
      </c>
      <c r="E1668" s="573">
        <f>'900005'!$H26</f>
        <v>0</v>
      </c>
      <c r="F1668" s="27" t="s">
        <v>19085</v>
      </c>
    </row>
    <row r="1669" spans="1:6">
      <c r="A1669" s="27" t="str">
        <f>Resultados!$K$3</f>
        <v/>
      </c>
      <c r="B1669" s="27" t="str">
        <f>Resultados!$K$4</f>
        <v/>
      </c>
      <c r="C1669" s="569" t="str">
        <f>'900005'!$B27</f>
        <v/>
      </c>
      <c r="D1669" s="27" t="str">
        <f>'900005'!$H$16</f>
        <v>C11601004</v>
      </c>
      <c r="E1669" s="573">
        <f>'900005'!$H27</f>
        <v>0</v>
      </c>
      <c r="F1669" s="27" t="s">
        <v>19085</v>
      </c>
    </row>
    <row r="1670" spans="1:6">
      <c r="A1670" s="27" t="str">
        <f>Resultados!$K$3</f>
        <v/>
      </c>
      <c r="B1670" s="27" t="str">
        <f>Resultados!$K$4</f>
        <v/>
      </c>
      <c r="C1670" s="569" t="str">
        <f>'900005'!$B28</f>
        <v/>
      </c>
      <c r="D1670" s="27" t="str">
        <f>'900005'!$H$16</f>
        <v>C11601004</v>
      </c>
      <c r="E1670" s="573">
        <f>'900005'!$H28</f>
        <v>0</v>
      </c>
      <c r="F1670" s="27" t="s">
        <v>19085</v>
      </c>
    </row>
    <row r="1671" spans="1:6">
      <c r="A1671" s="27" t="str">
        <f>Resultados!$K$3</f>
        <v/>
      </c>
      <c r="B1671" s="27" t="str">
        <f>Resultados!$K$4</f>
        <v/>
      </c>
      <c r="C1671" s="569" t="str">
        <f>'900005'!$B29</f>
        <v/>
      </c>
      <c r="D1671" s="27" t="str">
        <f>'900005'!$H$16</f>
        <v>C11601004</v>
      </c>
      <c r="E1671" s="573">
        <f>'900005'!$H29</f>
        <v>0</v>
      </c>
      <c r="F1671" s="27" t="s">
        <v>19085</v>
      </c>
    </row>
    <row r="1672" spans="1:6">
      <c r="A1672" s="27" t="str">
        <f>Resultados!$K$3</f>
        <v/>
      </c>
      <c r="B1672" s="27" t="str">
        <f>Resultados!$K$4</f>
        <v/>
      </c>
      <c r="C1672" s="569" t="str">
        <f>'900005'!$B30</f>
        <v/>
      </c>
      <c r="D1672" s="27" t="str">
        <f>'900005'!$H$16</f>
        <v>C11601004</v>
      </c>
      <c r="E1672" s="573">
        <f>'900005'!$H30</f>
        <v>0</v>
      </c>
      <c r="F1672" s="27" t="s">
        <v>19085</v>
      </c>
    </row>
    <row r="1673" spans="1:6">
      <c r="A1673" s="27" t="str">
        <f>Resultados!$K$3</f>
        <v/>
      </c>
      <c r="B1673" s="27" t="str">
        <f>Resultados!$K$4</f>
        <v/>
      </c>
      <c r="C1673" s="569" t="str">
        <f>'900005'!$B31</f>
        <v/>
      </c>
      <c r="D1673" s="27" t="str">
        <f>'900005'!$H$16</f>
        <v>C11601004</v>
      </c>
      <c r="E1673" s="573">
        <f>'900005'!$H31</f>
        <v>0</v>
      </c>
      <c r="F1673" s="27" t="s">
        <v>19085</v>
      </c>
    </row>
    <row r="1674" spans="1:6">
      <c r="A1674" s="27" t="str">
        <f>Resultados!$K$3</f>
        <v/>
      </c>
      <c r="B1674" s="27" t="str">
        <f>Resultados!$K$4</f>
        <v/>
      </c>
      <c r="C1674" s="569" t="str">
        <f>'900005'!$B32</f>
        <v/>
      </c>
      <c r="D1674" s="27" t="str">
        <f>'900005'!$H$16</f>
        <v>C11601004</v>
      </c>
      <c r="E1674" s="573">
        <f>'900005'!$H32</f>
        <v>0</v>
      </c>
      <c r="F1674" s="27" t="s">
        <v>19085</v>
      </c>
    </row>
    <row r="1675" spans="1:6">
      <c r="A1675" s="27" t="str">
        <f>Resultados!$K$3</f>
        <v/>
      </c>
      <c r="B1675" s="27" t="str">
        <f>Resultados!$K$4</f>
        <v/>
      </c>
      <c r="C1675" s="569" t="str">
        <f>'900005'!$B33</f>
        <v/>
      </c>
      <c r="D1675" s="27" t="str">
        <f>'900005'!$H$16</f>
        <v>C11601004</v>
      </c>
      <c r="E1675" s="573">
        <f>'900005'!$H33</f>
        <v>0</v>
      </c>
      <c r="F1675" s="27" t="s">
        <v>19085</v>
      </c>
    </row>
    <row r="1676" spans="1:6">
      <c r="A1676" s="27" t="str">
        <f>Resultados!$K$3</f>
        <v/>
      </c>
      <c r="B1676" s="27" t="str">
        <f>Resultados!$K$4</f>
        <v/>
      </c>
      <c r="C1676" s="569" t="str">
        <f>'900005'!$B34</f>
        <v/>
      </c>
      <c r="D1676" s="27" t="str">
        <f>'900005'!$H$16</f>
        <v>C11601004</v>
      </c>
      <c r="E1676" s="573">
        <f>'900005'!$H34</f>
        <v>0</v>
      </c>
      <c r="F1676" s="27" t="s">
        <v>19085</v>
      </c>
    </row>
    <row r="1677" spans="1:6">
      <c r="A1677" s="27" t="str">
        <f>Resultados!$K$3</f>
        <v/>
      </c>
      <c r="B1677" s="27" t="str">
        <f>Resultados!$K$4</f>
        <v/>
      </c>
      <c r="C1677" s="569" t="str">
        <f>'900005'!$B35</f>
        <v/>
      </c>
      <c r="D1677" s="27" t="str">
        <f>'900005'!$H$16</f>
        <v>C11601004</v>
      </c>
      <c r="E1677" s="573">
        <f>'900005'!$H35</f>
        <v>0</v>
      </c>
      <c r="F1677" s="27" t="s">
        <v>19085</v>
      </c>
    </row>
    <row r="1678" spans="1:6">
      <c r="A1678" s="27" t="str">
        <f>Resultados!$K$3</f>
        <v/>
      </c>
      <c r="B1678" s="27" t="str">
        <f>Resultados!$K$4</f>
        <v/>
      </c>
      <c r="C1678" s="569" t="str">
        <f>'900005'!$B36</f>
        <v/>
      </c>
      <c r="D1678" s="27" t="str">
        <f>'900005'!$H$16</f>
        <v>C11601004</v>
      </c>
      <c r="E1678" s="573">
        <f>'900005'!$H36</f>
        <v>0</v>
      </c>
      <c r="F1678" s="27" t="s">
        <v>19085</v>
      </c>
    </row>
    <row r="1679" spans="1:6">
      <c r="A1679" s="27" t="str">
        <f>Resultados!$K$3</f>
        <v/>
      </c>
      <c r="B1679" s="27" t="str">
        <f>Resultados!$K$4</f>
        <v/>
      </c>
      <c r="C1679" s="569" t="str">
        <f>'900005'!$B37</f>
        <v/>
      </c>
      <c r="D1679" s="27" t="str">
        <f>'900005'!$H$16</f>
        <v>C11601004</v>
      </c>
      <c r="E1679" s="573">
        <f>'900005'!$H37</f>
        <v>0</v>
      </c>
      <c r="F1679" s="27" t="s">
        <v>19085</v>
      </c>
    </row>
    <row r="1680" spans="1:6">
      <c r="A1680" s="27" t="str">
        <f>Resultados!$K$3</f>
        <v/>
      </c>
      <c r="B1680" s="27" t="str">
        <f>Resultados!$K$4</f>
        <v/>
      </c>
      <c r="C1680" s="569" t="str">
        <f>'900005'!$B38</f>
        <v/>
      </c>
      <c r="D1680" s="27" t="str">
        <f>'900005'!$H$16</f>
        <v>C11601004</v>
      </c>
      <c r="E1680" s="573">
        <f>'900005'!$H38</f>
        <v>0</v>
      </c>
      <c r="F1680" s="27" t="s">
        <v>19085</v>
      </c>
    </row>
    <row r="1681" spans="1:6">
      <c r="A1681" s="27" t="str">
        <f>Resultados!$K$3</f>
        <v/>
      </c>
      <c r="B1681" s="27" t="str">
        <f>Resultados!$K$4</f>
        <v/>
      </c>
      <c r="C1681" s="569" t="str">
        <f>'900005'!$B39</f>
        <v/>
      </c>
      <c r="D1681" s="27" t="str">
        <f>'900005'!$H$16</f>
        <v>C11601004</v>
      </c>
      <c r="E1681" s="573">
        <f>'900005'!$H39</f>
        <v>0</v>
      </c>
      <c r="F1681" s="27" t="s">
        <v>19085</v>
      </c>
    </row>
    <row r="1682" spans="1:6">
      <c r="A1682" s="27" t="str">
        <f>Resultados!$K$3</f>
        <v/>
      </c>
      <c r="B1682" s="27" t="str">
        <f>Resultados!$K$4</f>
        <v/>
      </c>
      <c r="C1682" s="569" t="str">
        <f>'900005'!$B40</f>
        <v/>
      </c>
      <c r="D1682" s="27" t="str">
        <f>'900005'!$H$16</f>
        <v>C11601004</v>
      </c>
      <c r="E1682" s="573">
        <f>'900005'!$H40</f>
        <v>0</v>
      </c>
      <c r="F1682" s="27" t="s">
        <v>19085</v>
      </c>
    </row>
    <row r="1683" spans="1:6">
      <c r="A1683" s="27" t="str">
        <f>Resultados!$K$3</f>
        <v/>
      </c>
      <c r="B1683" s="27" t="str">
        <f>Resultados!$K$4</f>
        <v/>
      </c>
      <c r="C1683" s="569" t="str">
        <f>'900005'!$B41</f>
        <v/>
      </c>
      <c r="D1683" s="27" t="str">
        <f>'900005'!$H$16</f>
        <v>C11601004</v>
      </c>
      <c r="E1683" s="573">
        <f>'900005'!$H41</f>
        <v>0</v>
      </c>
      <c r="F1683" s="27" t="s">
        <v>19085</v>
      </c>
    </row>
    <row r="1684" spans="1:6">
      <c r="A1684" s="27" t="str">
        <f>Resultados!$K$3</f>
        <v/>
      </c>
      <c r="B1684" s="27" t="str">
        <f>Resultados!$K$4</f>
        <v/>
      </c>
      <c r="C1684" s="569" t="str">
        <f>'900005'!$B42</f>
        <v/>
      </c>
      <c r="D1684" s="27" t="str">
        <f>'900005'!$H$16</f>
        <v>C11601004</v>
      </c>
      <c r="E1684" s="573">
        <f>'900005'!$H42</f>
        <v>0</v>
      </c>
      <c r="F1684" s="27" t="s">
        <v>19085</v>
      </c>
    </row>
    <row r="1685" spans="1:6">
      <c r="A1685" s="27" t="str">
        <f>Resultados!$K$3</f>
        <v/>
      </c>
      <c r="B1685" s="27" t="str">
        <f>Resultados!$K$4</f>
        <v/>
      </c>
      <c r="C1685" s="569" t="str">
        <f>'900005'!$B43</f>
        <v/>
      </c>
      <c r="D1685" s="27" t="str">
        <f>'900005'!$H$16</f>
        <v>C11601004</v>
      </c>
      <c r="E1685" s="573">
        <f>'900005'!$H43</f>
        <v>0</v>
      </c>
      <c r="F1685" s="27" t="s">
        <v>19085</v>
      </c>
    </row>
    <row r="1686" spans="1:6">
      <c r="A1686" s="27" t="str">
        <f>Resultados!$K$3</f>
        <v/>
      </c>
      <c r="B1686" s="27" t="str">
        <f>Resultados!$K$4</f>
        <v/>
      </c>
      <c r="C1686" s="569" t="str">
        <f>'900005'!$B44</f>
        <v/>
      </c>
      <c r="D1686" s="27" t="str">
        <f>'900005'!$H$16</f>
        <v>C11601004</v>
      </c>
      <c r="E1686" s="573">
        <f>'900005'!$H44</f>
        <v>0</v>
      </c>
      <c r="F1686" s="27" t="s">
        <v>19085</v>
      </c>
    </row>
    <row r="1687" spans="1:6">
      <c r="A1687" s="27" t="str">
        <f>Resultados!$K$3</f>
        <v/>
      </c>
      <c r="B1687" s="27" t="str">
        <f>Resultados!$K$4</f>
        <v/>
      </c>
      <c r="C1687" s="569" t="str">
        <f>'900005'!$B45</f>
        <v/>
      </c>
      <c r="D1687" s="27" t="str">
        <f>'900005'!$H$16</f>
        <v>C11601004</v>
      </c>
      <c r="E1687" s="573">
        <f>'900005'!$H45</f>
        <v>0</v>
      </c>
      <c r="F1687" s="27" t="s">
        <v>19085</v>
      </c>
    </row>
    <row r="1688" spans="1:6">
      <c r="A1688" s="27" t="str">
        <f>Resultados!$K$3</f>
        <v/>
      </c>
      <c r="B1688" s="27" t="str">
        <f>Resultados!$K$4</f>
        <v/>
      </c>
      <c r="C1688" s="569" t="str">
        <f>'900005'!$B46</f>
        <v/>
      </c>
      <c r="D1688" s="27" t="str">
        <f>'900005'!$H$16</f>
        <v>C11601004</v>
      </c>
      <c r="E1688" s="573">
        <f>'900005'!$H46</f>
        <v>0</v>
      </c>
      <c r="F1688" s="27" t="s">
        <v>19085</v>
      </c>
    </row>
    <row r="1689" spans="1:6">
      <c r="A1689" s="27" t="str">
        <f>Resultados!$K$3</f>
        <v/>
      </c>
      <c r="B1689" s="27" t="str">
        <f>Resultados!$K$4</f>
        <v/>
      </c>
      <c r="C1689" s="569" t="str">
        <f>'900005'!$B47</f>
        <v/>
      </c>
      <c r="D1689" s="27" t="str">
        <f>'900005'!$H$16</f>
        <v>C11601004</v>
      </c>
      <c r="E1689" s="573">
        <f>'900005'!$H47</f>
        <v>0</v>
      </c>
      <c r="F1689" s="27" t="s">
        <v>19085</v>
      </c>
    </row>
    <row r="1690" spans="1:6">
      <c r="A1690" s="27" t="str">
        <f>Resultados!$K$3</f>
        <v/>
      </c>
      <c r="B1690" s="27" t="str">
        <f>Resultados!$K$4</f>
        <v/>
      </c>
      <c r="C1690" s="569" t="str">
        <f>'900005'!$B48</f>
        <v/>
      </c>
      <c r="D1690" s="27" t="str">
        <f>'900005'!$H$16</f>
        <v>C11601004</v>
      </c>
      <c r="E1690" s="573">
        <f>'900005'!$H48</f>
        <v>0</v>
      </c>
      <c r="F1690" s="27" t="s">
        <v>19085</v>
      </c>
    </row>
    <row r="1691" spans="1:6">
      <c r="A1691" s="27" t="str">
        <f>Resultados!$K$3</f>
        <v/>
      </c>
      <c r="B1691" s="27" t="str">
        <f>Resultados!$K$4</f>
        <v/>
      </c>
      <c r="C1691" s="569" t="str">
        <f>'900005'!$B49</f>
        <v/>
      </c>
      <c r="D1691" s="27" t="str">
        <f>'900005'!$H$16</f>
        <v>C11601004</v>
      </c>
      <c r="E1691" s="573">
        <f>'900005'!$H49</f>
        <v>0</v>
      </c>
      <c r="F1691" s="27" t="s">
        <v>19085</v>
      </c>
    </row>
    <row r="1692" spans="1:6">
      <c r="A1692" s="27" t="str">
        <f>Resultados!$K$3</f>
        <v/>
      </c>
      <c r="B1692" s="27" t="str">
        <f>Resultados!$K$4</f>
        <v/>
      </c>
      <c r="C1692" s="569" t="str">
        <f>'900005'!$B50</f>
        <v/>
      </c>
      <c r="D1692" s="27" t="str">
        <f>'900005'!$H$16</f>
        <v>C11601004</v>
      </c>
      <c r="E1692" s="573">
        <f>'900005'!$H50</f>
        <v>0</v>
      </c>
      <c r="F1692" s="27" t="s">
        <v>19085</v>
      </c>
    </row>
    <row r="1693" spans="1:6">
      <c r="A1693" s="27" t="str">
        <f>Resultados!$K$3</f>
        <v/>
      </c>
      <c r="B1693" s="27" t="str">
        <f>Resultados!$K$4</f>
        <v/>
      </c>
      <c r="C1693" s="569" t="str">
        <f>'900005'!$B51</f>
        <v/>
      </c>
      <c r="D1693" s="27" t="str">
        <f>'900005'!$H$16</f>
        <v>C11601004</v>
      </c>
      <c r="E1693" s="573">
        <f>'900005'!$H51</f>
        <v>0</v>
      </c>
      <c r="F1693" s="27" t="s">
        <v>19085</v>
      </c>
    </row>
    <row r="1694" spans="1:6">
      <c r="A1694" s="27" t="str">
        <f>Resultados!$K$3</f>
        <v/>
      </c>
      <c r="B1694" s="27" t="str">
        <f>Resultados!$K$4</f>
        <v/>
      </c>
      <c r="C1694" s="569" t="str">
        <f>'900005'!$B52</f>
        <v/>
      </c>
      <c r="D1694" s="27" t="str">
        <f>'900005'!$H$16</f>
        <v>C11601004</v>
      </c>
      <c r="E1694" s="573">
        <f>'900005'!$H52</f>
        <v>0</v>
      </c>
      <c r="F1694" s="27" t="s">
        <v>19085</v>
      </c>
    </row>
    <row r="1695" spans="1:6">
      <c r="A1695" s="27" t="str">
        <f>Resultados!$K$3</f>
        <v/>
      </c>
      <c r="B1695" s="27" t="str">
        <f>Resultados!$K$4</f>
        <v/>
      </c>
      <c r="C1695" s="569" t="str">
        <f>'900005'!$B53</f>
        <v/>
      </c>
      <c r="D1695" s="27" t="str">
        <f>'900005'!$H$16</f>
        <v>C11601004</v>
      </c>
      <c r="E1695" s="573">
        <f>'900005'!$H53</f>
        <v>0</v>
      </c>
      <c r="F1695" s="27" t="s">
        <v>19085</v>
      </c>
    </row>
    <row r="1696" spans="1:6">
      <c r="A1696" s="27" t="str">
        <f>Resultados!$K$3</f>
        <v/>
      </c>
      <c r="B1696" s="27" t="str">
        <f>Resultados!$K$4</f>
        <v/>
      </c>
      <c r="C1696" s="569" t="str">
        <f>'900005'!$B54</f>
        <v/>
      </c>
      <c r="D1696" s="27" t="str">
        <f>'900005'!$H$16</f>
        <v>C11601004</v>
      </c>
      <c r="E1696" s="573">
        <f>'900005'!$H54</f>
        <v>0</v>
      </c>
      <c r="F1696" s="27" t="s">
        <v>19085</v>
      </c>
    </row>
    <row r="1697" spans="1:6">
      <c r="A1697" s="27" t="str">
        <f>Resultados!$K$3</f>
        <v/>
      </c>
      <c r="B1697" s="27" t="str">
        <f>Resultados!$K$4</f>
        <v/>
      </c>
      <c r="C1697" s="569" t="str">
        <f>'900005'!$B56</f>
        <v/>
      </c>
      <c r="D1697" s="27" t="str">
        <f>'900005'!$H$16</f>
        <v>C11601004</v>
      </c>
      <c r="E1697" s="573">
        <f>'900005'!$H56</f>
        <v>0</v>
      </c>
      <c r="F1697" s="27" t="s">
        <v>19085</v>
      </c>
    </row>
    <row r="1698" spans="1:6">
      <c r="A1698" s="27" t="str">
        <f>Resultados!$K$3</f>
        <v/>
      </c>
      <c r="B1698" s="27" t="str">
        <f>Resultados!$K$4</f>
        <v/>
      </c>
      <c r="C1698" s="569" t="str">
        <f>'900005'!$B57</f>
        <v/>
      </c>
      <c r="D1698" s="27" t="str">
        <f>'900005'!$H$16</f>
        <v>C11601004</v>
      </c>
      <c r="E1698" s="573">
        <f>'900005'!$H57</f>
        <v>0</v>
      </c>
      <c r="F1698" s="27" t="s">
        <v>19085</v>
      </c>
    </row>
    <row r="1699" spans="1:6">
      <c r="A1699" s="27" t="str">
        <f>Resultados!$K$3</f>
        <v/>
      </c>
      <c r="B1699" s="27" t="str">
        <f>Resultados!$K$4</f>
        <v/>
      </c>
      <c r="C1699" s="569" t="str">
        <f>'900005'!$B58</f>
        <v/>
      </c>
      <c r="D1699" s="27" t="str">
        <f>'900005'!$H$16</f>
        <v>C11601004</v>
      </c>
      <c r="E1699" s="573">
        <f>'900005'!$H58</f>
        <v>0</v>
      </c>
      <c r="F1699" s="27" t="s">
        <v>19085</v>
      </c>
    </row>
    <row r="1700" spans="1:6">
      <c r="A1700" s="27" t="str">
        <f>Resultados!$K$3</f>
        <v/>
      </c>
      <c r="B1700" s="27" t="str">
        <f>Resultados!$K$4</f>
        <v/>
      </c>
      <c r="C1700" s="569" t="str">
        <f>'900005'!$B59</f>
        <v/>
      </c>
      <c r="D1700" s="27" t="str">
        <f>'900005'!$H$16</f>
        <v>C11601004</v>
      </c>
      <c r="E1700" s="573">
        <f>'900005'!$H59</f>
        <v>0</v>
      </c>
      <c r="F1700" s="27" t="s">
        <v>19085</v>
      </c>
    </row>
    <row r="1701" spans="1:6">
      <c r="A1701" s="27" t="str">
        <f>Resultados!$K$3</f>
        <v/>
      </c>
      <c r="B1701" s="27" t="str">
        <f>Resultados!$K$4</f>
        <v/>
      </c>
      <c r="C1701" s="569" t="str">
        <f>'900005'!$B60</f>
        <v/>
      </c>
      <c r="D1701" s="27" t="str">
        <f>'900005'!$H$16</f>
        <v>C11601004</v>
      </c>
      <c r="E1701" s="573">
        <f>'900005'!$H60</f>
        <v>0</v>
      </c>
      <c r="F1701" s="27" t="s">
        <v>19085</v>
      </c>
    </row>
    <row r="1702" spans="1:6">
      <c r="A1702" s="27" t="str">
        <f>Resultados!$K$3</f>
        <v/>
      </c>
      <c r="B1702" s="27" t="str">
        <f>Resultados!$K$4</f>
        <v/>
      </c>
      <c r="C1702" s="569" t="str">
        <f>'900005'!$B61</f>
        <v/>
      </c>
      <c r="D1702" s="27" t="str">
        <f>'900005'!$H$16</f>
        <v>C11601004</v>
      </c>
      <c r="E1702" s="573">
        <f>'900005'!$H61</f>
        <v>0</v>
      </c>
      <c r="F1702" s="27" t="s">
        <v>19085</v>
      </c>
    </row>
    <row r="1703" spans="1:6">
      <c r="A1703" s="27" t="str">
        <f>Resultados!$K$3</f>
        <v/>
      </c>
      <c r="B1703" s="27" t="str">
        <f>Resultados!$K$4</f>
        <v/>
      </c>
      <c r="C1703" s="569" t="str">
        <f>'900005'!$B62</f>
        <v/>
      </c>
      <c r="D1703" s="27" t="str">
        <f>'900005'!$H$16</f>
        <v>C11601004</v>
      </c>
      <c r="E1703" s="573">
        <f>'900005'!$H62</f>
        <v>0</v>
      </c>
      <c r="F1703" s="27" t="s">
        <v>19085</v>
      </c>
    </row>
    <row r="1704" spans="1:6">
      <c r="A1704" s="27" t="str">
        <f>Resultados!$K$3</f>
        <v/>
      </c>
      <c r="B1704" s="27" t="str">
        <f>Resultados!$K$4</f>
        <v/>
      </c>
      <c r="C1704" s="569" t="str">
        <f>'900005'!$B63</f>
        <v/>
      </c>
      <c r="D1704" s="27" t="str">
        <f>'900005'!$H$16</f>
        <v>C11601004</v>
      </c>
      <c r="E1704" s="573">
        <f>'900005'!$H63</f>
        <v>0</v>
      </c>
      <c r="F1704" s="27" t="s">
        <v>19085</v>
      </c>
    </row>
    <row r="1705" spans="1:6">
      <c r="A1705" s="27" t="str">
        <f>Resultados!$K$3</f>
        <v/>
      </c>
      <c r="B1705" s="27" t="str">
        <f>Resultados!$K$4</f>
        <v/>
      </c>
      <c r="C1705" s="569" t="str">
        <f>'900005'!$B64</f>
        <v/>
      </c>
      <c r="D1705" s="27" t="str">
        <f>'900005'!$H$16</f>
        <v>C11601004</v>
      </c>
      <c r="E1705" s="573">
        <f>'900005'!$H64</f>
        <v>0</v>
      </c>
      <c r="F1705" s="27" t="s">
        <v>19085</v>
      </c>
    </row>
    <row r="1706" spans="1:6">
      <c r="A1706" s="27" t="str">
        <f>Resultados!$K$3</f>
        <v/>
      </c>
      <c r="B1706" s="27" t="str">
        <f>Resultados!$K$4</f>
        <v/>
      </c>
      <c r="C1706" s="569" t="str">
        <f>'900005'!$B65</f>
        <v/>
      </c>
      <c r="D1706" s="27" t="str">
        <f>'900005'!$H$16</f>
        <v>C11601004</v>
      </c>
      <c r="E1706" s="573">
        <f>'900005'!$H65</f>
        <v>0</v>
      </c>
      <c r="F1706" s="27" t="s">
        <v>19085</v>
      </c>
    </row>
    <row r="1707" spans="1:6">
      <c r="A1707" s="27" t="str">
        <f>Resultados!$K$3</f>
        <v/>
      </c>
      <c r="B1707" s="27" t="str">
        <f>Resultados!$K$4</f>
        <v/>
      </c>
      <c r="C1707" s="569" t="str">
        <f>'900005'!$B66</f>
        <v/>
      </c>
      <c r="D1707" s="27" t="str">
        <f>'900005'!$H$16</f>
        <v>C11601004</v>
      </c>
      <c r="E1707" s="573">
        <f>'900005'!$H66</f>
        <v>0</v>
      </c>
      <c r="F1707" s="27" t="s">
        <v>19085</v>
      </c>
    </row>
    <row r="1708" spans="1:6">
      <c r="A1708" s="27" t="str">
        <f>Resultados!$K$3</f>
        <v/>
      </c>
      <c r="B1708" s="27" t="str">
        <f>Resultados!$K$4</f>
        <v/>
      </c>
      <c r="C1708" s="569" t="str">
        <f>'900005'!$B68</f>
        <v/>
      </c>
      <c r="D1708" s="27" t="str">
        <f>'900005'!$H$16</f>
        <v>C11601004</v>
      </c>
      <c r="E1708" s="573">
        <f>'900005'!$H68</f>
        <v>0</v>
      </c>
      <c r="F1708" s="27" t="s">
        <v>19085</v>
      </c>
    </row>
    <row r="1709" spans="1:6">
      <c r="A1709" s="27" t="str">
        <f>Resultados!$K$3</f>
        <v/>
      </c>
      <c r="B1709" s="27" t="str">
        <f>Resultados!$K$4</f>
        <v/>
      </c>
      <c r="C1709" s="569" t="str">
        <f>'900005'!$B69</f>
        <v/>
      </c>
      <c r="D1709" s="27" t="str">
        <f>'900005'!$H$16</f>
        <v>C11601004</v>
      </c>
      <c r="E1709" s="573">
        <f>'900005'!$H69</f>
        <v>0</v>
      </c>
      <c r="F1709" s="27" t="s">
        <v>19085</v>
      </c>
    </row>
    <row r="1710" spans="1:6">
      <c r="A1710" s="27" t="str">
        <f>Resultados!$K$3</f>
        <v/>
      </c>
      <c r="B1710" s="27" t="str">
        <f>Resultados!$K$4</f>
        <v/>
      </c>
      <c r="C1710" s="569" t="str">
        <f>'900005'!$B70</f>
        <v/>
      </c>
      <c r="D1710" s="27" t="str">
        <f>'900005'!$H$16</f>
        <v>C11601004</v>
      </c>
      <c r="E1710" s="573">
        <f>'900005'!$H70</f>
        <v>0</v>
      </c>
      <c r="F1710" s="27" t="s">
        <v>19085</v>
      </c>
    </row>
    <row r="1711" spans="1:6">
      <c r="A1711" s="27" t="str">
        <f>Resultados!$K$3</f>
        <v/>
      </c>
      <c r="B1711" s="27" t="str">
        <f>Resultados!$K$4</f>
        <v/>
      </c>
      <c r="C1711" s="569" t="str">
        <f>'900005'!$B71</f>
        <v/>
      </c>
      <c r="D1711" s="27" t="str">
        <f>'900005'!$H$16</f>
        <v>C11601004</v>
      </c>
      <c r="E1711" s="573">
        <f>'900005'!$H71</f>
        <v>0</v>
      </c>
      <c r="F1711" s="27" t="s">
        <v>19085</v>
      </c>
    </row>
    <row r="1712" spans="1:6">
      <c r="A1712" s="27" t="str">
        <f>Resultados!$K$3</f>
        <v/>
      </c>
      <c r="B1712" s="27" t="str">
        <f>Resultados!$K$4</f>
        <v/>
      </c>
      <c r="C1712" s="569" t="str">
        <f>'900005'!$B72</f>
        <v/>
      </c>
      <c r="D1712" s="27" t="str">
        <f>'900005'!$H$16</f>
        <v>C11601004</v>
      </c>
      <c r="E1712" s="573">
        <f>'900005'!$H72</f>
        <v>0</v>
      </c>
      <c r="F1712" s="27" t="s">
        <v>19085</v>
      </c>
    </row>
    <row r="1713" spans="1:6">
      <c r="A1713" s="27" t="str">
        <f>Resultados!$K$3</f>
        <v/>
      </c>
      <c r="B1713" s="27" t="str">
        <f>Resultados!$K$4</f>
        <v/>
      </c>
      <c r="C1713" s="569" t="str">
        <f>'900005'!$B73</f>
        <v/>
      </c>
      <c r="D1713" s="27" t="str">
        <f>'900005'!$H$16</f>
        <v>C11601004</v>
      </c>
      <c r="E1713" s="573">
        <f>'900005'!$H73</f>
        <v>0</v>
      </c>
      <c r="F1713" s="27" t="s">
        <v>19085</v>
      </c>
    </row>
    <row r="1714" spans="1:6">
      <c r="A1714" s="27" t="str">
        <f>Resultados!$K$3</f>
        <v/>
      </c>
      <c r="B1714" s="27" t="str">
        <f>Resultados!$K$4</f>
        <v/>
      </c>
      <c r="C1714" s="569" t="str">
        <f>'900005'!$B74</f>
        <v/>
      </c>
      <c r="D1714" s="27" t="str">
        <f>'900005'!$H$16</f>
        <v>C11601004</v>
      </c>
      <c r="E1714" s="573">
        <f>'900005'!$H74</f>
        <v>0</v>
      </c>
      <c r="F1714" s="27" t="s">
        <v>19085</v>
      </c>
    </row>
    <row r="1715" spans="1:6">
      <c r="A1715" s="27" t="str">
        <f>Resultados!$K$3</f>
        <v/>
      </c>
      <c r="B1715" s="27" t="str">
        <f>Resultados!$K$4</f>
        <v/>
      </c>
      <c r="C1715" s="569" t="str">
        <f>'900005'!$B76</f>
        <v/>
      </c>
      <c r="D1715" s="27" t="str">
        <f>'900005'!$H$16</f>
        <v>C11601004</v>
      </c>
      <c r="E1715" s="573">
        <f>'900005'!$H76</f>
        <v>0</v>
      </c>
      <c r="F1715" s="27" t="s">
        <v>19085</v>
      </c>
    </row>
    <row r="1716" spans="1:6">
      <c r="A1716" s="27" t="str">
        <f>Resultados!$K$3</f>
        <v/>
      </c>
      <c r="B1716" s="27" t="str">
        <f>Resultados!$K$4</f>
        <v/>
      </c>
      <c r="C1716" s="569" t="str">
        <f>'900005'!$B77</f>
        <v/>
      </c>
      <c r="D1716" s="27" t="str">
        <f>'900005'!$H$16</f>
        <v>C11601004</v>
      </c>
      <c r="E1716" s="573">
        <f>'900005'!$H77</f>
        <v>0</v>
      </c>
      <c r="F1716" s="27" t="s">
        <v>19085</v>
      </c>
    </row>
    <row r="1717" spans="1:6">
      <c r="A1717" s="27" t="str">
        <f>Resultados!$K$3</f>
        <v/>
      </c>
      <c r="B1717" s="27" t="str">
        <f>Resultados!$K$4</f>
        <v/>
      </c>
      <c r="C1717" s="569" t="str">
        <f>'900005'!$B78</f>
        <v/>
      </c>
      <c r="D1717" s="27" t="str">
        <f>'900005'!$H$16</f>
        <v>C11601004</v>
      </c>
      <c r="E1717" s="573">
        <f>'900005'!$H78</f>
        <v>0</v>
      </c>
      <c r="F1717" s="27" t="s">
        <v>19085</v>
      </c>
    </row>
    <row r="1718" spans="1:6">
      <c r="A1718" s="27" t="str">
        <f>Resultados!$K$3</f>
        <v/>
      </c>
      <c r="B1718" s="27" t="str">
        <f>Resultados!$K$4</f>
        <v/>
      </c>
      <c r="C1718" s="569" t="str">
        <f>'900005'!$B79</f>
        <v/>
      </c>
      <c r="D1718" s="27" t="str">
        <f>'900005'!$H$16</f>
        <v>C11601004</v>
      </c>
      <c r="E1718" s="573">
        <f>'900005'!$H79</f>
        <v>0</v>
      </c>
      <c r="F1718" s="27" t="s">
        <v>19085</v>
      </c>
    </row>
    <row r="1719" spans="1:6">
      <c r="A1719" s="27" t="str">
        <f>Resultados!$K$3</f>
        <v/>
      </c>
      <c r="B1719" s="27" t="str">
        <f>Resultados!$K$4</f>
        <v/>
      </c>
      <c r="C1719" s="569" t="str">
        <f>'900005'!$B80</f>
        <v/>
      </c>
      <c r="D1719" s="27" t="str">
        <f>'900005'!$H$16</f>
        <v>C11601004</v>
      </c>
      <c r="E1719" s="573">
        <f>'900005'!$H80</f>
        <v>0</v>
      </c>
      <c r="F1719" s="27" t="s">
        <v>19085</v>
      </c>
    </row>
    <row r="1720" spans="1:6">
      <c r="A1720" s="27" t="str">
        <f>Resultados!$K$3</f>
        <v/>
      </c>
      <c r="B1720" s="27" t="str">
        <f>Resultados!$K$4</f>
        <v/>
      </c>
      <c r="C1720" s="569" t="str">
        <f>'900005'!$B81</f>
        <v/>
      </c>
      <c r="D1720" s="27" t="str">
        <f>'900005'!$H$16</f>
        <v>C11601004</v>
      </c>
      <c r="E1720" s="573">
        <f>'900005'!$H81</f>
        <v>0</v>
      </c>
      <c r="F1720" s="27" t="s">
        <v>19085</v>
      </c>
    </row>
    <row r="1721" spans="1:6">
      <c r="A1721" s="27" t="str">
        <f>Resultados!$K$3</f>
        <v/>
      </c>
      <c r="B1721" s="27" t="str">
        <f>Resultados!$K$4</f>
        <v/>
      </c>
      <c r="C1721" s="569" t="str">
        <f>'900005'!$B83</f>
        <v/>
      </c>
      <c r="D1721" s="27" t="str">
        <f>'900005'!$H$16</f>
        <v>C11601004</v>
      </c>
      <c r="E1721" s="573">
        <f>'900005'!$H83</f>
        <v>0</v>
      </c>
      <c r="F1721" s="27" t="s">
        <v>19085</v>
      </c>
    </row>
    <row r="1722" spans="1:6">
      <c r="A1722" s="27" t="str">
        <f>Resultados!$K$3</f>
        <v/>
      </c>
      <c r="B1722" s="27" t="str">
        <f>Resultados!$K$4</f>
        <v/>
      </c>
      <c r="C1722" s="569" t="str">
        <f>'900005'!$B87</f>
        <v/>
      </c>
      <c r="D1722" s="27" t="str">
        <f>'900005'!$H$16</f>
        <v>C11601004</v>
      </c>
      <c r="E1722" s="573">
        <f>'900005'!$H87</f>
        <v>0</v>
      </c>
      <c r="F1722" s="27" t="s">
        <v>19085</v>
      </c>
    </row>
    <row r="1723" spans="1:6">
      <c r="A1723" s="27" t="str">
        <f>Resultados!$K$3</f>
        <v/>
      </c>
      <c r="B1723" s="27" t="str">
        <f>Resultados!$K$4</f>
        <v/>
      </c>
      <c r="C1723" s="569" t="str">
        <f>'900005'!$B88</f>
        <v/>
      </c>
      <c r="D1723" s="27" t="str">
        <f>'900005'!$H$16</f>
        <v>C11601004</v>
      </c>
      <c r="E1723" s="573">
        <f>'900005'!$H88</f>
        <v>0</v>
      </c>
      <c r="F1723" s="27" t="s">
        <v>19085</v>
      </c>
    </row>
    <row r="1724" spans="1:6">
      <c r="A1724" s="27" t="str">
        <f>Resultados!$K$3</f>
        <v/>
      </c>
      <c r="B1724" s="27" t="str">
        <f>Resultados!$K$4</f>
        <v/>
      </c>
      <c r="C1724" s="569" t="str">
        <f>'900005'!$B91</f>
        <v/>
      </c>
      <c r="D1724" s="27" t="str">
        <f>'900005'!$H$16</f>
        <v>C11601004</v>
      </c>
      <c r="E1724" s="573">
        <f>'900005'!$H91</f>
        <v>0</v>
      </c>
      <c r="F1724" s="27" t="s">
        <v>19085</v>
      </c>
    </row>
    <row r="1725" spans="1:6">
      <c r="A1725" s="27" t="str">
        <f>Resultados!$K$3</f>
        <v/>
      </c>
      <c r="B1725" s="27" t="str">
        <f>Resultados!$K$4</f>
        <v/>
      </c>
      <c r="C1725" s="569" t="str">
        <f>'900005'!$B92</f>
        <v/>
      </c>
      <c r="D1725" s="27" t="str">
        <f>'900005'!$H$16</f>
        <v>C11601004</v>
      </c>
      <c r="E1725" s="573">
        <f>'900005'!$H92</f>
        <v>0</v>
      </c>
      <c r="F1725" s="27" t="s">
        <v>19085</v>
      </c>
    </row>
    <row r="1726" spans="1:6">
      <c r="A1726" s="27" t="str">
        <f>Resultados!$K$3</f>
        <v/>
      </c>
      <c r="B1726" s="27" t="str">
        <f>Resultados!$K$4</f>
        <v/>
      </c>
      <c r="C1726" s="569" t="str">
        <f>'900005'!$B93</f>
        <v/>
      </c>
      <c r="D1726" s="27" t="str">
        <f>'900005'!$H$16</f>
        <v>C11601004</v>
      </c>
      <c r="E1726" s="573">
        <f>'900005'!$H93</f>
        <v>0</v>
      </c>
      <c r="F1726" s="27" t="s">
        <v>19085</v>
      </c>
    </row>
    <row r="1727" spans="1:6">
      <c r="A1727" s="27" t="str">
        <f>Resultados!$K$3</f>
        <v/>
      </c>
      <c r="B1727" s="27" t="str">
        <f>Resultados!$K$4</f>
        <v/>
      </c>
      <c r="C1727" s="569" t="str">
        <f>'900005'!$B95</f>
        <v/>
      </c>
      <c r="D1727" s="27" t="str">
        <f>'900005'!$H$16</f>
        <v>C11601004</v>
      </c>
      <c r="E1727" s="573">
        <f>'900005'!$H95</f>
        <v>0</v>
      </c>
      <c r="F1727" s="27" t="s">
        <v>19085</v>
      </c>
    </row>
    <row r="1728" spans="1:6">
      <c r="A1728" s="27" t="str">
        <f>Resultados!$K$3</f>
        <v/>
      </c>
      <c r="B1728" s="27" t="str">
        <f>Resultados!$K$4</f>
        <v/>
      </c>
      <c r="C1728" s="569" t="str">
        <f>'900005'!$B96</f>
        <v/>
      </c>
      <c r="D1728" s="27" t="str">
        <f>'900005'!$H$16</f>
        <v>C11601004</v>
      </c>
      <c r="E1728" s="573">
        <f>'900005'!$H96</f>
        <v>0</v>
      </c>
      <c r="F1728" s="27" t="s">
        <v>19085</v>
      </c>
    </row>
    <row r="1729" spans="1:6">
      <c r="A1729" s="27" t="str">
        <f>Resultados!$K$3</f>
        <v/>
      </c>
      <c r="B1729" s="27" t="str">
        <f>Resultados!$K$4</f>
        <v/>
      </c>
      <c r="C1729" s="569" t="str">
        <f>'900005'!$B97</f>
        <v/>
      </c>
      <c r="D1729" s="27" t="str">
        <f>'900005'!$H$16</f>
        <v>C11601004</v>
      </c>
      <c r="E1729" s="573">
        <f>'900005'!$H97</f>
        <v>0</v>
      </c>
      <c r="F1729" s="27" t="s">
        <v>19085</v>
      </c>
    </row>
    <row r="1730" spans="1:6">
      <c r="A1730" s="27" t="str">
        <f>Resultados!$K$3</f>
        <v/>
      </c>
      <c r="B1730" s="27" t="str">
        <f>Resultados!$K$4</f>
        <v/>
      </c>
      <c r="C1730" s="569" t="str">
        <f>'900005'!$B98</f>
        <v/>
      </c>
      <c r="D1730" s="27" t="str">
        <f>'900005'!$H$16</f>
        <v>C11601004</v>
      </c>
      <c r="E1730" s="573">
        <f>'900005'!$H98</f>
        <v>0</v>
      </c>
      <c r="F1730" s="27" t="s">
        <v>19085</v>
      </c>
    </row>
    <row r="1731" spans="1:6">
      <c r="A1731" s="27" t="str">
        <f>Resultados!$K$3</f>
        <v/>
      </c>
      <c r="B1731" s="27" t="str">
        <f>Resultados!$K$4</f>
        <v/>
      </c>
      <c r="C1731" s="569" t="str">
        <f>'900006'!$B24</f>
        <v>11701004</v>
      </c>
      <c r="D1731" t="str">
        <f>'900006'!$D$21</f>
        <v>C11701002</v>
      </c>
      <c r="E1731">
        <f>'900006'!$D24</f>
        <v>0</v>
      </c>
      <c r="F1731" s="27" t="s">
        <v>19086</v>
      </c>
    </row>
    <row r="1732" spans="1:6">
      <c r="A1732" s="27" t="str">
        <f>Resultados!$K$3</f>
        <v/>
      </c>
      <c r="B1732" s="27" t="str">
        <f>Resultados!$K$4</f>
        <v/>
      </c>
      <c r="C1732" s="569" t="str">
        <f>'900006'!$B25</f>
        <v>11701005</v>
      </c>
      <c r="D1732" s="27" t="str">
        <f>'900006'!$D$21</f>
        <v>C11701002</v>
      </c>
      <c r="E1732" s="27">
        <f>'900006'!$D25</f>
        <v>0</v>
      </c>
      <c r="F1732" s="27" t="s">
        <v>19086</v>
      </c>
    </row>
    <row r="1733" spans="1:6">
      <c r="A1733" s="27" t="str">
        <f>Resultados!$K$3</f>
        <v/>
      </c>
      <c r="B1733" s="27" t="str">
        <f>Resultados!$K$4</f>
        <v/>
      </c>
      <c r="C1733" s="569" t="str">
        <f>'900006'!$B26</f>
        <v>11701006</v>
      </c>
      <c r="D1733" s="27" t="str">
        <f>'900006'!$D$21</f>
        <v>C11701002</v>
      </c>
      <c r="E1733" s="27">
        <f>'900006'!$D26</f>
        <v>0</v>
      </c>
      <c r="F1733" s="27" t="s">
        <v>19086</v>
      </c>
    </row>
    <row r="1734" spans="1:6">
      <c r="A1734" s="27" t="str">
        <f>Resultados!$K$3</f>
        <v/>
      </c>
      <c r="B1734" s="27" t="str">
        <f>Resultados!$K$4</f>
        <v/>
      </c>
      <c r="C1734" s="569" t="str">
        <f>'900006'!$B27</f>
        <v>11701007</v>
      </c>
      <c r="D1734" s="27" t="str">
        <f>'900006'!$D$21</f>
        <v>C11701002</v>
      </c>
      <c r="E1734" s="27">
        <f>'900006'!$D27</f>
        <v>0</v>
      </c>
      <c r="F1734" s="27" t="s">
        <v>19086</v>
      </c>
    </row>
    <row r="1735" spans="1:6">
      <c r="A1735" s="27" t="str">
        <f>Resultados!$K$3</f>
        <v/>
      </c>
      <c r="B1735" s="27" t="str">
        <f>Resultados!$K$4</f>
        <v/>
      </c>
      <c r="C1735" s="569" t="str">
        <f>'900006'!$B28</f>
        <v>11701003</v>
      </c>
      <c r="D1735" s="27" t="str">
        <f>'900006'!$D$21</f>
        <v>C11701002</v>
      </c>
      <c r="E1735" s="27">
        <f>'900006'!$D28</f>
        <v>0</v>
      </c>
      <c r="F1735" s="27" t="s">
        <v>19086</v>
      </c>
    </row>
    <row r="1736" spans="1:6">
      <c r="A1736" s="27" t="str">
        <f>Resultados!$K$3</f>
        <v/>
      </c>
      <c r="B1736" s="27" t="str">
        <f>Resultados!$K$4</f>
        <v/>
      </c>
      <c r="C1736" s="569" t="str">
        <f>'900007'!$B15</f>
        <v>11801002</v>
      </c>
      <c r="D1736" t="str">
        <f>'900007'!$E$13</f>
        <v>C11801001</v>
      </c>
      <c r="E1736">
        <f>'900007'!$F15</f>
        <v>0</v>
      </c>
      <c r="F1736" s="27" t="s">
        <v>19087</v>
      </c>
    </row>
    <row r="1737" spans="1:6">
      <c r="A1737" s="27" t="str">
        <f>Resultados!$K$3</f>
        <v/>
      </c>
      <c r="B1737" s="27" t="str">
        <f>Resultados!$K$4</f>
        <v/>
      </c>
      <c r="C1737" s="569" t="str">
        <f>'900007'!$B16</f>
        <v>11801003</v>
      </c>
      <c r="D1737" s="27" t="str">
        <f>'900007'!$E$13</f>
        <v>C11801001</v>
      </c>
      <c r="E1737" s="27">
        <f>'900007'!$F16</f>
        <v>0</v>
      </c>
      <c r="F1737" s="27" t="s">
        <v>19087</v>
      </c>
    </row>
    <row r="1738" spans="1:6">
      <c r="A1738" s="27" t="str">
        <f>Resultados!$K$3</f>
        <v/>
      </c>
      <c r="B1738" s="27" t="str">
        <f>Resultados!$K$4</f>
        <v/>
      </c>
      <c r="C1738" s="569">
        <f>'900007'!$B19</f>
        <v>11802002</v>
      </c>
      <c r="D1738" s="27" t="str">
        <f>'900007'!$E$13</f>
        <v>C11801001</v>
      </c>
      <c r="E1738">
        <f>'900007'!$E19</f>
        <v>0</v>
      </c>
      <c r="F1738" s="27" t="s">
        <v>19087</v>
      </c>
    </row>
    <row r="1739" spans="1:6">
      <c r="A1739" s="27" t="str">
        <f>Resultados!$K$3</f>
        <v/>
      </c>
      <c r="B1739" s="27" t="str">
        <f>Resultados!$K$4</f>
        <v/>
      </c>
      <c r="C1739" s="569">
        <f>'900007'!$B20</f>
        <v>11802003</v>
      </c>
      <c r="D1739" s="27" t="str">
        <f>'900007'!$E$13</f>
        <v>C11801001</v>
      </c>
      <c r="E1739" s="27">
        <f>'900007'!$E20</f>
        <v>0</v>
      </c>
      <c r="F1739" s="27" t="s">
        <v>19087</v>
      </c>
    </row>
    <row r="1740" spans="1:6">
      <c r="A1740" s="27" t="str">
        <f>Resultados!$K$3</f>
        <v/>
      </c>
      <c r="B1740" s="27" t="str">
        <f>Resultados!$K$4</f>
        <v/>
      </c>
      <c r="C1740" s="569">
        <f>'900007'!$B21</f>
        <v>11802004</v>
      </c>
      <c r="D1740" s="27" t="str">
        <f>'900007'!$E$13</f>
        <v>C11801001</v>
      </c>
      <c r="E1740" s="27">
        <f>'900007'!$E21</f>
        <v>0</v>
      </c>
      <c r="F1740" s="27" t="s">
        <v>19087</v>
      </c>
    </row>
    <row r="1741" spans="1:6">
      <c r="A1741" s="27" t="str">
        <f>Resultados!$K$3</f>
        <v/>
      </c>
      <c r="B1741" s="27" t="str">
        <f>Resultados!$K$4</f>
        <v/>
      </c>
      <c r="C1741" s="569">
        <f>'900007'!$B22</f>
        <v>11802005</v>
      </c>
      <c r="D1741" s="27" t="str">
        <f>'900007'!$E$13</f>
        <v>C11801001</v>
      </c>
      <c r="E1741" s="27">
        <f>'900007'!$E22</f>
        <v>0</v>
      </c>
      <c r="F1741" s="27" t="s">
        <v>19087</v>
      </c>
    </row>
    <row r="1742" spans="1:6">
      <c r="A1742" s="27" t="str">
        <f>Resultados!$K$3</f>
        <v/>
      </c>
      <c r="B1742" s="27" t="str">
        <f>Resultados!$K$4</f>
        <v/>
      </c>
      <c r="C1742" s="569">
        <f>'900007'!$B23</f>
        <v>11802006</v>
      </c>
      <c r="D1742" s="27" t="str">
        <f>'900007'!$E$13</f>
        <v>C11801001</v>
      </c>
      <c r="E1742" s="27">
        <f>'900007'!$E23</f>
        <v>0</v>
      </c>
      <c r="F1742" s="27" t="s">
        <v>19087</v>
      </c>
    </row>
    <row r="1743" spans="1:6">
      <c r="A1743" s="27" t="str">
        <f>Resultados!$K$3</f>
        <v/>
      </c>
      <c r="B1743" s="27" t="str">
        <f>Resultados!$K$4</f>
        <v/>
      </c>
      <c r="C1743" s="569">
        <f>'900007'!$B24</f>
        <v>11802007</v>
      </c>
      <c r="D1743" s="27" t="str">
        <f>'900007'!$E$13</f>
        <v>C11801001</v>
      </c>
      <c r="E1743" s="27">
        <f>'900007'!$E24</f>
        <v>0</v>
      </c>
      <c r="F1743" s="27" t="s">
        <v>19087</v>
      </c>
    </row>
    <row r="1744" spans="1:6">
      <c r="A1744" s="27" t="str">
        <f>Resultados!$K$3</f>
        <v/>
      </c>
      <c r="B1744" s="27" t="str">
        <f>Resultados!$K$4</f>
        <v/>
      </c>
      <c r="C1744" s="569">
        <f>'900007'!$B25</f>
        <v>11802008</v>
      </c>
      <c r="D1744" s="27" t="str">
        <f>'900007'!$E$13</f>
        <v>C11801001</v>
      </c>
      <c r="E1744" s="27">
        <f>'900007'!$E25</f>
        <v>0</v>
      </c>
      <c r="F1744" s="27" t="s">
        <v>19087</v>
      </c>
    </row>
    <row r="1745" spans="1:6">
      <c r="A1745" s="27" t="str">
        <f>Resultados!$K$3</f>
        <v/>
      </c>
      <c r="B1745" s="27" t="str">
        <f>Resultados!$K$4</f>
        <v/>
      </c>
      <c r="C1745" s="569">
        <f>'900007'!$B26</f>
        <v>11802009</v>
      </c>
      <c r="D1745" s="27" t="str">
        <f>'900007'!$E$13</f>
        <v>C11801001</v>
      </c>
      <c r="E1745" s="27">
        <f>'900007'!$E26</f>
        <v>0</v>
      </c>
      <c r="F1745" s="27" t="s">
        <v>19087</v>
      </c>
    </row>
    <row r="1746" spans="1:6">
      <c r="A1746" s="27" t="str">
        <f>Resultados!$K$3</f>
        <v/>
      </c>
      <c r="B1746" s="27" t="str">
        <f>Resultados!$K$4</f>
        <v/>
      </c>
      <c r="C1746" s="569">
        <f>'900007'!$B27</f>
        <v>11802010</v>
      </c>
      <c r="D1746" s="27" t="str">
        <f>'900007'!$E$13</f>
        <v>C11801001</v>
      </c>
      <c r="E1746" s="27">
        <f>'900007'!$E27</f>
        <v>0</v>
      </c>
      <c r="F1746" s="27" t="s">
        <v>19087</v>
      </c>
    </row>
    <row r="1747" spans="1:6">
      <c r="A1747" s="27" t="str">
        <f>Resultados!$K$3</f>
        <v/>
      </c>
      <c r="B1747" s="27" t="str">
        <f>Resultados!$K$4</f>
        <v/>
      </c>
      <c r="C1747" s="569">
        <f>'900007'!$B29</f>
        <v>11803001</v>
      </c>
      <c r="D1747" s="27" t="str">
        <f>'900007'!$E$13</f>
        <v>C11801001</v>
      </c>
      <c r="E1747">
        <f>'900007'!$E29</f>
        <v>0</v>
      </c>
      <c r="F1747" s="27" t="s">
        <v>19087</v>
      </c>
    </row>
    <row r="1748" spans="1:6">
      <c r="A1748" s="27" t="str">
        <f>Resultados!$K$3</f>
        <v/>
      </c>
      <c r="B1748" s="27" t="str">
        <f>Resultados!$K$4</f>
        <v/>
      </c>
      <c r="C1748" s="569">
        <f>'900007'!$B30</f>
        <v>11803002</v>
      </c>
      <c r="D1748" s="27" t="str">
        <f>'900007'!$E$13</f>
        <v>C11801001</v>
      </c>
      <c r="E1748" s="27">
        <f>'900007'!$E30</f>
        <v>0</v>
      </c>
      <c r="F1748" s="27" t="s">
        <v>19087</v>
      </c>
    </row>
    <row r="1749" spans="1:6">
      <c r="A1749" s="27" t="str">
        <f>Resultados!$K$3</f>
        <v/>
      </c>
      <c r="B1749" s="27" t="str">
        <f>Resultados!$K$4</f>
        <v/>
      </c>
      <c r="C1749" s="569">
        <f>'900007'!$B31</f>
        <v>11803003</v>
      </c>
      <c r="D1749" s="27" t="str">
        <f>'900007'!$E$13</f>
        <v>C11801001</v>
      </c>
      <c r="E1749" s="27">
        <f>'900007'!$E31</f>
        <v>0</v>
      </c>
      <c r="F1749" s="27" t="s">
        <v>19087</v>
      </c>
    </row>
    <row r="1750" spans="1:6">
      <c r="A1750" s="27" t="str">
        <f>Resultados!$K$3</f>
        <v/>
      </c>
      <c r="B1750" s="27" t="str">
        <f>Resultados!$K$4</f>
        <v/>
      </c>
      <c r="C1750" s="569">
        <f>'900007'!$B32</f>
        <v>11803004</v>
      </c>
      <c r="D1750" s="27" t="str">
        <f>'900007'!$E$13</f>
        <v>C11801001</v>
      </c>
      <c r="E1750" s="27">
        <f>'900007'!$E32</f>
        <v>0</v>
      </c>
      <c r="F1750" s="27" t="s">
        <v>19087</v>
      </c>
    </row>
    <row r="1751" spans="1:6">
      <c r="A1751" s="27" t="str">
        <f>Resultados!$K$3</f>
        <v/>
      </c>
      <c r="B1751" s="27" t="str">
        <f>Resultados!$K$4</f>
        <v/>
      </c>
      <c r="C1751" s="569">
        <f>'900007'!$B33</f>
        <v>11803005</v>
      </c>
      <c r="D1751" s="27" t="str">
        <f>'900007'!$E$13</f>
        <v>C11801001</v>
      </c>
      <c r="E1751" s="27">
        <f>'900007'!$E33</f>
        <v>0</v>
      </c>
      <c r="F1751" s="27" t="s">
        <v>19087</v>
      </c>
    </row>
    <row r="1752" spans="1:6">
      <c r="A1752" s="27" t="str">
        <f>Resultados!$K$3</f>
        <v/>
      </c>
      <c r="B1752" s="27" t="str">
        <f>Resultados!$K$4</f>
        <v/>
      </c>
      <c r="C1752" s="569">
        <f>'900007'!$B34</f>
        <v>11803006</v>
      </c>
      <c r="D1752" s="27" t="str">
        <f>'900007'!$E$13</f>
        <v>C11801001</v>
      </c>
      <c r="E1752" s="27">
        <f>'900007'!$E34</f>
        <v>0</v>
      </c>
      <c r="F1752" s="27" t="s">
        <v>19087</v>
      </c>
    </row>
    <row r="1753" spans="1:6">
      <c r="A1753" s="27" t="str">
        <f>Resultados!$K$3</f>
        <v/>
      </c>
      <c r="B1753" s="27" t="str">
        <f>Resultados!$K$4</f>
        <v/>
      </c>
      <c r="C1753" s="569">
        <f>'900007'!$B35</f>
        <v>11803007</v>
      </c>
      <c r="D1753" s="27" t="str">
        <f>'900007'!$E$13</f>
        <v>C11801001</v>
      </c>
      <c r="E1753" s="27">
        <f>'900007'!$E35</f>
        <v>0</v>
      </c>
      <c r="F1753" s="27" t="s">
        <v>19087</v>
      </c>
    </row>
    <row r="1754" spans="1:6">
      <c r="A1754" s="27" t="str">
        <f>Resultados!$K$3</f>
        <v/>
      </c>
      <c r="B1754" s="27" t="str">
        <f>Resultados!$K$4</f>
        <v/>
      </c>
      <c r="C1754" s="569">
        <f>'900007'!$B36</f>
        <v>11803008</v>
      </c>
      <c r="D1754" s="27" t="str">
        <f>'900007'!$E$13</f>
        <v>C11801001</v>
      </c>
      <c r="E1754" s="27">
        <f>'900007'!$E36</f>
        <v>0</v>
      </c>
      <c r="F1754" s="27" t="s">
        <v>19087</v>
      </c>
    </row>
    <row r="1755" spans="1:6">
      <c r="A1755" s="27" t="str">
        <f>Resultados!$K$3</f>
        <v/>
      </c>
      <c r="B1755" s="27" t="str">
        <f>Resultados!$K$4</f>
        <v/>
      </c>
      <c r="C1755" s="569">
        <f>'900007'!$B37</f>
        <v>11803009</v>
      </c>
      <c r="D1755" s="27" t="str">
        <f>'900007'!$E$13</f>
        <v>C11801001</v>
      </c>
      <c r="E1755" s="27">
        <f>'900007'!$E37</f>
        <v>0</v>
      </c>
      <c r="F1755" s="27" t="s">
        <v>19087</v>
      </c>
    </row>
    <row r="1756" spans="1:6">
      <c r="A1756" s="27" t="str">
        <f>Resultados!$K$3</f>
        <v/>
      </c>
      <c r="B1756" s="27" t="str">
        <f>Resultados!$K$4</f>
        <v/>
      </c>
      <c r="C1756" s="569">
        <f>'900007'!$B40</f>
        <v>11805002</v>
      </c>
      <c r="D1756" s="27" t="str">
        <f>'900007'!$E$13</f>
        <v>C11801001</v>
      </c>
      <c r="E1756" s="27">
        <f>'900007'!$E40</f>
        <v>0</v>
      </c>
      <c r="F1756" s="27" t="s">
        <v>19087</v>
      </c>
    </row>
    <row r="1757" spans="1:6">
      <c r="A1757" s="27" t="str">
        <f>Resultados!$K$3</f>
        <v/>
      </c>
      <c r="B1757" s="27" t="str">
        <f>Resultados!$K$4</f>
        <v/>
      </c>
      <c r="C1757" s="569">
        <f>'900007'!$B41</f>
        <v>11805003</v>
      </c>
      <c r="D1757" s="27" t="str">
        <f>'900007'!$E$13</f>
        <v>C11801001</v>
      </c>
      <c r="E1757" s="27">
        <f>'900007'!$E41</f>
        <v>0</v>
      </c>
      <c r="F1757" s="27" t="s">
        <v>19087</v>
      </c>
    </row>
    <row r="1758" spans="1:6">
      <c r="A1758" s="27" t="str">
        <f>Resultados!$K$3</f>
        <v/>
      </c>
      <c r="B1758" s="27" t="str">
        <f>Resultados!$K$4</f>
        <v/>
      </c>
      <c r="C1758" s="569">
        <f>'900007'!$B42</f>
        <v>11805004</v>
      </c>
      <c r="D1758" s="27" t="str">
        <f>'900007'!$E$13</f>
        <v>C11801001</v>
      </c>
      <c r="E1758" s="27">
        <f>'900007'!$E42</f>
        <v>0</v>
      </c>
      <c r="F1758" s="27" t="s">
        <v>19087</v>
      </c>
    </row>
    <row r="1759" spans="1:6">
      <c r="A1759" s="27" t="str">
        <f>Resultados!$K$3</f>
        <v/>
      </c>
      <c r="B1759" s="27" t="str">
        <f>Resultados!$K$4</f>
        <v/>
      </c>
      <c r="C1759" s="569">
        <f>'900007'!$B43</f>
        <v>11805005</v>
      </c>
      <c r="D1759" s="27" t="str">
        <f>'900007'!$E$13</f>
        <v>C11801001</v>
      </c>
      <c r="E1759" s="27">
        <f>'900007'!$E43</f>
        <v>0</v>
      </c>
      <c r="F1759" s="27" t="s">
        <v>19087</v>
      </c>
    </row>
    <row r="1760" spans="1:6">
      <c r="A1760" s="27" t="str">
        <f>Resultados!$K$3</f>
        <v/>
      </c>
      <c r="B1760" s="27" t="str">
        <f>Resultados!$K$4</f>
        <v/>
      </c>
      <c r="C1760" s="569">
        <f>'900007'!$B44</f>
        <v>11805006</v>
      </c>
      <c r="D1760" s="27" t="str">
        <f>'900007'!$E$13</f>
        <v>C11801001</v>
      </c>
      <c r="E1760" s="27">
        <f>'900007'!$E44</f>
        <v>0</v>
      </c>
      <c r="F1760" s="27" t="s">
        <v>19087</v>
      </c>
    </row>
    <row r="1761" spans="1:6">
      <c r="A1761" s="27" t="str">
        <f>Resultados!$K$3</f>
        <v/>
      </c>
      <c r="B1761" s="27" t="str">
        <f>Resultados!$K$4</f>
        <v/>
      </c>
      <c r="C1761" s="569">
        <f>'900007'!$B45</f>
        <v>11805007</v>
      </c>
      <c r="D1761" s="27" t="str">
        <f>'900007'!$E$13</f>
        <v>C11801001</v>
      </c>
      <c r="E1761" s="27">
        <f>'900007'!$E45</f>
        <v>0</v>
      </c>
      <c r="F1761" s="27" t="s">
        <v>19087</v>
      </c>
    </row>
    <row r="1762" spans="1:6">
      <c r="A1762" s="27" t="str">
        <f>Resultados!$K$3</f>
        <v/>
      </c>
      <c r="B1762" s="27" t="str">
        <f>Resultados!$K$4</f>
        <v/>
      </c>
      <c r="C1762" s="569">
        <f>'900007'!$B46</f>
        <v>11805008</v>
      </c>
      <c r="D1762" s="27" t="str">
        <f>'900007'!$E$13</f>
        <v>C11801001</v>
      </c>
      <c r="E1762" s="27">
        <f>'900007'!$E46</f>
        <v>0</v>
      </c>
      <c r="F1762" s="27" t="s">
        <v>19087</v>
      </c>
    </row>
    <row r="1763" spans="1:6">
      <c r="A1763" s="27" t="str">
        <f>Resultados!$K$3</f>
        <v/>
      </c>
      <c r="B1763" s="27" t="str">
        <f>Resultados!$K$4</f>
        <v/>
      </c>
      <c r="C1763" s="569">
        <f>'900007'!$B47</f>
        <v>11805009</v>
      </c>
      <c r="D1763" s="27" t="str">
        <f>'900007'!$E$13</f>
        <v>C11801001</v>
      </c>
      <c r="E1763" s="27">
        <f>'900007'!$E47</f>
        <v>0</v>
      </c>
      <c r="F1763" s="27" t="s">
        <v>19087</v>
      </c>
    </row>
    <row r="1764" spans="1:6">
      <c r="A1764" s="27" t="str">
        <f>Resultados!$K$3</f>
        <v/>
      </c>
      <c r="B1764" s="27" t="str">
        <f>Resultados!$K$4</f>
        <v/>
      </c>
      <c r="C1764" s="569">
        <f>'900007'!$B48</f>
        <v>11805010</v>
      </c>
      <c r="D1764" s="27" t="str">
        <f>'900007'!$E$13</f>
        <v>C11801001</v>
      </c>
      <c r="E1764" s="27">
        <f>'900007'!$E48</f>
        <v>0</v>
      </c>
      <c r="F1764" s="27" t="s">
        <v>19087</v>
      </c>
    </row>
    <row r="1765" spans="1:6">
      <c r="A1765" s="27" t="str">
        <f>Resultados!$K$3</f>
        <v/>
      </c>
      <c r="B1765" s="27" t="str">
        <f>Resultados!$K$4</f>
        <v/>
      </c>
      <c r="C1765" s="569">
        <f>'900007'!$B49</f>
        <v>11805011</v>
      </c>
      <c r="D1765" s="27" t="str">
        <f>'900007'!$E$13</f>
        <v>C11801001</v>
      </c>
      <c r="E1765" s="27">
        <f>'900007'!$E49</f>
        <v>0</v>
      </c>
      <c r="F1765" s="27" t="s">
        <v>19087</v>
      </c>
    </row>
    <row r="1766" spans="1:6">
      <c r="A1766" s="27" t="str">
        <f>Resultados!$K$3</f>
        <v/>
      </c>
      <c r="B1766" s="27" t="str">
        <f>Resultados!$K$4</f>
        <v/>
      </c>
      <c r="C1766" s="569">
        <f>'900007'!$B50</f>
        <v>11805012</v>
      </c>
      <c r="D1766" s="27" t="str">
        <f>'900007'!$E$13</f>
        <v>C11801001</v>
      </c>
      <c r="E1766" s="27">
        <f>'900007'!$E50</f>
        <v>0</v>
      </c>
      <c r="F1766" s="27" t="s">
        <v>19087</v>
      </c>
    </row>
    <row r="1767" spans="1:6">
      <c r="A1767" s="27" t="str">
        <f>Resultados!$K$3</f>
        <v/>
      </c>
      <c r="B1767" s="27" t="str">
        <f>Resultados!$K$4</f>
        <v/>
      </c>
      <c r="C1767" s="569">
        <f>'900007'!$B51</f>
        <v>11805013</v>
      </c>
      <c r="D1767" s="27" t="str">
        <f>'900007'!$E$13</f>
        <v>C11801001</v>
      </c>
      <c r="E1767" s="27">
        <f>'900007'!$E51</f>
        <v>0</v>
      </c>
      <c r="F1767" s="27" t="s">
        <v>19087</v>
      </c>
    </row>
    <row r="1768" spans="1:6">
      <c r="A1768" s="27" t="str">
        <f>Resultados!$K$3</f>
        <v/>
      </c>
      <c r="B1768" s="27" t="str">
        <f>Resultados!$K$4</f>
        <v/>
      </c>
      <c r="C1768" s="569">
        <f>'900007'!$B52</f>
        <v>11805014</v>
      </c>
      <c r="D1768" s="27" t="str">
        <f>'900007'!$E$13</f>
        <v>C11801001</v>
      </c>
      <c r="E1768" s="27">
        <f>'900007'!$E52</f>
        <v>0</v>
      </c>
      <c r="F1768" s="27" t="s">
        <v>19087</v>
      </c>
    </row>
    <row r="1769" spans="1:6">
      <c r="A1769" s="27" t="str">
        <f>Resultados!$K$3</f>
        <v/>
      </c>
      <c r="B1769" s="27" t="str">
        <f>Resultados!$K$4</f>
        <v/>
      </c>
      <c r="C1769" s="569">
        <f>'900007'!$B53</f>
        <v>11805015</v>
      </c>
      <c r="D1769" s="27" t="str">
        <f>'900007'!$E$13</f>
        <v>C11801001</v>
      </c>
      <c r="E1769" s="27">
        <f>'900007'!$E53</f>
        <v>0</v>
      </c>
      <c r="F1769" s="27" t="s">
        <v>19087</v>
      </c>
    </row>
    <row r="1770" spans="1:6">
      <c r="A1770" s="27" t="str">
        <f>Resultados!$K$3</f>
        <v/>
      </c>
      <c r="B1770" s="27" t="str">
        <f>Resultados!$K$4</f>
        <v/>
      </c>
      <c r="C1770" s="569">
        <f>'900007'!$B54</f>
        <v>11806001</v>
      </c>
      <c r="D1770" s="27" t="str">
        <f>'900007'!$E$13</f>
        <v>C11801001</v>
      </c>
      <c r="E1770">
        <f>'900007'!$F54</f>
        <v>0</v>
      </c>
      <c r="F1770" s="27" t="s">
        <v>19087</v>
      </c>
    </row>
    <row r="1771" spans="1:6">
      <c r="A1771" s="27" t="str">
        <f>Resultados!$K$3</f>
        <v/>
      </c>
      <c r="B1771" s="27" t="str">
        <f>Resultados!$K$4</f>
        <v/>
      </c>
      <c r="C1771" s="568" t="str">
        <f>'900008'!$B19</f>
        <v>11901002</v>
      </c>
      <c r="D1771" t="str">
        <f>'900008'!$E$17</f>
        <v>C11901002</v>
      </c>
      <c r="E1771" s="570">
        <f>'900008'!$E19</f>
        <v>0</v>
      </c>
      <c r="F1771" s="27" t="s">
        <v>19088</v>
      </c>
    </row>
    <row r="1772" spans="1:6">
      <c r="A1772" s="27" t="str">
        <f>Resultados!$K$3</f>
        <v/>
      </c>
      <c r="B1772" s="27" t="str">
        <f>Resultados!$K$4</f>
        <v/>
      </c>
      <c r="C1772" s="568" t="str">
        <f>'900008'!$B20</f>
        <v>11901003</v>
      </c>
      <c r="D1772" s="27" t="str">
        <f>'900008'!$E$17</f>
        <v>C11901002</v>
      </c>
      <c r="E1772" s="570">
        <f>'900008'!$E20</f>
        <v>0</v>
      </c>
      <c r="F1772" s="27" t="s">
        <v>19088</v>
      </c>
    </row>
    <row r="1773" spans="1:6">
      <c r="A1773" s="27" t="str">
        <f>Resultados!$K$3</f>
        <v/>
      </c>
      <c r="B1773" s="27" t="str">
        <f>Resultados!$K$4</f>
        <v/>
      </c>
      <c r="C1773" s="568" t="str">
        <f>'900008'!$B21</f>
        <v>11901004</v>
      </c>
      <c r="D1773" s="27" t="str">
        <f>'900008'!$E$17</f>
        <v>C11901002</v>
      </c>
      <c r="E1773" s="570">
        <f>'900008'!$E21</f>
        <v>0</v>
      </c>
      <c r="F1773" s="27" t="s">
        <v>19088</v>
      </c>
    </row>
    <row r="1774" spans="1:6">
      <c r="A1774" s="27" t="str">
        <f>Resultados!$K$3</f>
        <v/>
      </c>
      <c r="B1774" s="27" t="str">
        <f>Resultados!$K$4</f>
        <v/>
      </c>
      <c r="C1774" s="568" t="str">
        <f>'900008'!$B22</f>
        <v>11901005</v>
      </c>
      <c r="D1774" s="27" t="str">
        <f>'900008'!$E$17</f>
        <v>C11901002</v>
      </c>
      <c r="E1774" s="570">
        <f>'900008'!$E22</f>
        <v>0</v>
      </c>
      <c r="F1774" s="27" t="s">
        <v>19088</v>
      </c>
    </row>
    <row r="1775" spans="1:6">
      <c r="A1775" s="27" t="str">
        <f>Resultados!$K$3</f>
        <v/>
      </c>
      <c r="B1775" s="27" t="str">
        <f>Resultados!$K$4</f>
        <v/>
      </c>
      <c r="C1775" s="568" t="str">
        <f>'900008'!$B23</f>
        <v>11901006</v>
      </c>
      <c r="D1775" s="27" t="str">
        <f>'900008'!$E$17</f>
        <v>C11901002</v>
      </c>
      <c r="E1775" s="570">
        <f>'900008'!$E23</f>
        <v>0</v>
      </c>
      <c r="F1775" s="27" t="s">
        <v>19088</v>
      </c>
    </row>
    <row r="1776" spans="1:6">
      <c r="A1776" s="27" t="str">
        <f>Resultados!$K$3</f>
        <v/>
      </c>
      <c r="B1776" s="27" t="str">
        <f>Resultados!$K$4</f>
        <v/>
      </c>
      <c r="C1776" s="568" t="str">
        <f>'900008'!$B24</f>
        <v>11901007</v>
      </c>
      <c r="D1776" s="27" t="str">
        <f>'900008'!$E$17</f>
        <v>C11901002</v>
      </c>
      <c r="E1776" s="570">
        <f>'900008'!$E24</f>
        <v>0</v>
      </c>
      <c r="F1776" s="27" t="s">
        <v>19088</v>
      </c>
    </row>
    <row r="1777" spans="1:6">
      <c r="A1777" s="27" t="str">
        <f>Resultados!$K$3</f>
        <v/>
      </c>
      <c r="B1777" s="27" t="str">
        <f>Resultados!$K$4</f>
        <v/>
      </c>
      <c r="C1777" s="568" t="str">
        <f>'900008'!$B25</f>
        <v>11901008</v>
      </c>
      <c r="D1777" s="27" t="str">
        <f>'900008'!$E$17</f>
        <v>C11901002</v>
      </c>
      <c r="E1777" s="570">
        <f>'900008'!$E25</f>
        <v>0</v>
      </c>
      <c r="F1777" s="27" t="s">
        <v>19088</v>
      </c>
    </row>
    <row r="1778" spans="1:6">
      <c r="A1778" s="27" t="str">
        <f>Resultados!$K$3</f>
        <v/>
      </c>
      <c r="B1778" s="27" t="str">
        <f>Resultados!$K$4</f>
        <v/>
      </c>
      <c r="C1778" s="568" t="str">
        <f>'900008'!$B26</f>
        <v>11901009</v>
      </c>
      <c r="D1778" s="27" t="str">
        <f>'900008'!$E$17</f>
        <v>C11901002</v>
      </c>
      <c r="E1778" s="570">
        <f>'900008'!$E26</f>
        <v>0</v>
      </c>
      <c r="F1778" s="27" t="s">
        <v>19088</v>
      </c>
    </row>
    <row r="1779" spans="1:6">
      <c r="A1779" s="27" t="str">
        <f>Resultados!$K$3</f>
        <v/>
      </c>
      <c r="B1779" s="27" t="str">
        <f>Resultados!$K$4</f>
        <v/>
      </c>
      <c r="C1779" s="568" t="str">
        <f>'900008'!$B27</f>
        <v>11901010</v>
      </c>
      <c r="D1779" s="27" t="str">
        <f>'900008'!$E$17</f>
        <v>C11901002</v>
      </c>
      <c r="E1779" s="570">
        <f>'900008'!$E27</f>
        <v>0</v>
      </c>
      <c r="F1779" s="27" t="s">
        <v>19088</v>
      </c>
    </row>
    <row r="1780" spans="1:6">
      <c r="A1780" s="27" t="str">
        <f>Resultados!$K$3</f>
        <v/>
      </c>
      <c r="B1780" s="27" t="str">
        <f>Resultados!$K$4</f>
        <v/>
      </c>
      <c r="C1780" s="568" t="str">
        <f>'900008'!$B28</f>
        <v>11901011</v>
      </c>
      <c r="D1780" s="27" t="str">
        <f>'900008'!$E$17</f>
        <v>C11901002</v>
      </c>
      <c r="E1780" s="570">
        <f>'900008'!$E28</f>
        <v>0</v>
      </c>
      <c r="F1780" s="27" t="s">
        <v>19088</v>
      </c>
    </row>
    <row r="1781" spans="1:6">
      <c r="A1781" s="27" t="str">
        <f>Resultados!$K$3</f>
        <v/>
      </c>
      <c r="B1781" s="27" t="str">
        <f>Resultados!$K$4</f>
        <v/>
      </c>
      <c r="C1781" s="568" t="str">
        <f>'900008'!$B29</f>
        <v>11901012</v>
      </c>
      <c r="D1781" s="27" t="str">
        <f>'900008'!$E$17</f>
        <v>C11901002</v>
      </c>
      <c r="E1781" s="570">
        <f>'900008'!$E29</f>
        <v>0</v>
      </c>
      <c r="F1781" s="27" t="s">
        <v>19088</v>
      </c>
    </row>
    <row r="1782" spans="1:6">
      <c r="A1782" s="27" t="str">
        <f>Resultados!$K$3</f>
        <v/>
      </c>
      <c r="B1782" s="27" t="str">
        <f>Resultados!$K$4</f>
        <v/>
      </c>
      <c r="C1782" s="568" t="str">
        <f>'900008'!$B30</f>
        <v>11901013</v>
      </c>
      <c r="D1782" s="27" t="str">
        <f>'900008'!$E$17</f>
        <v>C11901002</v>
      </c>
      <c r="E1782" s="570">
        <f>'900008'!$E30</f>
        <v>0</v>
      </c>
      <c r="F1782" s="27" t="s">
        <v>19088</v>
      </c>
    </row>
    <row r="1783" spans="1:6">
      <c r="A1783" s="27" t="str">
        <f>Resultados!$K$3</f>
        <v/>
      </c>
      <c r="B1783" s="27" t="str">
        <f>Resultados!$K$4</f>
        <v/>
      </c>
      <c r="C1783" s="568" t="str">
        <f>'900008'!$B31</f>
        <v>11901014</v>
      </c>
      <c r="D1783" s="27" t="str">
        <f>'900008'!$E$17</f>
        <v>C11901002</v>
      </c>
      <c r="E1783" s="570">
        <f>'900008'!$E31</f>
        <v>0</v>
      </c>
      <c r="F1783" s="27" t="s">
        <v>19088</v>
      </c>
    </row>
    <row r="1784" spans="1:6">
      <c r="A1784" s="27" t="str">
        <f>Resultados!$K$3</f>
        <v/>
      </c>
      <c r="B1784" s="27" t="str">
        <f>Resultados!$K$4</f>
        <v/>
      </c>
      <c r="C1784" s="568" t="str">
        <f>'900008'!$B32</f>
        <v>11901015</v>
      </c>
      <c r="D1784" s="27" t="str">
        <f>'900008'!$E$17</f>
        <v>C11901002</v>
      </c>
      <c r="E1784" s="570">
        <f>'900008'!$E32</f>
        <v>0</v>
      </c>
      <c r="F1784" s="27" t="s">
        <v>19088</v>
      </c>
    </row>
    <row r="1785" spans="1:6">
      <c r="A1785" s="27" t="str">
        <f>Resultados!$K$3</f>
        <v/>
      </c>
      <c r="B1785" s="27" t="str">
        <f>Resultados!$K$4</f>
        <v/>
      </c>
      <c r="C1785" s="568" t="str">
        <f>'900008'!$B33</f>
        <v>11901016</v>
      </c>
      <c r="D1785" s="27" t="str">
        <f>'900008'!$E$17</f>
        <v>C11901002</v>
      </c>
      <c r="E1785" s="570">
        <f>'900008'!$E33</f>
        <v>0</v>
      </c>
      <c r="F1785" s="27" t="s">
        <v>19088</v>
      </c>
    </row>
    <row r="1786" spans="1:6">
      <c r="A1786" s="27" t="str">
        <f>Resultados!$K$3</f>
        <v/>
      </c>
      <c r="B1786" s="27" t="str">
        <f>Resultados!$K$4</f>
        <v/>
      </c>
      <c r="C1786" s="568" t="str">
        <f>'900008'!$B19</f>
        <v>11901002</v>
      </c>
      <c r="D1786" t="str">
        <f>'900008'!$F$17</f>
        <v>C11901003</v>
      </c>
      <c r="E1786" s="570">
        <f>'900008'!$F19</f>
        <v>0</v>
      </c>
      <c r="F1786" s="27" t="s">
        <v>19088</v>
      </c>
    </row>
    <row r="1787" spans="1:6">
      <c r="A1787" s="27" t="str">
        <f>Resultados!$K$3</f>
        <v/>
      </c>
      <c r="B1787" s="27" t="str">
        <f>Resultados!$K$4</f>
        <v/>
      </c>
      <c r="C1787" s="568" t="str">
        <f>'900008'!$B20</f>
        <v>11901003</v>
      </c>
      <c r="D1787" s="27" t="str">
        <f>'900008'!$F$17</f>
        <v>C11901003</v>
      </c>
      <c r="E1787" s="570">
        <f>'900008'!$F20</f>
        <v>0</v>
      </c>
      <c r="F1787" s="27" t="s">
        <v>19088</v>
      </c>
    </row>
    <row r="1788" spans="1:6">
      <c r="A1788" s="27" t="str">
        <f>Resultados!$K$3</f>
        <v/>
      </c>
      <c r="B1788" s="27" t="str">
        <f>Resultados!$K$4</f>
        <v/>
      </c>
      <c r="C1788" s="568" t="str">
        <f>'900008'!$B21</f>
        <v>11901004</v>
      </c>
      <c r="D1788" s="27" t="str">
        <f>'900008'!$F$17</f>
        <v>C11901003</v>
      </c>
      <c r="E1788" s="570">
        <f>'900008'!$F21</f>
        <v>0</v>
      </c>
      <c r="F1788" s="27" t="s">
        <v>19088</v>
      </c>
    </row>
    <row r="1789" spans="1:6">
      <c r="A1789" s="27" t="str">
        <f>Resultados!$K$3</f>
        <v/>
      </c>
      <c r="B1789" s="27" t="str">
        <f>Resultados!$K$4</f>
        <v/>
      </c>
      <c r="C1789" s="568" t="str">
        <f>'900008'!$B22</f>
        <v>11901005</v>
      </c>
      <c r="D1789" s="27" t="str">
        <f>'900008'!$F$17</f>
        <v>C11901003</v>
      </c>
      <c r="E1789" s="570">
        <f>'900008'!$F22</f>
        <v>0</v>
      </c>
      <c r="F1789" s="27" t="s">
        <v>19088</v>
      </c>
    </row>
    <row r="1790" spans="1:6">
      <c r="A1790" s="27" t="str">
        <f>Resultados!$K$3</f>
        <v/>
      </c>
      <c r="B1790" s="27" t="str">
        <f>Resultados!$K$4</f>
        <v/>
      </c>
      <c r="C1790" s="568" t="str">
        <f>'900008'!$B23</f>
        <v>11901006</v>
      </c>
      <c r="D1790" s="27" t="str">
        <f>'900008'!$F$17</f>
        <v>C11901003</v>
      </c>
      <c r="E1790" s="570">
        <f>'900008'!$F23</f>
        <v>0</v>
      </c>
      <c r="F1790" s="27" t="s">
        <v>19088</v>
      </c>
    </row>
    <row r="1791" spans="1:6">
      <c r="A1791" s="27" t="str">
        <f>Resultados!$K$3</f>
        <v/>
      </c>
      <c r="B1791" s="27" t="str">
        <f>Resultados!$K$4</f>
        <v/>
      </c>
      <c r="C1791" s="568" t="str">
        <f>'900008'!$B24</f>
        <v>11901007</v>
      </c>
      <c r="D1791" s="27" t="str">
        <f>'900008'!$F$17</f>
        <v>C11901003</v>
      </c>
      <c r="E1791" s="570">
        <f>'900008'!$F24</f>
        <v>0</v>
      </c>
      <c r="F1791" s="27" t="s">
        <v>19088</v>
      </c>
    </row>
    <row r="1792" spans="1:6">
      <c r="A1792" s="27" t="str">
        <f>Resultados!$K$3</f>
        <v/>
      </c>
      <c r="B1792" s="27" t="str">
        <f>Resultados!$K$4</f>
        <v/>
      </c>
      <c r="C1792" s="568" t="str">
        <f>'900008'!$B25</f>
        <v>11901008</v>
      </c>
      <c r="D1792" s="27" t="str">
        <f>'900008'!$F$17</f>
        <v>C11901003</v>
      </c>
      <c r="E1792" s="570">
        <f>'900008'!$F25</f>
        <v>0</v>
      </c>
      <c r="F1792" s="27" t="s">
        <v>19088</v>
      </c>
    </row>
    <row r="1793" spans="1:6">
      <c r="A1793" s="27" t="str">
        <f>Resultados!$K$3</f>
        <v/>
      </c>
      <c r="B1793" s="27" t="str">
        <f>Resultados!$K$4</f>
        <v/>
      </c>
      <c r="C1793" s="568" t="str">
        <f>'900008'!$B26</f>
        <v>11901009</v>
      </c>
      <c r="D1793" s="27" t="str">
        <f>'900008'!$F$17</f>
        <v>C11901003</v>
      </c>
      <c r="E1793" s="570">
        <f>'900008'!$F26</f>
        <v>0</v>
      </c>
      <c r="F1793" s="27" t="s">
        <v>19088</v>
      </c>
    </row>
    <row r="1794" spans="1:6">
      <c r="A1794" s="27" t="str">
        <f>Resultados!$K$3</f>
        <v/>
      </c>
      <c r="B1794" s="27" t="str">
        <f>Resultados!$K$4</f>
        <v/>
      </c>
      <c r="C1794" s="568" t="str">
        <f>'900008'!$B27</f>
        <v>11901010</v>
      </c>
      <c r="D1794" s="27" t="str">
        <f>'900008'!$F$17</f>
        <v>C11901003</v>
      </c>
      <c r="E1794" s="570">
        <f>'900008'!$F27</f>
        <v>0</v>
      </c>
      <c r="F1794" s="27" t="s">
        <v>19088</v>
      </c>
    </row>
    <row r="1795" spans="1:6">
      <c r="A1795" s="27" t="str">
        <f>Resultados!$K$3</f>
        <v/>
      </c>
      <c r="B1795" s="27" t="str">
        <f>Resultados!$K$4</f>
        <v/>
      </c>
      <c r="C1795" s="568" t="str">
        <f>'900008'!$B28</f>
        <v>11901011</v>
      </c>
      <c r="D1795" s="27" t="str">
        <f>'900008'!$F$17</f>
        <v>C11901003</v>
      </c>
      <c r="E1795" s="570">
        <f>'900008'!$F28</f>
        <v>0</v>
      </c>
      <c r="F1795" s="27" t="s">
        <v>19088</v>
      </c>
    </row>
    <row r="1796" spans="1:6">
      <c r="A1796" s="27" t="str">
        <f>Resultados!$K$3</f>
        <v/>
      </c>
      <c r="B1796" s="27" t="str">
        <f>Resultados!$K$4</f>
        <v/>
      </c>
      <c r="C1796" s="568" t="str">
        <f>'900008'!$B29</f>
        <v>11901012</v>
      </c>
      <c r="D1796" s="27" t="str">
        <f>'900008'!$F$17</f>
        <v>C11901003</v>
      </c>
      <c r="E1796" s="570">
        <f>'900008'!$F29</f>
        <v>0</v>
      </c>
      <c r="F1796" s="27" t="s">
        <v>19088</v>
      </c>
    </row>
    <row r="1797" spans="1:6">
      <c r="A1797" s="27" t="str">
        <f>Resultados!$K$3</f>
        <v/>
      </c>
      <c r="B1797" s="27" t="str">
        <f>Resultados!$K$4</f>
        <v/>
      </c>
      <c r="C1797" s="568" t="str">
        <f>'900008'!$B30</f>
        <v>11901013</v>
      </c>
      <c r="D1797" s="27" t="str">
        <f>'900008'!$F$17</f>
        <v>C11901003</v>
      </c>
      <c r="E1797" s="570">
        <f>'900008'!$F30</f>
        <v>0</v>
      </c>
      <c r="F1797" s="27" t="s">
        <v>19088</v>
      </c>
    </row>
    <row r="1798" spans="1:6">
      <c r="A1798" s="27" t="str">
        <f>Resultados!$K$3</f>
        <v/>
      </c>
      <c r="B1798" s="27" t="str">
        <f>Resultados!$K$4</f>
        <v/>
      </c>
      <c r="C1798" s="568" t="str">
        <f>'900008'!$B31</f>
        <v>11901014</v>
      </c>
      <c r="D1798" s="27" t="str">
        <f>'900008'!$F$17</f>
        <v>C11901003</v>
      </c>
      <c r="E1798" s="570">
        <f>'900008'!$F31</f>
        <v>0</v>
      </c>
      <c r="F1798" s="27" t="s">
        <v>19088</v>
      </c>
    </row>
    <row r="1799" spans="1:6">
      <c r="A1799" s="27" t="str">
        <f>Resultados!$K$3</f>
        <v/>
      </c>
      <c r="B1799" s="27" t="str">
        <f>Resultados!$K$4</f>
        <v/>
      </c>
      <c r="C1799" s="568" t="str">
        <f>'900008'!$B32</f>
        <v>11901015</v>
      </c>
      <c r="D1799" s="27" t="str">
        <f>'900008'!$F$17</f>
        <v>C11901003</v>
      </c>
      <c r="E1799" s="570">
        <f>'900008'!$F32</f>
        <v>0</v>
      </c>
      <c r="F1799" s="27" t="s">
        <v>19088</v>
      </c>
    </row>
    <row r="1800" spans="1:6">
      <c r="A1800" s="27" t="str">
        <f>Resultados!$K$3</f>
        <v/>
      </c>
      <c r="B1800" s="27" t="str">
        <f>Resultados!$K$4</f>
        <v/>
      </c>
      <c r="C1800" s="568" t="str">
        <f>'900008'!$B33</f>
        <v>11901016</v>
      </c>
      <c r="D1800" s="27" t="str">
        <f>'900008'!$F$17</f>
        <v>C11901003</v>
      </c>
      <c r="E1800" s="570">
        <f>'900008'!$F33</f>
        <v>0</v>
      </c>
      <c r="F1800" s="27" t="s">
        <v>19088</v>
      </c>
    </row>
    <row r="1801" spans="1:6">
      <c r="A1801" s="27" t="str">
        <f>Resultados!$K$3</f>
        <v/>
      </c>
      <c r="B1801" s="27" t="str">
        <f>Resultados!$K$4</f>
        <v/>
      </c>
      <c r="C1801" s="568" t="str">
        <f>'900008'!$B42</f>
        <v>11902002</v>
      </c>
      <c r="D1801" t="str">
        <f>'900008'!$E$40</f>
        <v>C11902002</v>
      </c>
      <c r="E1801" s="570">
        <f>'900008'!$E42</f>
        <v>0</v>
      </c>
      <c r="F1801" s="27" t="s">
        <v>19088</v>
      </c>
    </row>
    <row r="1802" spans="1:6">
      <c r="A1802" s="27" t="str">
        <f>Resultados!$K$3</f>
        <v/>
      </c>
      <c r="B1802" s="27" t="str">
        <f>Resultados!$K$4</f>
        <v/>
      </c>
      <c r="C1802" s="568" t="str">
        <f>'900008'!$B43</f>
        <v>11902003</v>
      </c>
      <c r="D1802" s="27" t="str">
        <f>'900008'!$E$40</f>
        <v>C11902002</v>
      </c>
      <c r="E1802" s="570">
        <f>'900008'!$E43</f>
        <v>0</v>
      </c>
      <c r="F1802" s="27" t="s">
        <v>19088</v>
      </c>
    </row>
    <row r="1803" spans="1:6">
      <c r="A1803" s="27" t="str">
        <f>Resultados!$K$3</f>
        <v/>
      </c>
      <c r="B1803" s="27" t="str">
        <f>Resultados!$K$4</f>
        <v/>
      </c>
      <c r="C1803" s="568" t="str">
        <f>'900008'!$B44</f>
        <v>11902004</v>
      </c>
      <c r="D1803" s="27" t="str">
        <f>'900008'!$E$40</f>
        <v>C11902002</v>
      </c>
      <c r="E1803" s="570">
        <f>'900008'!$E44</f>
        <v>0</v>
      </c>
      <c r="F1803" s="27" t="s">
        <v>19088</v>
      </c>
    </row>
    <row r="1804" spans="1:6">
      <c r="A1804" s="27" t="str">
        <f>Resultados!$K$3</f>
        <v/>
      </c>
      <c r="B1804" s="27" t="str">
        <f>Resultados!$K$4</f>
        <v/>
      </c>
      <c r="C1804" s="568" t="str">
        <f>'900008'!$B45</f>
        <v>11902005</v>
      </c>
      <c r="D1804" s="27" t="str">
        <f>'900008'!$E$40</f>
        <v>C11902002</v>
      </c>
      <c r="E1804" s="570">
        <f>'900008'!$E45</f>
        <v>0</v>
      </c>
      <c r="F1804" s="27" t="s">
        <v>19088</v>
      </c>
    </row>
    <row r="1805" spans="1:6">
      <c r="A1805" s="27" t="str">
        <f>Resultados!$K$3</f>
        <v/>
      </c>
      <c r="B1805" s="27" t="str">
        <f>Resultados!$K$4</f>
        <v/>
      </c>
      <c r="C1805" s="568" t="str">
        <f>'900008'!$B46</f>
        <v>11902006</v>
      </c>
      <c r="D1805" s="27" t="str">
        <f>'900008'!$E$40</f>
        <v>C11902002</v>
      </c>
      <c r="E1805" s="570">
        <f>'900008'!$E46</f>
        <v>0</v>
      </c>
      <c r="F1805" s="27" t="s">
        <v>19088</v>
      </c>
    </row>
    <row r="1806" spans="1:6">
      <c r="A1806" s="27" t="str">
        <f>Resultados!$K$3</f>
        <v/>
      </c>
      <c r="B1806" s="27" t="str">
        <f>Resultados!$K$4</f>
        <v/>
      </c>
      <c r="C1806" s="568" t="str">
        <f>'900008'!$B47</f>
        <v>11902007</v>
      </c>
      <c r="D1806" s="27" t="str">
        <f>'900008'!$E$40</f>
        <v>C11902002</v>
      </c>
      <c r="E1806" s="570">
        <f>'900008'!$E47</f>
        <v>0</v>
      </c>
      <c r="F1806" s="27" t="s">
        <v>19088</v>
      </c>
    </row>
    <row r="1807" spans="1:6">
      <c r="A1807" s="27" t="str">
        <f>Resultados!$K$3</f>
        <v/>
      </c>
      <c r="B1807" s="27" t="str">
        <f>Resultados!$K$4</f>
        <v/>
      </c>
      <c r="C1807" s="568" t="str">
        <f>'900008'!$B48</f>
        <v>11902008</v>
      </c>
      <c r="D1807" s="27" t="str">
        <f>'900008'!$E$40</f>
        <v>C11902002</v>
      </c>
      <c r="E1807" s="570">
        <f>'900008'!$E48</f>
        <v>0</v>
      </c>
      <c r="F1807" s="27" t="s">
        <v>19088</v>
      </c>
    </row>
    <row r="1808" spans="1:6">
      <c r="A1808" s="27" t="str">
        <f>Resultados!$K$3</f>
        <v/>
      </c>
      <c r="B1808" s="27" t="str">
        <f>Resultados!$K$4</f>
        <v/>
      </c>
      <c r="C1808" s="568" t="str">
        <f>'900008'!$B49</f>
        <v>11902009</v>
      </c>
      <c r="D1808" s="27" t="str">
        <f>'900008'!$E$40</f>
        <v>C11902002</v>
      </c>
      <c r="E1808" s="570">
        <f>'900008'!$E49</f>
        <v>0</v>
      </c>
      <c r="F1808" s="27" t="s">
        <v>19088</v>
      </c>
    </row>
    <row r="1809" spans="1:6">
      <c r="A1809" s="27" t="str">
        <f>Resultados!$K$3</f>
        <v/>
      </c>
      <c r="B1809" s="27" t="str">
        <f>Resultados!$K$4</f>
        <v/>
      </c>
      <c r="C1809" s="568" t="str">
        <f>'900008'!$B50</f>
        <v>11902010</v>
      </c>
      <c r="D1809" s="27" t="str">
        <f>'900008'!$E$40</f>
        <v>C11902002</v>
      </c>
      <c r="E1809" s="570">
        <f>'900008'!$E50</f>
        <v>0</v>
      </c>
      <c r="F1809" s="27" t="s">
        <v>19088</v>
      </c>
    </row>
    <row r="1810" spans="1:6">
      <c r="A1810" s="27" t="str">
        <f>Resultados!$K$3</f>
        <v/>
      </c>
      <c r="B1810" s="27" t="str">
        <f>Resultados!$K$4</f>
        <v/>
      </c>
      <c r="C1810" s="568" t="str">
        <f>'900008'!$B51</f>
        <v>11902011</v>
      </c>
      <c r="D1810" s="27" t="str">
        <f>'900008'!$E$40</f>
        <v>C11902002</v>
      </c>
      <c r="E1810" s="570">
        <f>'900008'!$E51</f>
        <v>0</v>
      </c>
      <c r="F1810" s="27" t="s">
        <v>19088</v>
      </c>
    </row>
    <row r="1811" spans="1:6">
      <c r="A1811" s="27" t="str">
        <f>Resultados!$K$3</f>
        <v/>
      </c>
      <c r="B1811" s="27" t="str">
        <f>Resultados!$K$4</f>
        <v/>
      </c>
      <c r="C1811" s="568" t="str">
        <f>'900008'!$B52</f>
        <v>11902012</v>
      </c>
      <c r="D1811" s="27" t="str">
        <f>'900008'!$E$40</f>
        <v>C11902002</v>
      </c>
      <c r="E1811" s="570">
        <f>'900008'!$E52</f>
        <v>0</v>
      </c>
      <c r="F1811" s="27" t="s">
        <v>19088</v>
      </c>
    </row>
    <row r="1812" spans="1:6">
      <c r="A1812" s="27" t="str">
        <f>Resultados!$K$3</f>
        <v/>
      </c>
      <c r="B1812" s="27" t="str">
        <f>Resultados!$K$4</f>
        <v/>
      </c>
      <c r="C1812" s="568" t="str">
        <f>'900008'!$B53</f>
        <v>11902013</v>
      </c>
      <c r="D1812" s="27" t="str">
        <f>'900008'!$E$40</f>
        <v>C11902002</v>
      </c>
      <c r="E1812" s="570">
        <f>'900008'!$E53</f>
        <v>0</v>
      </c>
      <c r="F1812" s="27" t="s">
        <v>19088</v>
      </c>
    </row>
    <row r="1813" spans="1:6">
      <c r="A1813" s="27" t="str">
        <f>Resultados!$K$3</f>
        <v/>
      </c>
      <c r="B1813" s="27" t="str">
        <f>Resultados!$K$4</f>
        <v/>
      </c>
      <c r="C1813" s="568" t="str">
        <f>'900008'!$B54</f>
        <v>11902014</v>
      </c>
      <c r="D1813" s="27" t="str">
        <f>'900008'!$E$40</f>
        <v>C11902002</v>
      </c>
      <c r="E1813" s="570">
        <f>'900008'!$E54</f>
        <v>0</v>
      </c>
      <c r="F1813" s="27" t="s">
        <v>19088</v>
      </c>
    </row>
    <row r="1814" spans="1:6">
      <c r="A1814" s="27" t="str">
        <f>Resultados!$K$3</f>
        <v/>
      </c>
      <c r="B1814" s="27" t="str">
        <f>Resultados!$K$4</f>
        <v/>
      </c>
      <c r="C1814" s="568" t="str">
        <f>'900008'!$B55</f>
        <v>11902015</v>
      </c>
      <c r="D1814" s="27" t="str">
        <f>'900008'!$E$40</f>
        <v>C11902002</v>
      </c>
      <c r="E1814" s="570">
        <f>'900008'!$E55</f>
        <v>0</v>
      </c>
      <c r="F1814" s="27" t="s">
        <v>19088</v>
      </c>
    </row>
    <row r="1815" spans="1:6">
      <c r="A1815" s="27" t="str">
        <f>Resultados!$K$3</f>
        <v/>
      </c>
      <c r="B1815" s="27" t="str">
        <f>Resultados!$K$4</f>
        <v/>
      </c>
      <c r="C1815" s="568" t="str">
        <f>'900008'!$B56</f>
        <v>11902016</v>
      </c>
      <c r="D1815" s="27" t="str">
        <f>'900008'!$E$40</f>
        <v>C11902002</v>
      </c>
      <c r="E1815" s="570">
        <f>'900008'!$E56</f>
        <v>0</v>
      </c>
      <c r="F1815" s="27" t="s">
        <v>19088</v>
      </c>
    </row>
    <row r="1816" spans="1:6">
      <c r="A1816" s="27" t="str">
        <f>Resultados!$K$3</f>
        <v/>
      </c>
      <c r="B1816" s="27" t="str">
        <f>Resultados!$K$4</f>
        <v/>
      </c>
      <c r="C1816" s="568" t="str">
        <f>'900008'!$B42</f>
        <v>11902002</v>
      </c>
      <c r="D1816" t="str">
        <f>'900008'!$F$40</f>
        <v>C11902003</v>
      </c>
      <c r="E1816" s="570">
        <f>'900008'!$F42</f>
        <v>0</v>
      </c>
      <c r="F1816" s="27" t="s">
        <v>19088</v>
      </c>
    </row>
    <row r="1817" spans="1:6">
      <c r="A1817" s="27" t="str">
        <f>Resultados!$K$3</f>
        <v/>
      </c>
      <c r="B1817" s="27" t="str">
        <f>Resultados!$K$4</f>
        <v/>
      </c>
      <c r="C1817" s="568" t="str">
        <f>'900008'!$B43</f>
        <v>11902003</v>
      </c>
      <c r="D1817" s="27" t="str">
        <f>'900008'!$F$40</f>
        <v>C11902003</v>
      </c>
      <c r="E1817" s="570">
        <f>'900008'!$F43</f>
        <v>0</v>
      </c>
      <c r="F1817" s="27" t="s">
        <v>19088</v>
      </c>
    </row>
    <row r="1818" spans="1:6">
      <c r="A1818" s="27" t="str">
        <f>Resultados!$K$3</f>
        <v/>
      </c>
      <c r="B1818" s="27" t="str">
        <f>Resultados!$K$4</f>
        <v/>
      </c>
      <c r="C1818" s="568" t="str">
        <f>'900008'!$B44</f>
        <v>11902004</v>
      </c>
      <c r="D1818" s="27" t="str">
        <f>'900008'!$F$40</f>
        <v>C11902003</v>
      </c>
      <c r="E1818" s="570">
        <f>'900008'!$F44</f>
        <v>0</v>
      </c>
      <c r="F1818" s="27" t="s">
        <v>19088</v>
      </c>
    </row>
    <row r="1819" spans="1:6">
      <c r="A1819" s="27" t="str">
        <f>Resultados!$K$3</f>
        <v/>
      </c>
      <c r="B1819" s="27" t="str">
        <f>Resultados!$K$4</f>
        <v/>
      </c>
      <c r="C1819" s="568" t="str">
        <f>'900008'!$B45</f>
        <v>11902005</v>
      </c>
      <c r="D1819" s="27" t="str">
        <f>'900008'!$F$40</f>
        <v>C11902003</v>
      </c>
      <c r="E1819" s="570">
        <f>'900008'!$F45</f>
        <v>0</v>
      </c>
      <c r="F1819" s="27" t="s">
        <v>19088</v>
      </c>
    </row>
    <row r="1820" spans="1:6">
      <c r="A1820" s="27" t="str">
        <f>Resultados!$K$3</f>
        <v/>
      </c>
      <c r="B1820" s="27" t="str">
        <f>Resultados!$K$4</f>
        <v/>
      </c>
      <c r="C1820" s="568" t="str">
        <f>'900008'!$B46</f>
        <v>11902006</v>
      </c>
      <c r="D1820" s="27" t="str">
        <f>'900008'!$F$40</f>
        <v>C11902003</v>
      </c>
      <c r="E1820" s="570">
        <f>'900008'!$F46</f>
        <v>0</v>
      </c>
      <c r="F1820" s="27" t="s">
        <v>19088</v>
      </c>
    </row>
    <row r="1821" spans="1:6">
      <c r="A1821" s="27" t="str">
        <f>Resultados!$K$3</f>
        <v/>
      </c>
      <c r="B1821" s="27" t="str">
        <f>Resultados!$K$4</f>
        <v/>
      </c>
      <c r="C1821" s="568" t="str">
        <f>'900008'!$B47</f>
        <v>11902007</v>
      </c>
      <c r="D1821" s="27" t="str">
        <f>'900008'!$F$40</f>
        <v>C11902003</v>
      </c>
      <c r="E1821" s="570">
        <f>'900008'!$F47</f>
        <v>0</v>
      </c>
      <c r="F1821" s="27" t="s">
        <v>19088</v>
      </c>
    </row>
    <row r="1822" spans="1:6">
      <c r="A1822" s="27" t="str">
        <f>Resultados!$K$3</f>
        <v/>
      </c>
      <c r="B1822" s="27" t="str">
        <f>Resultados!$K$4</f>
        <v/>
      </c>
      <c r="C1822" s="568" t="str">
        <f>'900008'!$B48</f>
        <v>11902008</v>
      </c>
      <c r="D1822" s="27" t="str">
        <f>'900008'!$F$40</f>
        <v>C11902003</v>
      </c>
      <c r="E1822" s="570">
        <f>'900008'!$F48</f>
        <v>0</v>
      </c>
      <c r="F1822" s="27" t="s">
        <v>19088</v>
      </c>
    </row>
    <row r="1823" spans="1:6">
      <c r="A1823" s="27" t="str">
        <f>Resultados!$K$3</f>
        <v/>
      </c>
      <c r="B1823" s="27" t="str">
        <f>Resultados!$K$4</f>
        <v/>
      </c>
      <c r="C1823" s="568" t="str">
        <f>'900008'!$B49</f>
        <v>11902009</v>
      </c>
      <c r="D1823" s="27" t="str">
        <f>'900008'!$F$40</f>
        <v>C11902003</v>
      </c>
      <c r="E1823" s="570">
        <f>'900008'!$F49</f>
        <v>0</v>
      </c>
      <c r="F1823" s="27" t="s">
        <v>19088</v>
      </c>
    </row>
    <row r="1824" spans="1:6">
      <c r="A1824" s="27" t="str">
        <f>Resultados!$K$3</f>
        <v/>
      </c>
      <c r="B1824" s="27" t="str">
        <f>Resultados!$K$4</f>
        <v/>
      </c>
      <c r="C1824" s="568" t="str">
        <f>'900008'!$B50</f>
        <v>11902010</v>
      </c>
      <c r="D1824" s="27" t="str">
        <f>'900008'!$F$40</f>
        <v>C11902003</v>
      </c>
      <c r="E1824" s="570">
        <f>'900008'!$F50</f>
        <v>0</v>
      </c>
      <c r="F1824" s="27" t="s">
        <v>19088</v>
      </c>
    </row>
    <row r="1825" spans="1:6">
      <c r="A1825" s="27" t="str">
        <f>Resultados!$K$3</f>
        <v/>
      </c>
      <c r="B1825" s="27" t="str">
        <f>Resultados!$K$4</f>
        <v/>
      </c>
      <c r="C1825" s="568" t="str">
        <f>'900008'!$B51</f>
        <v>11902011</v>
      </c>
      <c r="D1825" s="27" t="str">
        <f>'900008'!$F$40</f>
        <v>C11902003</v>
      </c>
      <c r="E1825" s="570">
        <f>'900008'!$F51</f>
        <v>0</v>
      </c>
      <c r="F1825" s="27" t="s">
        <v>19088</v>
      </c>
    </row>
    <row r="1826" spans="1:6">
      <c r="A1826" s="27" t="str">
        <f>Resultados!$K$3</f>
        <v/>
      </c>
      <c r="B1826" s="27" t="str">
        <f>Resultados!$K$4</f>
        <v/>
      </c>
      <c r="C1826" s="568" t="str">
        <f>'900008'!$B52</f>
        <v>11902012</v>
      </c>
      <c r="D1826" s="27" t="str">
        <f>'900008'!$F$40</f>
        <v>C11902003</v>
      </c>
      <c r="E1826" s="570">
        <f>'900008'!$F52</f>
        <v>0</v>
      </c>
      <c r="F1826" s="27" t="s">
        <v>19088</v>
      </c>
    </row>
    <row r="1827" spans="1:6">
      <c r="A1827" s="27" t="str">
        <f>Resultados!$K$3</f>
        <v/>
      </c>
      <c r="B1827" s="27" t="str">
        <f>Resultados!$K$4</f>
        <v/>
      </c>
      <c r="C1827" s="568" t="str">
        <f>'900008'!$B53</f>
        <v>11902013</v>
      </c>
      <c r="D1827" s="27" t="str">
        <f>'900008'!$F$40</f>
        <v>C11902003</v>
      </c>
      <c r="E1827" s="570">
        <f>'900008'!$F53</f>
        <v>0</v>
      </c>
      <c r="F1827" s="27" t="s">
        <v>19088</v>
      </c>
    </row>
    <row r="1828" spans="1:6">
      <c r="A1828" s="27" t="str">
        <f>Resultados!$K$3</f>
        <v/>
      </c>
      <c r="B1828" s="27" t="str">
        <f>Resultados!$K$4</f>
        <v/>
      </c>
      <c r="C1828" s="568" t="str">
        <f>'900008'!$B54</f>
        <v>11902014</v>
      </c>
      <c r="D1828" s="27" t="str">
        <f>'900008'!$F$40</f>
        <v>C11902003</v>
      </c>
      <c r="E1828" s="570">
        <f>'900008'!$F54</f>
        <v>0</v>
      </c>
      <c r="F1828" s="27" t="s">
        <v>19088</v>
      </c>
    </row>
    <row r="1829" spans="1:6">
      <c r="A1829" s="27" t="str">
        <f>Resultados!$K$3</f>
        <v/>
      </c>
      <c r="B1829" s="27" t="str">
        <f>Resultados!$K$4</f>
        <v/>
      </c>
      <c r="C1829" s="568" t="str">
        <f>'900008'!$B55</f>
        <v>11902015</v>
      </c>
      <c r="D1829" s="27" t="str">
        <f>'900008'!$F$40</f>
        <v>C11902003</v>
      </c>
      <c r="E1829" s="570">
        <f>'900008'!$F55</f>
        <v>0</v>
      </c>
      <c r="F1829" s="27" t="s">
        <v>19088</v>
      </c>
    </row>
    <row r="1830" spans="1:6">
      <c r="A1830" s="27" t="str">
        <f>Resultados!$K$3</f>
        <v/>
      </c>
      <c r="B1830" s="27" t="str">
        <f>Resultados!$K$4</f>
        <v/>
      </c>
      <c r="C1830" s="568" t="str">
        <f>'900008'!$B56</f>
        <v>11902016</v>
      </c>
      <c r="D1830" s="27" t="str">
        <f>'900008'!$F$40</f>
        <v>C11902003</v>
      </c>
      <c r="E1830" s="570">
        <f>'900008'!$F56</f>
        <v>0</v>
      </c>
      <c r="F1830" s="27" t="s">
        <v>19088</v>
      </c>
    </row>
    <row r="1831" spans="1:6">
      <c r="A1831" s="27" t="str">
        <f>Resultados!$K$3</f>
        <v/>
      </c>
      <c r="B1831" s="27" t="str">
        <f>Resultados!$K$4</f>
        <v/>
      </c>
      <c r="C1831" s="568" t="str">
        <f>'900008'!$B42</f>
        <v>11902002</v>
      </c>
      <c r="D1831" t="str">
        <f>'900008'!$I$40</f>
        <v>C11902004</v>
      </c>
      <c r="E1831" s="570">
        <f>'900008'!$I42</f>
        <v>0</v>
      </c>
      <c r="F1831" s="27" t="s">
        <v>19088</v>
      </c>
    </row>
    <row r="1832" spans="1:6">
      <c r="A1832" s="27" t="str">
        <f>Resultados!$K$3</f>
        <v/>
      </c>
      <c r="B1832" s="27" t="str">
        <f>Resultados!$K$4</f>
        <v/>
      </c>
      <c r="C1832" s="568" t="str">
        <f>'900008'!$B43</f>
        <v>11902003</v>
      </c>
      <c r="D1832" s="27" t="str">
        <f>'900008'!$I$40</f>
        <v>C11902004</v>
      </c>
      <c r="E1832" s="570">
        <f>'900008'!$I43</f>
        <v>0</v>
      </c>
      <c r="F1832" s="27" t="s">
        <v>19088</v>
      </c>
    </row>
    <row r="1833" spans="1:6">
      <c r="A1833" s="27" t="str">
        <f>Resultados!$K$3</f>
        <v/>
      </c>
      <c r="B1833" s="27" t="str">
        <f>Resultados!$K$4</f>
        <v/>
      </c>
      <c r="C1833" s="568" t="str">
        <f>'900008'!$B44</f>
        <v>11902004</v>
      </c>
      <c r="D1833" s="27" t="str">
        <f>'900008'!$I$40</f>
        <v>C11902004</v>
      </c>
      <c r="E1833" s="570">
        <f>'900008'!$I44</f>
        <v>0</v>
      </c>
      <c r="F1833" s="27" t="s">
        <v>19088</v>
      </c>
    </row>
    <row r="1834" spans="1:6">
      <c r="A1834" s="27" t="str">
        <f>Resultados!$K$3</f>
        <v/>
      </c>
      <c r="B1834" s="27" t="str">
        <f>Resultados!$K$4</f>
        <v/>
      </c>
      <c r="C1834" s="568" t="str">
        <f>'900008'!$B45</f>
        <v>11902005</v>
      </c>
      <c r="D1834" s="27" t="str">
        <f>'900008'!$I$40</f>
        <v>C11902004</v>
      </c>
      <c r="E1834" s="570">
        <f>'900008'!$I45</f>
        <v>0</v>
      </c>
      <c r="F1834" s="27" t="s">
        <v>19088</v>
      </c>
    </row>
    <row r="1835" spans="1:6">
      <c r="A1835" s="27" t="str">
        <f>Resultados!$K$3</f>
        <v/>
      </c>
      <c r="B1835" s="27" t="str">
        <f>Resultados!$K$4</f>
        <v/>
      </c>
      <c r="C1835" s="568" t="str">
        <f>'900008'!$B46</f>
        <v>11902006</v>
      </c>
      <c r="D1835" s="27" t="str">
        <f>'900008'!$I$40</f>
        <v>C11902004</v>
      </c>
      <c r="E1835" s="570">
        <f>'900008'!$I46</f>
        <v>0</v>
      </c>
      <c r="F1835" s="27" t="s">
        <v>19088</v>
      </c>
    </row>
    <row r="1836" spans="1:6">
      <c r="A1836" s="27" t="str">
        <f>Resultados!$K$3</f>
        <v/>
      </c>
      <c r="B1836" s="27" t="str">
        <f>Resultados!$K$4</f>
        <v/>
      </c>
      <c r="C1836" s="568" t="str">
        <f>'900008'!$B47</f>
        <v>11902007</v>
      </c>
      <c r="D1836" s="27" t="str">
        <f>'900008'!$I$40</f>
        <v>C11902004</v>
      </c>
      <c r="E1836" s="570">
        <f>'900008'!$I47</f>
        <v>0</v>
      </c>
      <c r="F1836" s="27" t="s">
        <v>19088</v>
      </c>
    </row>
    <row r="1837" spans="1:6">
      <c r="A1837" s="27" t="str">
        <f>Resultados!$K$3</f>
        <v/>
      </c>
      <c r="B1837" s="27" t="str">
        <f>Resultados!$K$4</f>
        <v/>
      </c>
      <c r="C1837" s="568" t="str">
        <f>'900008'!$B48</f>
        <v>11902008</v>
      </c>
      <c r="D1837" s="27" t="str">
        <f>'900008'!$I$40</f>
        <v>C11902004</v>
      </c>
      <c r="E1837" s="570">
        <f>'900008'!$I48</f>
        <v>0</v>
      </c>
      <c r="F1837" s="27" t="s">
        <v>19088</v>
      </c>
    </row>
    <row r="1838" spans="1:6">
      <c r="A1838" s="27" t="str">
        <f>Resultados!$K$3</f>
        <v/>
      </c>
      <c r="B1838" s="27" t="str">
        <f>Resultados!$K$4</f>
        <v/>
      </c>
      <c r="C1838" s="568" t="str">
        <f>'900008'!$B49</f>
        <v>11902009</v>
      </c>
      <c r="D1838" s="27" t="str">
        <f>'900008'!$I$40</f>
        <v>C11902004</v>
      </c>
      <c r="E1838" s="570">
        <f>'900008'!$I49</f>
        <v>0</v>
      </c>
      <c r="F1838" s="27" t="s">
        <v>19088</v>
      </c>
    </row>
    <row r="1839" spans="1:6">
      <c r="A1839" s="27" t="str">
        <f>Resultados!$K$3</f>
        <v/>
      </c>
      <c r="B1839" s="27" t="str">
        <f>Resultados!$K$4</f>
        <v/>
      </c>
      <c r="C1839" s="568" t="str">
        <f>'900008'!$B50</f>
        <v>11902010</v>
      </c>
      <c r="D1839" s="27" t="str">
        <f>'900008'!$I$40</f>
        <v>C11902004</v>
      </c>
      <c r="E1839" s="570">
        <f>'900008'!$I50</f>
        <v>0</v>
      </c>
      <c r="F1839" s="27" t="s">
        <v>19088</v>
      </c>
    </row>
    <row r="1840" spans="1:6">
      <c r="A1840" s="27" t="str">
        <f>Resultados!$K$3</f>
        <v/>
      </c>
      <c r="B1840" s="27" t="str">
        <f>Resultados!$K$4</f>
        <v/>
      </c>
      <c r="C1840" s="568" t="str">
        <f>'900008'!$B51</f>
        <v>11902011</v>
      </c>
      <c r="D1840" s="27" t="str">
        <f>'900008'!$I$40</f>
        <v>C11902004</v>
      </c>
      <c r="E1840" s="570">
        <f>'900008'!$I51</f>
        <v>0</v>
      </c>
      <c r="F1840" s="27" t="s">
        <v>19088</v>
      </c>
    </row>
    <row r="1841" spans="1:6">
      <c r="A1841" s="27" t="str">
        <f>Resultados!$K$3</f>
        <v/>
      </c>
      <c r="B1841" s="27" t="str">
        <f>Resultados!$K$4</f>
        <v/>
      </c>
      <c r="C1841" s="568" t="str">
        <f>'900008'!$B52</f>
        <v>11902012</v>
      </c>
      <c r="D1841" s="27" t="str">
        <f>'900008'!$I$40</f>
        <v>C11902004</v>
      </c>
      <c r="E1841" s="570">
        <f>'900008'!$I52</f>
        <v>0</v>
      </c>
      <c r="F1841" s="27" t="s">
        <v>19088</v>
      </c>
    </row>
    <row r="1842" spans="1:6">
      <c r="A1842" s="27" t="str">
        <f>Resultados!$K$3</f>
        <v/>
      </c>
      <c r="B1842" s="27" t="str">
        <f>Resultados!$K$4</f>
        <v/>
      </c>
      <c r="C1842" s="568" t="str">
        <f>'900008'!$B53</f>
        <v>11902013</v>
      </c>
      <c r="D1842" s="27" t="str">
        <f>'900008'!$I$40</f>
        <v>C11902004</v>
      </c>
      <c r="E1842" s="570">
        <f>'900008'!$I53</f>
        <v>0</v>
      </c>
      <c r="F1842" s="27" t="s">
        <v>19088</v>
      </c>
    </row>
    <row r="1843" spans="1:6">
      <c r="A1843" s="27" t="str">
        <f>Resultados!$K$3</f>
        <v/>
      </c>
      <c r="B1843" s="27" t="str">
        <f>Resultados!$K$4</f>
        <v/>
      </c>
      <c r="C1843" s="568" t="str">
        <f>'900008'!$B54</f>
        <v>11902014</v>
      </c>
      <c r="D1843" s="27" t="str">
        <f>'900008'!$I$40</f>
        <v>C11902004</v>
      </c>
      <c r="E1843" s="570">
        <f>'900008'!$I54</f>
        <v>0</v>
      </c>
      <c r="F1843" s="27" t="s">
        <v>19088</v>
      </c>
    </row>
    <row r="1844" spans="1:6">
      <c r="A1844" s="27" t="str">
        <f>Resultados!$K$3</f>
        <v/>
      </c>
      <c r="B1844" s="27" t="str">
        <f>Resultados!$K$4</f>
        <v/>
      </c>
      <c r="C1844" s="568" t="str">
        <f>'900008'!$B55</f>
        <v>11902015</v>
      </c>
      <c r="D1844" s="27" t="str">
        <f>'900008'!$I$40</f>
        <v>C11902004</v>
      </c>
      <c r="E1844" s="570">
        <f>'900008'!$I55</f>
        <v>0</v>
      </c>
      <c r="F1844" s="27" t="s">
        <v>19088</v>
      </c>
    </row>
    <row r="1845" spans="1:6">
      <c r="A1845" s="27" t="str">
        <f>Resultados!$K$3</f>
        <v/>
      </c>
      <c r="B1845" s="27" t="str">
        <f>Resultados!$K$4</f>
        <v/>
      </c>
      <c r="C1845" s="568" t="str">
        <f>'900008'!$B56</f>
        <v>11902016</v>
      </c>
      <c r="D1845" s="27" t="str">
        <f>'900008'!$I$40</f>
        <v>C11902004</v>
      </c>
      <c r="E1845" s="570">
        <f>'900008'!$I56</f>
        <v>0</v>
      </c>
      <c r="F1845" s="27" t="s">
        <v>19088</v>
      </c>
    </row>
    <row r="1846" spans="1:6">
      <c r="A1846" s="27" t="str">
        <f>Resultados!$K$3</f>
        <v/>
      </c>
      <c r="B1846" s="27" t="str">
        <f>Resultados!$K$4</f>
        <v/>
      </c>
      <c r="C1846" s="569" t="str">
        <f>'900008'!$B71</f>
        <v>11904002</v>
      </c>
      <c r="D1846" t="str">
        <f>'900008'!$E$65</f>
        <v>C11904002</v>
      </c>
      <c r="E1846" s="570">
        <f>'900008'!$E71</f>
        <v>0</v>
      </c>
      <c r="F1846" s="27" t="s">
        <v>19088</v>
      </c>
    </row>
    <row r="1847" spans="1:6">
      <c r="A1847" s="27" t="str">
        <f>Resultados!$K$3</f>
        <v/>
      </c>
      <c r="B1847" s="27" t="str">
        <f>Resultados!$K$4</f>
        <v/>
      </c>
      <c r="C1847" s="569" t="str">
        <f>'900008'!$B72</f>
        <v>11904003</v>
      </c>
      <c r="D1847" s="27" t="str">
        <f>'900008'!$E$65</f>
        <v>C11904002</v>
      </c>
      <c r="E1847" s="570">
        <f>'900008'!$E72</f>
        <v>0</v>
      </c>
      <c r="F1847" s="27" t="s">
        <v>19088</v>
      </c>
    </row>
    <row r="1848" spans="1:6">
      <c r="A1848" s="27" t="str">
        <f>Resultados!$K$3</f>
        <v/>
      </c>
      <c r="B1848" s="27" t="str">
        <f>Resultados!$K$4</f>
        <v/>
      </c>
      <c r="C1848" s="569" t="str">
        <f>'900008'!$B73</f>
        <v>11904004</v>
      </c>
      <c r="D1848" s="27" t="str">
        <f>'900008'!$E$65</f>
        <v>C11904002</v>
      </c>
      <c r="E1848" s="570">
        <f>'900008'!$E73</f>
        <v>0</v>
      </c>
      <c r="F1848" s="27" t="s">
        <v>19088</v>
      </c>
    </row>
    <row r="1849" spans="1:6">
      <c r="A1849" s="27" t="str">
        <f>Resultados!$K$3</f>
        <v/>
      </c>
      <c r="B1849" s="27" t="str">
        <f>Resultados!$K$4</f>
        <v/>
      </c>
      <c r="C1849" s="569" t="str">
        <f>'900008'!$B74</f>
        <v>11904005</v>
      </c>
      <c r="D1849" s="27" t="str">
        <f>'900008'!$E$65</f>
        <v>C11904002</v>
      </c>
      <c r="E1849" s="570">
        <f>'900008'!$E74</f>
        <v>0</v>
      </c>
      <c r="F1849" s="27" t="s">
        <v>19088</v>
      </c>
    </row>
    <row r="1850" spans="1:6">
      <c r="A1850" s="27" t="str">
        <f>Resultados!$K$3</f>
        <v/>
      </c>
      <c r="B1850" s="27" t="str">
        <f>Resultados!$K$4</f>
        <v/>
      </c>
      <c r="C1850" s="569" t="str">
        <f>'900008'!$B75</f>
        <v>11904006</v>
      </c>
      <c r="D1850" s="27" t="str">
        <f>'900008'!$E$65</f>
        <v>C11904002</v>
      </c>
      <c r="E1850" s="570">
        <f>'900008'!$E75</f>
        <v>0</v>
      </c>
      <c r="F1850" s="27" t="s">
        <v>19088</v>
      </c>
    </row>
    <row r="1851" spans="1:6">
      <c r="A1851" s="27" t="str">
        <f>Resultados!$K$3</f>
        <v/>
      </c>
      <c r="B1851" s="27" t="str">
        <f>Resultados!$K$4</f>
        <v/>
      </c>
      <c r="C1851" s="569" t="str">
        <f>'900008'!$B76</f>
        <v>11904007</v>
      </c>
      <c r="D1851" s="27" t="str">
        <f>'900008'!$E$65</f>
        <v>C11904002</v>
      </c>
      <c r="E1851" s="570">
        <f>'900008'!$E76</f>
        <v>0</v>
      </c>
      <c r="F1851" s="27" t="s">
        <v>19088</v>
      </c>
    </row>
    <row r="1852" spans="1:6">
      <c r="A1852" s="27" t="str">
        <f>Resultados!$K$3</f>
        <v/>
      </c>
      <c r="B1852" s="27" t="str">
        <f>Resultados!$K$4</f>
        <v/>
      </c>
      <c r="C1852" s="569" t="str">
        <f>'900008'!$B77</f>
        <v>11904008</v>
      </c>
      <c r="D1852" s="27" t="str">
        <f>'900008'!$E$65</f>
        <v>C11904002</v>
      </c>
      <c r="E1852" s="570">
        <f>'900008'!$E77</f>
        <v>0</v>
      </c>
      <c r="F1852" s="27" t="s">
        <v>19088</v>
      </c>
    </row>
    <row r="1853" spans="1:6">
      <c r="A1853" s="27" t="str">
        <f>Resultados!$K$3</f>
        <v/>
      </c>
      <c r="B1853" s="27" t="str">
        <f>Resultados!$K$4</f>
        <v/>
      </c>
      <c r="C1853" s="569" t="str">
        <f>'900008'!$B78</f>
        <v>11904009</v>
      </c>
      <c r="D1853" s="27" t="str">
        <f>'900008'!$E$65</f>
        <v>C11904002</v>
      </c>
      <c r="E1853" s="570">
        <f>'900008'!$E78</f>
        <v>0</v>
      </c>
      <c r="F1853" s="27" t="s">
        <v>19088</v>
      </c>
    </row>
    <row r="1854" spans="1:6">
      <c r="A1854" s="27" t="str">
        <f>Resultados!$K$3</f>
        <v/>
      </c>
      <c r="B1854" s="27" t="str">
        <f>Resultados!$K$4</f>
        <v/>
      </c>
      <c r="C1854" s="569" t="str">
        <f>'900008'!$B79</f>
        <v>11904010</v>
      </c>
      <c r="D1854" s="27" t="str">
        <f>'900008'!$E$65</f>
        <v>C11904002</v>
      </c>
      <c r="E1854" s="570">
        <f>'900008'!$E79</f>
        <v>0</v>
      </c>
      <c r="F1854" s="27" t="s">
        <v>19088</v>
      </c>
    </row>
    <row r="1855" spans="1:6">
      <c r="A1855" s="27" t="str">
        <f>Resultados!$K$3</f>
        <v/>
      </c>
      <c r="B1855" s="27" t="str">
        <f>Resultados!$K$4</f>
        <v/>
      </c>
      <c r="C1855" s="569" t="str">
        <f>'900008'!$B80</f>
        <v>11904011</v>
      </c>
      <c r="D1855" s="27" t="str">
        <f>'900008'!$E$65</f>
        <v>C11904002</v>
      </c>
      <c r="E1855" s="570">
        <f>'900008'!$E80</f>
        <v>0</v>
      </c>
      <c r="F1855" s="27" t="s">
        <v>19088</v>
      </c>
    </row>
    <row r="1856" spans="1:6">
      <c r="A1856" s="27" t="str">
        <f>Resultados!$K$3</f>
        <v/>
      </c>
      <c r="B1856" s="27" t="str">
        <f>Resultados!$K$4</f>
        <v/>
      </c>
      <c r="C1856" s="569" t="str">
        <f>'900008'!$B81</f>
        <v>11904012</v>
      </c>
      <c r="D1856" s="27" t="str">
        <f>'900008'!$E$65</f>
        <v>C11904002</v>
      </c>
      <c r="E1856" s="570">
        <f>'900008'!$E81</f>
        <v>0</v>
      </c>
      <c r="F1856" s="27" t="s">
        <v>19088</v>
      </c>
    </row>
    <row r="1857" spans="1:6">
      <c r="A1857" s="27" t="str">
        <f>Resultados!$K$3</f>
        <v/>
      </c>
      <c r="B1857" s="27" t="str">
        <f>Resultados!$K$4</f>
        <v/>
      </c>
      <c r="C1857" s="569" t="str">
        <f>'900008'!$B82</f>
        <v>11904013</v>
      </c>
      <c r="D1857" s="27" t="str">
        <f>'900008'!$E$65</f>
        <v>C11904002</v>
      </c>
      <c r="E1857" s="570">
        <f>'900008'!$E82</f>
        <v>0</v>
      </c>
      <c r="F1857" s="27" t="s">
        <v>19088</v>
      </c>
    </row>
    <row r="1858" spans="1:6">
      <c r="A1858" s="27" t="str">
        <f>Resultados!$K$3</f>
        <v/>
      </c>
      <c r="B1858" s="27" t="str">
        <f>Resultados!$K$4</f>
        <v/>
      </c>
      <c r="C1858" s="569" t="str">
        <f>'900008'!$B83</f>
        <v>11904014</v>
      </c>
      <c r="D1858" s="27" t="str">
        <f>'900008'!$E$65</f>
        <v>C11904002</v>
      </c>
      <c r="E1858" s="570">
        <f>'900008'!$E83</f>
        <v>0</v>
      </c>
      <c r="F1858" s="27" t="s">
        <v>19088</v>
      </c>
    </row>
    <row r="1859" spans="1:6">
      <c r="A1859" s="27" t="str">
        <f>Resultados!$K$3</f>
        <v/>
      </c>
      <c r="B1859" s="27" t="str">
        <f>Resultados!$K$4</f>
        <v/>
      </c>
      <c r="C1859" s="569" t="str">
        <f>'900008'!$B84</f>
        <v>11904015</v>
      </c>
      <c r="D1859" s="27" t="str">
        <f>'900008'!$E$65</f>
        <v>C11904002</v>
      </c>
      <c r="E1859" s="570">
        <f>'900008'!$E84</f>
        <v>0</v>
      </c>
      <c r="F1859" s="27" t="s">
        <v>19088</v>
      </c>
    </row>
    <row r="1860" spans="1:6">
      <c r="A1860" s="27" t="str">
        <f>Resultados!$K$3</f>
        <v/>
      </c>
      <c r="B1860" s="27" t="str">
        <f>Resultados!$K$4</f>
        <v/>
      </c>
      <c r="C1860" s="569" t="str">
        <f>'900008'!$B85</f>
        <v>11904016</v>
      </c>
      <c r="D1860" s="27" t="str">
        <f>'900008'!$E$65</f>
        <v>C11904002</v>
      </c>
      <c r="E1860" s="570">
        <f>'900008'!$E85</f>
        <v>0</v>
      </c>
      <c r="F1860" s="27" t="s">
        <v>19088</v>
      </c>
    </row>
    <row r="1861" spans="1:6">
      <c r="A1861" s="27" t="str">
        <f>Resultados!$K$3</f>
        <v/>
      </c>
      <c r="B1861" s="27" t="str">
        <f>Resultados!$K$4</f>
        <v/>
      </c>
      <c r="C1861" s="569" t="str">
        <f>'900008'!$B73</f>
        <v>11904004</v>
      </c>
      <c r="D1861" t="str">
        <f>'900008'!$F$65</f>
        <v>C11904003</v>
      </c>
      <c r="E1861" s="570">
        <f>'900008'!$F73</f>
        <v>0</v>
      </c>
      <c r="F1861" s="27" t="s">
        <v>19088</v>
      </c>
    </row>
    <row r="1862" spans="1:6">
      <c r="A1862" s="27" t="str">
        <f>Resultados!$K$3</f>
        <v/>
      </c>
      <c r="B1862" s="27" t="str">
        <f>Resultados!$K$4</f>
        <v/>
      </c>
      <c r="C1862" s="569" t="str">
        <f>'900008'!$B74</f>
        <v>11904005</v>
      </c>
      <c r="D1862" s="27" t="str">
        <f>'900008'!$F$65</f>
        <v>C11904003</v>
      </c>
      <c r="E1862" s="570">
        <f>'900008'!$F74</f>
        <v>0</v>
      </c>
      <c r="F1862" s="27" t="s">
        <v>19088</v>
      </c>
    </row>
    <row r="1863" spans="1:6">
      <c r="A1863" s="27" t="str">
        <f>Resultados!$K$3</f>
        <v/>
      </c>
      <c r="B1863" s="27" t="str">
        <f>Resultados!$K$4</f>
        <v/>
      </c>
      <c r="C1863" s="569" t="str">
        <f>'900008'!$B75</f>
        <v>11904006</v>
      </c>
      <c r="D1863" s="27" t="str">
        <f>'900008'!$F$65</f>
        <v>C11904003</v>
      </c>
      <c r="E1863" s="570">
        <f>'900008'!$F75</f>
        <v>0</v>
      </c>
      <c r="F1863" s="27" t="s">
        <v>19088</v>
      </c>
    </row>
    <row r="1864" spans="1:6">
      <c r="A1864" s="27" t="str">
        <f>Resultados!$K$3</f>
        <v/>
      </c>
      <c r="B1864" s="27" t="str">
        <f>Resultados!$K$4</f>
        <v/>
      </c>
      <c r="C1864" s="569" t="str">
        <f>'900008'!$B76</f>
        <v>11904007</v>
      </c>
      <c r="D1864" s="27" t="str">
        <f>'900008'!$F$65</f>
        <v>C11904003</v>
      </c>
      <c r="E1864" s="570">
        <f>'900008'!$F76</f>
        <v>0</v>
      </c>
      <c r="F1864" s="27" t="s">
        <v>19088</v>
      </c>
    </row>
    <row r="1865" spans="1:6">
      <c r="A1865" s="27" t="str">
        <f>Resultados!$K$3</f>
        <v/>
      </c>
      <c r="B1865" s="27" t="str">
        <f>Resultados!$K$4</f>
        <v/>
      </c>
      <c r="C1865" s="569" t="str">
        <f>'900008'!$B77</f>
        <v>11904008</v>
      </c>
      <c r="D1865" s="27" t="str">
        <f>'900008'!$F$65</f>
        <v>C11904003</v>
      </c>
      <c r="E1865" s="570">
        <f>'900008'!$F77</f>
        <v>0</v>
      </c>
      <c r="F1865" s="27" t="s">
        <v>19088</v>
      </c>
    </row>
    <row r="1866" spans="1:6">
      <c r="A1866" s="27" t="str">
        <f>Resultados!$K$3</f>
        <v/>
      </c>
      <c r="B1866" s="27" t="str">
        <f>Resultados!$K$4</f>
        <v/>
      </c>
      <c r="C1866" s="569" t="str">
        <f>'900008'!$B78</f>
        <v>11904009</v>
      </c>
      <c r="D1866" s="27" t="str">
        <f>'900008'!$F$65</f>
        <v>C11904003</v>
      </c>
      <c r="E1866" s="570">
        <f>'900008'!$F78</f>
        <v>0</v>
      </c>
      <c r="F1866" s="27" t="s">
        <v>19088</v>
      </c>
    </row>
    <row r="1867" spans="1:6">
      <c r="A1867" s="27" t="str">
        <f>Resultados!$K$3</f>
        <v/>
      </c>
      <c r="B1867" s="27" t="str">
        <f>Resultados!$K$4</f>
        <v/>
      </c>
      <c r="C1867" s="569" t="str">
        <f>'900008'!$B79</f>
        <v>11904010</v>
      </c>
      <c r="D1867" s="27" t="str">
        <f>'900008'!$F$65</f>
        <v>C11904003</v>
      </c>
      <c r="E1867" s="570">
        <f>'900008'!$F79</f>
        <v>0</v>
      </c>
      <c r="F1867" s="27" t="s">
        <v>19088</v>
      </c>
    </row>
    <row r="1868" spans="1:6">
      <c r="A1868" s="27" t="str">
        <f>Resultados!$K$3</f>
        <v/>
      </c>
      <c r="B1868" s="27" t="str">
        <f>Resultados!$K$4</f>
        <v/>
      </c>
      <c r="C1868" s="569" t="str">
        <f>'900008'!$B80</f>
        <v>11904011</v>
      </c>
      <c r="D1868" s="27" t="str">
        <f>'900008'!$F$65</f>
        <v>C11904003</v>
      </c>
      <c r="E1868" s="570">
        <f>'900008'!$F80</f>
        <v>0</v>
      </c>
      <c r="F1868" s="27" t="s">
        <v>19088</v>
      </c>
    </row>
    <row r="1869" spans="1:6">
      <c r="A1869" s="27" t="str">
        <f>Resultados!$K$3</f>
        <v/>
      </c>
      <c r="B1869" s="27" t="str">
        <f>Resultados!$K$4</f>
        <v/>
      </c>
      <c r="C1869" s="569" t="str">
        <f>'900008'!$B81</f>
        <v>11904012</v>
      </c>
      <c r="D1869" s="27" t="str">
        <f>'900008'!$F$65</f>
        <v>C11904003</v>
      </c>
      <c r="E1869" s="570">
        <f>'900008'!$F81</f>
        <v>0</v>
      </c>
      <c r="F1869" s="27" t="s">
        <v>19088</v>
      </c>
    </row>
    <row r="1870" spans="1:6">
      <c r="A1870" s="27" t="str">
        <f>Resultados!$K$3</f>
        <v/>
      </c>
      <c r="B1870" s="27" t="str">
        <f>Resultados!$K$4</f>
        <v/>
      </c>
      <c r="C1870" s="569" t="str">
        <f>'900008'!$B82</f>
        <v>11904013</v>
      </c>
      <c r="D1870" s="27" t="str">
        <f>'900008'!$F$65</f>
        <v>C11904003</v>
      </c>
      <c r="E1870" s="570">
        <f>'900008'!$F82</f>
        <v>0</v>
      </c>
      <c r="F1870" s="27" t="s">
        <v>19088</v>
      </c>
    </row>
    <row r="1871" spans="1:6">
      <c r="A1871" s="27" t="str">
        <f>Resultados!$K$3</f>
        <v/>
      </c>
      <c r="B1871" s="27" t="str">
        <f>Resultados!$K$4</f>
        <v/>
      </c>
      <c r="C1871" s="569" t="str">
        <f>'900008'!$B83</f>
        <v>11904014</v>
      </c>
      <c r="D1871" s="27" t="str">
        <f>'900008'!$F$65</f>
        <v>C11904003</v>
      </c>
      <c r="E1871" s="570">
        <f>'900008'!$F83</f>
        <v>0</v>
      </c>
      <c r="F1871" s="27" t="s">
        <v>19088</v>
      </c>
    </row>
    <row r="1872" spans="1:6">
      <c r="A1872" s="27" t="str">
        <f>Resultados!$K$3</f>
        <v/>
      </c>
      <c r="B1872" s="27" t="str">
        <f>Resultados!$K$4</f>
        <v/>
      </c>
      <c r="C1872" s="569" t="str">
        <f>'900008'!$B84</f>
        <v>11904015</v>
      </c>
      <c r="D1872" s="27" t="str">
        <f>'900008'!$F$65</f>
        <v>C11904003</v>
      </c>
      <c r="E1872" s="570">
        <f>'900008'!$F84</f>
        <v>0</v>
      </c>
      <c r="F1872" s="27" t="s">
        <v>19088</v>
      </c>
    </row>
    <row r="1873" spans="1:6">
      <c r="A1873" s="27" t="str">
        <f>Resultados!$K$3</f>
        <v/>
      </c>
      <c r="B1873" s="27" t="str">
        <f>Resultados!$K$4</f>
        <v/>
      </c>
      <c r="C1873" s="569" t="str">
        <f>'900008'!$B85</f>
        <v>11904016</v>
      </c>
      <c r="D1873" s="27" t="str">
        <f>'900008'!$F$65</f>
        <v>C11904003</v>
      </c>
      <c r="E1873" s="570">
        <f>'900008'!$F85</f>
        <v>0</v>
      </c>
      <c r="F1873" s="27" t="s">
        <v>19088</v>
      </c>
    </row>
    <row r="1874" spans="1:6">
      <c r="A1874" s="27" t="str">
        <f>Resultados!$K$3</f>
        <v/>
      </c>
      <c r="B1874" s="27" t="str">
        <f>Resultados!$K$4</f>
        <v/>
      </c>
      <c r="C1874" s="569" t="str">
        <f>'900008'!$B71</f>
        <v>11904002</v>
      </c>
      <c r="D1874" t="str">
        <f>'900008'!$I$65</f>
        <v>C11904005</v>
      </c>
      <c r="E1874" s="570">
        <f>'900008'!$I71</f>
        <v>0</v>
      </c>
      <c r="F1874" s="27" t="s">
        <v>19088</v>
      </c>
    </row>
    <row r="1875" spans="1:6">
      <c r="A1875" s="27" t="str">
        <f>Resultados!$K$3</f>
        <v/>
      </c>
      <c r="B1875" s="27" t="str">
        <f>Resultados!$K$4</f>
        <v/>
      </c>
      <c r="C1875" s="569" t="str">
        <f>'900008'!$B72</f>
        <v>11904003</v>
      </c>
      <c r="D1875" s="27" t="str">
        <f>'900008'!$I$65</f>
        <v>C11904005</v>
      </c>
      <c r="E1875" s="570">
        <f>'900008'!$I72</f>
        <v>0</v>
      </c>
      <c r="F1875" s="27" t="s">
        <v>19088</v>
      </c>
    </row>
    <row r="1876" spans="1:6">
      <c r="A1876" s="27" t="str">
        <f>Resultados!$K$3</f>
        <v/>
      </c>
      <c r="B1876" s="27" t="str">
        <f>Resultados!$K$4</f>
        <v/>
      </c>
      <c r="C1876" s="569" t="str">
        <f>'900008'!$B73</f>
        <v>11904004</v>
      </c>
      <c r="D1876" s="27" t="str">
        <f>'900008'!$I$65</f>
        <v>C11904005</v>
      </c>
      <c r="E1876" s="570">
        <f>'900008'!$I73</f>
        <v>0</v>
      </c>
      <c r="F1876" s="27" t="s">
        <v>19088</v>
      </c>
    </row>
    <row r="1877" spans="1:6">
      <c r="A1877" s="27" t="str">
        <f>Resultados!$K$3</f>
        <v/>
      </c>
      <c r="B1877" s="27" t="str">
        <f>Resultados!$K$4</f>
        <v/>
      </c>
      <c r="C1877" s="569" t="str">
        <f>'900008'!$B74</f>
        <v>11904005</v>
      </c>
      <c r="D1877" s="27" t="str">
        <f>'900008'!$I$65</f>
        <v>C11904005</v>
      </c>
      <c r="E1877" s="570">
        <f>'900008'!$I74</f>
        <v>0</v>
      </c>
      <c r="F1877" s="27" t="s">
        <v>19088</v>
      </c>
    </row>
    <row r="1878" spans="1:6">
      <c r="A1878" s="27" t="str">
        <f>Resultados!$K$3</f>
        <v/>
      </c>
      <c r="B1878" s="27" t="str">
        <f>Resultados!$K$4</f>
        <v/>
      </c>
      <c r="C1878" s="569" t="str">
        <f>'900008'!$B75</f>
        <v>11904006</v>
      </c>
      <c r="D1878" s="27" t="str">
        <f>'900008'!$I$65</f>
        <v>C11904005</v>
      </c>
      <c r="E1878" s="570">
        <f>'900008'!$I75</f>
        <v>0</v>
      </c>
      <c r="F1878" s="27" t="s">
        <v>19088</v>
      </c>
    </row>
    <row r="1879" spans="1:6">
      <c r="A1879" s="27" t="str">
        <f>Resultados!$K$3</f>
        <v/>
      </c>
      <c r="B1879" s="27" t="str">
        <f>Resultados!$K$4</f>
        <v/>
      </c>
      <c r="C1879" s="569" t="str">
        <f>'900008'!$B76</f>
        <v>11904007</v>
      </c>
      <c r="D1879" s="27" t="str">
        <f>'900008'!$I$65</f>
        <v>C11904005</v>
      </c>
      <c r="E1879" s="570">
        <f>'900008'!$I76</f>
        <v>0</v>
      </c>
      <c r="F1879" s="27" t="s">
        <v>19088</v>
      </c>
    </row>
    <row r="1880" spans="1:6">
      <c r="A1880" s="27" t="str">
        <f>Resultados!$K$3</f>
        <v/>
      </c>
      <c r="B1880" s="27" t="str">
        <f>Resultados!$K$4</f>
        <v/>
      </c>
      <c r="C1880" s="569" t="str">
        <f>'900008'!$B77</f>
        <v>11904008</v>
      </c>
      <c r="D1880" s="27" t="str">
        <f>'900008'!$I$65</f>
        <v>C11904005</v>
      </c>
      <c r="E1880" s="570">
        <f>'900008'!$I77</f>
        <v>0</v>
      </c>
      <c r="F1880" s="27" t="s">
        <v>19088</v>
      </c>
    </row>
    <row r="1881" spans="1:6">
      <c r="A1881" s="27" t="str">
        <f>Resultados!$K$3</f>
        <v/>
      </c>
      <c r="B1881" s="27" t="str">
        <f>Resultados!$K$4</f>
        <v/>
      </c>
      <c r="C1881" s="569" t="str">
        <f>'900008'!$B78</f>
        <v>11904009</v>
      </c>
      <c r="D1881" s="27" t="str">
        <f>'900008'!$I$65</f>
        <v>C11904005</v>
      </c>
      <c r="E1881" s="570">
        <f>'900008'!$I78</f>
        <v>0</v>
      </c>
      <c r="F1881" s="27" t="s">
        <v>19088</v>
      </c>
    </row>
    <row r="1882" spans="1:6">
      <c r="A1882" s="27" t="str">
        <f>Resultados!$K$3</f>
        <v/>
      </c>
      <c r="B1882" s="27" t="str">
        <f>Resultados!$K$4</f>
        <v/>
      </c>
      <c r="C1882" s="569" t="str">
        <f>'900008'!$B79</f>
        <v>11904010</v>
      </c>
      <c r="D1882" s="27" t="str">
        <f>'900008'!$I$65</f>
        <v>C11904005</v>
      </c>
      <c r="E1882" s="570">
        <f>'900008'!$I79</f>
        <v>0</v>
      </c>
      <c r="F1882" s="27" t="s">
        <v>19088</v>
      </c>
    </row>
    <row r="1883" spans="1:6">
      <c r="A1883" s="27" t="str">
        <f>Resultados!$K$3</f>
        <v/>
      </c>
      <c r="B1883" s="27" t="str">
        <f>Resultados!$K$4</f>
        <v/>
      </c>
      <c r="C1883" s="569" t="str">
        <f>'900008'!$B80</f>
        <v>11904011</v>
      </c>
      <c r="D1883" s="27" t="str">
        <f>'900008'!$I$65</f>
        <v>C11904005</v>
      </c>
      <c r="E1883" s="570">
        <f>'900008'!$I80</f>
        <v>0</v>
      </c>
      <c r="F1883" s="27" t="s">
        <v>19088</v>
      </c>
    </row>
    <row r="1884" spans="1:6">
      <c r="A1884" s="27" t="str">
        <f>Resultados!$K$3</f>
        <v/>
      </c>
      <c r="B1884" s="27" t="str">
        <f>Resultados!$K$4</f>
        <v/>
      </c>
      <c r="C1884" s="569" t="str">
        <f>'900008'!$B81</f>
        <v>11904012</v>
      </c>
      <c r="D1884" s="27" t="str">
        <f>'900008'!$I$65</f>
        <v>C11904005</v>
      </c>
      <c r="E1884" s="570">
        <f>'900008'!$I81</f>
        <v>0</v>
      </c>
      <c r="F1884" s="27" t="s">
        <v>19088</v>
      </c>
    </row>
    <row r="1885" spans="1:6">
      <c r="A1885" s="27" t="str">
        <f>Resultados!$K$3</f>
        <v/>
      </c>
      <c r="B1885" s="27" t="str">
        <f>Resultados!$K$4</f>
        <v/>
      </c>
      <c r="C1885" s="569" t="str">
        <f>'900008'!$B82</f>
        <v>11904013</v>
      </c>
      <c r="D1885" s="27" t="str">
        <f>'900008'!$I$65</f>
        <v>C11904005</v>
      </c>
      <c r="E1885" s="570">
        <f>'900008'!$I82</f>
        <v>0</v>
      </c>
      <c r="F1885" s="27" t="s">
        <v>19088</v>
      </c>
    </row>
    <row r="1886" spans="1:6">
      <c r="A1886" s="27" t="str">
        <f>Resultados!$K$3</f>
        <v/>
      </c>
      <c r="B1886" s="27" t="str">
        <f>Resultados!$K$4</f>
        <v/>
      </c>
      <c r="C1886" s="569" t="str">
        <f>'900008'!$B83</f>
        <v>11904014</v>
      </c>
      <c r="D1886" s="27" t="str">
        <f>'900008'!$I$65</f>
        <v>C11904005</v>
      </c>
      <c r="E1886" s="570">
        <f>'900008'!$I83</f>
        <v>0</v>
      </c>
      <c r="F1886" s="27" t="s">
        <v>19088</v>
      </c>
    </row>
    <row r="1887" spans="1:6">
      <c r="A1887" s="27" t="str">
        <f>Resultados!$K$3</f>
        <v/>
      </c>
      <c r="B1887" s="27" t="str">
        <f>Resultados!$K$4</f>
        <v/>
      </c>
      <c r="C1887" s="569" t="str">
        <f>'900008'!$B84</f>
        <v>11904015</v>
      </c>
      <c r="D1887" s="27" t="str">
        <f>'900008'!$I$65</f>
        <v>C11904005</v>
      </c>
      <c r="E1887" s="570">
        <f>'900008'!$I84</f>
        <v>0</v>
      </c>
      <c r="F1887" s="27" t="s">
        <v>19088</v>
      </c>
    </row>
    <row r="1888" spans="1:6">
      <c r="A1888" s="27" t="str">
        <f>Resultados!$K$3</f>
        <v/>
      </c>
      <c r="B1888" s="27" t="str">
        <f>Resultados!$K$4</f>
        <v/>
      </c>
      <c r="C1888" s="569" t="str">
        <f>'900008'!$B85</f>
        <v>11904016</v>
      </c>
      <c r="D1888" s="27" t="str">
        <f>'900008'!$I$65</f>
        <v>C11904005</v>
      </c>
      <c r="E1888" s="570">
        <f>'900008'!$I85</f>
        <v>0</v>
      </c>
      <c r="F1888" s="27" t="s">
        <v>19088</v>
      </c>
    </row>
    <row r="1889" spans="1:6">
      <c r="A1889" s="27" t="str">
        <f>Resultados!$K$3</f>
        <v/>
      </c>
      <c r="B1889" s="27" t="str">
        <f>Resultados!$K$4</f>
        <v/>
      </c>
      <c r="C1889" s="569" t="str">
        <f>'900008'!$B73</f>
        <v>11904004</v>
      </c>
      <c r="D1889" t="str">
        <f>'900008'!$J$65</f>
        <v>C11904006</v>
      </c>
      <c r="E1889" s="570">
        <f>'900008'!$J73</f>
        <v>0</v>
      </c>
      <c r="F1889" s="27" t="s">
        <v>19088</v>
      </c>
    </row>
    <row r="1890" spans="1:6">
      <c r="A1890" s="27" t="str">
        <f>Resultados!$K$3</f>
        <v/>
      </c>
      <c r="B1890" s="27" t="str">
        <f>Resultados!$K$4</f>
        <v/>
      </c>
      <c r="C1890" s="569" t="str">
        <f>'900008'!$B74</f>
        <v>11904005</v>
      </c>
      <c r="D1890" s="27" t="str">
        <f>'900008'!$J$65</f>
        <v>C11904006</v>
      </c>
      <c r="E1890" s="570">
        <f>'900008'!$J74</f>
        <v>0</v>
      </c>
      <c r="F1890" s="27" t="s">
        <v>19088</v>
      </c>
    </row>
    <row r="1891" spans="1:6">
      <c r="A1891" s="27" t="str">
        <f>Resultados!$K$3</f>
        <v/>
      </c>
      <c r="B1891" s="27" t="str">
        <f>Resultados!$K$4</f>
        <v/>
      </c>
      <c r="C1891" s="569" t="str">
        <f>'900008'!$B75</f>
        <v>11904006</v>
      </c>
      <c r="D1891" s="27" t="str">
        <f>'900008'!$J$65</f>
        <v>C11904006</v>
      </c>
      <c r="E1891" s="570">
        <f>'900008'!$J75</f>
        <v>0</v>
      </c>
      <c r="F1891" s="27" t="s">
        <v>19088</v>
      </c>
    </row>
    <row r="1892" spans="1:6">
      <c r="A1892" s="27" t="str">
        <f>Resultados!$K$3</f>
        <v/>
      </c>
      <c r="B1892" s="27" t="str">
        <f>Resultados!$K$4</f>
        <v/>
      </c>
      <c r="C1892" s="569" t="str">
        <f>'900008'!$B76</f>
        <v>11904007</v>
      </c>
      <c r="D1892" s="27" t="str">
        <f>'900008'!$J$65</f>
        <v>C11904006</v>
      </c>
      <c r="E1892" s="570">
        <f>'900008'!$J76</f>
        <v>0</v>
      </c>
      <c r="F1892" s="27" t="s">
        <v>19088</v>
      </c>
    </row>
    <row r="1893" spans="1:6">
      <c r="A1893" s="27" t="str">
        <f>Resultados!$K$3</f>
        <v/>
      </c>
      <c r="B1893" s="27" t="str">
        <f>Resultados!$K$4</f>
        <v/>
      </c>
      <c r="C1893" s="569" t="str">
        <f>'900008'!$B77</f>
        <v>11904008</v>
      </c>
      <c r="D1893" s="27" t="str">
        <f>'900008'!$J$65</f>
        <v>C11904006</v>
      </c>
      <c r="E1893" s="570">
        <f>'900008'!$J77</f>
        <v>0</v>
      </c>
      <c r="F1893" s="27" t="s">
        <v>19088</v>
      </c>
    </row>
    <row r="1894" spans="1:6">
      <c r="A1894" s="27" t="str">
        <f>Resultados!$K$3</f>
        <v/>
      </c>
      <c r="B1894" s="27" t="str">
        <f>Resultados!$K$4</f>
        <v/>
      </c>
      <c r="C1894" s="569" t="str">
        <f>'900008'!$B78</f>
        <v>11904009</v>
      </c>
      <c r="D1894" s="27" t="str">
        <f>'900008'!$J$65</f>
        <v>C11904006</v>
      </c>
      <c r="E1894" s="570">
        <f>'900008'!$J78</f>
        <v>0</v>
      </c>
      <c r="F1894" s="27" t="s">
        <v>19088</v>
      </c>
    </row>
    <row r="1895" spans="1:6">
      <c r="A1895" s="27" t="str">
        <f>Resultados!$K$3</f>
        <v/>
      </c>
      <c r="B1895" s="27" t="str">
        <f>Resultados!$K$4</f>
        <v/>
      </c>
      <c r="C1895" s="569" t="str">
        <f>'900008'!$B79</f>
        <v>11904010</v>
      </c>
      <c r="D1895" s="27" t="str">
        <f>'900008'!$J$65</f>
        <v>C11904006</v>
      </c>
      <c r="E1895" s="570">
        <f>'900008'!$J79</f>
        <v>0</v>
      </c>
      <c r="F1895" s="27" t="s">
        <v>19088</v>
      </c>
    </row>
    <row r="1896" spans="1:6">
      <c r="A1896" s="27" t="str">
        <f>Resultados!$K$3</f>
        <v/>
      </c>
      <c r="B1896" s="27" t="str">
        <f>Resultados!$K$4</f>
        <v/>
      </c>
      <c r="C1896" s="569" t="str">
        <f>'900008'!$B80</f>
        <v>11904011</v>
      </c>
      <c r="D1896" s="27" t="str">
        <f>'900008'!$J$65</f>
        <v>C11904006</v>
      </c>
      <c r="E1896" s="570">
        <f>'900008'!$J80</f>
        <v>0</v>
      </c>
      <c r="F1896" s="27" t="s">
        <v>19088</v>
      </c>
    </row>
    <row r="1897" spans="1:6">
      <c r="A1897" s="27" t="str">
        <f>Resultados!$K$3</f>
        <v/>
      </c>
      <c r="B1897" s="27" t="str">
        <f>Resultados!$K$4</f>
        <v/>
      </c>
      <c r="C1897" s="569" t="str">
        <f>'900008'!$B81</f>
        <v>11904012</v>
      </c>
      <c r="D1897" s="27" t="str">
        <f>'900008'!$J$65</f>
        <v>C11904006</v>
      </c>
      <c r="E1897" s="570">
        <f>'900008'!$J81</f>
        <v>0</v>
      </c>
      <c r="F1897" s="27" t="s">
        <v>19088</v>
      </c>
    </row>
    <row r="1898" spans="1:6">
      <c r="A1898" s="27" t="str">
        <f>Resultados!$K$3</f>
        <v/>
      </c>
      <c r="B1898" s="27" t="str">
        <f>Resultados!$K$4</f>
        <v/>
      </c>
      <c r="C1898" s="569" t="str">
        <f>'900008'!$B82</f>
        <v>11904013</v>
      </c>
      <c r="D1898" s="27" t="str">
        <f>'900008'!$J$65</f>
        <v>C11904006</v>
      </c>
      <c r="E1898" s="570">
        <f>'900008'!$J82</f>
        <v>0</v>
      </c>
      <c r="F1898" s="27" t="s">
        <v>19088</v>
      </c>
    </row>
    <row r="1899" spans="1:6">
      <c r="A1899" s="27" t="str">
        <f>Resultados!$K$3</f>
        <v/>
      </c>
      <c r="B1899" s="27" t="str">
        <f>Resultados!$K$4</f>
        <v/>
      </c>
      <c r="C1899" s="569" t="str">
        <f>'900008'!$B83</f>
        <v>11904014</v>
      </c>
      <c r="D1899" s="27" t="str">
        <f>'900008'!$J$65</f>
        <v>C11904006</v>
      </c>
      <c r="E1899" s="570">
        <f>'900008'!$J83</f>
        <v>0</v>
      </c>
      <c r="F1899" s="27" t="s">
        <v>19088</v>
      </c>
    </row>
    <row r="1900" spans="1:6">
      <c r="A1900" s="27" t="str">
        <f>Resultados!$K$3</f>
        <v/>
      </c>
      <c r="B1900" s="27" t="str">
        <f>Resultados!$K$4</f>
        <v/>
      </c>
      <c r="C1900" s="569" t="str">
        <f>'900008'!$B84</f>
        <v>11904015</v>
      </c>
      <c r="D1900" s="27" t="str">
        <f>'900008'!$J$65</f>
        <v>C11904006</v>
      </c>
      <c r="E1900" s="570">
        <f>'900008'!$J84</f>
        <v>0</v>
      </c>
      <c r="F1900" s="27" t="s">
        <v>19088</v>
      </c>
    </row>
    <row r="1901" spans="1:6">
      <c r="A1901" s="27" t="str">
        <f>Resultados!$K$3</f>
        <v/>
      </c>
      <c r="B1901" s="27" t="str">
        <f>Resultados!$K$4</f>
        <v/>
      </c>
      <c r="C1901" s="569" t="str">
        <f>'900008'!$B85</f>
        <v>11904016</v>
      </c>
      <c r="D1901" s="27" t="str">
        <f>'900008'!$J$65</f>
        <v>C11904006</v>
      </c>
      <c r="E1901" s="570">
        <f>'900008'!$J85</f>
        <v>0</v>
      </c>
      <c r="F1901" s="27" t="s">
        <v>19088</v>
      </c>
    </row>
    <row r="1902" spans="1:6">
      <c r="A1902" s="27" t="str">
        <f>Resultados!$K$3</f>
        <v/>
      </c>
      <c r="B1902" s="27" t="str">
        <f>Resultados!$K$4</f>
        <v/>
      </c>
      <c r="C1902" s="569" t="str">
        <f>'900008'!$B94</f>
        <v>11905002</v>
      </c>
      <c r="D1902" t="str">
        <f>'900008'!$E$92</f>
        <v>C11905002</v>
      </c>
      <c r="E1902" s="570">
        <f>'900008'!$E94</f>
        <v>0</v>
      </c>
      <c r="F1902" s="27" t="s">
        <v>19088</v>
      </c>
    </row>
    <row r="1903" spans="1:6">
      <c r="A1903" s="27" t="str">
        <f>Resultados!$K$3</f>
        <v/>
      </c>
      <c r="B1903" s="27" t="str">
        <f>Resultados!$K$4</f>
        <v/>
      </c>
      <c r="C1903" s="569" t="str">
        <f>'900008'!$B95</f>
        <v>11905003</v>
      </c>
      <c r="D1903" s="27" t="str">
        <f>'900008'!$E$92</f>
        <v>C11905002</v>
      </c>
      <c r="E1903" s="570">
        <f>'900008'!$E95</f>
        <v>0</v>
      </c>
      <c r="F1903" s="27" t="s">
        <v>19088</v>
      </c>
    </row>
    <row r="1904" spans="1:6">
      <c r="A1904" s="27" t="str">
        <f>Resultados!$K$3</f>
        <v/>
      </c>
      <c r="B1904" s="27" t="str">
        <f>Resultados!$K$4</f>
        <v/>
      </c>
      <c r="C1904" s="569" t="str">
        <f>'900008'!$B94</f>
        <v>11905002</v>
      </c>
      <c r="D1904" t="str">
        <f>'900008'!$F$92</f>
        <v>C11905003</v>
      </c>
      <c r="E1904" s="570">
        <f>'900008'!$F94</f>
        <v>0</v>
      </c>
      <c r="F1904" s="27" t="s">
        <v>19088</v>
      </c>
    </row>
    <row r="1905" spans="1:6">
      <c r="A1905" s="27" t="str">
        <f>Resultados!$K$3</f>
        <v/>
      </c>
      <c r="B1905" s="27" t="str">
        <f>Resultados!$K$4</f>
        <v/>
      </c>
      <c r="C1905" s="569" t="str">
        <f>'900008'!$B95</f>
        <v>11905003</v>
      </c>
      <c r="D1905" s="27" t="str">
        <f>'900008'!$F$92</f>
        <v>C11905003</v>
      </c>
      <c r="E1905" s="570">
        <f>'900008'!$F95</f>
        <v>0</v>
      </c>
      <c r="F1905" s="27" t="s">
        <v>19088</v>
      </c>
    </row>
    <row r="1906" spans="1:6">
      <c r="A1906" s="27" t="str">
        <f>Resultados!$K$3</f>
        <v/>
      </c>
      <c r="B1906" s="27" t="str">
        <f>Resultados!$K$4</f>
        <v/>
      </c>
      <c r="C1906" s="569" t="str">
        <f>'900008'!$B94</f>
        <v>11905002</v>
      </c>
      <c r="D1906" t="str">
        <f>'900008'!$I$92</f>
        <v>C11905005</v>
      </c>
      <c r="E1906" s="570">
        <f>'900008'!$I94</f>
        <v>0</v>
      </c>
      <c r="F1906" s="27" t="s">
        <v>19088</v>
      </c>
    </row>
    <row r="1907" spans="1:6">
      <c r="A1907" s="27" t="str">
        <f>Resultados!$K$3</f>
        <v/>
      </c>
      <c r="B1907" s="27" t="str">
        <f>Resultados!$K$4</f>
        <v/>
      </c>
      <c r="C1907" s="569" t="str">
        <f>'900008'!$B95</f>
        <v>11905003</v>
      </c>
      <c r="D1907" s="27" t="str">
        <f>'900008'!$I$92</f>
        <v>C11905005</v>
      </c>
      <c r="E1907" s="570">
        <f>'900008'!$I95</f>
        <v>0</v>
      </c>
      <c r="F1907" s="27" t="s">
        <v>19088</v>
      </c>
    </row>
    <row r="1908" spans="1:6">
      <c r="A1908" s="27" t="str">
        <f>Resultados!$K$3</f>
        <v/>
      </c>
      <c r="B1908" s="27" t="str">
        <f>Resultados!$K$4</f>
        <v/>
      </c>
      <c r="C1908" s="569" t="str">
        <f>'900008'!$B94</f>
        <v>11905002</v>
      </c>
      <c r="D1908" t="str">
        <f>'900008'!$J$92</f>
        <v>C11905006</v>
      </c>
      <c r="E1908" s="570">
        <f>'900008'!$J94</f>
        <v>0</v>
      </c>
      <c r="F1908" s="27" t="s">
        <v>19088</v>
      </c>
    </row>
    <row r="1909" spans="1:6">
      <c r="A1909" s="27" t="str">
        <f>Resultados!$K$3</f>
        <v/>
      </c>
      <c r="B1909" s="27" t="str">
        <f>Resultados!$K$4</f>
        <v/>
      </c>
      <c r="C1909" s="569" t="str">
        <f>'900008'!$B95</f>
        <v>11905003</v>
      </c>
      <c r="D1909" s="27" t="str">
        <f>'900008'!$J$92</f>
        <v>C11905006</v>
      </c>
      <c r="E1909" s="570">
        <f>'900008'!$J95</f>
        <v>0</v>
      </c>
      <c r="F1909" s="27" t="s">
        <v>19088</v>
      </c>
    </row>
    <row r="1910" spans="1:6">
      <c r="A1910" s="27" t="str">
        <f>Resultados!$K$3</f>
        <v/>
      </c>
      <c r="B1910" s="27" t="str">
        <f>Resultados!$K$4</f>
        <v/>
      </c>
      <c r="C1910" s="569" t="str">
        <f>'900002'!$B46</f>
        <v>11102004</v>
      </c>
      <c r="D1910" t="str">
        <f>'900002'!$D$43</f>
        <v>C11102001</v>
      </c>
      <c r="E1910">
        <f>'900002'!$D46</f>
        <v>0</v>
      </c>
      <c r="F1910" s="27" t="s">
        <v>19082</v>
      </c>
    </row>
    <row r="1911" spans="1:6">
      <c r="A1911" s="27" t="str">
        <f>Resultados!$K$3</f>
        <v/>
      </c>
      <c r="B1911" s="27" t="str">
        <f>Resultados!$K$4</f>
        <v/>
      </c>
      <c r="C1911" s="569" t="str">
        <f>'900002'!$B47</f>
        <v>11102005</v>
      </c>
      <c r="D1911" s="27" t="str">
        <f>'900002'!$D$43</f>
        <v>C11102001</v>
      </c>
      <c r="E1911" s="27">
        <f>'900002'!$D47</f>
        <v>998906</v>
      </c>
      <c r="F1911" s="27" t="s">
        <v>19082</v>
      </c>
    </row>
    <row r="1912" spans="1:6">
      <c r="A1912" s="27" t="str">
        <f>Resultados!$K$3</f>
        <v/>
      </c>
      <c r="B1912" s="27" t="str">
        <f>Resultados!$K$4</f>
        <v/>
      </c>
      <c r="C1912" s="569" t="str">
        <f>'900002'!$B49</f>
        <v>11102008</v>
      </c>
      <c r="D1912" s="27" t="str">
        <f>'900002'!$D$43</f>
        <v>C11102001</v>
      </c>
      <c r="E1912">
        <f>'900002'!$D49</f>
        <v>0</v>
      </c>
      <c r="F1912" s="27" t="s">
        <v>19082</v>
      </c>
    </row>
    <row r="1913" spans="1:6">
      <c r="A1913" s="27" t="str">
        <f>Resultados!$K$3</f>
        <v/>
      </c>
      <c r="B1913" s="27" t="str">
        <f>Resultados!$K$4</f>
        <v/>
      </c>
      <c r="C1913" s="569" t="str">
        <f>'900002'!$B50</f>
        <v>11102002</v>
      </c>
      <c r="D1913" s="27" t="str">
        <f>'900002'!$D$43</f>
        <v>C11102001</v>
      </c>
      <c r="E1913" s="27">
        <f>'900002'!$D50</f>
        <v>-2334658</v>
      </c>
      <c r="F1913" s="27" t="s">
        <v>19082</v>
      </c>
    </row>
    <row r="1914" spans="1:6">
      <c r="A1914" s="27" t="str">
        <f>Resultados!$K$3</f>
        <v/>
      </c>
      <c r="B1914" s="27" t="str">
        <f>Resultados!$K$4</f>
        <v/>
      </c>
      <c r="C1914" s="569" t="str">
        <f>'900005'!$B$84</f>
        <v/>
      </c>
      <c r="D1914" t="str">
        <f>'900005'!$E$16</f>
        <v>C11601001</v>
      </c>
      <c r="E1914">
        <f>'900005'!$E84</f>
        <v>0</v>
      </c>
      <c r="F1914" s="569">
        <v>900005</v>
      </c>
    </row>
    <row r="1915" spans="1:6">
      <c r="A1915" s="27" t="str">
        <f>Resultados!$K$3</f>
        <v/>
      </c>
      <c r="B1915" s="27" t="str">
        <f>Resultados!$K$4</f>
        <v/>
      </c>
      <c r="C1915" s="569" t="str">
        <f>'900005'!$B$85</f>
        <v/>
      </c>
      <c r="D1915" s="27" t="str">
        <f>'900005'!$E$16</f>
        <v>C11601001</v>
      </c>
      <c r="E1915" s="27">
        <f>'900005'!$E85</f>
        <v>0</v>
      </c>
      <c r="F1915" s="569">
        <v>900005</v>
      </c>
    </row>
    <row r="1916" spans="1:6">
      <c r="A1916" s="27" t="str">
        <f>Resultados!$K$3</f>
        <v/>
      </c>
      <c r="B1916" s="27" t="str">
        <f>Resultados!$K$4</f>
        <v/>
      </c>
      <c r="C1916" s="569" t="str">
        <f>'900005'!$B$89</f>
        <v/>
      </c>
      <c r="D1916" s="27" t="str">
        <f>'900005'!$E$16</f>
        <v>C11601001</v>
      </c>
      <c r="E1916" s="27">
        <f>'900005'!$E89</f>
        <v>0</v>
      </c>
      <c r="F1916" s="569">
        <v>900005</v>
      </c>
    </row>
    <row r="1917" spans="1:6">
      <c r="A1917" s="27" t="str">
        <f>Resultados!$K$3</f>
        <v/>
      </c>
      <c r="B1917" s="27" t="str">
        <f>Resultados!$K$4</f>
        <v/>
      </c>
      <c r="C1917" t="str">
        <f>'900005'!$B$84</f>
        <v/>
      </c>
      <c r="D1917" t="str">
        <f>'900005'!$F$16</f>
        <v>C11601002</v>
      </c>
      <c r="E1917">
        <f>'900005'!$F84</f>
        <v>0</v>
      </c>
      <c r="F1917" s="569">
        <v>900005</v>
      </c>
    </row>
    <row r="1918" spans="1:6">
      <c r="A1918" s="27" t="str">
        <f>Resultados!$K$3</f>
        <v/>
      </c>
      <c r="B1918" s="27" t="str">
        <f>Resultados!$K$4</f>
        <v/>
      </c>
      <c r="C1918" t="str">
        <f>'900005'!$B$85</f>
        <v/>
      </c>
      <c r="D1918" s="27" t="str">
        <f>'900005'!$F$16</f>
        <v>C11601002</v>
      </c>
      <c r="E1918" s="27">
        <f>'900005'!$F85</f>
        <v>0</v>
      </c>
      <c r="F1918" s="569">
        <v>900005</v>
      </c>
    </row>
    <row r="1919" spans="1:6">
      <c r="A1919" s="27" t="str">
        <f>Resultados!$K$3</f>
        <v/>
      </c>
      <c r="B1919" s="27" t="str">
        <f>Resultados!$K$4</f>
        <v/>
      </c>
      <c r="C1919" t="str">
        <f>'900005'!$B$89</f>
        <v/>
      </c>
      <c r="D1919" s="27" t="str">
        <f>'900005'!$F$16</f>
        <v>C11601002</v>
      </c>
      <c r="E1919">
        <f>'900005'!$F89</f>
        <v>0</v>
      </c>
      <c r="F1919" s="569">
        <v>900005</v>
      </c>
    </row>
    <row r="1920" spans="1:6">
      <c r="A1920" s="27" t="str">
        <f>Resultados!$K$3</f>
        <v/>
      </c>
      <c r="B1920" s="27" t="str">
        <f>Resultados!$K$4</f>
        <v/>
      </c>
      <c r="C1920" s="27" t="str">
        <f>'900005'!$B$84</f>
        <v/>
      </c>
      <c r="D1920" s="27" t="str">
        <f>'900005'!$G$16</f>
        <v>C11601003</v>
      </c>
      <c r="E1920">
        <f>'900005'!$G$84</f>
        <v>0</v>
      </c>
      <c r="F1920" s="569">
        <v>900005</v>
      </c>
    </row>
    <row r="1921" spans="1:6">
      <c r="A1921" s="27" t="str">
        <f>Resultados!$K$3</f>
        <v/>
      </c>
      <c r="B1921" s="27" t="str">
        <f>Resultados!$K$4</f>
        <v/>
      </c>
      <c r="C1921" s="27" t="str">
        <f>'900005'!$B$85</f>
        <v/>
      </c>
      <c r="D1921" s="27" t="str">
        <f>'900005'!$G$16</f>
        <v>C11601003</v>
      </c>
      <c r="E1921">
        <f>'900005'!$G$85</f>
        <v>0</v>
      </c>
      <c r="F1921" s="569">
        <v>900005</v>
      </c>
    </row>
    <row r="1922" spans="1:6">
      <c r="A1922" s="27" t="str">
        <f>Resultados!$K$3</f>
        <v/>
      </c>
      <c r="B1922" s="27" t="str">
        <f>Resultados!$K$4</f>
        <v/>
      </c>
      <c r="C1922" s="27" t="str">
        <f>'900005'!$B$89</f>
        <v/>
      </c>
      <c r="D1922" s="27" t="str">
        <f>'900005'!$G$16</f>
        <v>C11601003</v>
      </c>
      <c r="E1922">
        <f>'900005'!$G$89</f>
        <v>0</v>
      </c>
      <c r="F1922" s="569">
        <v>900005</v>
      </c>
    </row>
    <row r="1923" spans="1:6">
      <c r="A1923"/>
      <c r="B1923"/>
    </row>
    <row r="1924" spans="1:6">
      <c r="A1924"/>
      <c r="B1924"/>
    </row>
    <row r="1925" spans="1:6">
      <c r="A1925"/>
      <c r="B1925"/>
    </row>
    <row r="1926" spans="1:6">
      <c r="A1926"/>
      <c r="B1926"/>
    </row>
    <row r="1927" spans="1:6">
      <c r="A1927"/>
      <c r="B1927"/>
    </row>
    <row r="1928" spans="1:6">
      <c r="A1928"/>
      <c r="B1928"/>
    </row>
    <row r="1929" spans="1:6">
      <c r="A1929"/>
      <c r="B1929"/>
    </row>
    <row r="1930" spans="1:6">
      <c r="A1930"/>
      <c r="B1930"/>
    </row>
    <row r="1931" spans="1:6">
      <c r="A1931"/>
      <c r="B1931"/>
    </row>
    <row r="1932" spans="1:6">
      <c r="A1932"/>
      <c r="B1932"/>
    </row>
    <row r="1933" spans="1:6">
      <c r="A1933"/>
      <c r="B1933"/>
    </row>
    <row r="1934" spans="1:6">
      <c r="A1934"/>
      <c r="B1934"/>
    </row>
    <row r="1935" spans="1:6">
      <c r="A1935"/>
      <c r="B1935"/>
      <c r="F1935" s="569"/>
    </row>
    <row r="1936" spans="1:6">
      <c r="A1936"/>
      <c r="B1936"/>
      <c r="F1936" s="569"/>
    </row>
    <row r="1937" spans="1:6">
      <c r="A1937"/>
      <c r="B1937"/>
      <c r="F1937" s="569"/>
    </row>
    <row r="1938" spans="1:6">
      <c r="A1938"/>
      <c r="B1938"/>
      <c r="F1938" s="569"/>
    </row>
    <row r="1939" spans="1:6">
      <c r="A1939"/>
      <c r="B1939"/>
      <c r="F1939" s="569"/>
    </row>
    <row r="1940" spans="1:6">
      <c r="A1940"/>
      <c r="B1940"/>
      <c r="F1940" s="569"/>
    </row>
    <row r="1941" spans="1:6">
      <c r="A1941"/>
      <c r="B1941"/>
      <c r="F1941" s="569"/>
    </row>
    <row r="1942" spans="1:6">
      <c r="A1942"/>
      <c r="B1942"/>
      <c r="F1942" s="569"/>
    </row>
    <row r="1943" spans="1:6">
      <c r="A1943"/>
      <c r="B1943"/>
      <c r="F1943" s="569"/>
    </row>
    <row r="1944" spans="1:6">
      <c r="A1944"/>
      <c r="B1944"/>
      <c r="F1944" s="569"/>
    </row>
    <row r="1945" spans="1:6">
      <c r="A1945"/>
      <c r="B1945"/>
      <c r="F1945" s="569"/>
    </row>
    <row r="1946" spans="1:6">
      <c r="F1946" s="569"/>
    </row>
    <row r="1947" spans="1:6">
      <c r="F1947" s="569"/>
    </row>
    <row r="1948" spans="1:6">
      <c r="F1948" s="569"/>
    </row>
    <row r="1949" spans="1:6">
      <c r="F1949" s="569"/>
    </row>
    <row r="1950" spans="1:6">
      <c r="F1950" s="569"/>
    </row>
    <row r="1951" spans="1:6">
      <c r="F1951" s="569"/>
    </row>
    <row r="1952" spans="1:6">
      <c r="F1952" s="569"/>
    </row>
    <row r="1953" spans="6:6">
      <c r="F1953" s="569"/>
    </row>
    <row r="1954" spans="6:6">
      <c r="F1954" s="569"/>
    </row>
    <row r="1955" spans="6:6">
      <c r="F1955" s="569"/>
    </row>
    <row r="1956" spans="6:6">
      <c r="F1956" s="569"/>
    </row>
    <row r="1957" spans="6:6">
      <c r="F1957" s="569"/>
    </row>
    <row r="1958" spans="6:6">
      <c r="F1958" s="569"/>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B9669"/>
  <sheetViews>
    <sheetView workbookViewId="0">
      <selection activeCell="A3" sqref="A3"/>
    </sheetView>
  </sheetViews>
  <sheetFormatPr baseColWidth="10" defaultRowHeight="15"/>
  <cols>
    <col min="1" max="1" width="12.5703125" customWidth="1"/>
    <col min="2" max="2" width="81.140625" customWidth="1"/>
  </cols>
  <sheetData>
    <row r="1" spans="1:2">
      <c r="A1" s="544" t="s">
        <v>2035</v>
      </c>
      <c r="B1" s="225" t="s">
        <v>2036</v>
      </c>
    </row>
    <row r="2" spans="1:2">
      <c r="A2" s="225" t="s">
        <v>7793</v>
      </c>
      <c r="B2" s="225" t="s">
        <v>7794</v>
      </c>
    </row>
    <row r="3" spans="1:2">
      <c r="A3" s="225" t="s">
        <v>7825</v>
      </c>
      <c r="B3" s="225" t="s">
        <v>4687</v>
      </c>
    </row>
    <row r="4" spans="1:2">
      <c r="A4" s="225" t="s">
        <v>7850</v>
      </c>
      <c r="B4" s="225" t="s">
        <v>4587</v>
      </c>
    </row>
    <row r="5" spans="1:2">
      <c r="A5" s="225" t="s">
        <v>2557</v>
      </c>
      <c r="B5" s="225" t="s">
        <v>2558</v>
      </c>
    </row>
    <row r="6" spans="1:2">
      <c r="A6" s="225" t="s">
        <v>798</v>
      </c>
      <c r="B6" s="225" t="s">
        <v>2573</v>
      </c>
    </row>
    <row r="7" spans="1:2">
      <c r="A7" s="225" t="s">
        <v>2576</v>
      </c>
      <c r="B7" s="225" t="s">
        <v>2577</v>
      </c>
    </row>
    <row r="8" spans="1:2">
      <c r="A8" s="225" t="s">
        <v>5470</v>
      </c>
      <c r="B8" s="225" t="s">
        <v>5471</v>
      </c>
    </row>
    <row r="9" spans="1:2">
      <c r="A9" s="225" t="s">
        <v>5472</v>
      </c>
      <c r="B9" s="225" t="s">
        <v>5473</v>
      </c>
    </row>
    <row r="10" spans="1:2">
      <c r="A10" s="225" t="s">
        <v>5474</v>
      </c>
      <c r="B10" s="225" t="s">
        <v>5428</v>
      </c>
    </row>
    <row r="11" spans="1:2">
      <c r="A11" s="225" t="s">
        <v>5477</v>
      </c>
      <c r="B11" s="225" t="s">
        <v>5478</v>
      </c>
    </row>
    <row r="12" spans="1:2">
      <c r="A12" s="225" t="s">
        <v>5481</v>
      </c>
      <c r="B12" s="225" t="s">
        <v>5482</v>
      </c>
    </row>
    <row r="13" spans="1:2">
      <c r="A13" s="225" t="s">
        <v>5483</v>
      </c>
      <c r="B13" s="225" t="s">
        <v>5484</v>
      </c>
    </row>
    <row r="14" spans="1:2">
      <c r="A14" s="225" t="s">
        <v>5485</v>
      </c>
      <c r="B14" s="225" t="s">
        <v>5486</v>
      </c>
    </row>
    <row r="15" spans="1:2">
      <c r="A15" s="225" t="s">
        <v>5487</v>
      </c>
      <c r="B15" s="225" t="s">
        <v>5488</v>
      </c>
    </row>
    <row r="16" spans="1:2">
      <c r="A16" s="225" t="s">
        <v>5489</v>
      </c>
      <c r="B16" s="225" t="s">
        <v>5490</v>
      </c>
    </row>
    <row r="17" spans="1:2">
      <c r="A17" s="225" t="s">
        <v>5491</v>
      </c>
      <c r="B17" s="225" t="s">
        <v>5492</v>
      </c>
    </row>
    <row r="18" spans="1:2">
      <c r="A18" s="225" t="s">
        <v>5493</v>
      </c>
      <c r="B18" s="225" t="s">
        <v>5494</v>
      </c>
    </row>
    <row r="19" spans="1:2">
      <c r="A19" s="225" t="s">
        <v>5495</v>
      </c>
      <c r="B19" s="225" t="s">
        <v>5449</v>
      </c>
    </row>
    <row r="20" spans="1:2">
      <c r="A20" s="225" t="s">
        <v>5496</v>
      </c>
      <c r="B20" s="225" t="s">
        <v>5451</v>
      </c>
    </row>
    <row r="21" spans="1:2">
      <c r="A21" s="225" t="s">
        <v>5497</v>
      </c>
      <c r="B21" s="225" t="s">
        <v>5453</v>
      </c>
    </row>
    <row r="22" spans="1:2">
      <c r="A22" s="225" t="s">
        <v>5498</v>
      </c>
      <c r="B22" s="225" t="s">
        <v>5455</v>
      </c>
    </row>
    <row r="23" spans="1:2">
      <c r="A23" s="225" t="s">
        <v>5499</v>
      </c>
      <c r="B23" s="225" t="s">
        <v>5457</v>
      </c>
    </row>
    <row r="24" spans="1:2">
      <c r="A24" s="225" t="s">
        <v>5500</v>
      </c>
      <c r="B24" s="225" t="s">
        <v>5459</v>
      </c>
    </row>
    <row r="25" spans="1:2">
      <c r="A25" s="225" t="s">
        <v>5501</v>
      </c>
      <c r="B25" s="225" t="s">
        <v>5461</v>
      </c>
    </row>
    <row r="26" spans="1:2">
      <c r="A26" s="225" t="s">
        <v>5502</v>
      </c>
      <c r="B26" s="225" t="s">
        <v>5463</v>
      </c>
    </row>
    <row r="27" spans="1:2">
      <c r="A27" s="225" t="s">
        <v>5503</v>
      </c>
      <c r="B27" s="225" t="s">
        <v>5465</v>
      </c>
    </row>
    <row r="28" spans="1:2">
      <c r="A28" s="225" t="s">
        <v>5504</v>
      </c>
      <c r="B28" s="225" t="s">
        <v>5467</v>
      </c>
    </row>
    <row r="29" spans="1:2">
      <c r="A29" s="225" t="s">
        <v>5505</v>
      </c>
      <c r="B29" s="225" t="s">
        <v>5463</v>
      </c>
    </row>
    <row r="30" spans="1:2">
      <c r="A30" s="225" t="s">
        <v>5506</v>
      </c>
      <c r="B30" s="225" t="s">
        <v>5469</v>
      </c>
    </row>
    <row r="31" spans="1:2">
      <c r="A31" s="225" t="s">
        <v>5507</v>
      </c>
      <c r="B31" s="225" t="s">
        <v>5508</v>
      </c>
    </row>
    <row r="32" spans="1:2">
      <c r="A32" s="225" t="s">
        <v>5509</v>
      </c>
      <c r="B32" s="225" t="s">
        <v>5471</v>
      </c>
    </row>
    <row r="33" spans="1:2">
      <c r="A33" s="225" t="s">
        <v>5510</v>
      </c>
      <c r="B33" s="225" t="s">
        <v>5511</v>
      </c>
    </row>
    <row r="34" spans="1:2">
      <c r="A34" s="225" t="s">
        <v>5512</v>
      </c>
      <c r="B34" s="225" t="s">
        <v>5513</v>
      </c>
    </row>
    <row r="35" spans="1:2">
      <c r="A35" s="225" t="s">
        <v>5514</v>
      </c>
      <c r="B35" s="225" t="s">
        <v>5515</v>
      </c>
    </row>
    <row r="36" spans="1:2">
      <c r="A36" s="225" t="s">
        <v>5516</v>
      </c>
      <c r="B36" s="225" t="s">
        <v>5517</v>
      </c>
    </row>
    <row r="37" spans="1:2">
      <c r="A37" s="225" t="s">
        <v>5519</v>
      </c>
      <c r="B37" s="225" t="s">
        <v>5520</v>
      </c>
    </row>
    <row r="38" spans="1:2">
      <c r="A38" s="225" t="s">
        <v>5611</v>
      </c>
      <c r="B38" s="225" t="s">
        <v>5612</v>
      </c>
    </row>
    <row r="39" spans="1:2">
      <c r="A39" s="225" t="s">
        <v>5438</v>
      </c>
      <c r="B39" s="225" t="s">
        <v>5439</v>
      </c>
    </row>
    <row r="40" spans="1:2">
      <c r="A40" s="225" t="s">
        <v>5440</v>
      </c>
      <c r="B40" s="225" t="s">
        <v>5441</v>
      </c>
    </row>
    <row r="41" spans="1:2">
      <c r="A41" s="225" t="s">
        <v>5442</v>
      </c>
      <c r="B41" s="225" t="s">
        <v>5443</v>
      </c>
    </row>
    <row r="42" spans="1:2">
      <c r="A42" s="225" t="s">
        <v>5444</v>
      </c>
      <c r="B42" s="225" t="s">
        <v>5445</v>
      </c>
    </row>
    <row r="43" spans="1:2">
      <c r="A43" s="225" t="s">
        <v>5446</v>
      </c>
      <c r="B43" s="225" t="s">
        <v>5447</v>
      </c>
    </row>
    <row r="44" spans="1:2">
      <c r="A44" s="225" t="s">
        <v>5448</v>
      </c>
      <c r="B44" s="225" t="s">
        <v>5449</v>
      </c>
    </row>
    <row r="45" spans="1:2">
      <c r="A45" s="225" t="s">
        <v>5450</v>
      </c>
      <c r="B45" s="225" t="s">
        <v>5451</v>
      </c>
    </row>
    <row r="46" spans="1:2">
      <c r="A46" s="225" t="s">
        <v>5452</v>
      </c>
      <c r="B46" s="225" t="s">
        <v>5453</v>
      </c>
    </row>
    <row r="47" spans="1:2">
      <c r="A47" s="225" t="s">
        <v>5454</v>
      </c>
      <c r="B47" s="225" t="s">
        <v>5455</v>
      </c>
    </row>
    <row r="48" spans="1:2">
      <c r="A48" s="225" t="s">
        <v>5456</v>
      </c>
      <c r="B48" s="225" t="s">
        <v>5457</v>
      </c>
    </row>
    <row r="49" spans="1:2">
      <c r="A49" s="225" t="s">
        <v>5458</v>
      </c>
      <c r="B49" s="225" t="s">
        <v>5459</v>
      </c>
    </row>
    <row r="50" spans="1:2">
      <c r="A50" s="225" t="s">
        <v>5460</v>
      </c>
      <c r="B50" s="225" t="s">
        <v>5461</v>
      </c>
    </row>
    <row r="51" spans="1:2">
      <c r="A51" s="225" t="s">
        <v>7740</v>
      </c>
      <c r="B51" s="225" t="s">
        <v>7741</v>
      </c>
    </row>
    <row r="52" spans="1:2">
      <c r="A52" s="225" t="s">
        <v>7742</v>
      </c>
      <c r="B52" s="225" t="s">
        <v>7743</v>
      </c>
    </row>
    <row r="53" spans="1:2">
      <c r="A53" s="225" t="s">
        <v>7744</v>
      </c>
      <c r="B53" s="225" t="s">
        <v>7745</v>
      </c>
    </row>
    <row r="54" spans="1:2">
      <c r="A54" s="225" t="s">
        <v>7826</v>
      </c>
      <c r="B54" s="225" t="s">
        <v>4846</v>
      </c>
    </row>
    <row r="55" spans="1:2">
      <c r="A55" s="225" t="s">
        <v>7848</v>
      </c>
      <c r="B55" s="225" t="s">
        <v>7849</v>
      </c>
    </row>
    <row r="56" spans="1:2">
      <c r="A56" s="225" t="s">
        <v>7851</v>
      </c>
      <c r="B56" s="225" t="s">
        <v>7852</v>
      </c>
    </row>
    <row r="57" spans="1:2">
      <c r="A57" s="225" t="s">
        <v>7853</v>
      </c>
      <c r="B57" s="225" t="s">
        <v>7854</v>
      </c>
    </row>
    <row r="58" spans="1:2">
      <c r="A58" s="225" t="s">
        <v>7855</v>
      </c>
      <c r="B58" s="225" t="s">
        <v>7856</v>
      </c>
    </row>
    <row r="59" spans="1:2">
      <c r="A59" s="225" t="s">
        <v>755</v>
      </c>
      <c r="B59" s="225" t="s">
        <v>7857</v>
      </c>
    </row>
    <row r="60" spans="1:2">
      <c r="A60" s="225" t="s">
        <v>7858</v>
      </c>
      <c r="B60" s="225" t="s">
        <v>7859</v>
      </c>
    </row>
    <row r="61" spans="1:2">
      <c r="A61" s="225" t="s">
        <v>7860</v>
      </c>
      <c r="B61" s="225" t="s">
        <v>7861</v>
      </c>
    </row>
    <row r="62" spans="1:2">
      <c r="A62" s="225" t="s">
        <v>7862</v>
      </c>
      <c r="B62" s="225" t="s">
        <v>7863</v>
      </c>
    </row>
    <row r="63" spans="1:2">
      <c r="A63" s="225" t="s">
        <v>7864</v>
      </c>
      <c r="B63" s="225" t="s">
        <v>7865</v>
      </c>
    </row>
    <row r="64" spans="1:2">
      <c r="A64" s="225" t="s">
        <v>7866</v>
      </c>
      <c r="B64" s="225" t="s">
        <v>7867</v>
      </c>
    </row>
    <row r="65" spans="1:2">
      <c r="A65" s="225" t="s">
        <v>7868</v>
      </c>
      <c r="B65" s="225" t="s">
        <v>7869</v>
      </c>
    </row>
    <row r="66" spans="1:2">
      <c r="A66" s="225" t="s">
        <v>7870</v>
      </c>
      <c r="B66" s="225" t="s">
        <v>7871</v>
      </c>
    </row>
    <row r="67" spans="1:2">
      <c r="A67" s="225" t="s">
        <v>7872</v>
      </c>
      <c r="B67" s="225" t="s">
        <v>7873</v>
      </c>
    </row>
    <row r="68" spans="1:2">
      <c r="A68" s="225" t="s">
        <v>7874</v>
      </c>
      <c r="B68" s="225" t="s">
        <v>7875</v>
      </c>
    </row>
    <row r="69" spans="1:2">
      <c r="A69" s="225" t="s">
        <v>7876</v>
      </c>
      <c r="B69" s="225" t="s">
        <v>7877</v>
      </c>
    </row>
    <row r="70" spans="1:2">
      <c r="A70" s="225" t="s">
        <v>7879</v>
      </c>
      <c r="B70" s="225" t="s">
        <v>7880</v>
      </c>
    </row>
    <row r="71" spans="1:2">
      <c r="A71" s="225" t="s">
        <v>7881</v>
      </c>
      <c r="B71" s="225" t="s">
        <v>7882</v>
      </c>
    </row>
    <row r="72" spans="1:2">
      <c r="A72" s="225" t="s">
        <v>7883</v>
      </c>
      <c r="B72" s="225" t="s">
        <v>7884</v>
      </c>
    </row>
    <row r="73" spans="1:2">
      <c r="A73" s="225" t="s">
        <v>7885</v>
      </c>
      <c r="B73" s="225" t="s">
        <v>7886</v>
      </c>
    </row>
    <row r="74" spans="1:2">
      <c r="A74" s="225" t="s">
        <v>7887</v>
      </c>
      <c r="B74" s="225" t="s">
        <v>7888</v>
      </c>
    </row>
    <row r="75" spans="1:2">
      <c r="A75" s="225" t="s">
        <v>7889</v>
      </c>
      <c r="B75" s="225" t="s">
        <v>7890</v>
      </c>
    </row>
    <row r="76" spans="1:2">
      <c r="A76" s="225" t="s">
        <v>7891</v>
      </c>
      <c r="B76" s="225" t="s">
        <v>7892</v>
      </c>
    </row>
    <row r="77" spans="1:2">
      <c r="A77" s="225" t="s">
        <v>7893</v>
      </c>
      <c r="B77" s="225" t="s">
        <v>7894</v>
      </c>
    </row>
    <row r="78" spans="1:2">
      <c r="A78" s="225" t="s">
        <v>7895</v>
      </c>
      <c r="B78" s="225" t="s">
        <v>7896</v>
      </c>
    </row>
    <row r="79" spans="1:2">
      <c r="A79" s="225" t="s">
        <v>7897</v>
      </c>
      <c r="B79" s="225" t="s">
        <v>7898</v>
      </c>
    </row>
    <row r="80" spans="1:2">
      <c r="A80" s="225" t="s">
        <v>7899</v>
      </c>
      <c r="B80" s="225" t="s">
        <v>7900</v>
      </c>
    </row>
    <row r="81" spans="1:2">
      <c r="A81" s="225" t="s">
        <v>7901</v>
      </c>
      <c r="B81" s="225" t="s">
        <v>7902</v>
      </c>
    </row>
    <row r="82" spans="1:2">
      <c r="A82" s="225" t="s">
        <v>7903</v>
      </c>
      <c r="B82" s="225" t="s">
        <v>7878</v>
      </c>
    </row>
    <row r="83" spans="1:2">
      <c r="A83" s="225" t="s">
        <v>7904</v>
      </c>
      <c r="B83" s="225" t="s">
        <v>7880</v>
      </c>
    </row>
    <row r="84" spans="1:2">
      <c r="A84" s="225" t="s">
        <v>7905</v>
      </c>
      <c r="B84" s="225" t="s">
        <v>7877</v>
      </c>
    </row>
    <row r="85" spans="1:2">
      <c r="A85" s="225" t="s">
        <v>7906</v>
      </c>
      <c r="B85" s="225" t="s">
        <v>7907</v>
      </c>
    </row>
    <row r="86" spans="1:2">
      <c r="A86" s="225" t="s">
        <v>7908</v>
      </c>
      <c r="B86" s="225" t="s">
        <v>7909</v>
      </c>
    </row>
    <row r="87" spans="1:2">
      <c r="A87" s="225" t="s">
        <v>7910</v>
      </c>
      <c r="B87" s="225" t="s">
        <v>7911</v>
      </c>
    </row>
    <row r="88" spans="1:2">
      <c r="A88" s="225" t="s">
        <v>7912</v>
      </c>
      <c r="B88" s="225" t="s">
        <v>7913</v>
      </c>
    </row>
    <row r="89" spans="1:2">
      <c r="A89" s="225" t="s">
        <v>7914</v>
      </c>
      <c r="B89" s="225" t="s">
        <v>7915</v>
      </c>
    </row>
    <row r="90" spans="1:2">
      <c r="A90" s="225" t="s">
        <v>7916</v>
      </c>
      <c r="B90" s="225" t="s">
        <v>7917</v>
      </c>
    </row>
    <row r="91" spans="1:2">
      <c r="A91" s="225" t="s">
        <v>7918</v>
      </c>
      <c r="B91" s="225" t="s">
        <v>7919</v>
      </c>
    </row>
    <row r="92" spans="1:2">
      <c r="A92" s="225" t="s">
        <v>7920</v>
      </c>
      <c r="B92" s="225" t="s">
        <v>1768</v>
      </c>
    </row>
    <row r="93" spans="1:2">
      <c r="A93" s="225" t="s">
        <v>7921</v>
      </c>
      <c r="B93" s="225" t="s">
        <v>6825</v>
      </c>
    </row>
    <row r="94" spans="1:2">
      <c r="A94" s="225" t="s">
        <v>7922</v>
      </c>
      <c r="B94" s="225" t="s">
        <v>7923</v>
      </c>
    </row>
    <row r="95" spans="1:2">
      <c r="A95" s="225" t="s">
        <v>8908</v>
      </c>
      <c r="B95" s="225" t="s">
        <v>8909</v>
      </c>
    </row>
    <row r="96" spans="1:2">
      <c r="A96" s="225" t="s">
        <v>9043</v>
      </c>
      <c r="B96" s="225" t="s">
        <v>9044</v>
      </c>
    </row>
    <row r="97" spans="1:2">
      <c r="A97" s="225" t="s">
        <v>9046</v>
      </c>
      <c r="B97" s="225" t="s">
        <v>9047</v>
      </c>
    </row>
    <row r="98" spans="1:2">
      <c r="A98" s="225" t="s">
        <v>9048</v>
      </c>
      <c r="B98" s="225" t="s">
        <v>9049</v>
      </c>
    </row>
    <row r="99" spans="1:2">
      <c r="A99" s="225" t="s">
        <v>9050</v>
      </c>
      <c r="B99" s="225" t="s">
        <v>9051</v>
      </c>
    </row>
    <row r="100" spans="1:2">
      <c r="A100" s="225" t="s">
        <v>1327</v>
      </c>
      <c r="B100" s="225" t="s">
        <v>2260</v>
      </c>
    </row>
    <row r="101" spans="1:2">
      <c r="A101" s="225" t="s">
        <v>9052</v>
      </c>
      <c r="B101" s="225" t="s">
        <v>9053</v>
      </c>
    </row>
    <row r="102" spans="1:2">
      <c r="A102" s="225" t="s">
        <v>1328</v>
      </c>
      <c r="B102" s="225" t="s">
        <v>2262</v>
      </c>
    </row>
    <row r="103" spans="1:2">
      <c r="A103" s="225" t="s">
        <v>9054</v>
      </c>
      <c r="B103" s="225" t="s">
        <v>2264</v>
      </c>
    </row>
    <row r="104" spans="1:2">
      <c r="A104" s="225" t="s">
        <v>9055</v>
      </c>
      <c r="B104" s="225" t="s">
        <v>2266</v>
      </c>
    </row>
    <row r="105" spans="1:2">
      <c r="A105" s="225" t="s">
        <v>1330</v>
      </c>
      <c r="B105" s="225" t="s">
        <v>2261</v>
      </c>
    </row>
    <row r="106" spans="1:2">
      <c r="A106" s="225" t="s">
        <v>9056</v>
      </c>
      <c r="B106" s="225" t="s">
        <v>9057</v>
      </c>
    </row>
    <row r="107" spans="1:2">
      <c r="A107" s="225" t="s">
        <v>9058</v>
      </c>
      <c r="B107" s="225" t="s">
        <v>9059</v>
      </c>
    </row>
    <row r="108" spans="1:2">
      <c r="A108" s="225" t="s">
        <v>9060</v>
      </c>
      <c r="B108" s="225" t="s">
        <v>9061</v>
      </c>
    </row>
    <row r="109" spans="1:2">
      <c r="A109" s="225" t="s">
        <v>9062</v>
      </c>
      <c r="B109" s="225" t="s">
        <v>9063</v>
      </c>
    </row>
    <row r="110" spans="1:2">
      <c r="A110" s="225" t="s">
        <v>9064</v>
      </c>
      <c r="B110" s="225" t="s">
        <v>2268</v>
      </c>
    </row>
    <row r="111" spans="1:2">
      <c r="A111" s="225" t="s">
        <v>9065</v>
      </c>
      <c r="B111" s="225" t="s">
        <v>9066</v>
      </c>
    </row>
    <row r="112" spans="1:2">
      <c r="A112" s="225" t="s">
        <v>9067</v>
      </c>
      <c r="B112" s="225" t="s">
        <v>9068</v>
      </c>
    </row>
    <row r="113" spans="1:2">
      <c r="A113" s="225" t="s">
        <v>9069</v>
      </c>
      <c r="B113" s="225" t="s">
        <v>9070</v>
      </c>
    </row>
    <row r="114" spans="1:2">
      <c r="A114" s="225" t="s">
        <v>9071</v>
      </c>
      <c r="B114" s="225" t="s">
        <v>9072</v>
      </c>
    </row>
    <row r="115" spans="1:2">
      <c r="A115" s="225" t="s">
        <v>9073</v>
      </c>
      <c r="B115" s="225" t="s">
        <v>9074</v>
      </c>
    </row>
    <row r="116" spans="1:2">
      <c r="A116" s="225" t="s">
        <v>9075</v>
      </c>
      <c r="B116" s="225" t="s">
        <v>9076</v>
      </c>
    </row>
    <row r="117" spans="1:2">
      <c r="A117" s="225" t="s">
        <v>9077</v>
      </c>
      <c r="B117" s="225" t="s">
        <v>9078</v>
      </c>
    </row>
    <row r="118" spans="1:2">
      <c r="A118" s="225" t="s">
        <v>9079</v>
      </c>
      <c r="B118" s="225" t="s">
        <v>9080</v>
      </c>
    </row>
    <row r="119" spans="1:2">
      <c r="A119" s="225" t="s">
        <v>9081</v>
      </c>
      <c r="B119" s="225" t="s">
        <v>9082</v>
      </c>
    </row>
    <row r="120" spans="1:2">
      <c r="A120" s="225" t="s">
        <v>9083</v>
      </c>
      <c r="B120" s="225" t="s">
        <v>9084</v>
      </c>
    </row>
    <row r="121" spans="1:2">
      <c r="A121" s="225" t="s">
        <v>9085</v>
      </c>
      <c r="B121" s="225" t="s">
        <v>9086</v>
      </c>
    </row>
    <row r="122" spans="1:2">
      <c r="A122" s="225" t="s">
        <v>9087</v>
      </c>
      <c r="B122" s="225" t="s">
        <v>9088</v>
      </c>
    </row>
    <row r="123" spans="1:2">
      <c r="A123" s="225" t="s">
        <v>9089</v>
      </c>
      <c r="B123" s="225" t="s">
        <v>9090</v>
      </c>
    </row>
    <row r="124" spans="1:2">
      <c r="A124" s="225" t="s">
        <v>9091</v>
      </c>
      <c r="B124" s="225" t="s">
        <v>4539</v>
      </c>
    </row>
    <row r="125" spans="1:2">
      <c r="A125" s="225" t="s">
        <v>9092</v>
      </c>
      <c r="B125" s="225" t="s">
        <v>4539</v>
      </c>
    </row>
    <row r="126" spans="1:2">
      <c r="A126" s="225" t="s">
        <v>9093</v>
      </c>
      <c r="B126" s="225" t="s">
        <v>9094</v>
      </c>
    </row>
    <row r="127" spans="1:2">
      <c r="A127" s="225" t="s">
        <v>9095</v>
      </c>
      <c r="B127" s="225" t="s">
        <v>9096</v>
      </c>
    </row>
    <row r="128" spans="1:2">
      <c r="A128" s="225" t="s">
        <v>9097</v>
      </c>
      <c r="B128" s="225" t="s">
        <v>9098</v>
      </c>
    </row>
    <row r="129" spans="1:2">
      <c r="A129" s="225" t="s">
        <v>9099</v>
      </c>
      <c r="B129" s="225" t="s">
        <v>9100</v>
      </c>
    </row>
    <row r="130" spans="1:2">
      <c r="A130" s="225" t="s">
        <v>9101</v>
      </c>
      <c r="B130" s="225" t="s">
        <v>9102</v>
      </c>
    </row>
    <row r="131" spans="1:2">
      <c r="A131" s="225" t="s">
        <v>9103</v>
      </c>
      <c r="B131" s="225" t="s">
        <v>9104</v>
      </c>
    </row>
    <row r="132" spans="1:2">
      <c r="A132" s="225" t="s">
        <v>9105</v>
      </c>
      <c r="B132" s="225" t="s">
        <v>9106</v>
      </c>
    </row>
    <row r="133" spans="1:2">
      <c r="A133" s="225" t="s">
        <v>11601</v>
      </c>
      <c r="B133" s="225" t="s">
        <v>20099</v>
      </c>
    </row>
    <row r="134" spans="1:2">
      <c r="A134" s="225" t="s">
        <v>9107</v>
      </c>
      <c r="B134" s="225" t="s">
        <v>9108</v>
      </c>
    </row>
    <row r="135" spans="1:2">
      <c r="A135" s="225" t="s">
        <v>9109</v>
      </c>
      <c r="B135" s="225" t="s">
        <v>9110</v>
      </c>
    </row>
    <row r="136" spans="1:2">
      <c r="A136" s="225" t="s">
        <v>725</v>
      </c>
      <c r="B136" s="225" t="s">
        <v>5475</v>
      </c>
    </row>
    <row r="137" spans="1:2">
      <c r="A137" s="225" t="s">
        <v>5479</v>
      </c>
      <c r="B137" s="225" t="s">
        <v>5437</v>
      </c>
    </row>
    <row r="138" spans="1:2">
      <c r="A138" s="225" t="s">
        <v>5480</v>
      </c>
      <c r="B138" s="225" t="s">
        <v>5439</v>
      </c>
    </row>
    <row r="139" spans="1:2">
      <c r="A139" s="225" t="s">
        <v>7924</v>
      </c>
      <c r="B139" s="225" t="s">
        <v>7925</v>
      </c>
    </row>
    <row r="140" spans="1:2">
      <c r="A140" s="225" t="s">
        <v>7926</v>
      </c>
      <c r="B140" s="225" t="s">
        <v>7927</v>
      </c>
    </row>
    <row r="141" spans="1:2">
      <c r="A141" s="225" t="s">
        <v>7928</v>
      </c>
      <c r="B141" s="225" t="s">
        <v>7929</v>
      </c>
    </row>
    <row r="142" spans="1:2">
      <c r="A142" s="225" t="s">
        <v>7930</v>
      </c>
      <c r="B142" s="225" t="s">
        <v>7931</v>
      </c>
    </row>
    <row r="143" spans="1:2">
      <c r="A143" s="225" t="s">
        <v>7932</v>
      </c>
      <c r="B143" s="225" t="s">
        <v>7933</v>
      </c>
    </row>
    <row r="144" spans="1:2">
      <c r="A144" s="225" t="s">
        <v>7934</v>
      </c>
      <c r="B144" s="225" t="s">
        <v>7935</v>
      </c>
    </row>
    <row r="145" spans="1:2">
      <c r="A145" s="225" t="s">
        <v>7936</v>
      </c>
      <c r="B145" s="225" t="s">
        <v>7937</v>
      </c>
    </row>
    <row r="146" spans="1:2">
      <c r="A146" s="225" t="s">
        <v>7938</v>
      </c>
      <c r="B146" s="225" t="s">
        <v>7939</v>
      </c>
    </row>
    <row r="147" spans="1:2">
      <c r="A147" s="225" t="s">
        <v>7940</v>
      </c>
      <c r="B147" s="225" t="s">
        <v>7941</v>
      </c>
    </row>
    <row r="148" spans="1:2">
      <c r="A148" s="225" t="s">
        <v>7942</v>
      </c>
      <c r="B148" s="225" t="s">
        <v>7943</v>
      </c>
    </row>
    <row r="149" spans="1:2">
      <c r="A149" s="225" t="s">
        <v>7944</v>
      </c>
      <c r="B149" s="225" t="s">
        <v>7945</v>
      </c>
    </row>
    <row r="150" spans="1:2">
      <c r="A150" s="225" t="s">
        <v>7946</v>
      </c>
      <c r="B150" s="225" t="s">
        <v>7947</v>
      </c>
    </row>
    <row r="151" spans="1:2">
      <c r="A151" s="225" t="s">
        <v>7948</v>
      </c>
      <c r="B151" s="225" t="s">
        <v>7949</v>
      </c>
    </row>
    <row r="152" spans="1:2">
      <c r="A152" s="225" t="s">
        <v>7950</v>
      </c>
      <c r="B152" s="225" t="s">
        <v>7951</v>
      </c>
    </row>
    <row r="153" spans="1:2">
      <c r="A153" s="225" t="s">
        <v>7952</v>
      </c>
      <c r="B153" s="225" t="s">
        <v>7953</v>
      </c>
    </row>
    <row r="154" spans="1:2">
      <c r="A154" s="225" t="s">
        <v>2657</v>
      </c>
      <c r="B154" s="225" t="s">
        <v>2658</v>
      </c>
    </row>
    <row r="155" spans="1:2">
      <c r="A155" s="225" t="s">
        <v>9149</v>
      </c>
      <c r="B155" s="225" t="s">
        <v>9150</v>
      </c>
    </row>
    <row r="156" spans="1:2">
      <c r="A156" s="225" t="s">
        <v>9151</v>
      </c>
      <c r="B156" s="225" t="s">
        <v>9152</v>
      </c>
    </row>
    <row r="157" spans="1:2">
      <c r="A157" s="225" t="s">
        <v>9154</v>
      </c>
      <c r="B157" s="225" t="s">
        <v>9155</v>
      </c>
    </row>
    <row r="158" spans="1:2">
      <c r="A158" s="225" t="s">
        <v>9156</v>
      </c>
      <c r="B158" s="225" t="s">
        <v>9157</v>
      </c>
    </row>
    <row r="159" spans="1:2">
      <c r="A159" s="225" t="s">
        <v>9158</v>
      </c>
      <c r="B159" s="225" t="s">
        <v>2199</v>
      </c>
    </row>
    <row r="160" spans="1:2">
      <c r="A160" s="225" t="s">
        <v>9159</v>
      </c>
      <c r="B160" s="225" t="s">
        <v>9160</v>
      </c>
    </row>
    <row r="161" spans="1:2">
      <c r="A161" s="225" t="s">
        <v>9161</v>
      </c>
      <c r="B161" s="225" t="s">
        <v>9162</v>
      </c>
    </row>
    <row r="162" spans="1:2">
      <c r="A162" s="225" t="s">
        <v>9163</v>
      </c>
      <c r="B162" s="225" t="s">
        <v>9164</v>
      </c>
    </row>
    <row r="163" spans="1:2">
      <c r="A163" s="225" t="s">
        <v>9165</v>
      </c>
      <c r="B163" s="225" t="s">
        <v>2199</v>
      </c>
    </row>
    <row r="164" spans="1:2">
      <c r="A164" s="225" t="s">
        <v>9166</v>
      </c>
      <c r="B164" s="225" t="s">
        <v>9167</v>
      </c>
    </row>
    <row r="165" spans="1:2">
      <c r="A165" s="225" t="s">
        <v>9168</v>
      </c>
      <c r="B165" s="225" t="s">
        <v>9169</v>
      </c>
    </row>
    <row r="166" spans="1:2">
      <c r="A166" s="225" t="s">
        <v>9170</v>
      </c>
      <c r="B166" s="225" t="s">
        <v>9171</v>
      </c>
    </row>
    <row r="167" spans="1:2">
      <c r="A167" s="225" t="s">
        <v>9172</v>
      </c>
      <c r="B167" s="225" t="s">
        <v>9173</v>
      </c>
    </row>
    <row r="168" spans="1:2">
      <c r="A168" s="225" t="s">
        <v>9174</v>
      </c>
      <c r="B168" s="225" t="s">
        <v>9175</v>
      </c>
    </row>
    <row r="169" spans="1:2">
      <c r="A169" s="225" t="s">
        <v>9176</v>
      </c>
      <c r="B169" s="225" t="s">
        <v>9177</v>
      </c>
    </row>
    <row r="170" spans="1:2">
      <c r="A170" s="225" t="s">
        <v>9178</v>
      </c>
      <c r="B170" s="225" t="s">
        <v>9179</v>
      </c>
    </row>
    <row r="171" spans="1:2">
      <c r="A171" s="225" t="s">
        <v>9180</v>
      </c>
      <c r="B171" s="225" t="s">
        <v>3851</v>
      </c>
    </row>
    <row r="172" spans="1:2">
      <c r="A172" s="225" t="s">
        <v>9181</v>
      </c>
      <c r="B172" s="225" t="s">
        <v>9182</v>
      </c>
    </row>
    <row r="173" spans="1:2">
      <c r="A173" s="225" t="s">
        <v>9183</v>
      </c>
      <c r="B173" s="225" t="s">
        <v>9184</v>
      </c>
    </row>
    <row r="174" spans="1:2">
      <c r="A174" s="225" t="s">
        <v>9185</v>
      </c>
      <c r="B174" s="225" t="s">
        <v>9186</v>
      </c>
    </row>
    <row r="175" spans="1:2">
      <c r="A175" s="225" t="s">
        <v>9187</v>
      </c>
      <c r="B175" s="225" t="s">
        <v>9188</v>
      </c>
    </row>
    <row r="176" spans="1:2">
      <c r="A176" s="225" t="s">
        <v>9189</v>
      </c>
      <c r="B176" s="225" t="s">
        <v>9190</v>
      </c>
    </row>
    <row r="177" spans="1:2">
      <c r="A177" s="225" t="s">
        <v>9191</v>
      </c>
      <c r="B177" s="225" t="s">
        <v>9192</v>
      </c>
    </row>
    <row r="178" spans="1:2">
      <c r="A178" s="225" t="s">
        <v>9193</v>
      </c>
      <c r="B178" s="225" t="s">
        <v>9194</v>
      </c>
    </row>
    <row r="179" spans="1:2">
      <c r="A179" s="225" t="s">
        <v>778</v>
      </c>
      <c r="B179" s="225" t="s">
        <v>5476</v>
      </c>
    </row>
    <row r="180" spans="1:2">
      <c r="A180" s="225" t="s">
        <v>1412</v>
      </c>
      <c r="B180" s="225" t="s">
        <v>2838</v>
      </c>
    </row>
    <row r="181" spans="1:2">
      <c r="A181" s="225" t="s">
        <v>1384</v>
      </c>
      <c r="B181" s="225" t="s">
        <v>2804</v>
      </c>
    </row>
    <row r="182" spans="1:2">
      <c r="A182" s="225" t="s">
        <v>1377</v>
      </c>
      <c r="B182" s="225" t="s">
        <v>2805</v>
      </c>
    </row>
    <row r="183" spans="1:2">
      <c r="A183" s="225" t="s">
        <v>3263</v>
      </c>
      <c r="B183" s="225" t="s">
        <v>3264</v>
      </c>
    </row>
    <row r="184" spans="1:2">
      <c r="A184" s="225" t="s">
        <v>3313</v>
      </c>
      <c r="B184" s="225" t="s">
        <v>3314</v>
      </c>
    </row>
    <row r="185" spans="1:2">
      <c r="A185" s="225" t="s">
        <v>3401</v>
      </c>
      <c r="B185" s="225" t="s">
        <v>3394</v>
      </c>
    </row>
    <row r="186" spans="1:2">
      <c r="A186" s="225" t="s">
        <v>1409</v>
      </c>
      <c r="B186" s="225" t="s">
        <v>2838</v>
      </c>
    </row>
    <row r="187" spans="1:2">
      <c r="A187" s="225" t="s">
        <v>2845</v>
      </c>
      <c r="B187" s="225" t="s">
        <v>2846</v>
      </c>
    </row>
    <row r="188" spans="1:2">
      <c r="A188" s="225" t="s">
        <v>5005</v>
      </c>
      <c r="B188" s="225" t="s">
        <v>5006</v>
      </c>
    </row>
    <row r="189" spans="1:2">
      <c r="A189" s="225" t="s">
        <v>1385</v>
      </c>
      <c r="B189" s="225" t="s">
        <v>2847</v>
      </c>
    </row>
    <row r="190" spans="1:2">
      <c r="A190" s="225" t="s">
        <v>2590</v>
      </c>
      <c r="B190" s="225" t="s">
        <v>2591</v>
      </c>
    </row>
    <row r="191" spans="1:2">
      <c r="A191" s="225" t="s">
        <v>2592</v>
      </c>
      <c r="B191" s="225" t="s">
        <v>2591</v>
      </c>
    </row>
    <row r="192" spans="1:2">
      <c r="A192" s="225" t="s">
        <v>826</v>
      </c>
      <c r="B192" s="225" t="s">
        <v>4013</v>
      </c>
    </row>
    <row r="193" spans="1:2">
      <c r="A193" s="225" t="s">
        <v>8038</v>
      </c>
      <c r="B193" s="225" t="s">
        <v>8039</v>
      </c>
    </row>
    <row r="194" spans="1:2">
      <c r="A194" s="225" t="s">
        <v>8631</v>
      </c>
      <c r="B194" s="225" t="s">
        <v>8632</v>
      </c>
    </row>
    <row r="195" spans="1:2">
      <c r="A195" s="225" t="s">
        <v>2052</v>
      </c>
      <c r="B195" s="225" t="s">
        <v>2053</v>
      </c>
    </row>
    <row r="196" spans="1:2">
      <c r="A196" s="225" t="s">
        <v>858</v>
      </c>
      <c r="B196" s="225" t="s">
        <v>3114</v>
      </c>
    </row>
    <row r="197" spans="1:2">
      <c r="A197" s="225" t="s">
        <v>3115</v>
      </c>
      <c r="B197" s="225" t="s">
        <v>3116</v>
      </c>
    </row>
    <row r="198" spans="1:2">
      <c r="A198" s="225" t="s">
        <v>3117</v>
      </c>
      <c r="B198" s="225" t="s">
        <v>3118</v>
      </c>
    </row>
    <row r="199" spans="1:2">
      <c r="A199" s="225" t="s">
        <v>3119</v>
      </c>
      <c r="B199" s="225" t="s">
        <v>3120</v>
      </c>
    </row>
    <row r="200" spans="1:2">
      <c r="A200" s="225" t="s">
        <v>3121</v>
      </c>
      <c r="B200" s="225" t="s">
        <v>3122</v>
      </c>
    </row>
    <row r="201" spans="1:2">
      <c r="A201" s="225" t="s">
        <v>3123</v>
      </c>
      <c r="B201" s="225" t="s">
        <v>3124</v>
      </c>
    </row>
    <row r="202" spans="1:2">
      <c r="A202" s="225" t="s">
        <v>3125</v>
      </c>
      <c r="B202" s="225" t="s">
        <v>3126</v>
      </c>
    </row>
    <row r="203" spans="1:2">
      <c r="A203" s="225" t="s">
        <v>815</v>
      </c>
      <c r="B203" s="225" t="s">
        <v>1707</v>
      </c>
    </row>
    <row r="204" spans="1:2">
      <c r="A204" s="225" t="s">
        <v>3127</v>
      </c>
      <c r="B204" s="225" t="s">
        <v>1728</v>
      </c>
    </row>
    <row r="205" spans="1:2">
      <c r="A205" s="225" t="s">
        <v>3128</v>
      </c>
      <c r="B205" s="225" t="s">
        <v>3129</v>
      </c>
    </row>
    <row r="206" spans="1:2">
      <c r="A206" s="225" t="s">
        <v>3130</v>
      </c>
      <c r="B206" s="225" t="s">
        <v>3131</v>
      </c>
    </row>
    <row r="207" spans="1:2">
      <c r="A207" s="225" t="s">
        <v>3132</v>
      </c>
      <c r="B207" s="225" t="s">
        <v>3133</v>
      </c>
    </row>
    <row r="208" spans="1:2">
      <c r="A208" s="225" t="s">
        <v>3134</v>
      </c>
      <c r="B208" s="225" t="s">
        <v>3135</v>
      </c>
    </row>
    <row r="209" spans="1:2">
      <c r="A209" s="225" t="s">
        <v>3136</v>
      </c>
      <c r="B209" s="225" t="s">
        <v>3137</v>
      </c>
    </row>
    <row r="210" spans="1:2">
      <c r="A210" s="225" t="s">
        <v>3138</v>
      </c>
      <c r="B210" s="225" t="s">
        <v>3139</v>
      </c>
    </row>
    <row r="211" spans="1:2">
      <c r="A211" s="225" t="s">
        <v>3140</v>
      </c>
      <c r="B211" s="225" t="s">
        <v>1745</v>
      </c>
    </row>
    <row r="212" spans="1:2">
      <c r="A212" s="225" t="s">
        <v>3141</v>
      </c>
      <c r="B212" s="225" t="s">
        <v>3142</v>
      </c>
    </row>
    <row r="213" spans="1:2">
      <c r="A213" s="225" t="s">
        <v>840</v>
      </c>
      <c r="B213" s="225" t="s">
        <v>3143</v>
      </c>
    </row>
    <row r="214" spans="1:2">
      <c r="A214" s="225" t="s">
        <v>3144</v>
      </c>
      <c r="B214" s="225" t="s">
        <v>3145</v>
      </c>
    </row>
    <row r="215" spans="1:2">
      <c r="A215" s="225" t="s">
        <v>1343</v>
      </c>
      <c r="B215" s="225" t="s">
        <v>3146</v>
      </c>
    </row>
    <row r="216" spans="1:2">
      <c r="A216" s="225" t="s">
        <v>1360</v>
      </c>
      <c r="B216" s="225" t="s">
        <v>1731</v>
      </c>
    </row>
    <row r="217" spans="1:2">
      <c r="A217" s="225" t="s">
        <v>799</v>
      </c>
      <c r="B217" s="225" t="s">
        <v>3147</v>
      </c>
    </row>
    <row r="218" spans="1:2">
      <c r="A218" s="225" t="s">
        <v>3148</v>
      </c>
      <c r="B218" s="225" t="s">
        <v>3149</v>
      </c>
    </row>
    <row r="219" spans="1:2">
      <c r="A219" s="225" t="s">
        <v>3150</v>
      </c>
      <c r="B219" s="225" t="s">
        <v>3151</v>
      </c>
    </row>
    <row r="220" spans="1:2">
      <c r="A220" s="225" t="s">
        <v>3152</v>
      </c>
      <c r="B220" s="225" t="s">
        <v>3153</v>
      </c>
    </row>
    <row r="221" spans="1:2">
      <c r="A221" s="225" t="s">
        <v>3154</v>
      </c>
      <c r="B221" s="225" t="s">
        <v>3155</v>
      </c>
    </row>
    <row r="222" spans="1:2">
      <c r="A222" s="225" t="s">
        <v>3156</v>
      </c>
      <c r="B222" s="225" t="s">
        <v>3157</v>
      </c>
    </row>
    <row r="223" spans="1:2">
      <c r="A223" s="225" t="s">
        <v>3158</v>
      </c>
      <c r="B223" s="225" t="s">
        <v>3159</v>
      </c>
    </row>
    <row r="224" spans="1:2">
      <c r="A224" s="225" t="s">
        <v>907</v>
      </c>
      <c r="B224" s="225" t="s">
        <v>3160</v>
      </c>
    </row>
    <row r="225" spans="1:2">
      <c r="A225" s="225" t="s">
        <v>3161</v>
      </c>
      <c r="B225" s="225" t="s">
        <v>3162</v>
      </c>
    </row>
    <row r="226" spans="1:2">
      <c r="A226" s="225" t="s">
        <v>3163</v>
      </c>
      <c r="B226" s="225" t="s">
        <v>3164</v>
      </c>
    </row>
    <row r="227" spans="1:2">
      <c r="A227" s="225" t="s">
        <v>3165</v>
      </c>
      <c r="B227" s="225" t="s">
        <v>3166</v>
      </c>
    </row>
    <row r="228" spans="1:2">
      <c r="A228" s="225" t="s">
        <v>3167</v>
      </c>
      <c r="B228" s="225" t="s">
        <v>3168</v>
      </c>
    </row>
    <row r="229" spans="1:2">
      <c r="A229" s="225" t="s">
        <v>3169</v>
      </c>
      <c r="B229" s="225" t="s">
        <v>3170</v>
      </c>
    </row>
    <row r="230" spans="1:2">
      <c r="A230" s="225" t="s">
        <v>3171</v>
      </c>
      <c r="B230" s="225" t="s">
        <v>3172</v>
      </c>
    </row>
    <row r="231" spans="1:2">
      <c r="A231" s="225" t="s">
        <v>3173</v>
      </c>
      <c r="B231" s="225" t="s">
        <v>3174</v>
      </c>
    </row>
    <row r="232" spans="1:2">
      <c r="A232" s="225" t="s">
        <v>3175</v>
      </c>
      <c r="B232" s="225" t="s">
        <v>3176</v>
      </c>
    </row>
    <row r="233" spans="1:2">
      <c r="A233" s="225" t="s">
        <v>3177</v>
      </c>
      <c r="B233" s="225" t="s">
        <v>3178</v>
      </c>
    </row>
    <row r="234" spans="1:2">
      <c r="A234" s="225" t="s">
        <v>3179</v>
      </c>
      <c r="B234" s="225" t="s">
        <v>3180</v>
      </c>
    </row>
    <row r="235" spans="1:2">
      <c r="A235" s="225" t="s">
        <v>3181</v>
      </c>
      <c r="B235" s="225" t="s">
        <v>3182</v>
      </c>
    </row>
    <row r="236" spans="1:2">
      <c r="A236" s="225" t="s">
        <v>3183</v>
      </c>
      <c r="B236" s="225" t="s">
        <v>3184</v>
      </c>
    </row>
    <row r="237" spans="1:2">
      <c r="A237" s="225" t="s">
        <v>3185</v>
      </c>
      <c r="B237" s="225" t="s">
        <v>3186</v>
      </c>
    </row>
    <row r="238" spans="1:2">
      <c r="A238" s="225" t="s">
        <v>964</v>
      </c>
      <c r="B238" s="225" t="s">
        <v>3187</v>
      </c>
    </row>
    <row r="239" spans="1:2">
      <c r="A239" s="225" t="s">
        <v>3188</v>
      </c>
      <c r="B239" s="225" t="s">
        <v>3189</v>
      </c>
    </row>
    <row r="240" spans="1:2">
      <c r="A240" s="225" t="s">
        <v>3190</v>
      </c>
      <c r="B240" s="225" t="s">
        <v>3191</v>
      </c>
    </row>
    <row r="241" spans="1:2">
      <c r="A241" s="225" t="s">
        <v>3192</v>
      </c>
      <c r="B241" s="225" t="s">
        <v>3193</v>
      </c>
    </row>
    <row r="242" spans="1:2">
      <c r="A242" s="225" t="s">
        <v>3194</v>
      </c>
      <c r="B242" s="225" t="s">
        <v>3195</v>
      </c>
    </row>
    <row r="243" spans="1:2">
      <c r="A243" s="225" t="s">
        <v>3196</v>
      </c>
      <c r="B243" s="225" t="s">
        <v>3197</v>
      </c>
    </row>
    <row r="244" spans="1:2">
      <c r="A244" s="225" t="s">
        <v>3198</v>
      </c>
      <c r="B244" s="225" t="s">
        <v>3199</v>
      </c>
    </row>
    <row r="245" spans="1:2">
      <c r="A245" s="225" t="s">
        <v>3200</v>
      </c>
      <c r="B245" s="225" t="s">
        <v>3201</v>
      </c>
    </row>
    <row r="246" spans="1:2">
      <c r="A246" s="225" t="s">
        <v>3202</v>
      </c>
      <c r="B246" s="225" t="s">
        <v>3203</v>
      </c>
    </row>
    <row r="247" spans="1:2">
      <c r="A247" s="225" t="s">
        <v>3204</v>
      </c>
      <c r="B247" s="225" t="s">
        <v>3205</v>
      </c>
    </row>
    <row r="248" spans="1:2">
      <c r="A248" s="225" t="s">
        <v>3206</v>
      </c>
      <c r="B248" s="225" t="s">
        <v>3207</v>
      </c>
    </row>
    <row r="249" spans="1:2">
      <c r="A249" s="225" t="s">
        <v>897</v>
      </c>
      <c r="B249" s="225" t="s">
        <v>3208</v>
      </c>
    </row>
    <row r="250" spans="1:2">
      <c r="A250" s="225" t="s">
        <v>3209</v>
      </c>
      <c r="B250" s="225" t="s">
        <v>3210</v>
      </c>
    </row>
    <row r="251" spans="1:2">
      <c r="A251" s="225" t="s">
        <v>863</v>
      </c>
      <c r="B251" s="225" t="s">
        <v>3211</v>
      </c>
    </row>
    <row r="252" spans="1:2">
      <c r="A252" s="225" t="s">
        <v>3212</v>
      </c>
      <c r="B252" s="225" t="s">
        <v>3213</v>
      </c>
    </row>
    <row r="253" spans="1:2">
      <c r="A253" s="225" t="s">
        <v>3214</v>
      </c>
      <c r="B253" s="225" t="s">
        <v>3215</v>
      </c>
    </row>
    <row r="254" spans="1:2">
      <c r="A254" s="225" t="s">
        <v>3216</v>
      </c>
      <c r="B254" s="225" t="s">
        <v>3217</v>
      </c>
    </row>
    <row r="255" spans="1:2">
      <c r="A255" s="225" t="s">
        <v>1169</v>
      </c>
      <c r="B255" s="225" t="s">
        <v>3218</v>
      </c>
    </row>
    <row r="256" spans="1:2">
      <c r="A256" s="225" t="s">
        <v>3219</v>
      </c>
      <c r="B256" s="225" t="s">
        <v>3220</v>
      </c>
    </row>
    <row r="257" spans="1:2">
      <c r="A257" s="225" t="s">
        <v>3221</v>
      </c>
      <c r="B257" s="225" t="s">
        <v>3222</v>
      </c>
    </row>
    <row r="258" spans="1:2">
      <c r="A258" s="225" t="s">
        <v>3223</v>
      </c>
      <c r="B258" s="225" t="s">
        <v>3224</v>
      </c>
    </row>
    <row r="259" spans="1:2">
      <c r="A259" s="225" t="s">
        <v>3225</v>
      </c>
      <c r="B259" s="225" t="s">
        <v>3226</v>
      </c>
    </row>
    <row r="260" spans="1:2">
      <c r="A260" s="225" t="s">
        <v>3227</v>
      </c>
      <c r="B260" s="225" t="s">
        <v>3228</v>
      </c>
    </row>
    <row r="261" spans="1:2">
      <c r="A261" s="225" t="s">
        <v>844</v>
      </c>
      <c r="B261" s="225" t="s">
        <v>3229</v>
      </c>
    </row>
    <row r="262" spans="1:2">
      <c r="A262" s="225" t="s">
        <v>3230</v>
      </c>
      <c r="B262" s="225" t="s">
        <v>3231</v>
      </c>
    </row>
    <row r="263" spans="1:2">
      <c r="A263" s="225" t="s">
        <v>3232</v>
      </c>
      <c r="B263" s="225" t="s">
        <v>3233</v>
      </c>
    </row>
    <row r="264" spans="1:2">
      <c r="A264" s="225" t="s">
        <v>3234</v>
      </c>
      <c r="B264" s="225" t="s">
        <v>3235</v>
      </c>
    </row>
    <row r="265" spans="1:2">
      <c r="A265" s="225" t="s">
        <v>3236</v>
      </c>
      <c r="B265" s="225" t="s">
        <v>3237</v>
      </c>
    </row>
    <row r="266" spans="1:2">
      <c r="A266" s="225" t="s">
        <v>3238</v>
      </c>
      <c r="B266" s="225" t="s">
        <v>3239</v>
      </c>
    </row>
    <row r="267" spans="1:2">
      <c r="A267" s="225" t="s">
        <v>3240</v>
      </c>
      <c r="B267" s="225" t="s">
        <v>3241</v>
      </c>
    </row>
    <row r="268" spans="1:2">
      <c r="A268" s="225" t="s">
        <v>3242</v>
      </c>
      <c r="B268" s="225" t="s">
        <v>3243</v>
      </c>
    </row>
    <row r="269" spans="1:2">
      <c r="A269" s="225" t="s">
        <v>3244</v>
      </c>
      <c r="B269" s="225" t="s">
        <v>3245</v>
      </c>
    </row>
    <row r="270" spans="1:2">
      <c r="A270" s="225" t="s">
        <v>3246</v>
      </c>
      <c r="B270" s="225" t="s">
        <v>3247</v>
      </c>
    </row>
    <row r="271" spans="1:2">
      <c r="A271" s="225" t="s">
        <v>3248</v>
      </c>
      <c r="B271" s="225" t="s">
        <v>3237</v>
      </c>
    </row>
    <row r="272" spans="1:2">
      <c r="A272" s="225" t="s">
        <v>3249</v>
      </c>
      <c r="B272" s="225" t="s">
        <v>3239</v>
      </c>
    </row>
    <row r="273" spans="1:2">
      <c r="A273" s="225" t="s">
        <v>3250</v>
      </c>
      <c r="B273" s="225" t="s">
        <v>3241</v>
      </c>
    </row>
    <row r="274" spans="1:2">
      <c r="A274" s="225" t="s">
        <v>3251</v>
      </c>
      <c r="B274" s="225" t="s">
        <v>3243</v>
      </c>
    </row>
    <row r="275" spans="1:2">
      <c r="A275" s="225" t="s">
        <v>3252</v>
      </c>
      <c r="B275" s="225" t="s">
        <v>3253</v>
      </c>
    </row>
    <row r="276" spans="1:2">
      <c r="A276" s="225" t="s">
        <v>3254</v>
      </c>
      <c r="B276" s="225" t="s">
        <v>3255</v>
      </c>
    </row>
    <row r="277" spans="1:2">
      <c r="A277" s="225" t="s">
        <v>3256</v>
      </c>
      <c r="B277" s="225" t="s">
        <v>3257</v>
      </c>
    </row>
    <row r="278" spans="1:2">
      <c r="A278" s="225" t="s">
        <v>3259</v>
      </c>
      <c r="B278" s="225" t="s">
        <v>3260</v>
      </c>
    </row>
    <row r="279" spans="1:2">
      <c r="A279" s="225" t="s">
        <v>3261</v>
      </c>
      <c r="B279" s="225" t="s">
        <v>3262</v>
      </c>
    </row>
    <row r="280" spans="1:2">
      <c r="A280" s="225" t="s">
        <v>3265</v>
      </c>
      <c r="B280" s="225" t="s">
        <v>3266</v>
      </c>
    </row>
    <row r="281" spans="1:2">
      <c r="A281" s="225" t="s">
        <v>3267</v>
      </c>
      <c r="B281" s="225" t="s">
        <v>3268</v>
      </c>
    </row>
    <row r="282" spans="1:2">
      <c r="A282" s="225" t="s">
        <v>827</v>
      </c>
      <c r="B282" s="225" t="s">
        <v>3269</v>
      </c>
    </row>
    <row r="283" spans="1:2">
      <c r="A283" s="225" t="s">
        <v>3270</v>
      </c>
      <c r="B283" s="225" t="s">
        <v>3271</v>
      </c>
    </row>
    <row r="284" spans="1:2">
      <c r="A284" s="225" t="s">
        <v>3272</v>
      </c>
      <c r="B284" s="225" t="s">
        <v>3273</v>
      </c>
    </row>
    <row r="285" spans="1:2">
      <c r="A285" s="225" t="s">
        <v>3274</v>
      </c>
      <c r="B285" s="225" t="s">
        <v>3275</v>
      </c>
    </row>
    <row r="286" spans="1:2">
      <c r="A286" s="225" t="s">
        <v>3276</v>
      </c>
      <c r="B286" s="225" t="s">
        <v>3277</v>
      </c>
    </row>
    <row r="287" spans="1:2">
      <c r="A287" s="225" t="s">
        <v>3278</v>
      </c>
      <c r="B287" s="225" t="s">
        <v>3279</v>
      </c>
    </row>
    <row r="288" spans="1:2">
      <c r="A288" s="225" t="s">
        <v>3280</v>
      </c>
      <c r="B288" s="225" t="s">
        <v>3281</v>
      </c>
    </row>
    <row r="289" spans="1:2">
      <c r="A289" s="225" t="s">
        <v>3282</v>
      </c>
      <c r="B289" s="225" t="s">
        <v>3283</v>
      </c>
    </row>
    <row r="290" spans="1:2">
      <c r="A290" s="225" t="s">
        <v>3284</v>
      </c>
      <c r="B290" s="225" t="s">
        <v>3285</v>
      </c>
    </row>
    <row r="291" spans="1:2">
      <c r="A291" s="225" t="s">
        <v>3286</v>
      </c>
      <c r="B291" s="225" t="s">
        <v>3287</v>
      </c>
    </row>
    <row r="292" spans="1:2">
      <c r="A292" s="225" t="s">
        <v>3288</v>
      </c>
      <c r="B292" s="225" t="s">
        <v>1679</v>
      </c>
    </row>
    <row r="293" spans="1:2">
      <c r="A293" s="225" t="s">
        <v>793</v>
      </c>
      <c r="B293" s="225" t="s">
        <v>3289</v>
      </c>
    </row>
    <row r="294" spans="1:2">
      <c r="A294" s="225" t="s">
        <v>3290</v>
      </c>
      <c r="B294" s="225" t="s">
        <v>3291</v>
      </c>
    </row>
    <row r="295" spans="1:2">
      <c r="A295" s="225" t="s">
        <v>3292</v>
      </c>
      <c r="B295" s="225" t="s">
        <v>3293</v>
      </c>
    </row>
    <row r="296" spans="1:2">
      <c r="A296" s="225" t="s">
        <v>3296</v>
      </c>
      <c r="B296" s="225" t="s">
        <v>3297</v>
      </c>
    </row>
    <row r="297" spans="1:2">
      <c r="A297" s="225" t="s">
        <v>3298</v>
      </c>
      <c r="B297" s="225" t="s">
        <v>3299</v>
      </c>
    </row>
    <row r="298" spans="1:2">
      <c r="A298" s="225" t="s">
        <v>3300</v>
      </c>
      <c r="B298" s="225" t="s">
        <v>3301</v>
      </c>
    </row>
    <row r="299" spans="1:2">
      <c r="A299" s="225" t="s">
        <v>3302</v>
      </c>
      <c r="B299" s="225" t="s">
        <v>3303</v>
      </c>
    </row>
    <row r="300" spans="1:2">
      <c r="A300" s="225" t="s">
        <v>3304</v>
      </c>
      <c r="B300" s="225" t="s">
        <v>3305</v>
      </c>
    </row>
    <row r="301" spans="1:2">
      <c r="A301" s="225" t="s">
        <v>3307</v>
      </c>
      <c r="B301" s="225" t="s">
        <v>3308</v>
      </c>
    </row>
    <row r="302" spans="1:2">
      <c r="A302" s="225" t="s">
        <v>3309</v>
      </c>
      <c r="B302" s="225" t="s">
        <v>3310</v>
      </c>
    </row>
    <row r="303" spans="1:2">
      <c r="A303" s="225" t="s">
        <v>3311</v>
      </c>
      <c r="B303" s="225" t="s">
        <v>3312</v>
      </c>
    </row>
    <row r="304" spans="1:2">
      <c r="A304" s="225" t="s">
        <v>892</v>
      </c>
      <c r="B304" s="225" t="s">
        <v>3316</v>
      </c>
    </row>
    <row r="305" spans="1:2">
      <c r="A305" s="225" t="s">
        <v>3319</v>
      </c>
      <c r="B305" s="225" t="s">
        <v>3320</v>
      </c>
    </row>
    <row r="306" spans="1:2">
      <c r="A306" s="225" t="s">
        <v>3321</v>
      </c>
      <c r="B306" s="225" t="s">
        <v>3322</v>
      </c>
    </row>
    <row r="307" spans="1:2">
      <c r="A307" s="225" t="s">
        <v>2588</v>
      </c>
      <c r="B307" s="225" t="s">
        <v>2589</v>
      </c>
    </row>
    <row r="308" spans="1:2">
      <c r="A308" s="225" t="s">
        <v>2593</v>
      </c>
      <c r="B308" s="225" t="s">
        <v>2059</v>
      </c>
    </row>
    <row r="309" spans="1:2">
      <c r="A309" s="225" t="s">
        <v>2594</v>
      </c>
      <c r="B309" s="225" t="s">
        <v>2595</v>
      </c>
    </row>
    <row r="310" spans="1:2">
      <c r="A310" s="225" t="s">
        <v>2596</v>
      </c>
      <c r="B310" s="225" t="s">
        <v>2597</v>
      </c>
    </row>
    <row r="311" spans="1:2">
      <c r="A311" s="225" t="s">
        <v>2598</v>
      </c>
      <c r="B311" s="225" t="s">
        <v>2599</v>
      </c>
    </row>
    <row r="312" spans="1:2">
      <c r="A312" s="225" t="s">
        <v>1342</v>
      </c>
      <c r="B312" s="225" t="s">
        <v>2600</v>
      </c>
    </row>
    <row r="313" spans="1:2">
      <c r="A313" s="225" t="s">
        <v>2601</v>
      </c>
      <c r="B313" s="225" t="s">
        <v>2602</v>
      </c>
    </row>
    <row r="314" spans="1:2">
      <c r="A314" s="225" t="s">
        <v>2603</v>
      </c>
      <c r="B314" s="225" t="s">
        <v>2604</v>
      </c>
    </row>
    <row r="315" spans="1:2">
      <c r="A315" s="225" t="s">
        <v>2605</v>
      </c>
      <c r="B315" s="225" t="s">
        <v>2606</v>
      </c>
    </row>
    <row r="316" spans="1:2">
      <c r="A316" s="225" t="s">
        <v>2607</v>
      </c>
      <c r="B316" s="225" t="s">
        <v>2608</v>
      </c>
    </row>
    <row r="317" spans="1:2">
      <c r="A317" s="225" t="s">
        <v>2610</v>
      </c>
      <c r="B317" s="225" t="s">
        <v>2611</v>
      </c>
    </row>
    <row r="318" spans="1:2">
      <c r="A318" s="225" t="s">
        <v>2612</v>
      </c>
      <c r="B318" s="225" t="s">
        <v>2613</v>
      </c>
    </row>
    <row r="319" spans="1:2">
      <c r="A319" s="225" t="s">
        <v>1344</v>
      </c>
      <c r="B319" s="225" t="s">
        <v>2614</v>
      </c>
    </row>
    <row r="320" spans="1:2">
      <c r="A320" s="225" t="s">
        <v>2615</v>
      </c>
      <c r="B320" s="225" t="s">
        <v>2616</v>
      </c>
    </row>
    <row r="321" spans="1:2">
      <c r="A321" s="225" t="s">
        <v>2617</v>
      </c>
      <c r="B321" s="225" t="s">
        <v>2618</v>
      </c>
    </row>
    <row r="322" spans="1:2">
      <c r="A322" s="225" t="s">
        <v>2619</v>
      </c>
      <c r="B322" s="225" t="s">
        <v>2620</v>
      </c>
    </row>
    <row r="323" spans="1:2">
      <c r="A323" s="225" t="s">
        <v>2621</v>
      </c>
      <c r="B323" s="225" t="s">
        <v>2622</v>
      </c>
    </row>
    <row r="324" spans="1:2">
      <c r="A324" s="225" t="s">
        <v>2623</v>
      </c>
      <c r="B324" s="225" t="s">
        <v>2624</v>
      </c>
    </row>
    <row r="325" spans="1:2">
      <c r="A325" s="225" t="s">
        <v>2625</v>
      </c>
      <c r="B325" s="225" t="s">
        <v>2626</v>
      </c>
    </row>
    <row r="326" spans="1:2">
      <c r="A326" s="225" t="s">
        <v>2627</v>
      </c>
      <c r="B326" s="225" t="s">
        <v>2628</v>
      </c>
    </row>
    <row r="327" spans="1:2">
      <c r="A327" s="225" t="s">
        <v>2629</v>
      </c>
      <c r="B327" s="225" t="s">
        <v>2630</v>
      </c>
    </row>
    <row r="328" spans="1:2">
      <c r="A328" s="225" t="s">
        <v>2631</v>
      </c>
      <c r="B328" s="225" t="s">
        <v>2632</v>
      </c>
    </row>
    <row r="329" spans="1:2">
      <c r="A329" s="225" t="s">
        <v>2633</v>
      </c>
      <c r="B329" s="225" t="s">
        <v>2634</v>
      </c>
    </row>
    <row r="330" spans="1:2">
      <c r="A330" s="225" t="s">
        <v>2635</v>
      </c>
      <c r="B330" s="225" t="s">
        <v>2636</v>
      </c>
    </row>
    <row r="331" spans="1:2">
      <c r="A331" s="225" t="s">
        <v>2637</v>
      </c>
      <c r="B331" s="225" t="s">
        <v>2638</v>
      </c>
    </row>
    <row r="332" spans="1:2">
      <c r="A332" s="225" t="s">
        <v>2639</v>
      </c>
      <c r="B332" s="225" t="s">
        <v>2640</v>
      </c>
    </row>
    <row r="333" spans="1:2">
      <c r="A333" s="225" t="s">
        <v>2641</v>
      </c>
      <c r="B333" s="225" t="s">
        <v>2642</v>
      </c>
    </row>
    <row r="334" spans="1:2">
      <c r="A334" s="225" t="s">
        <v>2643</v>
      </c>
      <c r="B334" s="225" t="s">
        <v>2644</v>
      </c>
    </row>
    <row r="335" spans="1:2">
      <c r="A335" s="225" t="s">
        <v>2645</v>
      </c>
      <c r="B335" s="225" t="s">
        <v>2646</v>
      </c>
    </row>
    <row r="336" spans="1:2">
      <c r="A336" s="225" t="s">
        <v>2647</v>
      </c>
      <c r="B336" s="225" t="s">
        <v>2648</v>
      </c>
    </row>
    <row r="337" spans="1:2">
      <c r="A337" s="225" t="s">
        <v>2649</v>
      </c>
      <c r="B337" s="225" t="s">
        <v>2650</v>
      </c>
    </row>
    <row r="338" spans="1:2">
      <c r="A338" s="225" t="s">
        <v>2651</v>
      </c>
      <c r="B338" s="225" t="s">
        <v>2652</v>
      </c>
    </row>
    <row r="339" spans="1:2">
      <c r="A339" s="225" t="s">
        <v>2653</v>
      </c>
      <c r="B339" s="225" t="s">
        <v>2654</v>
      </c>
    </row>
    <row r="340" spans="1:2">
      <c r="A340" s="225" t="s">
        <v>2655</v>
      </c>
      <c r="B340" s="225" t="s">
        <v>2656</v>
      </c>
    </row>
    <row r="341" spans="1:2">
      <c r="A341" s="225" t="s">
        <v>2660</v>
      </c>
      <c r="B341" s="225" t="s">
        <v>2661</v>
      </c>
    </row>
    <row r="342" spans="1:2">
      <c r="A342" s="225" t="s">
        <v>2662</v>
      </c>
      <c r="B342" s="225" t="s">
        <v>2663</v>
      </c>
    </row>
    <row r="343" spans="1:2">
      <c r="A343" s="225" t="s">
        <v>2664</v>
      </c>
      <c r="B343" s="225" t="s">
        <v>2665</v>
      </c>
    </row>
    <row r="344" spans="1:2">
      <c r="A344" s="225" t="s">
        <v>2666</v>
      </c>
      <c r="B344" s="225" t="s">
        <v>2667</v>
      </c>
    </row>
    <row r="345" spans="1:2">
      <c r="A345" s="225" t="s">
        <v>2668</v>
      </c>
      <c r="B345" s="225" t="s">
        <v>1669</v>
      </c>
    </row>
    <row r="346" spans="1:2">
      <c r="A346" s="225" t="s">
        <v>2669</v>
      </c>
      <c r="B346" s="225" t="s">
        <v>2670</v>
      </c>
    </row>
    <row r="347" spans="1:2">
      <c r="A347" s="225" t="s">
        <v>726</v>
      </c>
      <c r="B347" s="225" t="s">
        <v>2671</v>
      </c>
    </row>
    <row r="348" spans="1:2">
      <c r="A348" s="225" t="s">
        <v>2675</v>
      </c>
      <c r="B348" s="225" t="s">
        <v>2676</v>
      </c>
    </row>
    <row r="349" spans="1:2">
      <c r="A349" s="225" t="s">
        <v>2677</v>
      </c>
      <c r="B349" s="225" t="s">
        <v>2678</v>
      </c>
    </row>
    <row r="350" spans="1:2">
      <c r="A350" s="225" t="s">
        <v>2679</v>
      </c>
      <c r="B350" s="225" t="s">
        <v>2680</v>
      </c>
    </row>
    <row r="351" spans="1:2">
      <c r="A351" s="225" t="s">
        <v>2681</v>
      </c>
      <c r="B351" s="225" t="s">
        <v>2682</v>
      </c>
    </row>
    <row r="352" spans="1:2">
      <c r="A352" s="225" t="s">
        <v>2683</v>
      </c>
      <c r="B352" s="225" t="s">
        <v>2684</v>
      </c>
    </row>
    <row r="353" spans="1:2">
      <c r="A353" s="225" t="s">
        <v>2685</v>
      </c>
      <c r="B353" s="225" t="s">
        <v>2686</v>
      </c>
    </row>
    <row r="354" spans="1:2">
      <c r="A354" s="225" t="s">
        <v>2687</v>
      </c>
      <c r="B354" s="225" t="s">
        <v>2688</v>
      </c>
    </row>
    <row r="355" spans="1:2">
      <c r="A355" s="225" t="s">
        <v>2689</v>
      </c>
      <c r="B355" s="225" t="s">
        <v>2690</v>
      </c>
    </row>
    <row r="356" spans="1:2">
      <c r="A356" s="225" t="s">
        <v>2691</v>
      </c>
      <c r="B356" s="225" t="s">
        <v>2692</v>
      </c>
    </row>
    <row r="357" spans="1:2">
      <c r="A357" s="225" t="s">
        <v>2693</v>
      </c>
      <c r="B357" s="225" t="s">
        <v>2694</v>
      </c>
    </row>
    <row r="358" spans="1:2">
      <c r="A358" s="225" t="s">
        <v>2695</v>
      </c>
      <c r="B358" s="225" t="s">
        <v>2696</v>
      </c>
    </row>
    <row r="359" spans="1:2">
      <c r="A359" s="225" t="s">
        <v>2697</v>
      </c>
      <c r="B359" s="225" t="s">
        <v>2698</v>
      </c>
    </row>
    <row r="360" spans="1:2">
      <c r="A360" s="225" t="s">
        <v>2699</v>
      </c>
      <c r="B360" s="225" t="s">
        <v>2700</v>
      </c>
    </row>
    <row r="361" spans="1:2">
      <c r="A361" s="225" t="s">
        <v>2701</v>
      </c>
      <c r="B361" s="225" t="s">
        <v>2702</v>
      </c>
    </row>
    <row r="362" spans="1:2">
      <c r="A362" s="225" t="s">
        <v>2703</v>
      </c>
      <c r="B362" s="225" t="s">
        <v>2704</v>
      </c>
    </row>
    <row r="363" spans="1:2">
      <c r="A363" s="225" t="s">
        <v>2705</v>
      </c>
      <c r="B363" s="225" t="s">
        <v>2706</v>
      </c>
    </row>
    <row r="364" spans="1:2">
      <c r="A364" s="225" t="s">
        <v>2707</v>
      </c>
      <c r="B364" s="225" t="s">
        <v>2708</v>
      </c>
    </row>
    <row r="365" spans="1:2">
      <c r="A365" s="225" t="s">
        <v>2709</v>
      </c>
      <c r="B365" s="225" t="s">
        <v>2710</v>
      </c>
    </row>
    <row r="366" spans="1:2">
      <c r="A366" s="225" t="s">
        <v>1425</v>
      </c>
      <c r="B366" s="225" t="s">
        <v>2711</v>
      </c>
    </row>
    <row r="367" spans="1:2">
      <c r="A367" s="225" t="s">
        <v>2712</v>
      </c>
      <c r="B367" s="225" t="s">
        <v>2713</v>
      </c>
    </row>
    <row r="368" spans="1:2">
      <c r="A368" s="225" t="s">
        <v>2714</v>
      </c>
      <c r="B368" s="225" t="s">
        <v>2715</v>
      </c>
    </row>
    <row r="369" spans="1:2">
      <c r="A369" s="225" t="s">
        <v>2716</v>
      </c>
      <c r="B369" s="225" t="s">
        <v>2717</v>
      </c>
    </row>
    <row r="370" spans="1:2">
      <c r="A370" s="225" t="s">
        <v>2718</v>
      </c>
      <c r="B370" s="225" t="s">
        <v>2719</v>
      </c>
    </row>
    <row r="371" spans="1:2">
      <c r="A371" s="225" t="s">
        <v>2720</v>
      </c>
      <c r="B371" s="225" t="s">
        <v>2721</v>
      </c>
    </row>
    <row r="372" spans="1:2">
      <c r="A372" s="225" t="s">
        <v>2722</v>
      </c>
      <c r="B372" s="225" t="s">
        <v>2723</v>
      </c>
    </row>
    <row r="373" spans="1:2">
      <c r="A373" s="225" t="s">
        <v>2724</v>
      </c>
      <c r="B373" s="225" t="s">
        <v>2725</v>
      </c>
    </row>
    <row r="374" spans="1:2">
      <c r="A374" s="225" t="s">
        <v>2726</v>
      </c>
      <c r="B374" s="225" t="s">
        <v>2727</v>
      </c>
    </row>
    <row r="375" spans="1:2">
      <c r="A375" s="225" t="s">
        <v>2728</v>
      </c>
      <c r="B375" s="225" t="s">
        <v>2729</v>
      </c>
    </row>
    <row r="376" spans="1:2">
      <c r="A376" s="225" t="s">
        <v>2730</v>
      </c>
      <c r="B376" s="225" t="s">
        <v>2731</v>
      </c>
    </row>
    <row r="377" spans="1:2">
      <c r="A377" s="225" t="s">
        <v>2732</v>
      </c>
      <c r="B377" s="225" t="s">
        <v>2733</v>
      </c>
    </row>
    <row r="378" spans="1:2">
      <c r="A378" s="225" t="s">
        <v>2734</v>
      </c>
      <c r="B378" s="225" t="s">
        <v>2735</v>
      </c>
    </row>
    <row r="379" spans="1:2">
      <c r="A379" s="225" t="s">
        <v>2736</v>
      </c>
      <c r="B379" s="225" t="s">
        <v>2665</v>
      </c>
    </row>
    <row r="380" spans="1:2">
      <c r="A380" s="225" t="s">
        <v>2737</v>
      </c>
      <c r="B380" s="225" t="s">
        <v>2667</v>
      </c>
    </row>
    <row r="381" spans="1:2">
      <c r="A381" s="225" t="s">
        <v>2738</v>
      </c>
      <c r="B381" s="225" t="s">
        <v>1669</v>
      </c>
    </row>
    <row r="382" spans="1:2">
      <c r="A382" s="225" t="s">
        <v>2739</v>
      </c>
      <c r="B382" s="225" t="s">
        <v>2670</v>
      </c>
    </row>
    <row r="383" spans="1:2">
      <c r="A383" s="225" t="s">
        <v>2740</v>
      </c>
      <c r="B383" s="225" t="s">
        <v>2671</v>
      </c>
    </row>
    <row r="384" spans="1:2">
      <c r="A384" s="225" t="s">
        <v>2743</v>
      </c>
      <c r="B384" s="225" t="s">
        <v>2744</v>
      </c>
    </row>
    <row r="385" spans="1:2">
      <c r="A385" s="225" t="s">
        <v>2745</v>
      </c>
      <c r="B385" s="225" t="s">
        <v>2746</v>
      </c>
    </row>
    <row r="386" spans="1:2">
      <c r="A386" s="225" t="s">
        <v>2747</v>
      </c>
      <c r="B386" s="225" t="s">
        <v>2748</v>
      </c>
    </row>
    <row r="387" spans="1:2">
      <c r="A387" s="225" t="s">
        <v>2749</v>
      </c>
      <c r="B387" s="225" t="s">
        <v>2750</v>
      </c>
    </row>
    <row r="388" spans="1:2">
      <c r="A388" s="225" t="s">
        <v>2751</v>
      </c>
      <c r="B388" s="225" t="s">
        <v>2752</v>
      </c>
    </row>
    <row r="389" spans="1:2">
      <c r="A389" s="225" t="s">
        <v>2753</v>
      </c>
      <c r="B389" s="225" t="s">
        <v>2754</v>
      </c>
    </row>
    <row r="390" spans="1:2">
      <c r="A390" s="225" t="s">
        <v>2755</v>
      </c>
      <c r="B390" s="225" t="s">
        <v>2756</v>
      </c>
    </row>
    <row r="391" spans="1:2">
      <c r="A391" s="225" t="s">
        <v>2757</v>
      </c>
      <c r="B391" s="225" t="s">
        <v>2758</v>
      </c>
    </row>
    <row r="392" spans="1:2">
      <c r="A392" s="225" t="s">
        <v>1426</v>
      </c>
      <c r="B392" s="225" t="s">
        <v>2759</v>
      </c>
    </row>
    <row r="393" spans="1:2">
      <c r="A393" s="225" t="s">
        <v>2760</v>
      </c>
      <c r="B393" s="225" t="s">
        <v>2761</v>
      </c>
    </row>
    <row r="394" spans="1:2">
      <c r="A394" s="225" t="s">
        <v>2762</v>
      </c>
      <c r="B394" s="225" t="s">
        <v>2763</v>
      </c>
    </row>
    <row r="395" spans="1:2">
      <c r="A395" s="225" t="s">
        <v>2764</v>
      </c>
      <c r="B395" s="225" t="s">
        <v>2765</v>
      </c>
    </row>
    <row r="396" spans="1:2">
      <c r="A396" s="225" t="s">
        <v>2766</v>
      </c>
      <c r="B396" s="225" t="s">
        <v>2767</v>
      </c>
    </row>
    <row r="397" spans="1:2">
      <c r="A397" s="225" t="s">
        <v>2768</v>
      </c>
      <c r="B397" s="225" t="s">
        <v>2769</v>
      </c>
    </row>
    <row r="398" spans="1:2">
      <c r="A398" s="225" t="s">
        <v>2770</v>
      </c>
      <c r="B398" s="225" t="s">
        <v>2771</v>
      </c>
    </row>
    <row r="399" spans="1:2">
      <c r="A399" s="225" t="s">
        <v>2772</v>
      </c>
      <c r="B399" s="225" t="s">
        <v>2773</v>
      </c>
    </row>
    <row r="400" spans="1:2">
      <c r="A400" s="225" t="s">
        <v>2774</v>
      </c>
      <c r="B400" s="225" t="s">
        <v>2775</v>
      </c>
    </row>
    <row r="401" spans="1:2">
      <c r="A401" s="225" t="s">
        <v>2776</v>
      </c>
      <c r="B401" s="225" t="s">
        <v>2777</v>
      </c>
    </row>
    <row r="402" spans="1:2">
      <c r="A402" s="225" t="s">
        <v>2779</v>
      </c>
      <c r="B402" s="225" t="s">
        <v>2780</v>
      </c>
    </row>
    <row r="403" spans="1:2">
      <c r="A403" s="225" t="s">
        <v>2781</v>
      </c>
      <c r="B403" s="225" t="s">
        <v>2782</v>
      </c>
    </row>
    <row r="404" spans="1:2">
      <c r="A404" s="225" t="s">
        <v>2783</v>
      </c>
      <c r="B404" s="225" t="s">
        <v>2784</v>
      </c>
    </row>
    <row r="405" spans="1:2">
      <c r="A405" s="225" t="s">
        <v>1323</v>
      </c>
      <c r="B405" s="225" t="s">
        <v>2785</v>
      </c>
    </row>
    <row r="406" spans="1:2">
      <c r="A406" s="225" t="s">
        <v>1324</v>
      </c>
      <c r="B406" s="225" t="s">
        <v>2570</v>
      </c>
    </row>
    <row r="407" spans="1:2">
      <c r="A407" s="225" t="s">
        <v>1325</v>
      </c>
      <c r="B407" s="225" t="s">
        <v>2235</v>
      </c>
    </row>
    <row r="408" spans="1:2">
      <c r="A408" s="225" t="s">
        <v>2786</v>
      </c>
      <c r="B408" s="225" t="s">
        <v>2787</v>
      </c>
    </row>
    <row r="409" spans="1:2">
      <c r="A409" s="225" t="s">
        <v>2788</v>
      </c>
      <c r="B409" s="225" t="s">
        <v>2789</v>
      </c>
    </row>
    <row r="410" spans="1:2">
      <c r="A410" s="225" t="s">
        <v>2790</v>
      </c>
      <c r="B410" s="225" t="s">
        <v>2791</v>
      </c>
    </row>
    <row r="411" spans="1:2">
      <c r="A411" s="225" t="s">
        <v>2792</v>
      </c>
      <c r="B411" s="225" t="s">
        <v>2793</v>
      </c>
    </row>
    <row r="412" spans="1:2">
      <c r="A412" s="225" t="s">
        <v>2794</v>
      </c>
      <c r="B412" s="225" t="s">
        <v>2795</v>
      </c>
    </row>
    <row r="413" spans="1:2">
      <c r="A413" s="225" t="s">
        <v>2796</v>
      </c>
      <c r="B413" s="225" t="s">
        <v>2797</v>
      </c>
    </row>
    <row r="414" spans="1:2">
      <c r="A414" s="225" t="s">
        <v>2798</v>
      </c>
      <c r="B414" s="225" t="s">
        <v>2799</v>
      </c>
    </row>
    <row r="415" spans="1:2">
      <c r="A415" s="225" t="s">
        <v>2800</v>
      </c>
      <c r="B415" s="225" t="s">
        <v>2801</v>
      </c>
    </row>
    <row r="416" spans="1:2">
      <c r="A416" s="225" t="s">
        <v>2802</v>
      </c>
      <c r="B416" s="225" t="s">
        <v>2803</v>
      </c>
    </row>
    <row r="417" spans="1:2">
      <c r="A417" s="225" t="s">
        <v>2806</v>
      </c>
      <c r="B417" s="225" t="s">
        <v>2807</v>
      </c>
    </row>
    <row r="418" spans="1:2">
      <c r="A418" s="225" t="s">
        <v>2808</v>
      </c>
      <c r="B418" s="225" t="s">
        <v>2809</v>
      </c>
    </row>
    <row r="419" spans="1:2">
      <c r="A419" s="225" t="s">
        <v>2810</v>
      </c>
      <c r="B419" s="225" t="s">
        <v>2811</v>
      </c>
    </row>
    <row r="420" spans="1:2">
      <c r="A420" s="225" t="s">
        <v>2812</v>
      </c>
      <c r="B420" s="225" t="s">
        <v>2813</v>
      </c>
    </row>
    <row r="421" spans="1:2">
      <c r="A421" s="225" t="s">
        <v>2814</v>
      </c>
      <c r="B421" s="225" t="s">
        <v>2815</v>
      </c>
    </row>
    <row r="422" spans="1:2">
      <c r="A422" s="225" t="s">
        <v>2816</v>
      </c>
      <c r="B422" s="225" t="s">
        <v>2817</v>
      </c>
    </row>
    <row r="423" spans="1:2">
      <c r="A423" s="225" t="s">
        <v>1363</v>
      </c>
      <c r="B423" s="225" t="s">
        <v>2818</v>
      </c>
    </row>
    <row r="424" spans="1:2">
      <c r="A424" s="225" t="s">
        <v>2819</v>
      </c>
      <c r="B424" s="225" t="s">
        <v>2820</v>
      </c>
    </row>
    <row r="425" spans="1:2">
      <c r="A425" s="225" t="s">
        <v>1400</v>
      </c>
      <c r="B425" s="225" t="s">
        <v>2821</v>
      </c>
    </row>
    <row r="426" spans="1:2">
      <c r="A426" s="225" t="s">
        <v>1421</v>
      </c>
      <c r="B426" s="225" t="s">
        <v>2822</v>
      </c>
    </row>
    <row r="427" spans="1:2">
      <c r="A427" s="225" t="s">
        <v>2823</v>
      </c>
      <c r="B427" s="225" t="s">
        <v>2824</v>
      </c>
    </row>
    <row r="428" spans="1:2">
      <c r="A428" s="225" t="s">
        <v>2825</v>
      </c>
      <c r="B428" s="225" t="s">
        <v>2826</v>
      </c>
    </row>
    <row r="429" spans="1:2">
      <c r="A429" s="225" t="s">
        <v>2827</v>
      </c>
      <c r="B429" s="225" t="s">
        <v>2828</v>
      </c>
    </row>
    <row r="430" spans="1:2">
      <c r="A430" s="225" t="s">
        <v>2829</v>
      </c>
      <c r="B430" s="225" t="s">
        <v>2830</v>
      </c>
    </row>
    <row r="431" spans="1:2">
      <c r="A431" s="225" t="s">
        <v>2831</v>
      </c>
      <c r="B431" s="225" t="s">
        <v>2832</v>
      </c>
    </row>
    <row r="432" spans="1:2">
      <c r="A432" s="225" t="s">
        <v>2833</v>
      </c>
      <c r="B432" s="225" t="s">
        <v>2834</v>
      </c>
    </row>
    <row r="433" spans="1:2">
      <c r="A433" s="225" t="s">
        <v>1366</v>
      </c>
      <c r="B433" s="225" t="s">
        <v>2835</v>
      </c>
    </row>
    <row r="434" spans="1:2">
      <c r="A434" s="225" t="s">
        <v>1365</v>
      </c>
      <c r="B434" s="225" t="s">
        <v>2836</v>
      </c>
    </row>
    <row r="435" spans="1:2">
      <c r="A435" s="225" t="s">
        <v>1368</v>
      </c>
      <c r="B435" s="225" t="s">
        <v>2837</v>
      </c>
    </row>
    <row r="436" spans="1:2">
      <c r="A436" s="225" t="s">
        <v>1389</v>
      </c>
      <c r="B436" s="225" t="s">
        <v>2838</v>
      </c>
    </row>
    <row r="437" spans="1:2">
      <c r="A437" s="225" t="s">
        <v>2839</v>
      </c>
      <c r="B437" s="225" t="s">
        <v>2840</v>
      </c>
    </row>
    <row r="438" spans="1:2">
      <c r="A438" s="225" t="s">
        <v>2841</v>
      </c>
      <c r="B438" s="225" t="s">
        <v>2842</v>
      </c>
    </row>
    <row r="439" spans="1:2">
      <c r="A439" s="225" t="s">
        <v>2843</v>
      </c>
      <c r="B439" s="225" t="s">
        <v>2844</v>
      </c>
    </row>
    <row r="440" spans="1:2">
      <c r="A440" s="225" t="s">
        <v>2848</v>
      </c>
      <c r="B440" s="225" t="s">
        <v>2849</v>
      </c>
    </row>
    <row r="441" spans="1:2">
      <c r="A441" s="225" t="s">
        <v>2850</v>
      </c>
      <c r="B441" s="225" t="s">
        <v>2851</v>
      </c>
    </row>
    <row r="442" spans="1:2">
      <c r="A442" s="225" t="s">
        <v>2852</v>
      </c>
      <c r="B442" s="225" t="s">
        <v>2853</v>
      </c>
    </row>
    <row r="443" spans="1:2">
      <c r="A443" s="225" t="s">
        <v>2854</v>
      </c>
      <c r="B443" s="225" t="s">
        <v>2855</v>
      </c>
    </row>
    <row r="444" spans="1:2">
      <c r="A444" s="225" t="s">
        <v>2856</v>
      </c>
      <c r="B444" s="225" t="s">
        <v>2857</v>
      </c>
    </row>
    <row r="445" spans="1:2">
      <c r="A445" s="225" t="s">
        <v>2858</v>
      </c>
      <c r="B445" s="225" t="s">
        <v>2859</v>
      </c>
    </row>
    <row r="446" spans="1:2">
      <c r="A446" s="225" t="s">
        <v>2860</v>
      </c>
      <c r="B446" s="225" t="s">
        <v>2861</v>
      </c>
    </row>
    <row r="447" spans="1:2">
      <c r="A447" s="225" t="s">
        <v>2862</v>
      </c>
      <c r="B447" s="225" t="s">
        <v>2863</v>
      </c>
    </row>
    <row r="448" spans="1:2">
      <c r="A448" s="225" t="s">
        <v>1378</v>
      </c>
      <c r="B448" s="225" t="s">
        <v>2864</v>
      </c>
    </row>
    <row r="449" spans="1:2">
      <c r="A449" s="225" t="s">
        <v>2865</v>
      </c>
      <c r="B449" s="225" t="s">
        <v>2866</v>
      </c>
    </row>
    <row r="450" spans="1:2">
      <c r="A450" s="225" t="s">
        <v>2867</v>
      </c>
      <c r="B450" s="225" t="s">
        <v>2868</v>
      </c>
    </row>
    <row r="451" spans="1:2">
      <c r="A451" s="225" t="s">
        <v>2869</v>
      </c>
      <c r="B451" s="225" t="s">
        <v>2870</v>
      </c>
    </row>
    <row r="452" spans="1:2">
      <c r="A452" s="225" t="s">
        <v>2871</v>
      </c>
      <c r="B452" s="225" t="s">
        <v>2872</v>
      </c>
    </row>
    <row r="453" spans="1:2">
      <c r="A453" s="225" t="s">
        <v>2873</v>
      </c>
      <c r="B453" s="225" t="s">
        <v>2874</v>
      </c>
    </row>
    <row r="454" spans="1:2">
      <c r="A454" s="225" t="s">
        <v>1393</v>
      </c>
      <c r="B454" s="225" t="s">
        <v>2875</v>
      </c>
    </row>
    <row r="455" spans="1:2">
      <c r="A455" s="225" t="s">
        <v>2876</v>
      </c>
      <c r="B455" s="225" t="s">
        <v>2877</v>
      </c>
    </row>
    <row r="456" spans="1:2">
      <c r="A456" s="225" t="s">
        <v>1379</v>
      </c>
      <c r="B456" s="225" t="s">
        <v>2878</v>
      </c>
    </row>
    <row r="457" spans="1:2">
      <c r="A457" s="225" t="s">
        <v>1407</v>
      </c>
      <c r="B457" s="225" t="s">
        <v>2879</v>
      </c>
    </row>
    <row r="458" spans="1:2">
      <c r="A458" s="225" t="s">
        <v>2880</v>
      </c>
      <c r="B458" s="225" t="s">
        <v>2881</v>
      </c>
    </row>
    <row r="459" spans="1:2">
      <c r="A459" s="225" t="s">
        <v>1364</v>
      </c>
      <c r="B459" s="225" t="s">
        <v>2882</v>
      </c>
    </row>
    <row r="460" spans="1:2">
      <c r="A460" s="225" t="s">
        <v>2883</v>
      </c>
      <c r="B460" s="225" t="s">
        <v>2884</v>
      </c>
    </row>
    <row r="461" spans="1:2">
      <c r="A461" s="225" t="s">
        <v>1390</v>
      </c>
      <c r="B461" s="225" t="s">
        <v>2885</v>
      </c>
    </row>
    <row r="462" spans="1:2">
      <c r="A462" s="225" t="s">
        <v>2886</v>
      </c>
      <c r="B462" s="225" t="s">
        <v>2887</v>
      </c>
    </row>
    <row r="463" spans="1:2">
      <c r="A463" s="225" t="s">
        <v>2888</v>
      </c>
      <c r="B463" s="225" t="s">
        <v>2889</v>
      </c>
    </row>
    <row r="464" spans="1:2">
      <c r="A464" s="225" t="s">
        <v>2890</v>
      </c>
      <c r="B464" s="225" t="s">
        <v>2891</v>
      </c>
    </row>
    <row r="465" spans="1:2">
      <c r="A465" s="225" t="s">
        <v>2892</v>
      </c>
      <c r="B465" s="225" t="s">
        <v>2893</v>
      </c>
    </row>
    <row r="466" spans="1:2">
      <c r="A466" s="225" t="s">
        <v>2894</v>
      </c>
      <c r="B466" s="225" t="s">
        <v>2895</v>
      </c>
    </row>
    <row r="467" spans="1:2">
      <c r="A467" s="225" t="s">
        <v>2896</v>
      </c>
      <c r="B467" s="225" t="s">
        <v>2897</v>
      </c>
    </row>
    <row r="468" spans="1:2">
      <c r="A468" s="225" t="s">
        <v>1387</v>
      </c>
      <c r="B468" s="225" t="s">
        <v>2898</v>
      </c>
    </row>
    <row r="469" spans="1:2">
      <c r="A469" s="225" t="s">
        <v>2899</v>
      </c>
      <c r="B469" s="225" t="s">
        <v>2900</v>
      </c>
    </row>
    <row r="470" spans="1:2">
      <c r="A470" s="225" t="s">
        <v>2901</v>
      </c>
      <c r="B470" s="225" t="s">
        <v>2902</v>
      </c>
    </row>
    <row r="471" spans="1:2">
      <c r="A471" s="225" t="s">
        <v>2903</v>
      </c>
      <c r="B471" s="225" t="s">
        <v>2904</v>
      </c>
    </row>
    <row r="472" spans="1:2">
      <c r="A472" s="225" t="s">
        <v>2905</v>
      </c>
      <c r="B472" s="225" t="s">
        <v>2906</v>
      </c>
    </row>
    <row r="473" spans="1:2">
      <c r="A473" s="225" t="s">
        <v>2907</v>
      </c>
      <c r="B473" s="225" t="s">
        <v>2908</v>
      </c>
    </row>
    <row r="474" spans="1:2">
      <c r="A474" s="225" t="s">
        <v>2909</v>
      </c>
      <c r="B474" s="225" t="s">
        <v>2910</v>
      </c>
    </row>
    <row r="475" spans="1:2">
      <c r="A475" s="225" t="s">
        <v>2911</v>
      </c>
      <c r="B475" s="225" t="s">
        <v>2912</v>
      </c>
    </row>
    <row r="476" spans="1:2">
      <c r="A476" s="225" t="s">
        <v>2913</v>
      </c>
      <c r="B476" s="225" t="s">
        <v>2914</v>
      </c>
    </row>
    <row r="477" spans="1:2">
      <c r="A477" s="225" t="s">
        <v>2915</v>
      </c>
      <c r="B477" s="225" t="s">
        <v>2916</v>
      </c>
    </row>
    <row r="478" spans="1:2">
      <c r="A478" s="225" t="s">
        <v>2917</v>
      </c>
      <c r="B478" s="225" t="s">
        <v>2918</v>
      </c>
    </row>
    <row r="479" spans="1:2">
      <c r="A479" s="225" t="s">
        <v>2919</v>
      </c>
      <c r="B479" s="225" t="s">
        <v>2920</v>
      </c>
    </row>
    <row r="480" spans="1:2">
      <c r="A480" s="225" t="s">
        <v>2921</v>
      </c>
      <c r="B480" s="225" t="s">
        <v>2922</v>
      </c>
    </row>
    <row r="481" spans="1:2">
      <c r="A481" s="225" t="s">
        <v>2923</v>
      </c>
      <c r="B481" s="225" t="s">
        <v>2924</v>
      </c>
    </row>
    <row r="482" spans="1:2">
      <c r="A482" s="225" t="s">
        <v>2925</v>
      </c>
      <c r="B482" s="225" t="s">
        <v>2926</v>
      </c>
    </row>
    <row r="483" spans="1:2">
      <c r="A483" s="225" t="s">
        <v>1382</v>
      </c>
      <c r="B483" s="225" t="s">
        <v>2927</v>
      </c>
    </row>
    <row r="484" spans="1:2">
      <c r="A484" s="225" t="s">
        <v>2928</v>
      </c>
      <c r="B484" s="225" t="s">
        <v>2929</v>
      </c>
    </row>
    <row r="485" spans="1:2">
      <c r="A485" s="225" t="s">
        <v>2930</v>
      </c>
      <c r="B485" s="225" t="s">
        <v>2931</v>
      </c>
    </row>
    <row r="486" spans="1:2">
      <c r="A486" s="225" t="s">
        <v>2932</v>
      </c>
      <c r="B486" s="225" t="s">
        <v>2933</v>
      </c>
    </row>
    <row r="487" spans="1:2">
      <c r="A487" s="225" t="s">
        <v>2934</v>
      </c>
      <c r="B487" s="225" t="s">
        <v>2935</v>
      </c>
    </row>
    <row r="488" spans="1:2">
      <c r="A488" s="225" t="s">
        <v>2936</v>
      </c>
      <c r="B488" s="225" t="s">
        <v>2937</v>
      </c>
    </row>
    <row r="489" spans="1:2">
      <c r="A489" s="225" t="s">
        <v>1380</v>
      </c>
      <c r="B489" s="225" t="s">
        <v>2938</v>
      </c>
    </row>
    <row r="490" spans="1:2">
      <c r="A490" s="225" t="s">
        <v>2939</v>
      </c>
      <c r="B490" s="225" t="s">
        <v>2940</v>
      </c>
    </row>
    <row r="491" spans="1:2">
      <c r="A491" s="225" t="s">
        <v>2941</v>
      </c>
      <c r="B491" s="225" t="s">
        <v>2942</v>
      </c>
    </row>
    <row r="492" spans="1:2">
      <c r="A492" s="225" t="s">
        <v>1403</v>
      </c>
      <c r="B492" s="225" t="s">
        <v>2943</v>
      </c>
    </row>
    <row r="493" spans="1:2">
      <c r="A493" s="225" t="s">
        <v>2944</v>
      </c>
      <c r="B493" s="225" t="s">
        <v>2945</v>
      </c>
    </row>
    <row r="494" spans="1:2">
      <c r="A494" s="225" t="s">
        <v>2946</v>
      </c>
      <c r="B494" s="225" t="s">
        <v>2947</v>
      </c>
    </row>
    <row r="495" spans="1:2">
      <c r="A495" s="225" t="s">
        <v>2948</v>
      </c>
      <c r="B495" s="225" t="s">
        <v>2949</v>
      </c>
    </row>
    <row r="496" spans="1:2">
      <c r="A496" s="225" t="s">
        <v>2950</v>
      </c>
      <c r="B496" s="225" t="s">
        <v>2951</v>
      </c>
    </row>
    <row r="497" spans="1:2">
      <c r="A497" s="225" t="s">
        <v>1383</v>
      </c>
      <c r="B497" s="225" t="s">
        <v>2952</v>
      </c>
    </row>
    <row r="498" spans="1:2">
      <c r="A498" s="225" t="s">
        <v>2953</v>
      </c>
      <c r="B498" s="225" t="s">
        <v>2954</v>
      </c>
    </row>
    <row r="499" spans="1:2">
      <c r="A499" s="225" t="s">
        <v>2955</v>
      </c>
      <c r="B499" s="225" t="s">
        <v>2956</v>
      </c>
    </row>
    <row r="500" spans="1:2">
      <c r="A500" s="225" t="s">
        <v>2957</v>
      </c>
      <c r="B500" s="225" t="s">
        <v>2958</v>
      </c>
    </row>
    <row r="501" spans="1:2">
      <c r="A501" s="225" t="s">
        <v>2959</v>
      </c>
      <c r="B501" s="225" t="s">
        <v>2960</v>
      </c>
    </row>
    <row r="502" spans="1:2">
      <c r="A502" s="225" t="s">
        <v>2961</v>
      </c>
      <c r="B502" s="225" t="s">
        <v>2962</v>
      </c>
    </row>
    <row r="503" spans="1:2">
      <c r="A503" s="225" t="s">
        <v>2963</v>
      </c>
      <c r="B503" s="225" t="s">
        <v>424</v>
      </c>
    </row>
    <row r="504" spans="1:2">
      <c r="A504" s="225" t="s">
        <v>2964</v>
      </c>
      <c r="B504" s="225" t="s">
        <v>1921</v>
      </c>
    </row>
    <row r="505" spans="1:2">
      <c r="A505" s="225" t="s">
        <v>2965</v>
      </c>
      <c r="B505" s="225" t="s">
        <v>2966</v>
      </c>
    </row>
    <row r="506" spans="1:2">
      <c r="A506" s="225" t="s">
        <v>1381</v>
      </c>
      <c r="B506" s="225" t="s">
        <v>2967</v>
      </c>
    </row>
    <row r="507" spans="1:2">
      <c r="A507" s="225" t="s">
        <v>2968</v>
      </c>
      <c r="B507" s="225" t="s">
        <v>2969</v>
      </c>
    </row>
    <row r="508" spans="1:2">
      <c r="A508" s="225" t="s">
        <v>2970</v>
      </c>
      <c r="B508" s="225" t="s">
        <v>2971</v>
      </c>
    </row>
    <row r="509" spans="1:2">
      <c r="A509" s="225" t="s">
        <v>2972</v>
      </c>
      <c r="B509" s="225" t="s">
        <v>2973</v>
      </c>
    </row>
    <row r="510" spans="1:2">
      <c r="A510" s="225" t="s">
        <v>1374</v>
      </c>
      <c r="B510" s="225" t="s">
        <v>2974</v>
      </c>
    </row>
    <row r="511" spans="1:2">
      <c r="A511" s="225" t="s">
        <v>1417</v>
      </c>
      <c r="B511" s="225" t="s">
        <v>2975</v>
      </c>
    </row>
    <row r="512" spans="1:2">
      <c r="A512" s="225" t="s">
        <v>2976</v>
      </c>
      <c r="B512" s="225" t="s">
        <v>2977</v>
      </c>
    </row>
    <row r="513" spans="1:2">
      <c r="A513" s="225" t="s">
        <v>1386</v>
      </c>
      <c r="B513" s="225" t="s">
        <v>2978</v>
      </c>
    </row>
    <row r="514" spans="1:2">
      <c r="A514" s="225" t="s">
        <v>2979</v>
      </c>
      <c r="B514" s="225" t="s">
        <v>2980</v>
      </c>
    </row>
    <row r="515" spans="1:2">
      <c r="A515" s="225" t="s">
        <v>2981</v>
      </c>
      <c r="B515" s="225" t="s">
        <v>2982</v>
      </c>
    </row>
    <row r="516" spans="1:2">
      <c r="A516" s="225" t="s">
        <v>2983</v>
      </c>
      <c r="B516" s="225" t="s">
        <v>2984</v>
      </c>
    </row>
    <row r="517" spans="1:2">
      <c r="A517" s="225" t="s">
        <v>2985</v>
      </c>
      <c r="B517" s="225" t="s">
        <v>2986</v>
      </c>
    </row>
    <row r="518" spans="1:2">
      <c r="A518" s="225" t="s">
        <v>2987</v>
      </c>
      <c r="B518" s="225" t="s">
        <v>2988</v>
      </c>
    </row>
    <row r="519" spans="1:2">
      <c r="A519" s="225" t="s">
        <v>2989</v>
      </c>
      <c r="B519" s="225" t="s">
        <v>2990</v>
      </c>
    </row>
    <row r="520" spans="1:2">
      <c r="A520" s="225" t="s">
        <v>2991</v>
      </c>
      <c r="B520" s="225" t="s">
        <v>2992</v>
      </c>
    </row>
    <row r="521" spans="1:2">
      <c r="A521" s="225" t="s">
        <v>2993</v>
      </c>
      <c r="B521" s="225" t="s">
        <v>2994</v>
      </c>
    </row>
    <row r="522" spans="1:2">
      <c r="A522" s="225" t="s">
        <v>2995</v>
      </c>
      <c r="B522" s="225" t="s">
        <v>2996</v>
      </c>
    </row>
    <row r="523" spans="1:2">
      <c r="A523" s="225" t="s">
        <v>2997</v>
      </c>
      <c r="B523" s="225" t="s">
        <v>2998</v>
      </c>
    </row>
    <row r="524" spans="1:2">
      <c r="A524" s="225" t="s">
        <v>2999</v>
      </c>
      <c r="B524" s="225" t="s">
        <v>3000</v>
      </c>
    </row>
    <row r="525" spans="1:2">
      <c r="A525" s="225" t="s">
        <v>3001</v>
      </c>
      <c r="B525" s="225" t="s">
        <v>3002</v>
      </c>
    </row>
    <row r="526" spans="1:2">
      <c r="A526" s="225" t="s">
        <v>3003</v>
      </c>
      <c r="B526" s="225" t="s">
        <v>3004</v>
      </c>
    </row>
    <row r="527" spans="1:2">
      <c r="A527" s="225" t="s">
        <v>1352</v>
      </c>
      <c r="B527" s="225" t="s">
        <v>1948</v>
      </c>
    </row>
    <row r="528" spans="1:2">
      <c r="A528" s="225" t="s">
        <v>3005</v>
      </c>
      <c r="B528" s="225" t="s">
        <v>3006</v>
      </c>
    </row>
    <row r="529" spans="1:2">
      <c r="A529" s="225" t="s">
        <v>3007</v>
      </c>
      <c r="B529" s="225" t="s">
        <v>3008</v>
      </c>
    </row>
    <row r="530" spans="1:2">
      <c r="A530" s="225" t="s">
        <v>3009</v>
      </c>
      <c r="B530" s="225" t="s">
        <v>3010</v>
      </c>
    </row>
    <row r="531" spans="1:2">
      <c r="A531" s="225" t="s">
        <v>3011</v>
      </c>
      <c r="B531" s="225" t="s">
        <v>3012</v>
      </c>
    </row>
    <row r="532" spans="1:2">
      <c r="A532" s="225" t="s">
        <v>3013</v>
      </c>
      <c r="B532" s="225" t="s">
        <v>3014</v>
      </c>
    </row>
    <row r="533" spans="1:2">
      <c r="A533" s="225" t="s">
        <v>1321</v>
      </c>
      <c r="B533" s="225" t="s">
        <v>5293</v>
      </c>
    </row>
    <row r="534" spans="1:2">
      <c r="A534" s="225" t="s">
        <v>3099</v>
      </c>
      <c r="B534" s="225" t="s">
        <v>3100</v>
      </c>
    </row>
    <row r="535" spans="1:2">
      <c r="A535" s="225" t="s">
        <v>3101</v>
      </c>
      <c r="B535" s="225" t="s">
        <v>3102</v>
      </c>
    </row>
    <row r="536" spans="1:2">
      <c r="A536" s="225" t="s">
        <v>3103</v>
      </c>
      <c r="B536" s="225" t="s">
        <v>3104</v>
      </c>
    </row>
    <row r="537" spans="1:2">
      <c r="A537" s="225" t="s">
        <v>3105</v>
      </c>
      <c r="B537" s="225" t="s">
        <v>3106</v>
      </c>
    </row>
    <row r="538" spans="1:2">
      <c r="A538" s="225" t="s">
        <v>802</v>
      </c>
      <c r="B538" s="225" t="s">
        <v>3107</v>
      </c>
    </row>
    <row r="539" spans="1:2">
      <c r="A539" s="225" t="s">
        <v>752</v>
      </c>
      <c r="B539" s="225" t="s">
        <v>3108</v>
      </c>
    </row>
    <row r="540" spans="1:2">
      <c r="A540" s="225" t="s">
        <v>3109</v>
      </c>
      <c r="B540" s="225" t="s">
        <v>3110</v>
      </c>
    </row>
    <row r="541" spans="1:2">
      <c r="A541" s="225" t="s">
        <v>3111</v>
      </c>
      <c r="B541" s="225" t="s">
        <v>3112</v>
      </c>
    </row>
    <row r="542" spans="1:2">
      <c r="A542" s="225" t="s">
        <v>1361</v>
      </c>
      <c r="B542" s="225" t="s">
        <v>3113</v>
      </c>
    </row>
    <row r="543" spans="1:2">
      <c r="A543" s="225" t="s">
        <v>3848</v>
      </c>
      <c r="B543" s="225" t="s">
        <v>3849</v>
      </c>
    </row>
    <row r="544" spans="1:2">
      <c r="A544" s="225" t="s">
        <v>736</v>
      </c>
      <c r="B544" s="225" t="s">
        <v>3850</v>
      </c>
    </row>
    <row r="545" spans="1:2">
      <c r="A545" s="225" t="s">
        <v>3852</v>
      </c>
      <c r="B545" s="225" t="s">
        <v>3853</v>
      </c>
    </row>
    <row r="546" spans="1:2">
      <c r="A546" s="225" t="s">
        <v>3854</v>
      </c>
      <c r="B546" s="225" t="s">
        <v>3855</v>
      </c>
    </row>
    <row r="547" spans="1:2">
      <c r="A547" s="225" t="s">
        <v>749</v>
      </c>
      <c r="B547" s="225" t="s">
        <v>3856</v>
      </c>
    </row>
    <row r="548" spans="1:2">
      <c r="A548" s="225" t="s">
        <v>3858</v>
      </c>
      <c r="B548" s="225" t="s">
        <v>3859</v>
      </c>
    </row>
    <row r="549" spans="1:2">
      <c r="A549" s="225" t="s">
        <v>3860</v>
      </c>
      <c r="B549" s="225" t="s">
        <v>3861</v>
      </c>
    </row>
    <row r="550" spans="1:2">
      <c r="A550" s="225" t="s">
        <v>3936</v>
      </c>
      <c r="B550" s="225" t="s">
        <v>3937</v>
      </c>
    </row>
    <row r="551" spans="1:2">
      <c r="A551" s="225" t="s">
        <v>3938</v>
      </c>
      <c r="B551" s="225" t="s">
        <v>3939</v>
      </c>
    </row>
    <row r="552" spans="1:2">
      <c r="A552" s="225" t="s">
        <v>1322</v>
      </c>
      <c r="B552" s="225" t="s">
        <v>5294</v>
      </c>
    </row>
    <row r="553" spans="1:2">
      <c r="A553" s="225" t="s">
        <v>3979</v>
      </c>
      <c r="B553" s="225" t="s">
        <v>3980</v>
      </c>
    </row>
    <row r="554" spans="1:2">
      <c r="A554" s="225" t="s">
        <v>3993</v>
      </c>
      <c r="B554" s="225" t="s">
        <v>3994</v>
      </c>
    </row>
    <row r="555" spans="1:2">
      <c r="A555" s="225" t="s">
        <v>3995</v>
      </c>
      <c r="B555" s="225" t="s">
        <v>3996</v>
      </c>
    </row>
    <row r="556" spans="1:2">
      <c r="A556" s="225" t="s">
        <v>3997</v>
      </c>
      <c r="B556" s="225" t="s">
        <v>3998</v>
      </c>
    </row>
    <row r="557" spans="1:2">
      <c r="A557" s="225" t="s">
        <v>3999</v>
      </c>
      <c r="B557" s="225" t="s">
        <v>4000</v>
      </c>
    </row>
    <row r="558" spans="1:2">
      <c r="A558" s="225" t="s">
        <v>4001</v>
      </c>
      <c r="B558" s="225" t="s">
        <v>4002</v>
      </c>
    </row>
    <row r="559" spans="1:2">
      <c r="A559" s="225" t="s">
        <v>4003</v>
      </c>
      <c r="B559" s="225" t="s">
        <v>4004</v>
      </c>
    </row>
    <row r="560" spans="1:2">
      <c r="A560" s="225" t="s">
        <v>4005</v>
      </c>
      <c r="B560" s="225" t="s">
        <v>4006</v>
      </c>
    </row>
    <row r="561" spans="1:2">
      <c r="A561" s="225" t="s">
        <v>4007</v>
      </c>
      <c r="B561" s="225" t="s">
        <v>4008</v>
      </c>
    </row>
    <row r="562" spans="1:2">
      <c r="A562" s="225" t="s">
        <v>4011</v>
      </c>
      <c r="B562" s="225" t="s">
        <v>4012</v>
      </c>
    </row>
    <row r="563" spans="1:2">
      <c r="A563" s="225" t="s">
        <v>4014</v>
      </c>
      <c r="B563" s="225" t="s">
        <v>4015</v>
      </c>
    </row>
    <row r="564" spans="1:2">
      <c r="A564" s="225" t="s">
        <v>4017</v>
      </c>
      <c r="B564" s="225" t="s">
        <v>4018</v>
      </c>
    </row>
    <row r="565" spans="1:2">
      <c r="A565" s="225" t="s">
        <v>4021</v>
      </c>
      <c r="B565" s="225" t="s">
        <v>4022</v>
      </c>
    </row>
    <row r="566" spans="1:2">
      <c r="A566" s="225" t="s">
        <v>4023</v>
      </c>
      <c r="B566" s="225" t="s">
        <v>4024</v>
      </c>
    </row>
    <row r="567" spans="1:2">
      <c r="A567" s="225" t="s">
        <v>4025</v>
      </c>
      <c r="B567" s="225" t="s">
        <v>4026</v>
      </c>
    </row>
    <row r="568" spans="1:2">
      <c r="A568" s="225" t="s">
        <v>4027</v>
      </c>
      <c r="B568" s="225" t="s">
        <v>4028</v>
      </c>
    </row>
    <row r="569" spans="1:2">
      <c r="A569" s="225" t="s">
        <v>4029</v>
      </c>
      <c r="B569" s="225" t="s">
        <v>4030</v>
      </c>
    </row>
    <row r="570" spans="1:2">
      <c r="A570" s="225" t="s">
        <v>4032</v>
      </c>
      <c r="B570" s="225" t="s">
        <v>4033</v>
      </c>
    </row>
    <row r="571" spans="1:2">
      <c r="A571" s="225" t="s">
        <v>760</v>
      </c>
      <c r="B571" s="225" t="s">
        <v>4034</v>
      </c>
    </row>
    <row r="572" spans="1:2">
      <c r="A572" s="225" t="s">
        <v>746</v>
      </c>
      <c r="B572" s="225" t="s">
        <v>4035</v>
      </c>
    </row>
    <row r="573" spans="1:2">
      <c r="A573" s="225" t="s">
        <v>4036</v>
      </c>
      <c r="B573" s="225" t="s">
        <v>4037</v>
      </c>
    </row>
    <row r="574" spans="1:2">
      <c r="A574" s="225" t="s">
        <v>4038</v>
      </c>
      <c r="B574" s="225" t="s">
        <v>4039</v>
      </c>
    </row>
    <row r="575" spans="1:2">
      <c r="A575" s="225" t="s">
        <v>4040</v>
      </c>
      <c r="B575" s="225" t="s">
        <v>4041</v>
      </c>
    </row>
    <row r="576" spans="1:2">
      <c r="A576" s="225" t="s">
        <v>804</v>
      </c>
      <c r="B576" s="225" t="s">
        <v>4042</v>
      </c>
    </row>
    <row r="577" spans="1:2">
      <c r="A577" s="225" t="s">
        <v>4043</v>
      </c>
      <c r="B577" s="225" t="s">
        <v>4044</v>
      </c>
    </row>
    <row r="578" spans="1:2">
      <c r="A578" s="225" t="s">
        <v>4045</v>
      </c>
      <c r="B578" s="225" t="s">
        <v>4046</v>
      </c>
    </row>
    <row r="579" spans="1:2">
      <c r="A579" s="225" t="s">
        <v>4047</v>
      </c>
      <c r="B579" s="225" t="s">
        <v>4048</v>
      </c>
    </row>
    <row r="580" spans="1:2">
      <c r="A580" s="225" t="s">
        <v>4049</v>
      </c>
      <c r="B580" s="225" t="s">
        <v>4050</v>
      </c>
    </row>
    <row r="581" spans="1:2">
      <c r="A581" s="225" t="s">
        <v>4051</v>
      </c>
      <c r="B581" s="225" t="s">
        <v>4052</v>
      </c>
    </row>
    <row r="582" spans="1:2">
      <c r="A582" s="225" t="s">
        <v>4053</v>
      </c>
      <c r="B582" s="225" t="s">
        <v>4054</v>
      </c>
    </row>
    <row r="583" spans="1:2">
      <c r="A583" s="225" t="s">
        <v>4055</v>
      </c>
      <c r="B583" s="225" t="s">
        <v>4056</v>
      </c>
    </row>
    <row r="584" spans="1:2">
      <c r="A584" s="225" t="s">
        <v>4057</v>
      </c>
      <c r="B584" s="225" t="s">
        <v>4058</v>
      </c>
    </row>
    <row r="585" spans="1:2">
      <c r="A585" s="225" t="s">
        <v>4059</v>
      </c>
      <c r="B585" s="225" t="s">
        <v>4060</v>
      </c>
    </row>
    <row r="586" spans="1:2">
      <c r="A586" s="225" t="s">
        <v>4061</v>
      </c>
      <c r="B586" s="225" t="s">
        <v>4062</v>
      </c>
    </row>
    <row r="587" spans="1:2">
      <c r="A587" s="225" t="s">
        <v>792</v>
      </c>
      <c r="B587" s="225" t="s">
        <v>4063</v>
      </c>
    </row>
    <row r="588" spans="1:2">
      <c r="A588" s="225" t="s">
        <v>800</v>
      </c>
      <c r="B588" s="225" t="s">
        <v>4064</v>
      </c>
    </row>
    <row r="589" spans="1:2">
      <c r="A589" s="225" t="s">
        <v>3323</v>
      </c>
      <c r="B589" s="225" t="s">
        <v>3324</v>
      </c>
    </row>
    <row r="590" spans="1:2">
      <c r="A590" s="225" t="s">
        <v>3325</v>
      </c>
      <c r="B590" s="225" t="s">
        <v>3326</v>
      </c>
    </row>
    <row r="591" spans="1:2">
      <c r="A591" s="225" t="s">
        <v>3327</v>
      </c>
      <c r="B591" s="225" t="s">
        <v>3328</v>
      </c>
    </row>
    <row r="592" spans="1:2">
      <c r="A592" s="225" t="s">
        <v>1170</v>
      </c>
      <c r="B592" s="225" t="s">
        <v>3329</v>
      </c>
    </row>
    <row r="593" spans="1:2">
      <c r="A593" s="225" t="s">
        <v>3330</v>
      </c>
      <c r="B593" s="225" t="s">
        <v>3331</v>
      </c>
    </row>
    <row r="594" spans="1:2">
      <c r="A594" s="225" t="s">
        <v>3332</v>
      </c>
      <c r="B594" s="225" t="s">
        <v>3333</v>
      </c>
    </row>
    <row r="595" spans="1:2">
      <c r="A595" s="225" t="s">
        <v>3334</v>
      </c>
      <c r="B595" s="225" t="s">
        <v>3335</v>
      </c>
    </row>
    <row r="596" spans="1:2">
      <c r="A596" s="225" t="s">
        <v>3336</v>
      </c>
      <c r="B596" s="225" t="s">
        <v>3337</v>
      </c>
    </row>
    <row r="597" spans="1:2">
      <c r="A597" s="225" t="s">
        <v>3338</v>
      </c>
      <c r="B597" s="225" t="s">
        <v>3339</v>
      </c>
    </row>
    <row r="598" spans="1:2">
      <c r="A598" s="225" t="s">
        <v>3340</v>
      </c>
      <c r="B598" s="225" t="s">
        <v>3341</v>
      </c>
    </row>
    <row r="599" spans="1:2">
      <c r="A599" s="225" t="s">
        <v>3342</v>
      </c>
      <c r="B599" s="225" t="s">
        <v>3343</v>
      </c>
    </row>
    <row r="600" spans="1:2">
      <c r="A600" s="225" t="s">
        <v>3344</v>
      </c>
      <c r="B600" s="225" t="s">
        <v>3345</v>
      </c>
    </row>
    <row r="601" spans="1:2">
      <c r="A601" s="225" t="s">
        <v>3346</v>
      </c>
      <c r="B601" s="225" t="s">
        <v>3347</v>
      </c>
    </row>
    <row r="602" spans="1:2">
      <c r="A602" s="225" t="s">
        <v>3348</v>
      </c>
      <c r="B602" s="225" t="s">
        <v>3349</v>
      </c>
    </row>
    <row r="603" spans="1:2">
      <c r="A603" s="225" t="s">
        <v>3350</v>
      </c>
      <c r="B603" s="225" t="s">
        <v>3351</v>
      </c>
    </row>
    <row r="604" spans="1:2">
      <c r="A604" s="225" t="s">
        <v>3352</v>
      </c>
      <c r="B604" s="225" t="s">
        <v>3353</v>
      </c>
    </row>
    <row r="605" spans="1:2">
      <c r="A605" s="225" t="s">
        <v>3354</v>
      </c>
      <c r="B605" s="225" t="s">
        <v>3355</v>
      </c>
    </row>
    <row r="606" spans="1:2">
      <c r="A606" s="225" t="s">
        <v>3356</v>
      </c>
      <c r="B606" s="225" t="s">
        <v>3357</v>
      </c>
    </row>
    <row r="607" spans="1:2">
      <c r="A607" s="225" t="s">
        <v>3358</v>
      </c>
      <c r="B607" s="225" t="s">
        <v>3359</v>
      </c>
    </row>
    <row r="608" spans="1:2">
      <c r="A608" s="225" t="s">
        <v>3360</v>
      </c>
      <c r="B608" s="225" t="s">
        <v>3361</v>
      </c>
    </row>
    <row r="609" spans="1:2">
      <c r="A609" s="225" t="s">
        <v>3362</v>
      </c>
      <c r="B609" s="225" t="s">
        <v>3328</v>
      </c>
    </row>
    <row r="610" spans="1:2">
      <c r="A610" s="225" t="s">
        <v>3363</v>
      </c>
      <c r="B610" s="225" t="s">
        <v>3329</v>
      </c>
    </row>
    <row r="611" spans="1:2">
      <c r="A611" s="225" t="s">
        <v>3364</v>
      </c>
      <c r="B611" s="225" t="s">
        <v>3365</v>
      </c>
    </row>
    <row r="612" spans="1:2">
      <c r="A612" s="225" t="s">
        <v>3366</v>
      </c>
      <c r="B612" s="225" t="s">
        <v>3367</v>
      </c>
    </row>
    <row r="613" spans="1:2">
      <c r="A613" s="225" t="s">
        <v>3368</v>
      </c>
      <c r="B613" s="225" t="s">
        <v>3328</v>
      </c>
    </row>
    <row r="614" spans="1:2">
      <c r="A614" s="225" t="s">
        <v>3369</v>
      </c>
      <c r="B614" s="225" t="s">
        <v>3329</v>
      </c>
    </row>
    <row r="615" spans="1:2">
      <c r="A615" s="225" t="s">
        <v>3370</v>
      </c>
      <c r="B615" s="225" t="s">
        <v>3371</v>
      </c>
    </row>
    <row r="616" spans="1:2">
      <c r="A616" s="225" t="s">
        <v>3372</v>
      </c>
      <c r="B616" s="225" t="s">
        <v>3373</v>
      </c>
    </row>
    <row r="617" spans="1:2">
      <c r="A617" s="225" t="s">
        <v>3374</v>
      </c>
      <c r="B617" s="225" t="s">
        <v>3375</v>
      </c>
    </row>
    <row r="618" spans="1:2">
      <c r="A618" s="225" t="s">
        <v>3377</v>
      </c>
      <c r="B618" s="225" t="s">
        <v>3378</v>
      </c>
    </row>
    <row r="619" spans="1:2">
      <c r="A619" s="225" t="s">
        <v>3379</v>
      </c>
      <c r="B619" s="225" t="s">
        <v>3380</v>
      </c>
    </row>
    <row r="620" spans="1:2">
      <c r="A620" s="225" t="s">
        <v>3381</v>
      </c>
      <c r="B620" s="225" t="s">
        <v>3382</v>
      </c>
    </row>
    <row r="621" spans="1:2">
      <c r="A621" s="225" t="s">
        <v>3383</v>
      </c>
      <c r="B621" s="225" t="s">
        <v>3384</v>
      </c>
    </row>
    <row r="622" spans="1:2">
      <c r="A622" s="225" t="s">
        <v>3385</v>
      </c>
      <c r="B622" s="225" t="s">
        <v>3386</v>
      </c>
    </row>
    <row r="623" spans="1:2">
      <c r="A623" s="225" t="s">
        <v>3387</v>
      </c>
      <c r="B623" s="225" t="s">
        <v>3345</v>
      </c>
    </row>
    <row r="624" spans="1:2">
      <c r="A624" s="225" t="s">
        <v>3388</v>
      </c>
      <c r="B624" s="225" t="s">
        <v>3347</v>
      </c>
    </row>
    <row r="625" spans="1:2">
      <c r="A625" s="225" t="s">
        <v>3389</v>
      </c>
      <c r="B625" s="225" t="s">
        <v>3349</v>
      </c>
    </row>
    <row r="626" spans="1:2">
      <c r="A626" s="225" t="s">
        <v>3390</v>
      </c>
      <c r="B626" s="225" t="s">
        <v>3351</v>
      </c>
    </row>
    <row r="627" spans="1:2">
      <c r="A627" s="225" t="s">
        <v>3391</v>
      </c>
      <c r="B627" s="225" t="s">
        <v>3353</v>
      </c>
    </row>
    <row r="628" spans="1:2">
      <c r="A628" s="225" t="s">
        <v>3392</v>
      </c>
      <c r="B628" s="225" t="s">
        <v>3355</v>
      </c>
    </row>
    <row r="629" spans="1:2">
      <c r="A629" s="225" t="s">
        <v>3393</v>
      </c>
      <c r="B629" s="225" t="s">
        <v>3394</v>
      </c>
    </row>
    <row r="630" spans="1:2">
      <c r="A630" s="225" t="s">
        <v>3395</v>
      </c>
      <c r="B630" s="225" t="s">
        <v>3396</v>
      </c>
    </row>
    <row r="631" spans="1:2">
      <c r="A631" s="225" t="s">
        <v>3397</v>
      </c>
      <c r="B631" s="225" t="s">
        <v>3398</v>
      </c>
    </row>
    <row r="632" spans="1:2">
      <c r="A632" s="225" t="s">
        <v>3399</v>
      </c>
      <c r="B632" s="225" t="s">
        <v>3400</v>
      </c>
    </row>
    <row r="633" spans="1:2">
      <c r="A633" s="225" t="s">
        <v>3407</v>
      </c>
      <c r="B633" s="225" t="s">
        <v>3408</v>
      </c>
    </row>
    <row r="634" spans="1:2">
      <c r="A634" s="225" t="s">
        <v>3409</v>
      </c>
      <c r="B634" s="225" t="s">
        <v>3410</v>
      </c>
    </row>
    <row r="635" spans="1:2">
      <c r="A635" s="225" t="s">
        <v>3411</v>
      </c>
      <c r="B635" s="225" t="s">
        <v>3412</v>
      </c>
    </row>
    <row r="636" spans="1:2">
      <c r="A636" s="225" t="s">
        <v>3413</v>
      </c>
      <c r="B636" s="225" t="s">
        <v>3414</v>
      </c>
    </row>
    <row r="637" spans="1:2">
      <c r="A637" s="225" t="s">
        <v>3415</v>
      </c>
      <c r="B637" s="225" t="s">
        <v>3416</v>
      </c>
    </row>
    <row r="638" spans="1:2">
      <c r="A638" s="225" t="s">
        <v>3417</v>
      </c>
      <c r="B638" s="225" t="s">
        <v>3418</v>
      </c>
    </row>
    <row r="639" spans="1:2">
      <c r="A639" s="225" t="s">
        <v>3419</v>
      </c>
      <c r="B639" s="225" t="s">
        <v>3420</v>
      </c>
    </row>
    <row r="640" spans="1:2">
      <c r="A640" s="225" t="s">
        <v>3421</v>
      </c>
      <c r="B640" s="225" t="s">
        <v>3422</v>
      </c>
    </row>
    <row r="641" spans="1:2">
      <c r="A641" s="225" t="s">
        <v>3423</v>
      </c>
      <c r="B641" s="225" t="s">
        <v>3170</v>
      </c>
    </row>
    <row r="642" spans="1:2">
      <c r="A642" s="225" t="s">
        <v>3424</v>
      </c>
      <c r="B642" s="225" t="s">
        <v>1749</v>
      </c>
    </row>
    <row r="643" spans="1:2">
      <c r="A643" s="225" t="s">
        <v>3425</v>
      </c>
      <c r="B643" s="225" t="s">
        <v>3426</v>
      </c>
    </row>
    <row r="644" spans="1:2">
      <c r="A644" s="225" t="s">
        <v>3427</v>
      </c>
      <c r="B644" s="225" t="s">
        <v>3428</v>
      </c>
    </row>
    <row r="645" spans="1:2">
      <c r="A645" s="225" t="s">
        <v>3429</v>
      </c>
      <c r="B645" s="225" t="s">
        <v>3430</v>
      </c>
    </row>
    <row r="646" spans="1:2">
      <c r="A646" s="225" t="s">
        <v>3431</v>
      </c>
      <c r="B646" s="225" t="s">
        <v>3432</v>
      </c>
    </row>
    <row r="647" spans="1:2">
      <c r="A647" s="225" t="s">
        <v>3433</v>
      </c>
      <c r="B647" s="225" t="s">
        <v>3434</v>
      </c>
    </row>
    <row r="648" spans="1:2">
      <c r="A648" s="225" t="s">
        <v>3435</v>
      </c>
      <c r="B648" s="225" t="s">
        <v>3436</v>
      </c>
    </row>
    <row r="649" spans="1:2">
      <c r="A649" s="225" t="s">
        <v>3437</v>
      </c>
      <c r="B649" s="225" t="s">
        <v>3438</v>
      </c>
    </row>
    <row r="650" spans="1:2">
      <c r="A650" s="225" t="s">
        <v>3439</v>
      </c>
      <c r="B650" s="225" t="s">
        <v>3440</v>
      </c>
    </row>
    <row r="651" spans="1:2">
      <c r="A651" s="225" t="s">
        <v>3441</v>
      </c>
      <c r="B651" s="225" t="s">
        <v>3442</v>
      </c>
    </row>
    <row r="652" spans="1:2">
      <c r="A652" s="225" t="s">
        <v>3443</v>
      </c>
      <c r="B652" s="225" t="s">
        <v>3444</v>
      </c>
    </row>
    <row r="653" spans="1:2">
      <c r="A653" s="225" t="s">
        <v>3445</v>
      </c>
      <c r="B653" s="225" t="s">
        <v>3446</v>
      </c>
    </row>
    <row r="654" spans="1:2">
      <c r="A654" s="225" t="s">
        <v>3447</v>
      </c>
      <c r="B654" s="225" t="s">
        <v>3448</v>
      </c>
    </row>
    <row r="655" spans="1:2">
      <c r="A655" s="225" t="s">
        <v>3451</v>
      </c>
      <c r="B655" s="225" t="s">
        <v>3452</v>
      </c>
    </row>
    <row r="656" spans="1:2">
      <c r="A656" s="225" t="s">
        <v>3453</v>
      </c>
      <c r="B656" s="225" t="s">
        <v>3454</v>
      </c>
    </row>
    <row r="657" spans="1:2">
      <c r="A657" s="225" t="s">
        <v>3455</v>
      </c>
      <c r="B657" s="225" t="s">
        <v>3456</v>
      </c>
    </row>
    <row r="658" spans="1:2">
      <c r="A658" s="225" t="s">
        <v>3460</v>
      </c>
      <c r="B658" s="225" t="s">
        <v>3461</v>
      </c>
    </row>
    <row r="659" spans="1:2">
      <c r="A659" s="225" t="s">
        <v>3462</v>
      </c>
      <c r="B659" s="225" t="s">
        <v>3463</v>
      </c>
    </row>
    <row r="660" spans="1:2">
      <c r="A660" s="225" t="s">
        <v>3464</v>
      </c>
      <c r="B660" s="225" t="s">
        <v>2105</v>
      </c>
    </row>
    <row r="661" spans="1:2">
      <c r="A661" s="225" t="s">
        <v>3465</v>
      </c>
      <c r="B661" s="225" t="s">
        <v>3466</v>
      </c>
    </row>
    <row r="662" spans="1:2">
      <c r="A662" s="225" t="s">
        <v>3470</v>
      </c>
      <c r="B662" s="225" t="s">
        <v>3471</v>
      </c>
    </row>
    <row r="663" spans="1:2">
      <c r="A663" s="225" t="s">
        <v>3472</v>
      </c>
      <c r="B663" s="225" t="s">
        <v>3473</v>
      </c>
    </row>
    <row r="664" spans="1:2">
      <c r="A664" s="225" t="s">
        <v>3474</v>
      </c>
      <c r="B664" s="225" t="s">
        <v>3475</v>
      </c>
    </row>
    <row r="665" spans="1:2">
      <c r="A665" s="225" t="s">
        <v>3476</v>
      </c>
      <c r="B665" s="225" t="s">
        <v>3477</v>
      </c>
    </row>
    <row r="666" spans="1:2">
      <c r="A666" s="225" t="s">
        <v>3478</v>
      </c>
      <c r="B666" s="225" t="s">
        <v>3479</v>
      </c>
    </row>
    <row r="667" spans="1:2">
      <c r="A667" s="225" t="s">
        <v>3480</v>
      </c>
      <c r="B667" s="225" t="s">
        <v>3481</v>
      </c>
    </row>
    <row r="668" spans="1:2">
      <c r="A668" s="225" t="s">
        <v>3482</v>
      </c>
      <c r="B668" s="225" t="s">
        <v>3483</v>
      </c>
    </row>
    <row r="669" spans="1:2">
      <c r="A669" s="225" t="s">
        <v>3484</v>
      </c>
      <c r="B669" s="225" t="s">
        <v>3485</v>
      </c>
    </row>
    <row r="670" spans="1:2">
      <c r="A670" s="225" t="s">
        <v>3486</v>
      </c>
      <c r="B670" s="225" t="s">
        <v>3487</v>
      </c>
    </row>
    <row r="671" spans="1:2">
      <c r="A671" s="225" t="s">
        <v>3488</v>
      </c>
      <c r="B671" s="225" t="s">
        <v>3489</v>
      </c>
    </row>
    <row r="672" spans="1:2">
      <c r="A672" s="225" t="s">
        <v>3490</v>
      </c>
      <c r="B672" s="225" t="s">
        <v>3491</v>
      </c>
    </row>
    <row r="673" spans="1:2">
      <c r="A673" s="225" t="s">
        <v>3492</v>
      </c>
      <c r="B673" s="225" t="s">
        <v>3493</v>
      </c>
    </row>
    <row r="674" spans="1:2">
      <c r="A674" s="225" t="s">
        <v>3494</v>
      </c>
      <c r="B674" s="225" t="s">
        <v>3495</v>
      </c>
    </row>
    <row r="675" spans="1:2">
      <c r="A675" s="225" t="s">
        <v>4807</v>
      </c>
      <c r="B675" s="225" t="s">
        <v>4808</v>
      </c>
    </row>
    <row r="676" spans="1:2">
      <c r="A676" s="225" t="s">
        <v>4809</v>
      </c>
      <c r="B676" s="225" t="s">
        <v>4810</v>
      </c>
    </row>
    <row r="677" spans="1:2">
      <c r="A677" s="225" t="s">
        <v>4811</v>
      </c>
      <c r="B677" s="225" t="s">
        <v>4812</v>
      </c>
    </row>
    <row r="678" spans="1:2">
      <c r="A678" s="225" t="s">
        <v>4813</v>
      </c>
      <c r="B678" s="225" t="s">
        <v>4814</v>
      </c>
    </row>
    <row r="679" spans="1:2">
      <c r="A679" s="225" t="s">
        <v>4815</v>
      </c>
      <c r="B679" s="225" t="s">
        <v>4816</v>
      </c>
    </row>
    <row r="680" spans="1:2">
      <c r="A680" s="225" t="s">
        <v>4817</v>
      </c>
      <c r="B680" s="225" t="s">
        <v>4818</v>
      </c>
    </row>
    <row r="681" spans="1:2">
      <c r="A681" s="225" t="s">
        <v>4819</v>
      </c>
      <c r="B681" s="225" t="s">
        <v>4820</v>
      </c>
    </row>
    <row r="682" spans="1:2">
      <c r="A682" s="225" t="s">
        <v>4821</v>
      </c>
      <c r="B682" s="225" t="s">
        <v>4822</v>
      </c>
    </row>
    <row r="683" spans="1:2">
      <c r="A683" s="225" t="s">
        <v>4823</v>
      </c>
      <c r="B683" s="225" t="s">
        <v>4824</v>
      </c>
    </row>
    <row r="684" spans="1:2">
      <c r="A684" s="225" t="s">
        <v>4825</v>
      </c>
      <c r="B684" s="225" t="s">
        <v>4826</v>
      </c>
    </row>
    <row r="685" spans="1:2">
      <c r="A685" s="225" t="s">
        <v>4827</v>
      </c>
      <c r="B685" s="225" t="s">
        <v>4828</v>
      </c>
    </row>
    <row r="686" spans="1:2">
      <c r="A686" s="225" t="s">
        <v>4829</v>
      </c>
      <c r="B686" s="225" t="s">
        <v>4830</v>
      </c>
    </row>
    <row r="687" spans="1:2">
      <c r="A687" s="225" t="s">
        <v>4831</v>
      </c>
      <c r="B687" s="225" t="s">
        <v>4832</v>
      </c>
    </row>
    <row r="688" spans="1:2">
      <c r="A688" s="225" t="s">
        <v>4833</v>
      </c>
      <c r="B688" s="225" t="s">
        <v>4834</v>
      </c>
    </row>
    <row r="689" spans="1:2">
      <c r="A689" s="225" t="s">
        <v>4835</v>
      </c>
      <c r="B689" s="225" t="s">
        <v>4836</v>
      </c>
    </row>
    <row r="690" spans="1:2">
      <c r="A690" s="225" t="s">
        <v>4837</v>
      </c>
      <c r="B690" s="225" t="s">
        <v>4838</v>
      </c>
    </row>
    <row r="691" spans="1:2">
      <c r="A691" s="225" t="s">
        <v>4839</v>
      </c>
      <c r="B691" s="225" t="s">
        <v>4840</v>
      </c>
    </row>
    <row r="692" spans="1:2">
      <c r="A692" s="225" t="s">
        <v>4841</v>
      </c>
      <c r="B692" s="225" t="s">
        <v>4842</v>
      </c>
    </row>
    <row r="693" spans="1:2">
      <c r="A693" s="225" t="s">
        <v>4843</v>
      </c>
      <c r="B693" s="225" t="s">
        <v>4844</v>
      </c>
    </row>
    <row r="694" spans="1:2">
      <c r="A694" s="225" t="s">
        <v>4845</v>
      </c>
      <c r="B694" s="225" t="s">
        <v>4846</v>
      </c>
    </row>
    <row r="695" spans="1:2">
      <c r="A695" s="225" t="s">
        <v>4847</v>
      </c>
      <c r="B695" s="225" t="s">
        <v>4848</v>
      </c>
    </row>
    <row r="696" spans="1:2">
      <c r="A696" s="225" t="s">
        <v>4849</v>
      </c>
      <c r="B696" s="225" t="s">
        <v>4850</v>
      </c>
    </row>
    <row r="697" spans="1:2">
      <c r="A697" s="225" t="s">
        <v>4851</v>
      </c>
      <c r="B697" s="225" t="s">
        <v>4852</v>
      </c>
    </row>
    <row r="698" spans="1:2">
      <c r="A698" s="225" t="s">
        <v>4853</v>
      </c>
      <c r="B698" s="225" t="s">
        <v>4854</v>
      </c>
    </row>
    <row r="699" spans="1:2">
      <c r="A699" s="225" t="s">
        <v>4855</v>
      </c>
      <c r="B699" s="225" t="s">
        <v>4856</v>
      </c>
    </row>
    <row r="700" spans="1:2">
      <c r="A700" s="225" t="s">
        <v>4857</v>
      </c>
      <c r="B700" s="225" t="s">
        <v>4858</v>
      </c>
    </row>
    <row r="701" spans="1:2">
      <c r="A701" s="225" t="s">
        <v>4859</v>
      </c>
      <c r="B701" s="225" t="s">
        <v>4860</v>
      </c>
    </row>
    <row r="702" spans="1:2">
      <c r="A702" s="225" t="s">
        <v>4861</v>
      </c>
      <c r="B702" s="225" t="s">
        <v>4862</v>
      </c>
    </row>
    <row r="703" spans="1:2">
      <c r="A703" s="225" t="s">
        <v>4863</v>
      </c>
      <c r="B703" s="225" t="s">
        <v>4864</v>
      </c>
    </row>
    <row r="704" spans="1:2">
      <c r="A704" s="225" t="s">
        <v>4865</v>
      </c>
      <c r="B704" s="225" t="s">
        <v>4866</v>
      </c>
    </row>
    <row r="705" spans="1:2">
      <c r="A705" s="225" t="s">
        <v>4867</v>
      </c>
      <c r="B705" s="225" t="s">
        <v>4868</v>
      </c>
    </row>
    <row r="706" spans="1:2">
      <c r="A706" s="225" t="s">
        <v>4869</v>
      </c>
      <c r="B706" s="225" t="s">
        <v>4870</v>
      </c>
    </row>
    <row r="707" spans="1:2">
      <c r="A707" s="225" t="s">
        <v>4871</v>
      </c>
      <c r="B707" s="225" t="s">
        <v>4872</v>
      </c>
    </row>
    <row r="708" spans="1:2">
      <c r="A708" s="225" t="s">
        <v>4873</v>
      </c>
      <c r="B708" s="225" t="s">
        <v>4874</v>
      </c>
    </row>
    <row r="709" spans="1:2">
      <c r="A709" s="225" t="s">
        <v>4875</v>
      </c>
      <c r="B709" s="225" t="s">
        <v>4876</v>
      </c>
    </row>
    <row r="710" spans="1:2">
      <c r="A710" s="225" t="s">
        <v>4877</v>
      </c>
      <c r="B710" s="225" t="s">
        <v>2678</v>
      </c>
    </row>
    <row r="711" spans="1:2">
      <c r="A711" s="225" t="s">
        <v>4878</v>
      </c>
      <c r="B711" s="225" t="s">
        <v>4879</v>
      </c>
    </row>
    <row r="712" spans="1:2">
      <c r="A712" s="225" t="s">
        <v>4880</v>
      </c>
      <c r="B712" s="225" t="s">
        <v>4497</v>
      </c>
    </row>
    <row r="713" spans="1:2">
      <c r="A713" s="225" t="s">
        <v>4881</v>
      </c>
      <c r="B713" s="225" t="s">
        <v>4882</v>
      </c>
    </row>
    <row r="714" spans="1:2">
      <c r="A714" s="225" t="s">
        <v>4883</v>
      </c>
      <c r="B714" s="225" t="s">
        <v>4884</v>
      </c>
    </row>
    <row r="715" spans="1:2">
      <c r="A715" s="225" t="s">
        <v>4885</v>
      </c>
      <c r="B715" s="225" t="s">
        <v>4886</v>
      </c>
    </row>
    <row r="716" spans="1:2">
      <c r="A716" s="225" t="s">
        <v>4887</v>
      </c>
      <c r="B716" s="225" t="s">
        <v>4888</v>
      </c>
    </row>
    <row r="717" spans="1:2">
      <c r="A717" s="225" t="s">
        <v>4889</v>
      </c>
      <c r="B717" s="225" t="s">
        <v>4890</v>
      </c>
    </row>
    <row r="718" spans="1:2">
      <c r="A718" s="225" t="s">
        <v>4891</v>
      </c>
      <c r="B718" s="225" t="s">
        <v>4892</v>
      </c>
    </row>
    <row r="719" spans="1:2">
      <c r="A719" s="225" t="s">
        <v>4893</v>
      </c>
      <c r="B719" s="225" t="s">
        <v>4894</v>
      </c>
    </row>
    <row r="720" spans="1:2">
      <c r="A720" s="225" t="s">
        <v>4895</v>
      </c>
      <c r="B720" s="225" t="s">
        <v>4896</v>
      </c>
    </row>
    <row r="721" spans="1:2">
      <c r="A721" s="225" t="s">
        <v>4897</v>
      </c>
      <c r="B721" s="225" t="s">
        <v>4898</v>
      </c>
    </row>
    <row r="722" spans="1:2">
      <c r="A722" s="225" t="s">
        <v>4899</v>
      </c>
      <c r="B722" s="225" t="s">
        <v>4900</v>
      </c>
    </row>
    <row r="723" spans="1:2">
      <c r="A723" s="225" t="s">
        <v>4901</v>
      </c>
      <c r="B723" s="225" t="s">
        <v>4902</v>
      </c>
    </row>
    <row r="724" spans="1:2">
      <c r="A724" s="225" t="s">
        <v>4903</v>
      </c>
      <c r="B724" s="225" t="s">
        <v>4904</v>
      </c>
    </row>
    <row r="725" spans="1:2">
      <c r="A725" s="225" t="s">
        <v>4905</v>
      </c>
      <c r="B725" s="225" t="s">
        <v>4906</v>
      </c>
    </row>
    <row r="726" spans="1:2">
      <c r="A726" s="225" t="s">
        <v>4907</v>
      </c>
      <c r="B726" s="225" t="s">
        <v>4908</v>
      </c>
    </row>
    <row r="727" spans="1:2">
      <c r="A727" s="225" t="s">
        <v>4909</v>
      </c>
      <c r="B727" s="225" t="s">
        <v>4910</v>
      </c>
    </row>
    <row r="728" spans="1:2">
      <c r="A728" s="225" t="s">
        <v>4911</v>
      </c>
      <c r="B728" s="225" t="s">
        <v>4912</v>
      </c>
    </row>
    <row r="729" spans="1:2">
      <c r="A729" s="225" t="s">
        <v>4913</v>
      </c>
      <c r="B729" s="225" t="s">
        <v>4914</v>
      </c>
    </row>
    <row r="730" spans="1:2">
      <c r="A730" s="225" t="s">
        <v>4915</v>
      </c>
      <c r="B730" s="225" t="s">
        <v>4916</v>
      </c>
    </row>
    <row r="731" spans="1:2">
      <c r="A731" s="225" t="s">
        <v>4917</v>
      </c>
      <c r="B731" s="225" t="s">
        <v>4918</v>
      </c>
    </row>
    <row r="732" spans="1:2">
      <c r="A732" s="225" t="s">
        <v>4919</v>
      </c>
      <c r="B732" s="225" t="s">
        <v>4920</v>
      </c>
    </row>
    <row r="733" spans="1:2">
      <c r="A733" s="225" t="s">
        <v>4921</v>
      </c>
      <c r="B733" s="225" t="s">
        <v>4922</v>
      </c>
    </row>
    <row r="734" spans="1:2">
      <c r="A734" s="225" t="s">
        <v>4923</v>
      </c>
      <c r="B734" s="225" t="s">
        <v>4924</v>
      </c>
    </row>
    <row r="735" spans="1:2">
      <c r="A735" s="225" t="s">
        <v>4925</v>
      </c>
      <c r="B735" s="225" t="s">
        <v>4926</v>
      </c>
    </row>
    <row r="736" spans="1:2">
      <c r="A736" s="225" t="s">
        <v>4927</v>
      </c>
      <c r="B736" s="225" t="s">
        <v>4928</v>
      </c>
    </row>
    <row r="737" spans="1:2">
      <c r="A737" s="225" t="s">
        <v>4929</v>
      </c>
      <c r="B737" s="225" t="s">
        <v>4930</v>
      </c>
    </row>
    <row r="738" spans="1:2">
      <c r="A738" s="225" t="s">
        <v>4931</v>
      </c>
      <c r="B738" s="225" t="s">
        <v>4932</v>
      </c>
    </row>
    <row r="739" spans="1:2">
      <c r="A739" s="225" t="s">
        <v>4933</v>
      </c>
      <c r="B739" s="225" t="s">
        <v>4934</v>
      </c>
    </row>
    <row r="740" spans="1:2">
      <c r="A740" s="225" t="s">
        <v>4935</v>
      </c>
      <c r="B740" s="225" t="s">
        <v>4936</v>
      </c>
    </row>
    <row r="741" spans="1:2">
      <c r="A741" s="225" t="s">
        <v>4937</v>
      </c>
      <c r="B741" s="225" t="s">
        <v>4938</v>
      </c>
    </row>
    <row r="742" spans="1:2">
      <c r="A742" s="225" t="s">
        <v>4939</v>
      </c>
      <c r="B742" s="225" t="s">
        <v>4940</v>
      </c>
    </row>
    <row r="743" spans="1:2">
      <c r="A743" s="225" t="s">
        <v>4941</v>
      </c>
      <c r="B743" s="225" t="s">
        <v>4942</v>
      </c>
    </row>
    <row r="744" spans="1:2">
      <c r="A744" s="225" t="s">
        <v>4943</v>
      </c>
      <c r="B744" s="225" t="s">
        <v>4944</v>
      </c>
    </row>
    <row r="745" spans="1:2">
      <c r="A745" s="225" t="s">
        <v>4945</v>
      </c>
      <c r="B745" s="225" t="s">
        <v>4946</v>
      </c>
    </row>
    <row r="746" spans="1:2">
      <c r="A746" s="225" t="s">
        <v>4948</v>
      </c>
      <c r="B746" s="225" t="s">
        <v>4949</v>
      </c>
    </row>
    <row r="747" spans="1:2">
      <c r="A747" s="225" t="s">
        <v>1372</v>
      </c>
      <c r="B747" s="225" t="s">
        <v>4950</v>
      </c>
    </row>
    <row r="748" spans="1:2">
      <c r="A748" s="225" t="s">
        <v>4951</v>
      </c>
      <c r="B748" s="225" t="s">
        <v>4952</v>
      </c>
    </row>
    <row r="749" spans="1:2">
      <c r="A749" s="225" t="s">
        <v>4953</v>
      </c>
      <c r="B749" s="225" t="s">
        <v>4954</v>
      </c>
    </row>
    <row r="750" spans="1:2">
      <c r="A750" s="225" t="s">
        <v>4955</v>
      </c>
      <c r="B750" s="225" t="s">
        <v>4956</v>
      </c>
    </row>
    <row r="751" spans="1:2">
      <c r="A751" s="225" t="s">
        <v>4957</v>
      </c>
      <c r="B751" s="225" t="s">
        <v>4958</v>
      </c>
    </row>
    <row r="752" spans="1:2">
      <c r="A752" s="225" t="s">
        <v>4959</v>
      </c>
      <c r="B752" s="225" t="s">
        <v>4960</v>
      </c>
    </row>
    <row r="753" spans="1:2">
      <c r="A753" s="225" t="s">
        <v>4961</v>
      </c>
      <c r="B753" s="225" t="s">
        <v>4962</v>
      </c>
    </row>
    <row r="754" spans="1:2">
      <c r="A754" s="225" t="s">
        <v>4963</v>
      </c>
      <c r="B754" s="225" t="s">
        <v>4964</v>
      </c>
    </row>
    <row r="755" spans="1:2">
      <c r="A755" s="225" t="s">
        <v>4973</v>
      </c>
      <c r="B755" s="225" t="s">
        <v>2713</v>
      </c>
    </row>
    <row r="756" spans="1:2">
      <c r="A756" s="225" t="s">
        <v>4974</v>
      </c>
      <c r="B756" s="225" t="s">
        <v>4975</v>
      </c>
    </row>
    <row r="757" spans="1:2">
      <c r="A757" s="225" t="s">
        <v>4976</v>
      </c>
      <c r="B757" s="225" t="s">
        <v>4487</v>
      </c>
    </row>
    <row r="758" spans="1:2">
      <c r="A758" s="225" t="s">
        <v>4977</v>
      </c>
      <c r="B758" s="225" t="s">
        <v>4978</v>
      </c>
    </row>
    <row r="759" spans="1:2">
      <c r="A759" s="225" t="s">
        <v>4979</v>
      </c>
      <c r="B759" s="225" t="s">
        <v>4980</v>
      </c>
    </row>
    <row r="760" spans="1:2">
      <c r="A760" s="225" t="s">
        <v>4981</v>
      </c>
      <c r="B760" s="225" t="s">
        <v>4982</v>
      </c>
    </row>
    <row r="761" spans="1:2">
      <c r="A761" s="225" t="s">
        <v>4983</v>
      </c>
      <c r="B761" s="225" t="s">
        <v>4984</v>
      </c>
    </row>
    <row r="762" spans="1:2">
      <c r="A762" s="225" t="s">
        <v>4985</v>
      </c>
      <c r="B762" s="225" t="s">
        <v>4986</v>
      </c>
    </row>
    <row r="763" spans="1:2">
      <c r="A763" s="225" t="s">
        <v>4987</v>
      </c>
      <c r="B763" s="225" t="s">
        <v>4988</v>
      </c>
    </row>
    <row r="764" spans="1:2">
      <c r="A764" s="225" t="s">
        <v>4989</v>
      </c>
      <c r="B764" s="225" t="s">
        <v>4990</v>
      </c>
    </row>
    <row r="765" spans="1:2">
      <c r="A765" s="225" t="s">
        <v>4991</v>
      </c>
      <c r="B765" s="225" t="s">
        <v>4992</v>
      </c>
    </row>
    <row r="766" spans="1:2">
      <c r="A766" s="225" t="s">
        <v>4993</v>
      </c>
      <c r="B766" s="225" t="s">
        <v>4994</v>
      </c>
    </row>
    <row r="767" spans="1:2">
      <c r="A767" s="225" t="s">
        <v>4995</v>
      </c>
      <c r="B767" s="225" t="s">
        <v>4996</v>
      </c>
    </row>
    <row r="768" spans="1:2">
      <c r="A768" s="225" t="s">
        <v>4999</v>
      </c>
      <c r="B768" s="225" t="s">
        <v>5000</v>
      </c>
    </row>
    <row r="769" spans="1:2">
      <c r="A769" s="225" t="s">
        <v>5001</v>
      </c>
      <c r="B769" s="225" t="s">
        <v>5002</v>
      </c>
    </row>
    <row r="770" spans="1:2">
      <c r="A770" s="225" t="s">
        <v>5003</v>
      </c>
      <c r="B770" s="225" t="s">
        <v>5004</v>
      </c>
    </row>
    <row r="771" spans="1:2">
      <c r="A771" s="225" t="s">
        <v>5007</v>
      </c>
      <c r="B771" s="225" t="s">
        <v>5008</v>
      </c>
    </row>
    <row r="772" spans="1:2">
      <c r="A772" s="225" t="s">
        <v>5009</v>
      </c>
      <c r="B772" s="225" t="s">
        <v>5010</v>
      </c>
    </row>
    <row r="773" spans="1:2">
      <c r="A773" s="225" t="s">
        <v>5011</v>
      </c>
      <c r="B773" s="225" t="s">
        <v>5012</v>
      </c>
    </row>
    <row r="774" spans="1:2">
      <c r="A774" s="225" t="s">
        <v>5013</v>
      </c>
      <c r="B774" s="225" t="s">
        <v>5014</v>
      </c>
    </row>
    <row r="775" spans="1:2">
      <c r="A775" s="225" t="s">
        <v>5015</v>
      </c>
      <c r="B775" s="225" t="s">
        <v>5016</v>
      </c>
    </row>
    <row r="776" spans="1:2">
      <c r="A776" s="225" t="s">
        <v>5017</v>
      </c>
      <c r="B776" s="225" t="s">
        <v>5018</v>
      </c>
    </row>
    <row r="777" spans="1:2">
      <c r="A777" s="225" t="s">
        <v>5019</v>
      </c>
      <c r="B777" s="225" t="s">
        <v>5020</v>
      </c>
    </row>
    <row r="778" spans="1:2">
      <c r="A778" s="225" t="s">
        <v>5021</v>
      </c>
      <c r="B778" s="225" t="s">
        <v>5022</v>
      </c>
    </row>
    <row r="779" spans="1:2">
      <c r="A779" s="225" t="s">
        <v>5023</v>
      </c>
      <c r="B779" s="225" t="s">
        <v>5024</v>
      </c>
    </row>
    <row r="780" spans="1:2">
      <c r="A780" s="225" t="s">
        <v>5025</v>
      </c>
      <c r="B780" s="225" t="s">
        <v>5026</v>
      </c>
    </row>
    <row r="781" spans="1:2">
      <c r="A781" s="225" t="s">
        <v>5027</v>
      </c>
      <c r="B781" s="225" t="s">
        <v>5028</v>
      </c>
    </row>
    <row r="782" spans="1:2">
      <c r="A782" s="225" t="s">
        <v>5029</v>
      </c>
      <c r="B782" s="225" t="s">
        <v>5030</v>
      </c>
    </row>
    <row r="783" spans="1:2">
      <c r="A783" s="225" t="s">
        <v>5031</v>
      </c>
      <c r="B783" s="225" t="s">
        <v>5032</v>
      </c>
    </row>
    <row r="784" spans="1:2">
      <c r="A784" s="225" t="s">
        <v>5033</v>
      </c>
      <c r="B784" s="225" t="s">
        <v>5034</v>
      </c>
    </row>
    <row r="785" spans="1:2">
      <c r="A785" s="225" t="s">
        <v>5035</v>
      </c>
      <c r="B785" s="225" t="s">
        <v>5036</v>
      </c>
    </row>
    <row r="786" spans="1:2">
      <c r="A786" s="225" t="s">
        <v>5037</v>
      </c>
      <c r="B786" s="225" t="s">
        <v>5038</v>
      </c>
    </row>
    <row r="787" spans="1:2">
      <c r="A787" s="225" t="s">
        <v>5039</v>
      </c>
      <c r="B787" s="225" t="s">
        <v>5040</v>
      </c>
    </row>
    <row r="788" spans="1:2">
      <c r="A788" s="225" t="s">
        <v>5041</v>
      </c>
      <c r="B788" s="225" t="s">
        <v>5042</v>
      </c>
    </row>
    <row r="789" spans="1:2">
      <c r="A789" s="225" t="s">
        <v>5047</v>
      </c>
      <c r="B789" s="225" t="s">
        <v>5048</v>
      </c>
    </row>
    <row r="790" spans="1:2">
      <c r="A790" s="225" t="s">
        <v>5049</v>
      </c>
      <c r="B790" s="225" t="s">
        <v>5050</v>
      </c>
    </row>
    <row r="791" spans="1:2">
      <c r="A791" s="225" t="s">
        <v>5051</v>
      </c>
      <c r="B791" s="225" t="s">
        <v>5052</v>
      </c>
    </row>
    <row r="792" spans="1:2">
      <c r="A792" s="225" t="s">
        <v>5053</v>
      </c>
      <c r="B792" s="225" t="s">
        <v>5054</v>
      </c>
    </row>
    <row r="793" spans="1:2">
      <c r="A793" s="225" t="s">
        <v>5055</v>
      </c>
      <c r="B793" s="225" t="s">
        <v>5056</v>
      </c>
    </row>
    <row r="794" spans="1:2">
      <c r="A794" s="225" t="s">
        <v>5057</v>
      </c>
      <c r="B794" s="225" t="s">
        <v>5058</v>
      </c>
    </row>
    <row r="795" spans="1:2">
      <c r="A795" s="225" t="s">
        <v>5059</v>
      </c>
      <c r="B795" s="225" t="s">
        <v>5060</v>
      </c>
    </row>
    <row r="796" spans="1:2">
      <c r="A796" s="225" t="s">
        <v>5061</v>
      </c>
      <c r="B796" s="225" t="s">
        <v>5062</v>
      </c>
    </row>
    <row r="797" spans="1:2">
      <c r="A797" s="225" t="s">
        <v>5063</v>
      </c>
      <c r="B797" s="225" t="s">
        <v>5064</v>
      </c>
    </row>
    <row r="798" spans="1:2">
      <c r="A798" s="225" t="s">
        <v>5065</v>
      </c>
      <c r="B798" s="225" t="s">
        <v>5066</v>
      </c>
    </row>
    <row r="799" spans="1:2">
      <c r="A799" s="225" t="s">
        <v>5067</v>
      </c>
      <c r="B799" s="225" t="s">
        <v>5068</v>
      </c>
    </row>
    <row r="800" spans="1:2">
      <c r="A800" s="225" t="s">
        <v>5069</v>
      </c>
      <c r="B800" s="225" t="s">
        <v>5070</v>
      </c>
    </row>
    <row r="801" spans="1:2">
      <c r="A801" s="225" t="s">
        <v>5071</v>
      </c>
      <c r="B801" s="225" t="s">
        <v>5072</v>
      </c>
    </row>
    <row r="802" spans="1:2">
      <c r="A802" s="225" t="s">
        <v>5073</v>
      </c>
      <c r="B802" s="225" t="s">
        <v>5074</v>
      </c>
    </row>
    <row r="803" spans="1:2">
      <c r="A803" s="225" t="s">
        <v>5075</v>
      </c>
      <c r="B803" s="225" t="s">
        <v>5076</v>
      </c>
    </row>
    <row r="804" spans="1:2">
      <c r="A804" s="225" t="s">
        <v>5077</v>
      </c>
      <c r="B804" s="225" t="s">
        <v>5078</v>
      </c>
    </row>
    <row r="805" spans="1:2">
      <c r="A805" s="225" t="s">
        <v>5079</v>
      </c>
      <c r="B805" s="225" t="s">
        <v>5080</v>
      </c>
    </row>
    <row r="806" spans="1:2">
      <c r="A806" s="225" t="s">
        <v>5081</v>
      </c>
      <c r="B806" s="225" t="s">
        <v>5082</v>
      </c>
    </row>
    <row r="807" spans="1:2">
      <c r="A807" s="225" t="s">
        <v>5083</v>
      </c>
      <c r="B807" s="225" t="s">
        <v>5084</v>
      </c>
    </row>
    <row r="808" spans="1:2">
      <c r="A808" s="225" t="s">
        <v>5085</v>
      </c>
      <c r="B808" s="225" t="s">
        <v>5086</v>
      </c>
    </row>
    <row r="809" spans="1:2">
      <c r="A809" s="225" t="s">
        <v>5087</v>
      </c>
      <c r="B809" s="225" t="s">
        <v>5088</v>
      </c>
    </row>
    <row r="810" spans="1:2">
      <c r="A810" s="225" t="s">
        <v>5089</v>
      </c>
      <c r="B810" s="225" t="s">
        <v>5090</v>
      </c>
    </row>
    <row r="811" spans="1:2">
      <c r="A811" s="225" t="s">
        <v>5091</v>
      </c>
      <c r="B811" s="225" t="s">
        <v>5092</v>
      </c>
    </row>
    <row r="812" spans="1:2">
      <c r="A812" s="225" t="s">
        <v>5093</v>
      </c>
      <c r="B812" s="225" t="s">
        <v>5094</v>
      </c>
    </row>
    <row r="813" spans="1:2">
      <c r="A813" s="225" t="s">
        <v>5095</v>
      </c>
      <c r="B813" s="225" t="s">
        <v>5096</v>
      </c>
    </row>
    <row r="814" spans="1:2">
      <c r="A814" s="225" t="s">
        <v>5097</v>
      </c>
      <c r="B814" s="225" t="s">
        <v>5098</v>
      </c>
    </row>
    <row r="815" spans="1:2">
      <c r="A815" s="225" t="s">
        <v>5099</v>
      </c>
      <c r="B815" s="225" t="s">
        <v>5100</v>
      </c>
    </row>
    <row r="816" spans="1:2">
      <c r="A816" s="225" t="s">
        <v>5101</v>
      </c>
      <c r="B816" s="225" t="s">
        <v>5102</v>
      </c>
    </row>
    <row r="817" spans="1:2">
      <c r="A817" s="225" t="s">
        <v>5103</v>
      </c>
      <c r="B817" s="225" t="s">
        <v>5104</v>
      </c>
    </row>
    <row r="818" spans="1:2">
      <c r="A818" s="225" t="s">
        <v>5105</v>
      </c>
      <c r="B818" s="225" t="s">
        <v>5106</v>
      </c>
    </row>
    <row r="819" spans="1:2">
      <c r="A819" s="225" t="s">
        <v>5107</v>
      </c>
      <c r="B819" s="225" t="s">
        <v>5108</v>
      </c>
    </row>
    <row r="820" spans="1:2">
      <c r="A820" s="225" t="s">
        <v>5109</v>
      </c>
      <c r="B820" s="225" t="s">
        <v>5110</v>
      </c>
    </row>
    <row r="821" spans="1:2">
      <c r="A821" s="225" t="s">
        <v>5111</v>
      </c>
      <c r="B821" s="225" t="s">
        <v>5112</v>
      </c>
    </row>
    <row r="822" spans="1:2">
      <c r="A822" s="225" t="s">
        <v>11587</v>
      </c>
      <c r="B822" s="225" t="s">
        <v>20100</v>
      </c>
    </row>
    <row r="823" spans="1:2">
      <c r="A823" s="225" t="s">
        <v>11588</v>
      </c>
      <c r="B823" s="225" t="s">
        <v>20101</v>
      </c>
    </row>
    <row r="824" spans="1:2">
      <c r="A824" s="225" t="s">
        <v>5113</v>
      </c>
      <c r="B824" s="225" t="s">
        <v>5114</v>
      </c>
    </row>
    <row r="825" spans="1:2">
      <c r="A825" s="225" t="s">
        <v>5115</v>
      </c>
      <c r="B825" s="225" t="s">
        <v>5116</v>
      </c>
    </row>
    <row r="826" spans="1:2">
      <c r="A826" s="225" t="s">
        <v>5117</v>
      </c>
      <c r="B826" s="225" t="s">
        <v>5118</v>
      </c>
    </row>
    <row r="827" spans="1:2">
      <c r="A827" s="225" t="s">
        <v>5119</v>
      </c>
      <c r="B827" s="225" t="s">
        <v>5120</v>
      </c>
    </row>
    <row r="828" spans="1:2">
      <c r="A828" s="225" t="s">
        <v>5121</v>
      </c>
      <c r="B828" s="225" t="s">
        <v>5122</v>
      </c>
    </row>
    <row r="829" spans="1:2">
      <c r="A829" s="225" t="s">
        <v>5123</v>
      </c>
      <c r="B829" s="225" t="s">
        <v>5124</v>
      </c>
    </row>
    <row r="830" spans="1:2">
      <c r="A830" s="225" t="s">
        <v>5125</v>
      </c>
      <c r="B830" s="225" t="s">
        <v>5126</v>
      </c>
    </row>
    <row r="831" spans="1:2">
      <c r="A831" s="225" t="s">
        <v>5127</v>
      </c>
      <c r="B831" s="225" t="s">
        <v>5128</v>
      </c>
    </row>
    <row r="832" spans="1:2">
      <c r="A832" s="225" t="s">
        <v>5129</v>
      </c>
      <c r="B832" s="225" t="s">
        <v>5130</v>
      </c>
    </row>
    <row r="833" spans="1:2">
      <c r="A833" s="225" t="s">
        <v>11589</v>
      </c>
      <c r="B833" s="225" t="s">
        <v>11590</v>
      </c>
    </row>
    <row r="834" spans="1:2">
      <c r="A834" s="225" t="s">
        <v>5131</v>
      </c>
      <c r="B834" s="225" t="s">
        <v>5132</v>
      </c>
    </row>
    <row r="835" spans="1:2">
      <c r="A835" s="225" t="s">
        <v>5133</v>
      </c>
      <c r="B835" s="225" t="s">
        <v>5134</v>
      </c>
    </row>
    <row r="836" spans="1:2">
      <c r="A836" s="225" t="s">
        <v>5135</v>
      </c>
      <c r="B836" s="225" t="s">
        <v>5136</v>
      </c>
    </row>
    <row r="837" spans="1:2">
      <c r="A837" s="225" t="s">
        <v>5137</v>
      </c>
      <c r="B837" s="225" t="s">
        <v>5138</v>
      </c>
    </row>
    <row r="838" spans="1:2">
      <c r="A838" s="225" t="s">
        <v>5139</v>
      </c>
      <c r="B838" s="225" t="s">
        <v>5140</v>
      </c>
    </row>
    <row r="839" spans="1:2">
      <c r="A839" s="225" t="s">
        <v>5141</v>
      </c>
      <c r="B839" s="225" t="s">
        <v>5142</v>
      </c>
    </row>
    <row r="840" spans="1:2">
      <c r="A840" s="225" t="s">
        <v>5143</v>
      </c>
      <c r="B840" s="225" t="s">
        <v>5144</v>
      </c>
    </row>
    <row r="841" spans="1:2">
      <c r="A841" s="225" t="s">
        <v>5145</v>
      </c>
      <c r="B841" s="225" t="s">
        <v>5146</v>
      </c>
    </row>
    <row r="842" spans="1:2">
      <c r="A842" s="225" t="s">
        <v>5147</v>
      </c>
      <c r="B842" s="225" t="s">
        <v>5148</v>
      </c>
    </row>
    <row r="843" spans="1:2">
      <c r="A843" s="225" t="s">
        <v>5149</v>
      </c>
      <c r="B843" s="225" t="s">
        <v>5150</v>
      </c>
    </row>
    <row r="844" spans="1:2">
      <c r="A844" s="225" t="s">
        <v>5151</v>
      </c>
      <c r="B844" s="225" t="s">
        <v>5152</v>
      </c>
    </row>
    <row r="845" spans="1:2">
      <c r="A845" s="225" t="s">
        <v>5153</v>
      </c>
      <c r="B845" s="225" t="s">
        <v>5154</v>
      </c>
    </row>
    <row r="846" spans="1:2">
      <c r="A846" s="225" t="s">
        <v>5155</v>
      </c>
      <c r="B846" s="225" t="s">
        <v>5156</v>
      </c>
    </row>
    <row r="847" spans="1:2">
      <c r="A847" s="225" t="s">
        <v>5157</v>
      </c>
      <c r="B847" s="225" t="s">
        <v>5158</v>
      </c>
    </row>
    <row r="848" spans="1:2">
      <c r="A848" s="225" t="s">
        <v>5159</v>
      </c>
      <c r="B848" s="225" t="s">
        <v>5160</v>
      </c>
    </row>
    <row r="849" spans="1:2">
      <c r="A849" s="225" t="s">
        <v>5161</v>
      </c>
      <c r="B849" s="225" t="s">
        <v>5162</v>
      </c>
    </row>
    <row r="850" spans="1:2">
      <c r="A850" s="225" t="s">
        <v>5163</v>
      </c>
      <c r="B850" s="225" t="s">
        <v>5164</v>
      </c>
    </row>
    <row r="851" spans="1:2">
      <c r="A851" s="225" t="s">
        <v>5165</v>
      </c>
      <c r="B851" s="225" t="s">
        <v>5166</v>
      </c>
    </row>
    <row r="852" spans="1:2">
      <c r="A852" s="225" t="s">
        <v>5167</v>
      </c>
      <c r="B852" s="225" t="s">
        <v>5168</v>
      </c>
    </row>
    <row r="853" spans="1:2">
      <c r="A853" s="225" t="s">
        <v>5169</v>
      </c>
      <c r="B853" s="225" t="s">
        <v>5170</v>
      </c>
    </row>
    <row r="854" spans="1:2">
      <c r="A854" s="225" t="s">
        <v>5171</v>
      </c>
      <c r="B854" s="225" t="s">
        <v>5172</v>
      </c>
    </row>
    <row r="855" spans="1:2">
      <c r="A855" s="225" t="s">
        <v>5173</v>
      </c>
      <c r="B855" s="225" t="s">
        <v>5174</v>
      </c>
    </row>
    <row r="856" spans="1:2">
      <c r="A856" s="225" t="s">
        <v>5175</v>
      </c>
      <c r="B856" s="225" t="s">
        <v>5176</v>
      </c>
    </row>
    <row r="857" spans="1:2">
      <c r="A857" s="225" t="s">
        <v>5177</v>
      </c>
      <c r="B857" s="225" t="s">
        <v>5178</v>
      </c>
    </row>
    <row r="858" spans="1:2">
      <c r="A858" s="225" t="s">
        <v>5179</v>
      </c>
      <c r="B858" s="225" t="s">
        <v>5180</v>
      </c>
    </row>
    <row r="859" spans="1:2">
      <c r="A859" s="225" t="s">
        <v>5181</v>
      </c>
      <c r="B859" s="225" t="s">
        <v>5182</v>
      </c>
    </row>
    <row r="860" spans="1:2">
      <c r="A860" s="225" t="s">
        <v>5183</v>
      </c>
      <c r="B860" s="225" t="s">
        <v>5184</v>
      </c>
    </row>
    <row r="861" spans="1:2">
      <c r="A861" s="225" t="s">
        <v>5185</v>
      </c>
      <c r="B861" s="225" t="s">
        <v>5186</v>
      </c>
    </row>
    <row r="862" spans="1:2">
      <c r="A862" s="225" t="s">
        <v>5187</v>
      </c>
      <c r="B862" s="225" t="s">
        <v>5188</v>
      </c>
    </row>
    <row r="863" spans="1:2">
      <c r="A863" s="225" t="s">
        <v>5189</v>
      </c>
      <c r="B863" s="225" t="s">
        <v>5190</v>
      </c>
    </row>
    <row r="864" spans="1:2">
      <c r="A864" s="225" t="s">
        <v>5191</v>
      </c>
      <c r="B864" s="225" t="s">
        <v>5192</v>
      </c>
    </row>
    <row r="865" spans="1:2">
      <c r="A865" s="225" t="s">
        <v>5193</v>
      </c>
      <c r="B865" s="225" t="s">
        <v>5194</v>
      </c>
    </row>
    <row r="866" spans="1:2">
      <c r="A866" s="225" t="s">
        <v>5195</v>
      </c>
      <c r="B866" s="225" t="s">
        <v>5196</v>
      </c>
    </row>
    <row r="867" spans="1:2">
      <c r="A867" s="225" t="s">
        <v>5197</v>
      </c>
      <c r="B867" s="225" t="s">
        <v>5198</v>
      </c>
    </row>
    <row r="868" spans="1:2">
      <c r="A868" s="225" t="s">
        <v>5199</v>
      </c>
      <c r="B868" s="225" t="s">
        <v>5200</v>
      </c>
    </row>
    <row r="869" spans="1:2">
      <c r="A869" s="225" t="s">
        <v>5201</v>
      </c>
      <c r="B869" s="225" t="s">
        <v>5202</v>
      </c>
    </row>
    <row r="870" spans="1:2">
      <c r="A870" s="225" t="s">
        <v>5205</v>
      </c>
      <c r="B870" s="225" t="s">
        <v>5206</v>
      </c>
    </row>
    <row r="871" spans="1:2">
      <c r="A871" s="225" t="s">
        <v>5207</v>
      </c>
      <c r="B871" s="225" t="s">
        <v>5208</v>
      </c>
    </row>
    <row r="872" spans="1:2">
      <c r="A872" s="225" t="s">
        <v>5217</v>
      </c>
      <c r="B872" s="225" t="s">
        <v>5218</v>
      </c>
    </row>
    <row r="873" spans="1:2">
      <c r="A873" s="225" t="s">
        <v>5219</v>
      </c>
      <c r="B873" s="225" t="s">
        <v>5220</v>
      </c>
    </row>
    <row r="874" spans="1:2">
      <c r="A874" s="225" t="s">
        <v>5221</v>
      </c>
      <c r="B874" s="225" t="s">
        <v>5222</v>
      </c>
    </row>
    <row r="875" spans="1:2">
      <c r="A875" s="225" t="s">
        <v>11591</v>
      </c>
      <c r="B875" s="225" t="s">
        <v>11592</v>
      </c>
    </row>
    <row r="876" spans="1:2">
      <c r="A876" s="225" t="s">
        <v>777</v>
      </c>
      <c r="B876" s="225" t="s">
        <v>4066</v>
      </c>
    </row>
    <row r="877" spans="1:2">
      <c r="A877" s="225" t="s">
        <v>766</v>
      </c>
      <c r="B877" s="225" t="s">
        <v>4067</v>
      </c>
    </row>
    <row r="878" spans="1:2">
      <c r="A878" s="225" t="s">
        <v>4068</v>
      </c>
      <c r="B878" s="225" t="s">
        <v>4069</v>
      </c>
    </row>
    <row r="879" spans="1:2">
      <c r="A879" s="225" t="s">
        <v>1357</v>
      </c>
      <c r="B879" s="225" t="s">
        <v>4070</v>
      </c>
    </row>
    <row r="880" spans="1:2">
      <c r="A880" s="225" t="s">
        <v>744</v>
      </c>
      <c r="B880" s="225" t="s">
        <v>4071</v>
      </c>
    </row>
    <row r="881" spans="1:2">
      <c r="A881" s="225" t="s">
        <v>4081</v>
      </c>
      <c r="B881" s="225" t="s">
        <v>4082</v>
      </c>
    </row>
    <row r="882" spans="1:2">
      <c r="A882" s="225" t="s">
        <v>4084</v>
      </c>
      <c r="B882" s="225" t="s">
        <v>4085</v>
      </c>
    </row>
    <row r="883" spans="1:2">
      <c r="A883" s="225" t="s">
        <v>4086</v>
      </c>
      <c r="B883" s="225" t="s">
        <v>4087</v>
      </c>
    </row>
    <row r="884" spans="1:2">
      <c r="A884" s="225" t="s">
        <v>4092</v>
      </c>
      <c r="B884" s="225" t="s">
        <v>4093</v>
      </c>
    </row>
    <row r="885" spans="1:2">
      <c r="A885" s="225" t="s">
        <v>4094</v>
      </c>
      <c r="B885" s="225" t="s">
        <v>4095</v>
      </c>
    </row>
    <row r="886" spans="1:2">
      <c r="A886" s="225" t="s">
        <v>4096</v>
      </c>
      <c r="B886" s="225" t="s">
        <v>4097</v>
      </c>
    </row>
    <row r="887" spans="1:2">
      <c r="A887" s="225" t="s">
        <v>4098</v>
      </c>
      <c r="B887" s="225" t="s">
        <v>4099</v>
      </c>
    </row>
    <row r="888" spans="1:2">
      <c r="A888" s="225" t="s">
        <v>4100</v>
      </c>
      <c r="B888" s="225" t="s">
        <v>4101</v>
      </c>
    </row>
    <row r="889" spans="1:2">
      <c r="A889" s="225" t="s">
        <v>4102</v>
      </c>
      <c r="B889" s="225" t="s">
        <v>4103</v>
      </c>
    </row>
    <row r="890" spans="1:2">
      <c r="A890" s="225" t="s">
        <v>4104</v>
      </c>
      <c r="B890" s="225" t="s">
        <v>4105</v>
      </c>
    </row>
    <row r="891" spans="1:2">
      <c r="A891" s="225" t="s">
        <v>4106</v>
      </c>
      <c r="B891" s="225" t="s">
        <v>4107</v>
      </c>
    </row>
    <row r="892" spans="1:2">
      <c r="A892" s="225" t="s">
        <v>4108</v>
      </c>
      <c r="B892" s="225" t="s">
        <v>4109</v>
      </c>
    </row>
    <row r="893" spans="1:2">
      <c r="A893" s="225" t="s">
        <v>4110</v>
      </c>
      <c r="B893" s="225" t="s">
        <v>4111</v>
      </c>
    </row>
    <row r="894" spans="1:2">
      <c r="A894" s="225" t="s">
        <v>4112</v>
      </c>
      <c r="B894" s="225" t="s">
        <v>4113</v>
      </c>
    </row>
    <row r="895" spans="1:2">
      <c r="A895" s="225" t="s">
        <v>4114</v>
      </c>
      <c r="B895" s="225" t="s">
        <v>4115</v>
      </c>
    </row>
    <row r="896" spans="1:2">
      <c r="A896" s="225" t="s">
        <v>4116</v>
      </c>
      <c r="B896" s="225" t="s">
        <v>4117</v>
      </c>
    </row>
    <row r="897" spans="1:2">
      <c r="A897" s="225" t="s">
        <v>4118</v>
      </c>
      <c r="B897" s="225" t="s">
        <v>4119</v>
      </c>
    </row>
    <row r="898" spans="1:2">
      <c r="A898" s="225" t="s">
        <v>4120</v>
      </c>
      <c r="B898" s="225" t="s">
        <v>4121</v>
      </c>
    </row>
    <row r="899" spans="1:2">
      <c r="A899" s="225" t="s">
        <v>4122</v>
      </c>
      <c r="B899" s="225" t="s">
        <v>4123</v>
      </c>
    </row>
    <row r="900" spans="1:2">
      <c r="A900" s="225" t="s">
        <v>4124</v>
      </c>
      <c r="B900" s="225" t="s">
        <v>4125</v>
      </c>
    </row>
    <row r="901" spans="1:2">
      <c r="A901" s="225" t="s">
        <v>4126</v>
      </c>
      <c r="B901" s="225" t="s">
        <v>4127</v>
      </c>
    </row>
    <row r="902" spans="1:2">
      <c r="A902" s="225" t="s">
        <v>4128</v>
      </c>
      <c r="B902" s="225" t="s">
        <v>4129</v>
      </c>
    </row>
    <row r="903" spans="1:2">
      <c r="A903" s="225" t="s">
        <v>4130</v>
      </c>
      <c r="B903" s="225" t="s">
        <v>4131</v>
      </c>
    </row>
    <row r="904" spans="1:2">
      <c r="A904" s="225" t="s">
        <v>4132</v>
      </c>
      <c r="B904" s="225" t="s">
        <v>4133</v>
      </c>
    </row>
    <row r="905" spans="1:2">
      <c r="A905" s="225" t="s">
        <v>4134</v>
      </c>
      <c r="B905" s="225" t="s">
        <v>4135</v>
      </c>
    </row>
    <row r="906" spans="1:2">
      <c r="A906" s="225" t="s">
        <v>4136</v>
      </c>
      <c r="B906" s="225" t="s">
        <v>4137</v>
      </c>
    </row>
    <row r="907" spans="1:2">
      <c r="A907" s="225" t="s">
        <v>4138</v>
      </c>
      <c r="B907" s="225" t="s">
        <v>4139</v>
      </c>
    </row>
    <row r="908" spans="1:2">
      <c r="A908" s="225" t="s">
        <v>4140</v>
      </c>
      <c r="B908" s="225" t="s">
        <v>4141</v>
      </c>
    </row>
    <row r="909" spans="1:2">
      <c r="A909" s="225" t="s">
        <v>4142</v>
      </c>
      <c r="B909" s="225" t="s">
        <v>4143</v>
      </c>
    </row>
    <row r="910" spans="1:2">
      <c r="A910" s="225" t="s">
        <v>4144</v>
      </c>
      <c r="B910" s="225" t="s">
        <v>4145</v>
      </c>
    </row>
    <row r="911" spans="1:2">
      <c r="A911" s="225" t="s">
        <v>4146</v>
      </c>
      <c r="B911" s="225" t="s">
        <v>4147</v>
      </c>
    </row>
    <row r="912" spans="1:2">
      <c r="A912" s="225" t="s">
        <v>4148</v>
      </c>
      <c r="B912" s="225" t="s">
        <v>4149</v>
      </c>
    </row>
    <row r="913" spans="1:2">
      <c r="A913" s="225" t="s">
        <v>4150</v>
      </c>
      <c r="B913" s="225" t="s">
        <v>4151</v>
      </c>
    </row>
    <row r="914" spans="1:2">
      <c r="A914" s="225" t="s">
        <v>4152</v>
      </c>
      <c r="B914" s="225" t="s">
        <v>4153</v>
      </c>
    </row>
    <row r="915" spans="1:2">
      <c r="A915" s="225" t="s">
        <v>4154</v>
      </c>
      <c r="B915" s="225" t="s">
        <v>4155</v>
      </c>
    </row>
    <row r="916" spans="1:2">
      <c r="A916" s="225" t="s">
        <v>796</v>
      </c>
      <c r="B916" s="225" t="s">
        <v>4156</v>
      </c>
    </row>
    <row r="917" spans="1:2">
      <c r="A917" s="225" t="s">
        <v>795</v>
      </c>
      <c r="B917" s="225" t="s">
        <v>4157</v>
      </c>
    </row>
    <row r="918" spans="1:2">
      <c r="A918" s="225" t="s">
        <v>789</v>
      </c>
      <c r="B918" s="225" t="s">
        <v>4158</v>
      </c>
    </row>
    <row r="919" spans="1:2">
      <c r="A919" s="225" t="s">
        <v>4159</v>
      </c>
      <c r="B919" s="225" t="s">
        <v>4160</v>
      </c>
    </row>
    <row r="920" spans="1:2">
      <c r="A920" s="225" t="s">
        <v>4161</v>
      </c>
      <c r="B920" s="225" t="s">
        <v>4162</v>
      </c>
    </row>
    <row r="921" spans="1:2">
      <c r="A921" s="225" t="s">
        <v>4163</v>
      </c>
      <c r="B921" s="225" t="s">
        <v>4164</v>
      </c>
    </row>
    <row r="922" spans="1:2">
      <c r="A922" s="225" t="s">
        <v>859</v>
      </c>
      <c r="B922" s="225" t="s">
        <v>4165</v>
      </c>
    </row>
    <row r="923" spans="1:2">
      <c r="A923" s="225" t="s">
        <v>4166</v>
      </c>
      <c r="B923" s="225" t="s">
        <v>422</v>
      </c>
    </row>
    <row r="924" spans="1:2">
      <c r="A924" s="225" t="s">
        <v>4167</v>
      </c>
      <c r="B924" s="225" t="s">
        <v>4168</v>
      </c>
    </row>
    <row r="925" spans="1:2">
      <c r="A925" s="225" t="s">
        <v>4169</v>
      </c>
      <c r="B925" s="225" t="s">
        <v>4170</v>
      </c>
    </row>
    <row r="926" spans="1:2">
      <c r="A926" s="225" t="s">
        <v>4171</v>
      </c>
      <c r="B926" s="225" t="s">
        <v>4172</v>
      </c>
    </row>
    <row r="927" spans="1:2">
      <c r="A927" s="225" t="s">
        <v>761</v>
      </c>
      <c r="B927" s="225" t="s">
        <v>4016</v>
      </c>
    </row>
    <row r="928" spans="1:2">
      <c r="A928" s="225" t="s">
        <v>5409</v>
      </c>
      <c r="B928" s="225" t="s">
        <v>4547</v>
      </c>
    </row>
    <row r="929" spans="1:2">
      <c r="A929" s="225" t="s">
        <v>1355</v>
      </c>
      <c r="B929" s="225" t="s">
        <v>2267</v>
      </c>
    </row>
    <row r="930" spans="1:2">
      <c r="A930" s="225" t="s">
        <v>7148</v>
      </c>
      <c r="B930" s="225" t="s">
        <v>4621</v>
      </c>
    </row>
    <row r="931" spans="1:2">
      <c r="A931" s="225" t="s">
        <v>7183</v>
      </c>
      <c r="B931" s="225" t="s">
        <v>4471</v>
      </c>
    </row>
    <row r="932" spans="1:2">
      <c r="A932" s="225" t="s">
        <v>7669</v>
      </c>
      <c r="B932" s="225" t="s">
        <v>4639</v>
      </c>
    </row>
    <row r="933" spans="1:2">
      <c r="A933" s="225" t="s">
        <v>8910</v>
      </c>
      <c r="B933" s="225" t="s">
        <v>4533</v>
      </c>
    </row>
    <row r="934" spans="1:2">
      <c r="A934" s="225" t="s">
        <v>5597</v>
      </c>
      <c r="B934" s="225" t="s">
        <v>5598</v>
      </c>
    </row>
    <row r="935" spans="1:2">
      <c r="A935" s="225" t="s">
        <v>2559</v>
      </c>
      <c r="B935" s="225" t="s">
        <v>2560</v>
      </c>
    </row>
    <row r="936" spans="1:2">
      <c r="A936" s="225" t="s">
        <v>2561</v>
      </c>
      <c r="B936" s="225" t="s">
        <v>2562</v>
      </c>
    </row>
    <row r="937" spans="1:2">
      <c r="A937" s="225" t="s">
        <v>706</v>
      </c>
      <c r="B937" s="225" t="s">
        <v>2563</v>
      </c>
    </row>
    <row r="938" spans="1:2">
      <c r="A938" s="225" t="s">
        <v>2564</v>
      </c>
      <c r="B938" s="225" t="s">
        <v>2565</v>
      </c>
    </row>
    <row r="939" spans="1:2">
      <c r="A939" s="225" t="s">
        <v>2566</v>
      </c>
      <c r="B939" s="225" t="s">
        <v>2567</v>
      </c>
    </row>
    <row r="940" spans="1:2">
      <c r="A940" s="225" t="s">
        <v>712</v>
      </c>
      <c r="B940" s="225" t="s">
        <v>2235</v>
      </c>
    </row>
    <row r="941" spans="1:2">
      <c r="A941" s="225" t="s">
        <v>721</v>
      </c>
      <c r="B941" s="225" t="s">
        <v>2568</v>
      </c>
    </row>
    <row r="942" spans="1:2">
      <c r="A942" s="225" t="s">
        <v>2569</v>
      </c>
      <c r="B942" s="225" t="s">
        <v>2570</v>
      </c>
    </row>
    <row r="943" spans="1:2">
      <c r="A943" s="225" t="s">
        <v>2571</v>
      </c>
      <c r="B943" s="225" t="s">
        <v>2572</v>
      </c>
    </row>
    <row r="944" spans="1:2">
      <c r="A944" s="225" t="s">
        <v>2574</v>
      </c>
      <c r="B944" s="225" t="s">
        <v>2575</v>
      </c>
    </row>
    <row r="945" spans="1:2">
      <c r="A945" s="225" t="s">
        <v>716</v>
      </c>
      <c r="B945" s="225" t="s">
        <v>2578</v>
      </c>
    </row>
    <row r="946" spans="1:2">
      <c r="A946" s="225" t="s">
        <v>981</v>
      </c>
      <c r="B946" s="225" t="s">
        <v>2579</v>
      </c>
    </row>
    <row r="947" spans="1:2">
      <c r="A947" s="225" t="s">
        <v>2580</v>
      </c>
      <c r="B947" s="225" t="s">
        <v>2581</v>
      </c>
    </row>
    <row r="948" spans="1:2">
      <c r="A948" s="225" t="s">
        <v>2582</v>
      </c>
      <c r="B948" s="225" t="s">
        <v>2583</v>
      </c>
    </row>
    <row r="949" spans="1:2">
      <c r="A949" s="225" t="s">
        <v>2584</v>
      </c>
      <c r="B949" s="225" t="s">
        <v>2585</v>
      </c>
    </row>
    <row r="950" spans="1:2">
      <c r="A950" s="225" t="s">
        <v>2586</v>
      </c>
      <c r="B950" s="225" t="s">
        <v>2587</v>
      </c>
    </row>
    <row r="951" spans="1:2">
      <c r="A951" s="225" t="s">
        <v>833</v>
      </c>
      <c r="B951" s="225" t="s">
        <v>7878</v>
      </c>
    </row>
    <row r="952" spans="1:2">
      <c r="A952" s="225" t="s">
        <v>7676</v>
      </c>
      <c r="B952" s="225" t="s">
        <v>7677</v>
      </c>
    </row>
    <row r="953" spans="1:2">
      <c r="A953" s="225" t="s">
        <v>7680</v>
      </c>
      <c r="B953" s="225" t="s">
        <v>7681</v>
      </c>
    </row>
    <row r="954" spans="1:2">
      <c r="A954" s="225" t="s">
        <v>831</v>
      </c>
      <c r="B954" s="225" t="s">
        <v>7690</v>
      </c>
    </row>
    <row r="955" spans="1:2">
      <c r="A955" s="225" t="s">
        <v>5462</v>
      </c>
      <c r="B955" s="225" t="s">
        <v>5463</v>
      </c>
    </row>
    <row r="956" spans="1:2">
      <c r="A956" s="225" t="s">
        <v>5464</v>
      </c>
      <c r="B956" s="225" t="s">
        <v>5465</v>
      </c>
    </row>
    <row r="957" spans="1:2">
      <c r="A957" s="225" t="s">
        <v>5466</v>
      </c>
      <c r="B957" s="225" t="s">
        <v>5467</v>
      </c>
    </row>
    <row r="958" spans="1:2">
      <c r="A958" s="225" t="s">
        <v>5468</v>
      </c>
      <c r="B958" s="225" t="s">
        <v>5469</v>
      </c>
    </row>
    <row r="959" spans="1:2">
      <c r="A959" s="225" t="s">
        <v>723</v>
      </c>
      <c r="B959" s="225" t="s">
        <v>5518</v>
      </c>
    </row>
    <row r="960" spans="1:2">
      <c r="A960" s="225" t="s">
        <v>5643</v>
      </c>
      <c r="B960" s="225" t="s">
        <v>5644</v>
      </c>
    </row>
    <row r="961" spans="1:2">
      <c r="A961" s="225" t="s">
        <v>5599</v>
      </c>
      <c r="B961" s="225" t="s">
        <v>5600</v>
      </c>
    </row>
    <row r="962" spans="1:2">
      <c r="A962" s="225" t="s">
        <v>5601</v>
      </c>
      <c r="B962" s="225" t="s">
        <v>5602</v>
      </c>
    </row>
    <row r="963" spans="1:2">
      <c r="A963" s="225" t="s">
        <v>1346</v>
      </c>
      <c r="B963" s="225" t="s">
        <v>7685</v>
      </c>
    </row>
    <row r="964" spans="1:2">
      <c r="A964" s="225" t="s">
        <v>5603</v>
      </c>
      <c r="B964" s="225" t="s">
        <v>5604</v>
      </c>
    </row>
    <row r="965" spans="1:2">
      <c r="A965" s="225" t="s">
        <v>5605</v>
      </c>
      <c r="B965" s="225" t="s">
        <v>5606</v>
      </c>
    </row>
    <row r="966" spans="1:2">
      <c r="A966" s="225" t="s">
        <v>5607</v>
      </c>
      <c r="B966" s="225" t="s">
        <v>5608</v>
      </c>
    </row>
    <row r="967" spans="1:2">
      <c r="A967" s="225" t="s">
        <v>5609</v>
      </c>
      <c r="B967" s="225" t="s">
        <v>5610</v>
      </c>
    </row>
    <row r="968" spans="1:2">
      <c r="A968" s="225" t="s">
        <v>9045</v>
      </c>
      <c r="B968" s="225" t="s">
        <v>4691</v>
      </c>
    </row>
    <row r="969" spans="1:2">
      <c r="A969" s="225" t="s">
        <v>5423</v>
      </c>
      <c r="B969" s="225" t="s">
        <v>5424</v>
      </c>
    </row>
    <row r="970" spans="1:2">
      <c r="A970" s="225" t="s">
        <v>5425</v>
      </c>
      <c r="B970" s="225" t="s">
        <v>5426</v>
      </c>
    </row>
    <row r="971" spans="1:2">
      <c r="A971" s="225" t="s">
        <v>5427</v>
      </c>
      <c r="B971" s="225" t="s">
        <v>5428</v>
      </c>
    </row>
    <row r="972" spans="1:2">
      <c r="A972" s="225" t="s">
        <v>728</v>
      </c>
      <c r="B972" s="225" t="s">
        <v>5429</v>
      </c>
    </row>
    <row r="973" spans="1:2">
      <c r="A973" s="225" t="s">
        <v>727</v>
      </c>
      <c r="B973" s="225" t="s">
        <v>5430</v>
      </c>
    </row>
    <row r="974" spans="1:2">
      <c r="A974" s="225" t="s">
        <v>5436</v>
      </c>
      <c r="B974" s="225" t="s">
        <v>5437</v>
      </c>
    </row>
    <row r="975" spans="1:2">
      <c r="A975" s="225" t="s">
        <v>7667</v>
      </c>
      <c r="B975" s="225" t="s">
        <v>7668</v>
      </c>
    </row>
    <row r="976" spans="1:2">
      <c r="A976" s="225" t="s">
        <v>7670</v>
      </c>
      <c r="B976" s="225" t="s">
        <v>7671</v>
      </c>
    </row>
    <row r="977" spans="1:2">
      <c r="A977" s="225" t="s">
        <v>7672</v>
      </c>
      <c r="B977" s="225" t="s">
        <v>7673</v>
      </c>
    </row>
    <row r="978" spans="1:2">
      <c r="A978" s="225" t="s">
        <v>7674</v>
      </c>
      <c r="B978" s="225" t="s">
        <v>7675</v>
      </c>
    </row>
    <row r="979" spans="1:2">
      <c r="A979" s="225" t="s">
        <v>7678</v>
      </c>
      <c r="B979" s="225" t="s">
        <v>7679</v>
      </c>
    </row>
    <row r="980" spans="1:2">
      <c r="A980" s="225" t="s">
        <v>7682</v>
      </c>
      <c r="B980" s="225" t="s">
        <v>7683</v>
      </c>
    </row>
    <row r="981" spans="1:2">
      <c r="A981" s="225" t="s">
        <v>7684</v>
      </c>
      <c r="B981" s="225" t="s">
        <v>2340</v>
      </c>
    </row>
    <row r="982" spans="1:2">
      <c r="A982" s="225" t="s">
        <v>7686</v>
      </c>
      <c r="B982" s="225" t="s">
        <v>7687</v>
      </c>
    </row>
    <row r="983" spans="1:2">
      <c r="A983" s="225" t="s">
        <v>7688</v>
      </c>
      <c r="B983" s="225" t="s">
        <v>2396</v>
      </c>
    </row>
    <row r="984" spans="1:2">
      <c r="A984" s="225" t="s">
        <v>7689</v>
      </c>
      <c r="B984" s="225" t="s">
        <v>2398</v>
      </c>
    </row>
    <row r="985" spans="1:2">
      <c r="A985" s="225" t="s">
        <v>7691</v>
      </c>
      <c r="B985" s="225" t="s">
        <v>7692</v>
      </c>
    </row>
    <row r="986" spans="1:2">
      <c r="A986" s="225" t="s">
        <v>7693</v>
      </c>
      <c r="B986" s="225" t="s">
        <v>2439</v>
      </c>
    </row>
    <row r="987" spans="1:2">
      <c r="A987" s="225" t="s">
        <v>7694</v>
      </c>
      <c r="B987" s="225" t="s">
        <v>2441</v>
      </c>
    </row>
    <row r="988" spans="1:2">
      <c r="A988" s="225" t="s">
        <v>7696</v>
      </c>
      <c r="B988" s="225" t="s">
        <v>7697</v>
      </c>
    </row>
    <row r="989" spans="1:2">
      <c r="A989" s="225" t="s">
        <v>7698</v>
      </c>
      <c r="B989" s="225" t="s">
        <v>2466</v>
      </c>
    </row>
    <row r="990" spans="1:2">
      <c r="A990" s="225" t="s">
        <v>7699</v>
      </c>
      <c r="B990" s="225" t="s">
        <v>7700</v>
      </c>
    </row>
    <row r="991" spans="1:2">
      <c r="A991" s="225" t="s">
        <v>7704</v>
      </c>
      <c r="B991" s="225" t="s">
        <v>7705</v>
      </c>
    </row>
    <row r="992" spans="1:2">
      <c r="A992" s="225" t="s">
        <v>7706</v>
      </c>
      <c r="B992" s="225" t="s">
        <v>7707</v>
      </c>
    </row>
    <row r="993" spans="1:2">
      <c r="A993" s="225" t="s">
        <v>7708</v>
      </c>
      <c r="B993" s="225" t="s">
        <v>7709</v>
      </c>
    </row>
    <row r="994" spans="1:2">
      <c r="A994" s="225" t="s">
        <v>7710</v>
      </c>
      <c r="B994" s="225" t="s">
        <v>7711</v>
      </c>
    </row>
    <row r="995" spans="1:2">
      <c r="A995" s="225" t="s">
        <v>7712</v>
      </c>
      <c r="B995" s="225" t="s">
        <v>7713</v>
      </c>
    </row>
    <row r="996" spans="1:2">
      <c r="A996" s="225" t="s">
        <v>7714</v>
      </c>
      <c r="B996" s="225" t="s">
        <v>7715</v>
      </c>
    </row>
    <row r="997" spans="1:2">
      <c r="A997" s="225" t="s">
        <v>7716</v>
      </c>
      <c r="B997" s="225" t="s">
        <v>7717</v>
      </c>
    </row>
    <row r="998" spans="1:2">
      <c r="A998" s="225" t="s">
        <v>7718</v>
      </c>
      <c r="B998" s="225" t="s">
        <v>7719</v>
      </c>
    </row>
    <row r="999" spans="1:2">
      <c r="A999" s="225" t="s">
        <v>7720</v>
      </c>
      <c r="B999" s="225" t="s">
        <v>7721</v>
      </c>
    </row>
    <row r="1000" spans="1:2">
      <c r="A1000" s="225" t="s">
        <v>7722</v>
      </c>
      <c r="B1000" s="225" t="s">
        <v>7723</v>
      </c>
    </row>
    <row r="1001" spans="1:2">
      <c r="A1001" s="225" t="s">
        <v>8436</v>
      </c>
      <c r="B1001" s="225" t="s">
        <v>8437</v>
      </c>
    </row>
    <row r="1002" spans="1:2">
      <c r="A1002" s="225" t="s">
        <v>8438</v>
      </c>
      <c r="B1002" s="225" t="s">
        <v>8439</v>
      </c>
    </row>
    <row r="1003" spans="1:2">
      <c r="A1003" s="225" t="s">
        <v>8440</v>
      </c>
      <c r="B1003" s="225" t="s">
        <v>8441</v>
      </c>
    </row>
    <row r="1004" spans="1:2">
      <c r="A1004" s="225" t="s">
        <v>7084</v>
      </c>
      <c r="B1004" s="225" t="s">
        <v>7085</v>
      </c>
    </row>
    <row r="1005" spans="1:2">
      <c r="A1005" s="225" t="s">
        <v>7086</v>
      </c>
      <c r="B1005" s="225" t="s">
        <v>7087</v>
      </c>
    </row>
    <row r="1006" spans="1:2">
      <c r="A1006" s="225" t="s">
        <v>7118</v>
      </c>
      <c r="B1006" s="225" t="s">
        <v>7119</v>
      </c>
    </row>
    <row r="1007" spans="1:2">
      <c r="A1007" s="225" t="s">
        <v>7120</v>
      </c>
      <c r="B1007" s="225" t="s">
        <v>7121</v>
      </c>
    </row>
    <row r="1008" spans="1:2">
      <c r="A1008" s="225" t="s">
        <v>7122</v>
      </c>
      <c r="B1008" s="225" t="s">
        <v>7123</v>
      </c>
    </row>
    <row r="1009" spans="1:2">
      <c r="A1009" s="225" t="s">
        <v>7128</v>
      </c>
      <c r="B1009" s="225" t="s">
        <v>7129</v>
      </c>
    </row>
    <row r="1010" spans="1:2">
      <c r="A1010" s="225" t="s">
        <v>7130</v>
      </c>
      <c r="B1010" s="225" t="s">
        <v>7131</v>
      </c>
    </row>
    <row r="1011" spans="1:2">
      <c r="A1011" s="225" t="s">
        <v>1395</v>
      </c>
      <c r="B1011" s="225" t="s">
        <v>3856</v>
      </c>
    </row>
    <row r="1012" spans="1:2">
      <c r="A1012" s="225" t="s">
        <v>1410</v>
      </c>
      <c r="B1012" s="225" t="s">
        <v>7132</v>
      </c>
    </row>
    <row r="1013" spans="1:2">
      <c r="A1013" s="225" t="s">
        <v>1413</v>
      </c>
      <c r="B1013" s="225" t="s">
        <v>3857</v>
      </c>
    </row>
    <row r="1014" spans="1:2">
      <c r="A1014" s="225" t="s">
        <v>1418</v>
      </c>
      <c r="B1014" s="225" t="s">
        <v>7133</v>
      </c>
    </row>
    <row r="1015" spans="1:2">
      <c r="A1015" s="225" t="s">
        <v>1404</v>
      </c>
      <c r="B1015" s="225" t="s">
        <v>2199</v>
      </c>
    </row>
    <row r="1016" spans="1:2">
      <c r="A1016" s="225" t="s">
        <v>1401</v>
      </c>
      <c r="B1016" s="225" t="s">
        <v>2235</v>
      </c>
    </row>
    <row r="1017" spans="1:2">
      <c r="A1017" s="225" t="s">
        <v>7134</v>
      </c>
      <c r="B1017" s="225" t="s">
        <v>2570</v>
      </c>
    </row>
    <row r="1018" spans="1:2">
      <c r="A1018" s="225" t="s">
        <v>1331</v>
      </c>
      <c r="B1018" s="225" t="s">
        <v>7135</v>
      </c>
    </row>
    <row r="1019" spans="1:2">
      <c r="A1019" s="225" t="s">
        <v>7136</v>
      </c>
      <c r="B1019" s="225" t="s">
        <v>7137</v>
      </c>
    </row>
    <row r="1020" spans="1:2">
      <c r="A1020" s="225" t="s">
        <v>7138</v>
      </c>
      <c r="B1020" s="225" t="s">
        <v>7139</v>
      </c>
    </row>
    <row r="1021" spans="1:2">
      <c r="A1021" s="225" t="s">
        <v>7140</v>
      </c>
      <c r="B1021" s="225" t="s">
        <v>7141</v>
      </c>
    </row>
    <row r="1022" spans="1:2">
      <c r="A1022" s="225" t="s">
        <v>7142</v>
      </c>
      <c r="B1022" s="225" t="s">
        <v>7143</v>
      </c>
    </row>
    <row r="1023" spans="1:2">
      <c r="A1023" s="225" t="s">
        <v>7144</v>
      </c>
      <c r="B1023" s="225" t="s">
        <v>7145</v>
      </c>
    </row>
    <row r="1024" spans="1:2">
      <c r="A1024" s="225" t="s">
        <v>7146</v>
      </c>
      <c r="B1024" s="225" t="s">
        <v>7147</v>
      </c>
    </row>
    <row r="1025" spans="1:2">
      <c r="A1025" s="225" t="s">
        <v>7155</v>
      </c>
      <c r="B1025" s="225" t="s">
        <v>7156</v>
      </c>
    </row>
    <row r="1026" spans="1:2">
      <c r="A1026" s="225" t="s">
        <v>7157</v>
      </c>
      <c r="B1026" s="225" t="s">
        <v>7158</v>
      </c>
    </row>
    <row r="1027" spans="1:2">
      <c r="A1027" s="225" t="s">
        <v>7159</v>
      </c>
      <c r="B1027" s="225" t="s">
        <v>7160</v>
      </c>
    </row>
    <row r="1028" spans="1:2">
      <c r="A1028" s="225" t="s">
        <v>7161</v>
      </c>
      <c r="B1028" s="225" t="s">
        <v>7162</v>
      </c>
    </row>
    <row r="1029" spans="1:2">
      <c r="A1029" s="225" t="s">
        <v>7163</v>
      </c>
      <c r="B1029" s="225" t="s">
        <v>7164</v>
      </c>
    </row>
    <row r="1030" spans="1:2">
      <c r="A1030" s="225" t="s">
        <v>7177</v>
      </c>
      <c r="B1030" s="225" t="s">
        <v>7178</v>
      </c>
    </row>
    <row r="1031" spans="1:2">
      <c r="A1031" s="225" t="s">
        <v>7179</v>
      </c>
      <c r="B1031" s="225" t="s">
        <v>7180</v>
      </c>
    </row>
    <row r="1032" spans="1:2">
      <c r="A1032" s="225" t="s">
        <v>7181</v>
      </c>
      <c r="B1032" s="225" t="s">
        <v>7182</v>
      </c>
    </row>
    <row r="1033" spans="1:2">
      <c r="A1033" s="225" t="s">
        <v>7190</v>
      </c>
      <c r="B1033" s="225" t="s">
        <v>7191</v>
      </c>
    </row>
    <row r="1034" spans="1:2">
      <c r="A1034" s="225" t="s">
        <v>7192</v>
      </c>
      <c r="B1034" s="225" t="s">
        <v>7193</v>
      </c>
    </row>
    <row r="1035" spans="1:2">
      <c r="A1035" s="225" t="s">
        <v>7194</v>
      </c>
      <c r="B1035" s="225" t="s">
        <v>7195</v>
      </c>
    </row>
    <row r="1036" spans="1:2">
      <c r="A1036" s="225" t="s">
        <v>7196</v>
      </c>
      <c r="B1036" s="225" t="s">
        <v>7197</v>
      </c>
    </row>
    <row r="1037" spans="1:2">
      <c r="A1037" s="225" t="s">
        <v>7198</v>
      </c>
      <c r="B1037" s="225" t="s">
        <v>7199</v>
      </c>
    </row>
    <row r="1038" spans="1:2">
      <c r="A1038" s="225" t="s">
        <v>7200</v>
      </c>
      <c r="B1038" s="225" t="s">
        <v>7201</v>
      </c>
    </row>
    <row r="1039" spans="1:2">
      <c r="A1039" s="225" t="s">
        <v>7202</v>
      </c>
      <c r="B1039" s="225" t="s">
        <v>7203</v>
      </c>
    </row>
    <row r="1040" spans="1:2">
      <c r="A1040" s="225" t="s">
        <v>7204</v>
      </c>
      <c r="B1040" s="225" t="s">
        <v>7205</v>
      </c>
    </row>
    <row r="1041" spans="1:2">
      <c r="A1041" s="225" t="s">
        <v>7206</v>
      </c>
      <c r="B1041" s="225" t="s">
        <v>7207</v>
      </c>
    </row>
    <row r="1042" spans="1:2">
      <c r="A1042" s="225" t="s">
        <v>7208</v>
      </c>
      <c r="B1042" s="225" t="s">
        <v>7209</v>
      </c>
    </row>
    <row r="1043" spans="1:2">
      <c r="A1043" s="225" t="s">
        <v>7210</v>
      </c>
      <c r="B1043" s="225" t="s">
        <v>7211</v>
      </c>
    </row>
    <row r="1044" spans="1:2">
      <c r="A1044" s="225" t="s">
        <v>7212</v>
      </c>
      <c r="B1044" s="225" t="s">
        <v>7213</v>
      </c>
    </row>
    <row r="1045" spans="1:2">
      <c r="A1045" s="225" t="s">
        <v>7214</v>
      </c>
      <c r="B1045" s="225" t="s">
        <v>7215</v>
      </c>
    </row>
    <row r="1046" spans="1:2">
      <c r="A1046" s="225" t="s">
        <v>8911</v>
      </c>
      <c r="B1046" s="225" t="s">
        <v>2245</v>
      </c>
    </row>
    <row r="1047" spans="1:2">
      <c r="A1047" s="225" t="s">
        <v>1340</v>
      </c>
      <c r="B1047" s="225" t="s">
        <v>2246</v>
      </c>
    </row>
    <row r="1048" spans="1:2">
      <c r="A1048" s="225" t="s">
        <v>8912</v>
      </c>
      <c r="B1048" s="225" t="s">
        <v>2248</v>
      </c>
    </row>
    <row r="1049" spans="1:2">
      <c r="A1049" s="225" t="s">
        <v>8913</v>
      </c>
      <c r="B1049" s="225" t="s">
        <v>2250</v>
      </c>
    </row>
    <row r="1050" spans="1:2">
      <c r="A1050" s="225" t="s">
        <v>8914</v>
      </c>
      <c r="B1050" s="225" t="s">
        <v>2252</v>
      </c>
    </row>
    <row r="1051" spans="1:2">
      <c r="A1051" s="225" t="s">
        <v>8915</v>
      </c>
      <c r="B1051" s="225" t="s">
        <v>2254</v>
      </c>
    </row>
    <row r="1052" spans="1:2">
      <c r="A1052" s="225" t="s">
        <v>8916</v>
      </c>
      <c r="B1052" s="225" t="s">
        <v>2256</v>
      </c>
    </row>
    <row r="1053" spans="1:2">
      <c r="A1053" s="225" t="s">
        <v>8917</v>
      </c>
      <c r="B1053" s="225" t="s">
        <v>2258</v>
      </c>
    </row>
    <row r="1054" spans="1:2">
      <c r="A1054" s="225" t="s">
        <v>8918</v>
      </c>
      <c r="B1054" s="225" t="s">
        <v>8919</v>
      </c>
    </row>
    <row r="1055" spans="1:2">
      <c r="A1055" s="225" t="s">
        <v>771</v>
      </c>
      <c r="B1055" s="225" t="s">
        <v>8920</v>
      </c>
    </row>
    <row r="1056" spans="1:2">
      <c r="A1056" s="225" t="s">
        <v>8921</v>
      </c>
      <c r="B1056" s="225" t="s">
        <v>8922</v>
      </c>
    </row>
    <row r="1057" spans="1:2">
      <c r="A1057" s="225" t="s">
        <v>8923</v>
      </c>
      <c r="B1057" s="225" t="s">
        <v>8924</v>
      </c>
    </row>
    <row r="1058" spans="1:2">
      <c r="A1058" s="225" t="s">
        <v>8925</v>
      </c>
      <c r="B1058" s="225" t="s">
        <v>8926</v>
      </c>
    </row>
    <row r="1059" spans="1:2">
      <c r="A1059" s="225" t="s">
        <v>8927</v>
      </c>
      <c r="B1059" s="225" t="s">
        <v>8928</v>
      </c>
    </row>
    <row r="1060" spans="1:2">
      <c r="A1060" s="225" t="s">
        <v>8929</v>
      </c>
      <c r="B1060" s="225" t="s">
        <v>8930</v>
      </c>
    </row>
    <row r="1061" spans="1:2">
      <c r="A1061" s="225" t="s">
        <v>8931</v>
      </c>
      <c r="B1061" s="225" t="s">
        <v>8932</v>
      </c>
    </row>
    <row r="1062" spans="1:2">
      <c r="A1062" s="225" t="s">
        <v>1339</v>
      </c>
      <c r="B1062" s="225" t="s">
        <v>8933</v>
      </c>
    </row>
    <row r="1063" spans="1:2">
      <c r="A1063" s="225" t="s">
        <v>1338</v>
      </c>
      <c r="B1063" s="225" t="s">
        <v>8934</v>
      </c>
    </row>
    <row r="1064" spans="1:2">
      <c r="A1064" s="225" t="s">
        <v>8935</v>
      </c>
      <c r="B1064" s="225" t="s">
        <v>8936</v>
      </c>
    </row>
    <row r="1065" spans="1:2">
      <c r="A1065" s="225" t="s">
        <v>8937</v>
      </c>
      <c r="B1065" s="225" t="s">
        <v>8938</v>
      </c>
    </row>
    <row r="1066" spans="1:2">
      <c r="A1066" s="225" t="s">
        <v>8939</v>
      </c>
      <c r="B1066" s="225" t="s">
        <v>8940</v>
      </c>
    </row>
    <row r="1067" spans="1:2">
      <c r="A1067" s="225" t="s">
        <v>8941</v>
      </c>
      <c r="B1067" s="225" t="s">
        <v>8942</v>
      </c>
    </row>
    <row r="1068" spans="1:2">
      <c r="A1068" s="225" t="s">
        <v>8943</v>
      </c>
      <c r="B1068" s="225" t="s">
        <v>8944</v>
      </c>
    </row>
    <row r="1069" spans="1:2">
      <c r="A1069" s="225" t="s">
        <v>8945</v>
      </c>
      <c r="B1069" s="225" t="s">
        <v>8946</v>
      </c>
    </row>
    <row r="1070" spans="1:2">
      <c r="A1070" s="225" t="s">
        <v>8947</v>
      </c>
      <c r="B1070" s="225" t="s">
        <v>8948</v>
      </c>
    </row>
    <row r="1071" spans="1:2">
      <c r="A1071" s="225" t="s">
        <v>8949</v>
      </c>
      <c r="B1071" s="225" t="s">
        <v>8950</v>
      </c>
    </row>
    <row r="1072" spans="1:2">
      <c r="A1072" s="225" t="s">
        <v>8951</v>
      </c>
      <c r="B1072" s="225" t="s">
        <v>8952</v>
      </c>
    </row>
    <row r="1073" spans="1:2">
      <c r="A1073" s="225" t="s">
        <v>5407</v>
      </c>
      <c r="B1073" s="225" t="s">
        <v>5408</v>
      </c>
    </row>
    <row r="1074" spans="1:2">
      <c r="A1074" s="225" t="s">
        <v>5410</v>
      </c>
      <c r="B1074" s="225" t="s">
        <v>4758</v>
      </c>
    </row>
    <row r="1075" spans="1:2">
      <c r="A1075" s="225" t="s">
        <v>5411</v>
      </c>
      <c r="B1075" s="225" t="s">
        <v>5412</v>
      </c>
    </row>
    <row r="1076" spans="1:2">
      <c r="A1076" s="225" t="s">
        <v>5413</v>
      </c>
      <c r="B1076" s="225" t="s">
        <v>5414</v>
      </c>
    </row>
    <row r="1077" spans="1:2">
      <c r="A1077" s="225" t="s">
        <v>5415</v>
      </c>
      <c r="B1077" s="225" t="s">
        <v>5416</v>
      </c>
    </row>
    <row r="1078" spans="1:2">
      <c r="A1078" s="225" t="s">
        <v>5417</v>
      </c>
      <c r="B1078" s="225" t="s">
        <v>5418</v>
      </c>
    </row>
    <row r="1079" spans="1:2">
      <c r="A1079" s="225" t="s">
        <v>5419</v>
      </c>
      <c r="B1079" s="225" t="s">
        <v>5420</v>
      </c>
    </row>
    <row r="1080" spans="1:2">
      <c r="A1080" s="225" t="s">
        <v>5421</v>
      </c>
      <c r="B1080" s="225" t="s">
        <v>5422</v>
      </c>
    </row>
    <row r="1081" spans="1:2">
      <c r="A1081" s="225" t="s">
        <v>8317</v>
      </c>
      <c r="B1081" s="225" t="s">
        <v>8318</v>
      </c>
    </row>
    <row r="1082" spans="1:2">
      <c r="A1082" s="225" t="s">
        <v>8374</v>
      </c>
      <c r="B1082" s="225" t="s">
        <v>8375</v>
      </c>
    </row>
    <row r="1083" spans="1:2">
      <c r="A1083" s="225" t="s">
        <v>8376</v>
      </c>
      <c r="B1083" s="225" t="s">
        <v>8377</v>
      </c>
    </row>
    <row r="1084" spans="1:2">
      <c r="A1084" s="225" t="s">
        <v>8378</v>
      </c>
      <c r="B1084" s="225" t="s">
        <v>8379</v>
      </c>
    </row>
    <row r="1085" spans="1:2">
      <c r="A1085" s="225" t="s">
        <v>8382</v>
      </c>
      <c r="B1085" s="225" t="s">
        <v>8383</v>
      </c>
    </row>
    <row r="1086" spans="1:2">
      <c r="A1086" s="225" t="s">
        <v>8408</v>
      </c>
      <c r="B1086" s="225" t="s">
        <v>8409</v>
      </c>
    </row>
    <row r="1087" spans="1:2">
      <c r="A1087" s="225" t="s">
        <v>8432</v>
      </c>
      <c r="B1087" s="225" t="s">
        <v>8433</v>
      </c>
    </row>
    <row r="1088" spans="1:2">
      <c r="A1088" s="225" t="s">
        <v>8434</v>
      </c>
      <c r="B1088" s="225" t="s">
        <v>8435</v>
      </c>
    </row>
    <row r="1089" spans="1:2">
      <c r="A1089" s="225" t="s">
        <v>8444</v>
      </c>
      <c r="B1089" s="225" t="s">
        <v>8445</v>
      </c>
    </row>
    <row r="1090" spans="1:2">
      <c r="A1090" s="225" t="s">
        <v>8446</v>
      </c>
      <c r="B1090" s="225" t="s">
        <v>8447</v>
      </c>
    </row>
    <row r="1091" spans="1:2">
      <c r="A1091" s="225" t="s">
        <v>8448</v>
      </c>
      <c r="B1091" s="225" t="s">
        <v>8449</v>
      </c>
    </row>
    <row r="1092" spans="1:2">
      <c r="A1092" s="225" t="s">
        <v>8450</v>
      </c>
      <c r="B1092" s="225" t="s">
        <v>8451</v>
      </c>
    </row>
    <row r="1093" spans="1:2">
      <c r="A1093" s="225" t="s">
        <v>7088</v>
      </c>
      <c r="B1093" s="225" t="s">
        <v>2077</v>
      </c>
    </row>
    <row r="1094" spans="1:2">
      <c r="A1094" s="225" t="s">
        <v>7089</v>
      </c>
      <c r="B1094" s="225" t="s">
        <v>7090</v>
      </c>
    </row>
    <row r="1095" spans="1:2">
      <c r="A1095" s="225" t="s">
        <v>7091</v>
      </c>
      <c r="B1095" s="225" t="s">
        <v>7092</v>
      </c>
    </row>
    <row r="1096" spans="1:2">
      <c r="A1096" s="225" t="s">
        <v>7093</v>
      </c>
      <c r="B1096" s="225" t="s">
        <v>7094</v>
      </c>
    </row>
    <row r="1097" spans="1:2">
      <c r="A1097" s="225" t="s">
        <v>7095</v>
      </c>
      <c r="B1097" s="225" t="s">
        <v>7096</v>
      </c>
    </row>
    <row r="1098" spans="1:2">
      <c r="A1098" s="225" t="s">
        <v>7097</v>
      </c>
      <c r="B1098" s="225" t="s">
        <v>7098</v>
      </c>
    </row>
    <row r="1099" spans="1:2">
      <c r="A1099" s="225" t="s">
        <v>7099</v>
      </c>
      <c r="B1099" s="225" t="s">
        <v>7100</v>
      </c>
    </row>
    <row r="1100" spans="1:2">
      <c r="A1100" s="225" t="s">
        <v>7101</v>
      </c>
      <c r="B1100" s="225" t="s">
        <v>7102</v>
      </c>
    </row>
    <row r="1101" spans="1:2">
      <c r="A1101" s="225" t="s">
        <v>7103</v>
      </c>
      <c r="B1101" s="225" t="s">
        <v>7104</v>
      </c>
    </row>
    <row r="1102" spans="1:2">
      <c r="A1102" s="225" t="s">
        <v>7105</v>
      </c>
      <c r="B1102" s="225" t="s">
        <v>7106</v>
      </c>
    </row>
    <row r="1103" spans="1:2">
      <c r="A1103" s="225" t="s">
        <v>7107</v>
      </c>
      <c r="B1103" s="225" t="s">
        <v>7108</v>
      </c>
    </row>
    <row r="1104" spans="1:2">
      <c r="A1104" s="225" t="s">
        <v>7109</v>
      </c>
      <c r="B1104" s="225" t="s">
        <v>7110</v>
      </c>
    </row>
    <row r="1105" spans="1:2">
      <c r="A1105" s="225" t="s">
        <v>7112</v>
      </c>
      <c r="B1105" s="225" t="s">
        <v>7113</v>
      </c>
    </row>
    <row r="1106" spans="1:2">
      <c r="A1106" s="225" t="s">
        <v>7114</v>
      </c>
      <c r="B1106" s="225" t="s">
        <v>7115</v>
      </c>
    </row>
    <row r="1107" spans="1:2">
      <c r="A1107" s="225" t="s">
        <v>7116</v>
      </c>
      <c r="B1107" s="225" t="s">
        <v>7117</v>
      </c>
    </row>
    <row r="1108" spans="1:2">
      <c r="A1108" s="225" t="s">
        <v>7124</v>
      </c>
      <c r="B1108" s="225" t="s">
        <v>7125</v>
      </c>
    </row>
    <row r="1109" spans="1:2">
      <c r="A1109" s="225" t="s">
        <v>7126</v>
      </c>
      <c r="B1109" s="225" t="s">
        <v>7127</v>
      </c>
    </row>
    <row r="1110" spans="1:2">
      <c r="A1110" s="225" t="s">
        <v>7149</v>
      </c>
      <c r="B1110" s="225" t="s">
        <v>7150</v>
      </c>
    </row>
    <row r="1111" spans="1:2">
      <c r="A1111" s="225" t="s">
        <v>7151</v>
      </c>
      <c r="B1111" s="225" t="s">
        <v>7152</v>
      </c>
    </row>
    <row r="1112" spans="1:2">
      <c r="A1112" s="225" t="s">
        <v>7153</v>
      </c>
      <c r="B1112" s="225" t="s">
        <v>7154</v>
      </c>
    </row>
    <row r="1113" spans="1:2">
      <c r="A1113" s="225" t="s">
        <v>7169</v>
      </c>
      <c r="B1113" s="225" t="s">
        <v>7170</v>
      </c>
    </row>
    <row r="1114" spans="1:2">
      <c r="A1114" s="225" t="s">
        <v>7173</v>
      </c>
      <c r="B1114" s="225" t="s">
        <v>7174</v>
      </c>
    </row>
    <row r="1115" spans="1:2">
      <c r="A1115" s="225" t="s">
        <v>7184</v>
      </c>
      <c r="B1115" s="225" t="s">
        <v>7185</v>
      </c>
    </row>
    <row r="1116" spans="1:2">
      <c r="A1116" s="225" t="s">
        <v>7186</v>
      </c>
      <c r="B1116" s="225" t="s">
        <v>7187</v>
      </c>
    </row>
    <row r="1117" spans="1:2">
      <c r="A1117" s="225" t="s">
        <v>7188</v>
      </c>
      <c r="B1117" s="225" t="s">
        <v>7189</v>
      </c>
    </row>
    <row r="1118" spans="1:2">
      <c r="A1118" s="225" t="s">
        <v>836</v>
      </c>
      <c r="B1118" s="225" t="s">
        <v>7695</v>
      </c>
    </row>
    <row r="1119" spans="1:2">
      <c r="A1119" s="225" t="s">
        <v>7701</v>
      </c>
      <c r="B1119" s="225" t="s">
        <v>4018</v>
      </c>
    </row>
    <row r="1120" spans="1:2">
      <c r="A1120" s="225" t="s">
        <v>7702</v>
      </c>
      <c r="B1120" s="225" t="s">
        <v>4020</v>
      </c>
    </row>
    <row r="1121" spans="1:2">
      <c r="A1121" s="225" t="s">
        <v>7703</v>
      </c>
      <c r="B1121" s="225" t="s">
        <v>4022</v>
      </c>
    </row>
    <row r="1122" spans="1:2">
      <c r="A1122" s="225" t="s">
        <v>8402</v>
      </c>
      <c r="B1122" s="225" t="s">
        <v>8403</v>
      </c>
    </row>
    <row r="1123" spans="1:2">
      <c r="A1123" s="225" t="s">
        <v>8428</v>
      </c>
      <c r="B1123" s="225" t="s">
        <v>8429</v>
      </c>
    </row>
    <row r="1124" spans="1:2">
      <c r="A1124" s="225" t="s">
        <v>8452</v>
      </c>
      <c r="B1124" s="225" t="s">
        <v>8453</v>
      </c>
    </row>
    <row r="1125" spans="1:2">
      <c r="A1125" s="225" t="s">
        <v>8454</v>
      </c>
      <c r="B1125" s="225" t="s">
        <v>8455</v>
      </c>
    </row>
    <row r="1126" spans="1:2">
      <c r="A1126" s="225" t="s">
        <v>891</v>
      </c>
      <c r="B1126" s="225" t="s">
        <v>4165</v>
      </c>
    </row>
    <row r="1127" spans="1:2">
      <c r="A1127" s="225" t="s">
        <v>9153</v>
      </c>
      <c r="B1127" s="225" t="s">
        <v>2199</v>
      </c>
    </row>
    <row r="1128" spans="1:2">
      <c r="A1128" s="225" t="s">
        <v>5747</v>
      </c>
      <c r="B1128" s="225" t="s">
        <v>5748</v>
      </c>
    </row>
    <row r="1129" spans="1:2">
      <c r="A1129" s="225" t="s">
        <v>5749</v>
      </c>
      <c r="B1129" s="225" t="s">
        <v>5750</v>
      </c>
    </row>
    <row r="1130" spans="1:2">
      <c r="A1130" s="225" t="s">
        <v>5751</v>
      </c>
      <c r="B1130" s="225" t="s">
        <v>5752</v>
      </c>
    </row>
    <row r="1131" spans="1:2">
      <c r="A1131" s="225" t="s">
        <v>5753</v>
      </c>
      <c r="B1131" s="225" t="s">
        <v>5754</v>
      </c>
    </row>
    <row r="1132" spans="1:2">
      <c r="A1132" s="225" t="s">
        <v>5755</v>
      </c>
      <c r="B1132" s="225" t="s">
        <v>5756</v>
      </c>
    </row>
    <row r="1133" spans="1:2">
      <c r="A1133" s="225" t="s">
        <v>5757</v>
      </c>
      <c r="B1133" s="225" t="s">
        <v>5758</v>
      </c>
    </row>
    <row r="1134" spans="1:2">
      <c r="A1134" s="225" t="s">
        <v>5759</v>
      </c>
      <c r="B1134" s="225" t="s">
        <v>5760</v>
      </c>
    </row>
    <row r="1135" spans="1:2">
      <c r="A1135" s="225" t="s">
        <v>5761</v>
      </c>
      <c r="B1135" s="225" t="s">
        <v>5762</v>
      </c>
    </row>
    <row r="1136" spans="1:2">
      <c r="A1136" s="225" t="s">
        <v>5763</v>
      </c>
      <c r="B1136" s="225" t="s">
        <v>5764</v>
      </c>
    </row>
    <row r="1137" spans="1:2">
      <c r="A1137" s="225" t="s">
        <v>5765</v>
      </c>
      <c r="B1137" s="225" t="s">
        <v>5766</v>
      </c>
    </row>
    <row r="1138" spans="1:2">
      <c r="A1138" s="225" t="s">
        <v>5767</v>
      </c>
      <c r="B1138" s="225" t="s">
        <v>5768</v>
      </c>
    </row>
    <row r="1139" spans="1:2">
      <c r="A1139" s="225" t="s">
        <v>5769</v>
      </c>
      <c r="B1139" s="225" t="s">
        <v>5770</v>
      </c>
    </row>
    <row r="1140" spans="1:2">
      <c r="A1140" s="225" t="s">
        <v>5771</v>
      </c>
      <c r="B1140" s="225" t="s">
        <v>5772</v>
      </c>
    </row>
    <row r="1141" spans="1:2">
      <c r="A1141" s="225" t="s">
        <v>6621</v>
      </c>
      <c r="B1141" s="225" t="s">
        <v>6622</v>
      </c>
    </row>
    <row r="1142" spans="1:2">
      <c r="A1142" s="225" t="s">
        <v>6623</v>
      </c>
      <c r="B1142" s="225" t="s">
        <v>6624</v>
      </c>
    </row>
    <row r="1143" spans="1:2">
      <c r="A1143" s="225" t="s">
        <v>6625</v>
      </c>
      <c r="B1143" s="225" t="s">
        <v>6626</v>
      </c>
    </row>
    <row r="1144" spans="1:2">
      <c r="A1144" s="225" t="s">
        <v>6627</v>
      </c>
      <c r="B1144" s="225" t="s">
        <v>5604</v>
      </c>
    </row>
    <row r="1145" spans="1:2">
      <c r="A1145" s="225" t="s">
        <v>6628</v>
      </c>
      <c r="B1145" s="225" t="s">
        <v>5606</v>
      </c>
    </row>
    <row r="1146" spans="1:2">
      <c r="A1146" s="225" t="s">
        <v>6629</v>
      </c>
      <c r="B1146" s="225" t="s">
        <v>5608</v>
      </c>
    </row>
    <row r="1147" spans="1:2">
      <c r="A1147" s="225" t="s">
        <v>6630</v>
      </c>
      <c r="B1147" s="225" t="s">
        <v>5610</v>
      </c>
    </row>
    <row r="1148" spans="1:2">
      <c r="A1148" s="225" t="s">
        <v>7827</v>
      </c>
      <c r="B1148" s="225" t="s">
        <v>7828</v>
      </c>
    </row>
    <row r="1149" spans="1:2">
      <c r="A1149" s="225" t="s">
        <v>8456</v>
      </c>
      <c r="B1149" s="225" t="s">
        <v>8457</v>
      </c>
    </row>
    <row r="1150" spans="1:2">
      <c r="A1150" s="225" t="s">
        <v>7829</v>
      </c>
      <c r="B1150" s="225" t="s">
        <v>4673</v>
      </c>
    </row>
    <row r="1151" spans="1:2">
      <c r="A1151" s="225" t="s">
        <v>7830</v>
      </c>
      <c r="B1151" s="225" t="s">
        <v>7831</v>
      </c>
    </row>
    <row r="1152" spans="1:2">
      <c r="A1152" s="225" t="s">
        <v>7832</v>
      </c>
      <c r="B1152" s="225" t="s">
        <v>7833</v>
      </c>
    </row>
    <row r="1153" spans="1:2">
      <c r="A1153" s="225" t="s">
        <v>7834</v>
      </c>
      <c r="B1153" s="225" t="s">
        <v>7835</v>
      </c>
    </row>
    <row r="1154" spans="1:2">
      <c r="A1154" s="225" t="s">
        <v>7836</v>
      </c>
      <c r="B1154" s="225" t="s">
        <v>7837</v>
      </c>
    </row>
    <row r="1155" spans="1:2">
      <c r="A1155" s="225" t="s">
        <v>7838</v>
      </c>
      <c r="B1155" s="225" t="s">
        <v>7839</v>
      </c>
    </row>
    <row r="1156" spans="1:2">
      <c r="A1156" s="225" t="s">
        <v>7840</v>
      </c>
      <c r="B1156" s="225" t="s">
        <v>7841</v>
      </c>
    </row>
    <row r="1157" spans="1:2">
      <c r="A1157" s="225" t="s">
        <v>7842</v>
      </c>
      <c r="B1157" s="225" t="s">
        <v>7843</v>
      </c>
    </row>
    <row r="1158" spans="1:2">
      <c r="A1158" s="225" t="s">
        <v>7844</v>
      </c>
      <c r="B1158" s="225" t="s">
        <v>7845</v>
      </c>
    </row>
    <row r="1159" spans="1:2">
      <c r="A1159" s="225" t="s">
        <v>7846</v>
      </c>
      <c r="B1159" s="225" t="s">
        <v>7847</v>
      </c>
    </row>
    <row r="1160" spans="1:2">
      <c r="A1160" s="225" t="s">
        <v>7111</v>
      </c>
      <c r="B1160" s="225" t="s">
        <v>4697</v>
      </c>
    </row>
    <row r="1161" spans="1:2">
      <c r="A1161" s="225" t="s">
        <v>5773</v>
      </c>
      <c r="B1161" s="225" t="s">
        <v>5774</v>
      </c>
    </row>
    <row r="1162" spans="1:2">
      <c r="A1162" s="225" t="s">
        <v>5775</v>
      </c>
      <c r="B1162" s="225" t="s">
        <v>5776</v>
      </c>
    </row>
    <row r="1163" spans="1:2">
      <c r="A1163" s="225" t="s">
        <v>5777</v>
      </c>
      <c r="B1163" s="225" t="s">
        <v>5778</v>
      </c>
    </row>
    <row r="1164" spans="1:2">
      <c r="A1164" s="225" t="s">
        <v>5779</v>
      </c>
      <c r="B1164" s="225" t="s">
        <v>5780</v>
      </c>
    </row>
    <row r="1165" spans="1:2">
      <c r="A1165" s="225" t="s">
        <v>5781</v>
      </c>
      <c r="B1165" s="225" t="s">
        <v>5782</v>
      </c>
    </row>
    <row r="1166" spans="1:2">
      <c r="A1166" s="225" t="s">
        <v>5783</v>
      </c>
      <c r="B1166" s="225" t="s">
        <v>5784</v>
      </c>
    </row>
    <row r="1167" spans="1:2">
      <c r="A1167" s="225" t="s">
        <v>5785</v>
      </c>
      <c r="B1167" s="225" t="s">
        <v>5786</v>
      </c>
    </row>
    <row r="1168" spans="1:2">
      <c r="A1168" s="225" t="s">
        <v>5787</v>
      </c>
      <c r="B1168" s="225" t="s">
        <v>5788</v>
      </c>
    </row>
    <row r="1169" spans="1:2">
      <c r="A1169" s="225" t="s">
        <v>5789</v>
      </c>
      <c r="B1169" s="225" t="s">
        <v>5790</v>
      </c>
    </row>
    <row r="1170" spans="1:2">
      <c r="A1170" s="225" t="s">
        <v>5791</v>
      </c>
      <c r="B1170" s="225" t="s">
        <v>5792</v>
      </c>
    </row>
    <row r="1171" spans="1:2">
      <c r="A1171" s="225" t="s">
        <v>5793</v>
      </c>
      <c r="B1171" s="225" t="s">
        <v>5794</v>
      </c>
    </row>
    <row r="1172" spans="1:2">
      <c r="A1172" s="225" t="s">
        <v>5795</v>
      </c>
      <c r="B1172" s="225" t="s">
        <v>5796</v>
      </c>
    </row>
    <row r="1173" spans="1:2">
      <c r="A1173" s="225" t="s">
        <v>5797</v>
      </c>
      <c r="B1173" s="225" t="s">
        <v>5798</v>
      </c>
    </row>
    <row r="1174" spans="1:2">
      <c r="A1174" s="225" t="s">
        <v>6631</v>
      </c>
      <c r="B1174" s="225" t="s">
        <v>6632</v>
      </c>
    </row>
    <row r="1175" spans="1:2">
      <c r="A1175" s="225" t="s">
        <v>6633</v>
      </c>
      <c r="B1175" s="225" t="s">
        <v>6634</v>
      </c>
    </row>
    <row r="1176" spans="1:2">
      <c r="A1176" s="225" t="s">
        <v>6635</v>
      </c>
      <c r="B1176" s="225" t="s">
        <v>6636</v>
      </c>
    </row>
    <row r="1177" spans="1:2">
      <c r="A1177" s="225" t="s">
        <v>6637</v>
      </c>
      <c r="B1177" s="225" t="s">
        <v>6638</v>
      </c>
    </row>
    <row r="1178" spans="1:2">
      <c r="A1178" s="225" t="s">
        <v>6639</v>
      </c>
      <c r="B1178" s="225" t="s">
        <v>1870</v>
      </c>
    </row>
    <row r="1179" spans="1:2">
      <c r="A1179" s="225" t="s">
        <v>6640</v>
      </c>
      <c r="B1179" s="225" t="s">
        <v>6236</v>
      </c>
    </row>
    <row r="1180" spans="1:2">
      <c r="A1180" s="225" t="s">
        <v>6641</v>
      </c>
      <c r="B1180" s="225" t="s">
        <v>6642</v>
      </c>
    </row>
    <row r="1181" spans="1:2">
      <c r="A1181" s="225" t="s">
        <v>6643</v>
      </c>
      <c r="B1181" s="225" t="s">
        <v>1870</v>
      </c>
    </row>
    <row r="1182" spans="1:2">
      <c r="A1182" s="225" t="s">
        <v>6644</v>
      </c>
      <c r="B1182" s="225" t="s">
        <v>6236</v>
      </c>
    </row>
    <row r="1183" spans="1:2">
      <c r="A1183" s="225" t="s">
        <v>6645</v>
      </c>
      <c r="B1183" s="225" t="s">
        <v>6646</v>
      </c>
    </row>
    <row r="1184" spans="1:2">
      <c r="A1184" s="225" t="s">
        <v>6647</v>
      </c>
      <c r="B1184" s="225" t="s">
        <v>1870</v>
      </c>
    </row>
    <row r="1185" spans="1:2">
      <c r="A1185" s="225" t="s">
        <v>6648</v>
      </c>
      <c r="B1185" s="225" t="s">
        <v>6236</v>
      </c>
    </row>
    <row r="1186" spans="1:2">
      <c r="A1186" s="225" t="s">
        <v>6649</v>
      </c>
      <c r="B1186" s="225" t="s">
        <v>6650</v>
      </c>
    </row>
    <row r="1187" spans="1:2">
      <c r="A1187" s="225" t="s">
        <v>6651</v>
      </c>
      <c r="B1187" s="225" t="s">
        <v>1870</v>
      </c>
    </row>
    <row r="1188" spans="1:2">
      <c r="A1188" s="225" t="s">
        <v>6652</v>
      </c>
      <c r="B1188" s="225" t="s">
        <v>6236</v>
      </c>
    </row>
    <row r="1189" spans="1:2">
      <c r="A1189" s="225" t="s">
        <v>6653</v>
      </c>
      <c r="B1189" s="225" t="s">
        <v>6654</v>
      </c>
    </row>
    <row r="1190" spans="1:2">
      <c r="A1190" s="225" t="s">
        <v>6655</v>
      </c>
      <c r="B1190" s="225" t="s">
        <v>1870</v>
      </c>
    </row>
    <row r="1191" spans="1:2">
      <c r="A1191" s="225" t="s">
        <v>6656</v>
      </c>
      <c r="B1191" s="225" t="s">
        <v>6236</v>
      </c>
    </row>
    <row r="1192" spans="1:2">
      <c r="A1192" s="225" t="s">
        <v>6657</v>
      </c>
      <c r="B1192" s="225" t="s">
        <v>6658</v>
      </c>
    </row>
    <row r="1193" spans="1:2">
      <c r="A1193" s="225" t="s">
        <v>6659</v>
      </c>
      <c r="B1193" s="225" t="s">
        <v>1870</v>
      </c>
    </row>
    <row r="1194" spans="1:2">
      <c r="A1194" s="225" t="s">
        <v>6660</v>
      </c>
      <c r="B1194" s="225" t="s">
        <v>6236</v>
      </c>
    </row>
    <row r="1195" spans="1:2">
      <c r="A1195" s="225" t="s">
        <v>6661</v>
      </c>
      <c r="B1195" s="225" t="s">
        <v>6662</v>
      </c>
    </row>
    <row r="1196" spans="1:2">
      <c r="A1196" s="225" t="s">
        <v>6663</v>
      </c>
      <c r="B1196" s="225" t="s">
        <v>6664</v>
      </c>
    </row>
    <row r="1197" spans="1:2">
      <c r="A1197" s="225" t="s">
        <v>6665</v>
      </c>
      <c r="B1197" s="225" t="s">
        <v>6666</v>
      </c>
    </row>
    <row r="1198" spans="1:2">
      <c r="A1198" s="225" t="s">
        <v>6667</v>
      </c>
      <c r="B1198" s="225" t="s">
        <v>6668</v>
      </c>
    </row>
    <row r="1199" spans="1:2">
      <c r="A1199" s="225" t="s">
        <v>6669</v>
      </c>
      <c r="B1199" s="225" t="s">
        <v>6670</v>
      </c>
    </row>
    <row r="1200" spans="1:2">
      <c r="A1200" s="225" t="s">
        <v>6671</v>
      </c>
      <c r="B1200" s="225" t="s">
        <v>6672</v>
      </c>
    </row>
    <row r="1201" spans="1:2">
      <c r="A1201" s="225" t="s">
        <v>6673</v>
      </c>
      <c r="B1201" s="225" t="s">
        <v>6674</v>
      </c>
    </row>
    <row r="1202" spans="1:2">
      <c r="A1202" s="225" t="s">
        <v>6675</v>
      </c>
      <c r="B1202" s="225" t="s">
        <v>6676</v>
      </c>
    </row>
    <row r="1203" spans="1:2">
      <c r="A1203" s="225" t="s">
        <v>6677</v>
      </c>
      <c r="B1203" s="225" t="s">
        <v>6678</v>
      </c>
    </row>
    <row r="1204" spans="1:2">
      <c r="A1204" s="225" t="s">
        <v>6679</v>
      </c>
      <c r="B1204" s="225" t="s">
        <v>6680</v>
      </c>
    </row>
    <row r="1205" spans="1:2">
      <c r="A1205" s="225" t="s">
        <v>6681</v>
      </c>
      <c r="B1205" s="225" t="s">
        <v>6682</v>
      </c>
    </row>
    <row r="1206" spans="1:2">
      <c r="A1206" s="225" t="s">
        <v>3967</v>
      </c>
      <c r="B1206" s="225" t="s">
        <v>3968</v>
      </c>
    </row>
    <row r="1207" spans="1:2">
      <c r="A1207" s="225" t="s">
        <v>4009</v>
      </c>
      <c r="B1207" s="225" t="s">
        <v>4010</v>
      </c>
    </row>
    <row r="1208" spans="1:2">
      <c r="A1208" s="225" t="s">
        <v>955</v>
      </c>
      <c r="B1208" s="225" t="s">
        <v>3600</v>
      </c>
    </row>
    <row r="1209" spans="1:2">
      <c r="A1209" s="225" t="s">
        <v>8222</v>
      </c>
      <c r="B1209" s="225" t="s">
        <v>4537</v>
      </c>
    </row>
    <row r="1210" spans="1:2">
      <c r="A1210" s="225" t="s">
        <v>970</v>
      </c>
      <c r="B1210" s="225" t="s">
        <v>3761</v>
      </c>
    </row>
    <row r="1211" spans="1:2">
      <c r="A1211" s="225" t="s">
        <v>1011</v>
      </c>
      <c r="B1211" s="225" t="s">
        <v>1860</v>
      </c>
    </row>
    <row r="1212" spans="1:2">
      <c r="A1212" s="225" t="s">
        <v>3671</v>
      </c>
      <c r="B1212" s="225" t="s">
        <v>3672</v>
      </c>
    </row>
    <row r="1213" spans="1:2">
      <c r="A1213" s="225" t="s">
        <v>829</v>
      </c>
      <c r="B1213" s="225" t="s">
        <v>3673</v>
      </c>
    </row>
    <row r="1214" spans="1:2">
      <c r="A1214" s="225" t="s">
        <v>3674</v>
      </c>
      <c r="B1214" s="225" t="s">
        <v>3675</v>
      </c>
    </row>
    <row r="1215" spans="1:2">
      <c r="A1215" s="225" t="s">
        <v>3676</v>
      </c>
      <c r="B1215" s="225" t="s">
        <v>3677</v>
      </c>
    </row>
    <row r="1216" spans="1:2">
      <c r="A1216" s="225" t="s">
        <v>3678</v>
      </c>
      <c r="B1216" s="225" t="s">
        <v>3679</v>
      </c>
    </row>
    <row r="1217" spans="1:2">
      <c r="A1217" s="225" t="s">
        <v>3680</v>
      </c>
      <c r="B1217" s="225" t="s">
        <v>3681</v>
      </c>
    </row>
    <row r="1218" spans="1:2">
      <c r="A1218" s="225" t="s">
        <v>3682</v>
      </c>
      <c r="B1218" s="225" t="s">
        <v>3683</v>
      </c>
    </row>
    <row r="1219" spans="1:2">
      <c r="A1219" s="225" t="s">
        <v>3684</v>
      </c>
      <c r="B1219" s="225" t="s">
        <v>3685</v>
      </c>
    </row>
    <row r="1220" spans="1:2">
      <c r="A1220" s="225" t="s">
        <v>3686</v>
      </c>
      <c r="B1220" s="225" t="s">
        <v>3687</v>
      </c>
    </row>
    <row r="1221" spans="1:2">
      <c r="A1221" s="225" t="s">
        <v>3688</v>
      </c>
      <c r="B1221" s="225" t="s">
        <v>3689</v>
      </c>
    </row>
    <row r="1222" spans="1:2">
      <c r="A1222" s="225" t="s">
        <v>3690</v>
      </c>
      <c r="B1222" s="225" t="s">
        <v>3691</v>
      </c>
    </row>
    <row r="1223" spans="1:2">
      <c r="A1223" s="225" t="s">
        <v>3692</v>
      </c>
      <c r="B1223" s="225" t="s">
        <v>3693</v>
      </c>
    </row>
    <row r="1224" spans="1:2">
      <c r="A1224" s="225" t="s">
        <v>3694</v>
      </c>
      <c r="B1224" s="225" t="s">
        <v>3695</v>
      </c>
    </row>
    <row r="1225" spans="1:2">
      <c r="A1225" s="225" t="s">
        <v>3700</v>
      </c>
      <c r="B1225" s="225" t="s">
        <v>3701</v>
      </c>
    </row>
    <row r="1226" spans="1:2">
      <c r="A1226" s="225" t="s">
        <v>3702</v>
      </c>
      <c r="B1226" s="225" t="s">
        <v>3703</v>
      </c>
    </row>
    <row r="1227" spans="1:2">
      <c r="A1227" s="225" t="s">
        <v>3704</v>
      </c>
      <c r="B1227" s="225" t="s">
        <v>3705</v>
      </c>
    </row>
    <row r="1228" spans="1:2">
      <c r="A1228" s="225" t="s">
        <v>3706</v>
      </c>
      <c r="B1228" s="225" t="s">
        <v>3707</v>
      </c>
    </row>
    <row r="1229" spans="1:2">
      <c r="A1229" s="225" t="s">
        <v>3710</v>
      </c>
      <c r="B1229" s="225" t="s">
        <v>3711</v>
      </c>
    </row>
    <row r="1230" spans="1:2">
      <c r="A1230" s="225" t="s">
        <v>3712</v>
      </c>
      <c r="B1230" s="225" t="s">
        <v>3713</v>
      </c>
    </row>
    <row r="1231" spans="1:2">
      <c r="A1231" s="225" t="s">
        <v>3716</v>
      </c>
      <c r="B1231" s="225" t="s">
        <v>3717</v>
      </c>
    </row>
    <row r="1232" spans="1:2">
      <c r="A1232" s="225" t="s">
        <v>3721</v>
      </c>
      <c r="B1232" s="225" t="s">
        <v>3722</v>
      </c>
    </row>
    <row r="1233" spans="1:2">
      <c r="A1233" s="225" t="s">
        <v>3723</v>
      </c>
      <c r="B1233" s="225" t="s">
        <v>3724</v>
      </c>
    </row>
    <row r="1234" spans="1:2">
      <c r="A1234" s="225" t="s">
        <v>3725</v>
      </c>
      <c r="B1234" s="225" t="s">
        <v>3726</v>
      </c>
    </row>
    <row r="1235" spans="1:2">
      <c r="A1235" s="225" t="s">
        <v>870</v>
      </c>
      <c r="B1235" s="225" t="s">
        <v>3727</v>
      </c>
    </row>
    <row r="1236" spans="1:2">
      <c r="A1236" s="225" t="s">
        <v>972</v>
      </c>
      <c r="B1236" s="225" t="s">
        <v>3728</v>
      </c>
    </row>
    <row r="1237" spans="1:2">
      <c r="A1237" s="225" t="s">
        <v>3729</v>
      </c>
      <c r="B1237" s="225" t="s">
        <v>3730</v>
      </c>
    </row>
    <row r="1238" spans="1:2">
      <c r="A1238" s="225" t="s">
        <v>3731</v>
      </c>
      <c r="B1238" s="225" t="s">
        <v>3732</v>
      </c>
    </row>
    <row r="1239" spans="1:2">
      <c r="A1239" s="225" t="s">
        <v>3733</v>
      </c>
      <c r="B1239" s="225" t="s">
        <v>3734</v>
      </c>
    </row>
    <row r="1240" spans="1:2">
      <c r="A1240" s="225" t="s">
        <v>3735</v>
      </c>
      <c r="B1240" s="225" t="s">
        <v>3736</v>
      </c>
    </row>
    <row r="1241" spans="1:2">
      <c r="A1241" s="225" t="s">
        <v>3737</v>
      </c>
      <c r="B1241" s="225" t="s">
        <v>3738</v>
      </c>
    </row>
    <row r="1242" spans="1:2">
      <c r="A1242" s="225" t="s">
        <v>3751</v>
      </c>
      <c r="B1242" s="225" t="s">
        <v>3752</v>
      </c>
    </row>
    <row r="1243" spans="1:2">
      <c r="A1243" s="225" t="s">
        <v>3753</v>
      </c>
      <c r="B1243" s="225" t="s">
        <v>3345</v>
      </c>
    </row>
    <row r="1244" spans="1:2">
      <c r="A1244" s="225" t="s">
        <v>3754</v>
      </c>
      <c r="B1244" s="225" t="s">
        <v>3347</v>
      </c>
    </row>
    <row r="1245" spans="1:2">
      <c r="A1245" s="225" t="s">
        <v>3755</v>
      </c>
      <c r="B1245" s="225" t="s">
        <v>3349</v>
      </c>
    </row>
    <row r="1246" spans="1:2">
      <c r="A1246" s="225" t="s">
        <v>3756</v>
      </c>
      <c r="B1246" s="225" t="s">
        <v>3351</v>
      </c>
    </row>
    <row r="1247" spans="1:2">
      <c r="A1247" s="225" t="s">
        <v>3757</v>
      </c>
      <c r="B1247" s="225" t="s">
        <v>3353</v>
      </c>
    </row>
    <row r="1248" spans="1:2">
      <c r="A1248" s="225" t="s">
        <v>3758</v>
      </c>
      <c r="B1248" s="225" t="s">
        <v>3355</v>
      </c>
    </row>
    <row r="1249" spans="1:2">
      <c r="A1249" s="225" t="s">
        <v>3759</v>
      </c>
      <c r="B1249" s="225" t="s">
        <v>3760</v>
      </c>
    </row>
    <row r="1250" spans="1:2">
      <c r="A1250" s="225" t="s">
        <v>3766</v>
      </c>
      <c r="B1250" s="225" t="s">
        <v>3767</v>
      </c>
    </row>
    <row r="1251" spans="1:2">
      <c r="A1251" s="225" t="s">
        <v>3768</v>
      </c>
      <c r="B1251" s="225" t="s">
        <v>3769</v>
      </c>
    </row>
    <row r="1252" spans="1:2">
      <c r="A1252" s="225" t="s">
        <v>3770</v>
      </c>
      <c r="B1252" s="225" t="s">
        <v>3771</v>
      </c>
    </row>
    <row r="1253" spans="1:2">
      <c r="A1253" s="225" t="s">
        <v>3772</v>
      </c>
      <c r="B1253" s="225" t="s">
        <v>3773</v>
      </c>
    </row>
    <row r="1254" spans="1:2">
      <c r="A1254" s="225" t="s">
        <v>3774</v>
      </c>
      <c r="B1254" s="225" t="s">
        <v>3775</v>
      </c>
    </row>
    <row r="1255" spans="1:2">
      <c r="A1255" s="225" t="s">
        <v>3776</v>
      </c>
      <c r="B1255" s="225" t="s">
        <v>3777</v>
      </c>
    </row>
    <row r="1256" spans="1:2">
      <c r="A1256" s="225" t="s">
        <v>3778</v>
      </c>
      <c r="B1256" s="225" t="s">
        <v>3779</v>
      </c>
    </row>
    <row r="1257" spans="1:2">
      <c r="A1257" s="225" t="s">
        <v>3780</v>
      </c>
      <c r="B1257" s="225" t="s">
        <v>3781</v>
      </c>
    </row>
    <row r="1258" spans="1:2">
      <c r="A1258" s="225" t="s">
        <v>3782</v>
      </c>
      <c r="B1258" s="225" t="s">
        <v>3783</v>
      </c>
    </row>
    <row r="1259" spans="1:2">
      <c r="A1259" s="225" t="s">
        <v>3784</v>
      </c>
      <c r="B1259" s="225" t="s">
        <v>3785</v>
      </c>
    </row>
    <row r="1260" spans="1:2">
      <c r="A1260" s="225" t="s">
        <v>3786</v>
      </c>
      <c r="B1260" s="225" t="s">
        <v>3787</v>
      </c>
    </row>
    <row r="1261" spans="1:2">
      <c r="A1261" s="225" t="s">
        <v>3788</v>
      </c>
      <c r="B1261" s="225" t="s">
        <v>3789</v>
      </c>
    </row>
    <row r="1262" spans="1:2">
      <c r="A1262" s="225" t="s">
        <v>3790</v>
      </c>
      <c r="B1262" s="225" t="s">
        <v>3791</v>
      </c>
    </row>
    <row r="1263" spans="1:2">
      <c r="A1263" s="225" t="s">
        <v>3792</v>
      </c>
      <c r="B1263" s="225" t="s">
        <v>3793</v>
      </c>
    </row>
    <row r="1264" spans="1:2">
      <c r="A1264" s="225" t="s">
        <v>3794</v>
      </c>
      <c r="B1264" s="225" t="s">
        <v>3795</v>
      </c>
    </row>
    <row r="1265" spans="1:2">
      <c r="A1265" s="225" t="s">
        <v>3796</v>
      </c>
      <c r="B1265" s="225" t="s">
        <v>3797</v>
      </c>
    </row>
    <row r="1266" spans="1:2">
      <c r="A1266" s="225" t="s">
        <v>3798</v>
      </c>
      <c r="B1266" s="225" t="s">
        <v>3799</v>
      </c>
    </row>
    <row r="1267" spans="1:2">
      <c r="A1267" s="225" t="s">
        <v>3800</v>
      </c>
      <c r="B1267" s="225" t="s">
        <v>3801</v>
      </c>
    </row>
    <row r="1268" spans="1:2">
      <c r="A1268" s="225" t="s">
        <v>3802</v>
      </c>
      <c r="B1268" s="225" t="s">
        <v>3803</v>
      </c>
    </row>
    <row r="1269" spans="1:2">
      <c r="A1269" s="225" t="s">
        <v>3804</v>
      </c>
      <c r="B1269" s="225" t="s">
        <v>2958</v>
      </c>
    </row>
    <row r="1270" spans="1:2">
      <c r="A1270" s="225" t="s">
        <v>3805</v>
      </c>
      <c r="B1270" s="225" t="s">
        <v>3806</v>
      </c>
    </row>
    <row r="1271" spans="1:2">
      <c r="A1271" s="225" t="s">
        <v>3807</v>
      </c>
      <c r="B1271" s="225" t="s">
        <v>3808</v>
      </c>
    </row>
    <row r="1272" spans="1:2">
      <c r="A1272" s="225" t="s">
        <v>3809</v>
      </c>
      <c r="B1272" s="225" t="s">
        <v>3810</v>
      </c>
    </row>
    <row r="1273" spans="1:2">
      <c r="A1273" s="225" t="s">
        <v>3811</v>
      </c>
      <c r="B1273" s="225" t="s">
        <v>3812</v>
      </c>
    </row>
    <row r="1274" spans="1:2">
      <c r="A1274" s="225" t="s">
        <v>3813</v>
      </c>
      <c r="B1274" s="225" t="s">
        <v>3814</v>
      </c>
    </row>
    <row r="1275" spans="1:2">
      <c r="A1275" s="225" t="s">
        <v>817</v>
      </c>
      <c r="B1275" s="225" t="s">
        <v>3815</v>
      </c>
    </row>
    <row r="1276" spans="1:2">
      <c r="A1276" s="225" t="s">
        <v>1003</v>
      </c>
      <c r="B1276" s="225" t="s">
        <v>3816</v>
      </c>
    </row>
    <row r="1277" spans="1:2">
      <c r="A1277" s="225" t="s">
        <v>3817</v>
      </c>
      <c r="B1277" s="225" t="s">
        <v>3818</v>
      </c>
    </row>
    <row r="1278" spans="1:2">
      <c r="A1278" s="225" t="s">
        <v>927</v>
      </c>
      <c r="B1278" s="225" t="s">
        <v>3819</v>
      </c>
    </row>
    <row r="1279" spans="1:2">
      <c r="A1279" s="225" t="s">
        <v>3820</v>
      </c>
      <c r="B1279" s="225" t="s">
        <v>3821</v>
      </c>
    </row>
    <row r="1280" spans="1:2">
      <c r="A1280" s="225" t="s">
        <v>1118</v>
      </c>
      <c r="B1280" s="225" t="s">
        <v>3822</v>
      </c>
    </row>
    <row r="1281" spans="1:2">
      <c r="A1281" s="225" t="s">
        <v>3823</v>
      </c>
      <c r="B1281" s="225" t="s">
        <v>3824</v>
      </c>
    </row>
    <row r="1282" spans="1:2">
      <c r="A1282" s="225" t="s">
        <v>3825</v>
      </c>
      <c r="B1282" s="225" t="s">
        <v>3826</v>
      </c>
    </row>
    <row r="1283" spans="1:2">
      <c r="A1283" s="225" t="s">
        <v>3827</v>
      </c>
      <c r="B1283" s="225" t="s">
        <v>3828</v>
      </c>
    </row>
    <row r="1284" spans="1:2">
      <c r="A1284" s="225" t="s">
        <v>3829</v>
      </c>
      <c r="B1284" s="225" t="s">
        <v>3830</v>
      </c>
    </row>
    <row r="1285" spans="1:2">
      <c r="A1285" s="225" t="s">
        <v>3831</v>
      </c>
      <c r="B1285" s="225" t="s">
        <v>3832</v>
      </c>
    </row>
    <row r="1286" spans="1:2">
      <c r="A1286" s="225" t="s">
        <v>3833</v>
      </c>
      <c r="B1286" s="225" t="s">
        <v>3834</v>
      </c>
    </row>
    <row r="1287" spans="1:2">
      <c r="A1287" s="225" t="s">
        <v>3835</v>
      </c>
      <c r="B1287" s="225" t="s">
        <v>3836</v>
      </c>
    </row>
    <row r="1288" spans="1:2">
      <c r="A1288" s="225" t="s">
        <v>3837</v>
      </c>
      <c r="B1288" s="225" t="s">
        <v>3838</v>
      </c>
    </row>
    <row r="1289" spans="1:2">
      <c r="A1289" s="225" t="s">
        <v>3839</v>
      </c>
      <c r="B1289" s="225" t="s">
        <v>3840</v>
      </c>
    </row>
    <row r="1290" spans="1:2">
      <c r="A1290" s="225" t="s">
        <v>3841</v>
      </c>
      <c r="B1290" s="225" t="s">
        <v>1949</v>
      </c>
    </row>
    <row r="1291" spans="1:2">
      <c r="A1291" s="225" t="s">
        <v>3842</v>
      </c>
      <c r="B1291" s="225" t="s">
        <v>3843</v>
      </c>
    </row>
    <row r="1292" spans="1:2">
      <c r="A1292" s="225" t="s">
        <v>3844</v>
      </c>
      <c r="B1292" s="225" t="s">
        <v>3845</v>
      </c>
    </row>
    <row r="1293" spans="1:2">
      <c r="A1293" s="225" t="s">
        <v>3846</v>
      </c>
      <c r="B1293" s="225" t="s">
        <v>3847</v>
      </c>
    </row>
    <row r="1294" spans="1:2">
      <c r="A1294" s="225" t="s">
        <v>753</v>
      </c>
      <c r="B1294" s="225" t="s">
        <v>3851</v>
      </c>
    </row>
    <row r="1295" spans="1:2">
      <c r="A1295" s="225" t="s">
        <v>754</v>
      </c>
      <c r="B1295" s="225" t="s">
        <v>3857</v>
      </c>
    </row>
    <row r="1296" spans="1:2">
      <c r="A1296" s="225" t="s">
        <v>3862</v>
      </c>
      <c r="B1296" s="225" t="s">
        <v>3863</v>
      </c>
    </row>
    <row r="1297" spans="1:2">
      <c r="A1297" s="225" t="s">
        <v>3864</v>
      </c>
      <c r="B1297" s="225" t="s">
        <v>3865</v>
      </c>
    </row>
    <row r="1298" spans="1:2">
      <c r="A1298" s="225" t="s">
        <v>3866</v>
      </c>
      <c r="B1298" s="225" t="s">
        <v>3867</v>
      </c>
    </row>
    <row r="1299" spans="1:2">
      <c r="A1299" s="225" t="s">
        <v>3868</v>
      </c>
      <c r="B1299" s="225" t="s">
        <v>3869</v>
      </c>
    </row>
    <row r="1300" spans="1:2">
      <c r="A1300" s="225" t="s">
        <v>3870</v>
      </c>
      <c r="B1300" s="225" t="s">
        <v>3871</v>
      </c>
    </row>
    <row r="1301" spans="1:2">
      <c r="A1301" s="225" t="s">
        <v>3872</v>
      </c>
      <c r="B1301" s="225" t="s">
        <v>3873</v>
      </c>
    </row>
    <row r="1302" spans="1:2">
      <c r="A1302" s="225" t="s">
        <v>3874</v>
      </c>
      <c r="B1302" s="225" t="s">
        <v>3875</v>
      </c>
    </row>
    <row r="1303" spans="1:2">
      <c r="A1303" s="225" t="s">
        <v>3876</v>
      </c>
      <c r="B1303" s="225" t="s">
        <v>3877</v>
      </c>
    </row>
    <row r="1304" spans="1:2">
      <c r="A1304" s="225" t="s">
        <v>3878</v>
      </c>
      <c r="B1304" s="225" t="s">
        <v>3879</v>
      </c>
    </row>
    <row r="1305" spans="1:2">
      <c r="A1305" s="225" t="s">
        <v>3880</v>
      </c>
      <c r="B1305" s="225" t="s">
        <v>3881</v>
      </c>
    </row>
    <row r="1306" spans="1:2">
      <c r="A1306" s="225" t="s">
        <v>772</v>
      </c>
      <c r="B1306" s="225" t="s">
        <v>3882</v>
      </c>
    </row>
    <row r="1307" spans="1:2">
      <c r="A1307" s="225" t="s">
        <v>3883</v>
      </c>
      <c r="B1307" s="225" t="s">
        <v>3884</v>
      </c>
    </row>
    <row r="1308" spans="1:2">
      <c r="A1308" s="225" t="s">
        <v>3885</v>
      </c>
      <c r="B1308" s="225" t="s">
        <v>3886</v>
      </c>
    </row>
    <row r="1309" spans="1:2">
      <c r="A1309" s="225" t="s">
        <v>3887</v>
      </c>
      <c r="B1309" s="225" t="s">
        <v>3888</v>
      </c>
    </row>
    <row r="1310" spans="1:2">
      <c r="A1310" s="225" t="s">
        <v>3889</v>
      </c>
      <c r="B1310" s="225" t="s">
        <v>3890</v>
      </c>
    </row>
    <row r="1311" spans="1:2">
      <c r="A1311" s="225" t="s">
        <v>3891</v>
      </c>
      <c r="B1311" s="225" t="s">
        <v>3892</v>
      </c>
    </row>
    <row r="1312" spans="1:2">
      <c r="A1312" s="225" t="s">
        <v>3895</v>
      </c>
      <c r="B1312" s="225" t="s">
        <v>3896</v>
      </c>
    </row>
    <row r="1313" spans="1:2">
      <c r="A1313" s="225" t="s">
        <v>3897</v>
      </c>
      <c r="B1313" s="225" t="s">
        <v>3898</v>
      </c>
    </row>
    <row r="1314" spans="1:2">
      <c r="A1314" s="225" t="s">
        <v>3899</v>
      </c>
      <c r="B1314" s="225" t="s">
        <v>3900</v>
      </c>
    </row>
    <row r="1315" spans="1:2">
      <c r="A1315" s="225" t="s">
        <v>3901</v>
      </c>
      <c r="B1315" s="225" t="s">
        <v>3902</v>
      </c>
    </row>
    <row r="1316" spans="1:2">
      <c r="A1316" s="225" t="s">
        <v>3903</v>
      </c>
      <c r="B1316" s="225" t="s">
        <v>3904</v>
      </c>
    </row>
    <row r="1317" spans="1:2">
      <c r="A1317" s="225" t="s">
        <v>3905</v>
      </c>
      <c r="B1317" s="225" t="s">
        <v>3906</v>
      </c>
    </row>
    <row r="1318" spans="1:2">
      <c r="A1318" s="225" t="s">
        <v>3907</v>
      </c>
      <c r="B1318" s="225" t="s">
        <v>3908</v>
      </c>
    </row>
    <row r="1319" spans="1:2">
      <c r="A1319" s="225" t="s">
        <v>3909</v>
      </c>
      <c r="B1319" s="225" t="s">
        <v>3910</v>
      </c>
    </row>
    <row r="1320" spans="1:2">
      <c r="A1320" s="225" t="s">
        <v>3911</v>
      </c>
      <c r="B1320" s="225" t="s">
        <v>3912</v>
      </c>
    </row>
    <row r="1321" spans="1:2">
      <c r="A1321" s="225" t="s">
        <v>3913</v>
      </c>
      <c r="B1321" s="225" t="s">
        <v>3914</v>
      </c>
    </row>
    <row r="1322" spans="1:2">
      <c r="A1322" s="225" t="s">
        <v>3915</v>
      </c>
      <c r="B1322" s="225" t="s">
        <v>3916</v>
      </c>
    </row>
    <row r="1323" spans="1:2">
      <c r="A1323" s="225" t="s">
        <v>3917</v>
      </c>
      <c r="B1323" s="225" t="s">
        <v>3918</v>
      </c>
    </row>
    <row r="1324" spans="1:2">
      <c r="A1324" s="225" t="s">
        <v>3919</v>
      </c>
      <c r="B1324" s="225" t="s">
        <v>3920</v>
      </c>
    </row>
    <row r="1325" spans="1:2">
      <c r="A1325" s="225" t="s">
        <v>3921</v>
      </c>
      <c r="B1325" s="225" t="s">
        <v>3922</v>
      </c>
    </row>
    <row r="1326" spans="1:2">
      <c r="A1326" s="225" t="s">
        <v>805</v>
      </c>
      <c r="B1326" s="225" t="s">
        <v>3925</v>
      </c>
    </row>
    <row r="1327" spans="1:2">
      <c r="A1327" s="225" t="s">
        <v>3926</v>
      </c>
      <c r="B1327" s="225" t="s">
        <v>3927</v>
      </c>
    </row>
    <row r="1328" spans="1:2">
      <c r="A1328" s="225" t="s">
        <v>3928</v>
      </c>
      <c r="B1328" s="225" t="s">
        <v>3929</v>
      </c>
    </row>
    <row r="1329" spans="1:2">
      <c r="A1329" s="225" t="s">
        <v>3930</v>
      </c>
      <c r="B1329" s="225" t="s">
        <v>3931</v>
      </c>
    </row>
    <row r="1330" spans="1:2">
      <c r="A1330" s="225" t="s">
        <v>1157</v>
      </c>
      <c r="B1330" s="225" t="s">
        <v>3932</v>
      </c>
    </row>
    <row r="1331" spans="1:2">
      <c r="A1331" s="225" t="s">
        <v>818</v>
      </c>
      <c r="B1331" s="225" t="s">
        <v>3933</v>
      </c>
    </row>
    <row r="1332" spans="1:2">
      <c r="A1332" s="225" t="s">
        <v>3934</v>
      </c>
      <c r="B1332" s="225" t="s">
        <v>3935</v>
      </c>
    </row>
    <row r="1333" spans="1:2">
      <c r="A1333" s="225" t="s">
        <v>1345</v>
      </c>
      <c r="B1333" s="225" t="s">
        <v>3940</v>
      </c>
    </row>
    <row r="1334" spans="1:2">
      <c r="A1334" s="225" t="s">
        <v>3941</v>
      </c>
      <c r="B1334" s="225" t="s">
        <v>3942</v>
      </c>
    </row>
    <row r="1335" spans="1:2">
      <c r="A1335" s="225" t="s">
        <v>3943</v>
      </c>
      <c r="B1335" s="225" t="s">
        <v>3944</v>
      </c>
    </row>
    <row r="1336" spans="1:2">
      <c r="A1336" s="225" t="s">
        <v>3945</v>
      </c>
      <c r="B1336" s="225" t="s">
        <v>3946</v>
      </c>
    </row>
    <row r="1337" spans="1:2">
      <c r="A1337" s="225" t="s">
        <v>3947</v>
      </c>
      <c r="B1337" s="225" t="s">
        <v>3948</v>
      </c>
    </row>
    <row r="1338" spans="1:2">
      <c r="A1338" s="225" t="s">
        <v>3949</v>
      </c>
      <c r="B1338" s="225" t="s">
        <v>3950</v>
      </c>
    </row>
    <row r="1339" spans="1:2">
      <c r="A1339" s="225" t="s">
        <v>3951</v>
      </c>
      <c r="B1339" s="225" t="s">
        <v>3952</v>
      </c>
    </row>
    <row r="1340" spans="1:2">
      <c r="A1340" s="225" t="s">
        <v>3953</v>
      </c>
      <c r="B1340" s="225" t="s">
        <v>3954</v>
      </c>
    </row>
    <row r="1341" spans="1:2">
      <c r="A1341" s="225" t="s">
        <v>3959</v>
      </c>
      <c r="B1341" s="225" t="s">
        <v>3960</v>
      </c>
    </row>
    <row r="1342" spans="1:2">
      <c r="A1342" s="225" t="s">
        <v>3961</v>
      </c>
      <c r="B1342" s="225" t="s">
        <v>3962</v>
      </c>
    </row>
    <row r="1343" spans="1:2">
      <c r="A1343" s="225" t="s">
        <v>3963</v>
      </c>
      <c r="B1343" s="225" t="s">
        <v>3964</v>
      </c>
    </row>
    <row r="1344" spans="1:2">
      <c r="A1344" s="225" t="s">
        <v>3965</v>
      </c>
      <c r="B1344" s="225" t="s">
        <v>3966</v>
      </c>
    </row>
    <row r="1345" spans="1:2">
      <c r="A1345" s="225" t="s">
        <v>3969</v>
      </c>
      <c r="B1345" s="225" t="s">
        <v>3970</v>
      </c>
    </row>
    <row r="1346" spans="1:2">
      <c r="A1346" s="225" t="s">
        <v>3971</v>
      </c>
      <c r="B1346" s="225" t="s">
        <v>3972</v>
      </c>
    </row>
    <row r="1347" spans="1:2">
      <c r="A1347" s="225" t="s">
        <v>3973</v>
      </c>
      <c r="B1347" s="225" t="s">
        <v>3974</v>
      </c>
    </row>
    <row r="1348" spans="1:2">
      <c r="A1348" s="225" t="s">
        <v>899</v>
      </c>
      <c r="B1348" s="225" t="s">
        <v>3975</v>
      </c>
    </row>
    <row r="1349" spans="1:2">
      <c r="A1349" s="225" t="s">
        <v>871</v>
      </c>
      <c r="B1349" s="225" t="s">
        <v>3976</v>
      </c>
    </row>
    <row r="1350" spans="1:2">
      <c r="A1350" s="225" t="s">
        <v>3977</v>
      </c>
      <c r="B1350" s="225" t="s">
        <v>3978</v>
      </c>
    </row>
    <row r="1351" spans="1:2">
      <c r="A1351" s="225" t="s">
        <v>1140</v>
      </c>
      <c r="B1351" s="225" t="s">
        <v>3981</v>
      </c>
    </row>
    <row r="1352" spans="1:2">
      <c r="A1352" s="225" t="s">
        <v>3991</v>
      </c>
      <c r="B1352" s="225" t="s">
        <v>3992</v>
      </c>
    </row>
    <row r="1353" spans="1:2">
      <c r="A1353" s="225" t="s">
        <v>3496</v>
      </c>
      <c r="B1353" s="225" t="s">
        <v>3497</v>
      </c>
    </row>
    <row r="1354" spans="1:2">
      <c r="A1354" s="225" t="s">
        <v>3498</v>
      </c>
      <c r="B1354" s="225" t="s">
        <v>3499</v>
      </c>
    </row>
    <row r="1355" spans="1:2">
      <c r="A1355" s="225" t="s">
        <v>3500</v>
      </c>
      <c r="B1355" s="225" t="s">
        <v>3501</v>
      </c>
    </row>
    <row r="1356" spans="1:2">
      <c r="A1356" s="225" t="s">
        <v>3502</v>
      </c>
      <c r="B1356" s="225" t="s">
        <v>3503</v>
      </c>
    </row>
    <row r="1357" spans="1:2">
      <c r="A1357" s="225" t="s">
        <v>3504</v>
      </c>
      <c r="B1357" s="225" t="s">
        <v>3505</v>
      </c>
    </row>
    <row r="1358" spans="1:2">
      <c r="A1358" s="225" t="s">
        <v>3506</v>
      </c>
      <c r="B1358" s="225" t="s">
        <v>3507</v>
      </c>
    </row>
    <row r="1359" spans="1:2">
      <c r="A1359" s="225" t="s">
        <v>3508</v>
      </c>
      <c r="B1359" s="225" t="s">
        <v>3509</v>
      </c>
    </row>
    <row r="1360" spans="1:2">
      <c r="A1360" s="225" t="s">
        <v>3510</v>
      </c>
      <c r="B1360" s="225" t="s">
        <v>3511</v>
      </c>
    </row>
    <row r="1361" spans="1:2">
      <c r="A1361" s="225" t="s">
        <v>3512</v>
      </c>
      <c r="B1361" s="225" t="s">
        <v>3513</v>
      </c>
    </row>
    <row r="1362" spans="1:2">
      <c r="A1362" s="225" t="s">
        <v>3514</v>
      </c>
      <c r="B1362" s="225" t="s">
        <v>3515</v>
      </c>
    </row>
    <row r="1363" spans="1:2">
      <c r="A1363" s="225" t="s">
        <v>3516</v>
      </c>
      <c r="B1363" s="225" t="s">
        <v>3517</v>
      </c>
    </row>
    <row r="1364" spans="1:2">
      <c r="A1364" s="225" t="s">
        <v>3518</v>
      </c>
      <c r="B1364" s="225" t="s">
        <v>3519</v>
      </c>
    </row>
    <row r="1365" spans="1:2">
      <c r="A1365" s="225" t="s">
        <v>3520</v>
      </c>
      <c r="B1365" s="225" t="s">
        <v>3521</v>
      </c>
    </row>
    <row r="1366" spans="1:2">
      <c r="A1366" s="225" t="s">
        <v>3522</v>
      </c>
      <c r="B1366" s="225" t="s">
        <v>3523</v>
      </c>
    </row>
    <row r="1367" spans="1:2">
      <c r="A1367" s="225" t="s">
        <v>3524</v>
      </c>
      <c r="B1367" s="225" t="s">
        <v>3525</v>
      </c>
    </row>
    <row r="1368" spans="1:2">
      <c r="A1368" s="225" t="s">
        <v>3526</v>
      </c>
      <c r="B1368" s="225" t="s">
        <v>3527</v>
      </c>
    </row>
    <row r="1369" spans="1:2">
      <c r="A1369" s="225" t="s">
        <v>3528</v>
      </c>
      <c r="B1369" s="225" t="s">
        <v>3529</v>
      </c>
    </row>
    <row r="1370" spans="1:2">
      <c r="A1370" s="225" t="s">
        <v>3530</v>
      </c>
      <c r="B1370" s="225" t="s">
        <v>3531</v>
      </c>
    </row>
    <row r="1371" spans="1:2">
      <c r="A1371" s="225" t="s">
        <v>3532</v>
      </c>
      <c r="B1371" s="225" t="s">
        <v>3533</v>
      </c>
    </row>
    <row r="1372" spans="1:2">
      <c r="A1372" s="225" t="s">
        <v>3534</v>
      </c>
      <c r="B1372" s="225" t="s">
        <v>3535</v>
      </c>
    </row>
    <row r="1373" spans="1:2">
      <c r="A1373" s="225" t="s">
        <v>3536</v>
      </c>
      <c r="B1373" s="225" t="s">
        <v>3537</v>
      </c>
    </row>
    <row r="1374" spans="1:2">
      <c r="A1374" s="225" t="s">
        <v>3538</v>
      </c>
      <c r="B1374" s="225" t="s">
        <v>3539</v>
      </c>
    </row>
    <row r="1375" spans="1:2">
      <c r="A1375" s="225" t="s">
        <v>3540</v>
      </c>
      <c r="B1375" s="225" t="s">
        <v>3541</v>
      </c>
    </row>
    <row r="1376" spans="1:2">
      <c r="A1376" s="225" t="s">
        <v>3542</v>
      </c>
      <c r="B1376" s="225" t="s">
        <v>3543</v>
      </c>
    </row>
    <row r="1377" spans="1:2">
      <c r="A1377" s="225" t="s">
        <v>3544</v>
      </c>
      <c r="B1377" s="225" t="s">
        <v>3545</v>
      </c>
    </row>
    <row r="1378" spans="1:2">
      <c r="A1378" s="225" t="s">
        <v>3546</v>
      </c>
      <c r="B1378" s="225" t="s">
        <v>3547</v>
      </c>
    </row>
    <row r="1379" spans="1:2">
      <c r="A1379" s="225" t="s">
        <v>3548</v>
      </c>
      <c r="B1379" s="225" t="s">
        <v>3549</v>
      </c>
    </row>
    <row r="1380" spans="1:2">
      <c r="A1380" s="225" t="s">
        <v>3550</v>
      </c>
      <c r="B1380" s="225" t="s">
        <v>3551</v>
      </c>
    </row>
    <row r="1381" spans="1:2">
      <c r="A1381" s="225" t="s">
        <v>3552</v>
      </c>
      <c r="B1381" s="225" t="s">
        <v>3553</v>
      </c>
    </row>
    <row r="1382" spans="1:2">
      <c r="A1382" s="225" t="s">
        <v>3554</v>
      </c>
      <c r="B1382" s="225" t="s">
        <v>3555</v>
      </c>
    </row>
    <row r="1383" spans="1:2">
      <c r="A1383" s="225" t="s">
        <v>3556</v>
      </c>
      <c r="B1383" s="225" t="s">
        <v>3557</v>
      </c>
    </row>
    <row r="1384" spans="1:2">
      <c r="A1384" s="225" t="s">
        <v>3558</v>
      </c>
      <c r="B1384" s="225" t="s">
        <v>3559</v>
      </c>
    </row>
    <row r="1385" spans="1:2">
      <c r="A1385" s="225" t="s">
        <v>3560</v>
      </c>
      <c r="B1385" s="225" t="s">
        <v>3561</v>
      </c>
    </row>
    <row r="1386" spans="1:2">
      <c r="A1386" s="225" t="s">
        <v>3562</v>
      </c>
      <c r="B1386" s="225" t="s">
        <v>3563</v>
      </c>
    </row>
    <row r="1387" spans="1:2">
      <c r="A1387" s="225" t="s">
        <v>3564</v>
      </c>
      <c r="B1387" s="225" t="s">
        <v>3565</v>
      </c>
    </row>
    <row r="1388" spans="1:2">
      <c r="A1388" s="225" t="s">
        <v>3566</v>
      </c>
      <c r="B1388" s="225" t="s">
        <v>3567</v>
      </c>
    </row>
    <row r="1389" spans="1:2">
      <c r="A1389" s="225" t="s">
        <v>3568</v>
      </c>
      <c r="B1389" s="225" t="s">
        <v>3569</v>
      </c>
    </row>
    <row r="1390" spans="1:2">
      <c r="A1390" s="225" t="s">
        <v>3570</v>
      </c>
      <c r="B1390" s="225" t="s">
        <v>3571</v>
      </c>
    </row>
    <row r="1391" spans="1:2">
      <c r="A1391" s="225" t="s">
        <v>3572</v>
      </c>
      <c r="B1391" s="225" t="s">
        <v>3573</v>
      </c>
    </row>
    <row r="1392" spans="1:2">
      <c r="A1392" s="225" t="s">
        <v>3574</v>
      </c>
      <c r="B1392" s="225" t="s">
        <v>3575</v>
      </c>
    </row>
    <row r="1393" spans="1:2">
      <c r="A1393" s="225" t="s">
        <v>3576</v>
      </c>
      <c r="B1393" s="225" t="s">
        <v>3577</v>
      </c>
    </row>
    <row r="1394" spans="1:2">
      <c r="A1394" s="225" t="s">
        <v>3578</v>
      </c>
      <c r="B1394" s="225" t="s">
        <v>3579</v>
      </c>
    </row>
    <row r="1395" spans="1:2">
      <c r="A1395" s="225" t="s">
        <v>995</v>
      </c>
      <c r="B1395" s="225" t="s">
        <v>1906</v>
      </c>
    </row>
    <row r="1396" spans="1:2">
      <c r="A1396" s="225" t="s">
        <v>845</v>
      </c>
      <c r="B1396" s="225" t="s">
        <v>1903</v>
      </c>
    </row>
    <row r="1397" spans="1:2">
      <c r="A1397" s="225" t="s">
        <v>3580</v>
      </c>
      <c r="B1397" s="225" t="s">
        <v>3581</v>
      </c>
    </row>
    <row r="1398" spans="1:2">
      <c r="A1398" s="225" t="s">
        <v>3582</v>
      </c>
      <c r="B1398" s="225" t="s">
        <v>3583</v>
      </c>
    </row>
    <row r="1399" spans="1:2">
      <c r="A1399" s="225" t="s">
        <v>860</v>
      </c>
      <c r="B1399" s="225" t="s">
        <v>3584</v>
      </c>
    </row>
    <row r="1400" spans="1:2">
      <c r="A1400" s="225" t="s">
        <v>3585</v>
      </c>
      <c r="B1400" s="225" t="s">
        <v>3586</v>
      </c>
    </row>
    <row r="1401" spans="1:2">
      <c r="A1401" s="225" t="s">
        <v>854</v>
      </c>
      <c r="B1401" s="225" t="s">
        <v>3587</v>
      </c>
    </row>
    <row r="1402" spans="1:2">
      <c r="A1402" s="225" t="s">
        <v>3588</v>
      </c>
      <c r="B1402" s="225" t="s">
        <v>3589</v>
      </c>
    </row>
    <row r="1403" spans="1:2">
      <c r="A1403" s="225" t="s">
        <v>3590</v>
      </c>
      <c r="B1403" s="225" t="s">
        <v>3591</v>
      </c>
    </row>
    <row r="1404" spans="1:2">
      <c r="A1404" s="225" t="s">
        <v>3592</v>
      </c>
      <c r="B1404" s="225" t="s">
        <v>3593</v>
      </c>
    </row>
    <row r="1405" spans="1:2">
      <c r="A1405" s="225" t="s">
        <v>3594</v>
      </c>
      <c r="B1405" s="225" t="s">
        <v>3595</v>
      </c>
    </row>
    <row r="1406" spans="1:2">
      <c r="A1406" s="225" t="s">
        <v>3596</v>
      </c>
      <c r="B1406" s="225" t="s">
        <v>3597</v>
      </c>
    </row>
    <row r="1407" spans="1:2">
      <c r="A1407" s="225" t="s">
        <v>3598</v>
      </c>
      <c r="B1407" s="225" t="s">
        <v>3599</v>
      </c>
    </row>
    <row r="1408" spans="1:2">
      <c r="A1408" s="225" t="s">
        <v>3601</v>
      </c>
      <c r="B1408" s="225" t="s">
        <v>3602</v>
      </c>
    </row>
    <row r="1409" spans="1:2">
      <c r="A1409" s="225" t="s">
        <v>3605</v>
      </c>
      <c r="B1409" s="225" t="s">
        <v>3606</v>
      </c>
    </row>
    <row r="1410" spans="1:2">
      <c r="A1410" s="225" t="s">
        <v>3607</v>
      </c>
      <c r="B1410" s="225" t="s">
        <v>3608</v>
      </c>
    </row>
    <row r="1411" spans="1:2">
      <c r="A1411" s="225" t="s">
        <v>3609</v>
      </c>
      <c r="B1411" s="225" t="s">
        <v>3610</v>
      </c>
    </row>
    <row r="1412" spans="1:2">
      <c r="A1412" s="225" t="s">
        <v>3611</v>
      </c>
      <c r="B1412" s="225" t="s">
        <v>3612</v>
      </c>
    </row>
    <row r="1413" spans="1:2">
      <c r="A1413" s="225" t="s">
        <v>3613</v>
      </c>
      <c r="B1413" s="225" t="s">
        <v>3614</v>
      </c>
    </row>
    <row r="1414" spans="1:2">
      <c r="A1414" s="225" t="s">
        <v>3615</v>
      </c>
      <c r="B1414" s="225" t="s">
        <v>3616</v>
      </c>
    </row>
    <row r="1415" spans="1:2">
      <c r="A1415" s="225" t="s">
        <v>922</v>
      </c>
      <c r="B1415" s="225" t="s">
        <v>3617</v>
      </c>
    </row>
    <row r="1416" spans="1:2">
      <c r="A1416" s="225" t="s">
        <v>3622</v>
      </c>
      <c r="B1416" s="225" t="s">
        <v>3623</v>
      </c>
    </row>
    <row r="1417" spans="1:2">
      <c r="A1417" s="225" t="s">
        <v>1216</v>
      </c>
      <c r="B1417" s="225" t="s">
        <v>3624</v>
      </c>
    </row>
    <row r="1418" spans="1:2">
      <c r="A1418" s="225" t="s">
        <v>3625</v>
      </c>
      <c r="B1418" s="225" t="s">
        <v>3591</v>
      </c>
    </row>
    <row r="1419" spans="1:2">
      <c r="A1419" s="225" t="s">
        <v>3626</v>
      </c>
      <c r="B1419" s="225" t="s">
        <v>3627</v>
      </c>
    </row>
    <row r="1420" spans="1:2">
      <c r="A1420" s="225" t="s">
        <v>3628</v>
      </c>
      <c r="B1420" s="225" t="s">
        <v>3629</v>
      </c>
    </row>
    <row r="1421" spans="1:2">
      <c r="A1421" s="225" t="s">
        <v>3630</v>
      </c>
      <c r="B1421" s="225" t="s">
        <v>3631</v>
      </c>
    </row>
    <row r="1422" spans="1:2">
      <c r="A1422" s="225" t="s">
        <v>3632</v>
      </c>
      <c r="B1422" s="225" t="s">
        <v>3633</v>
      </c>
    </row>
    <row r="1423" spans="1:2">
      <c r="A1423" s="225" t="s">
        <v>3634</v>
      </c>
      <c r="B1423" s="225" t="s">
        <v>3635</v>
      </c>
    </row>
    <row r="1424" spans="1:2">
      <c r="A1424" s="225" t="s">
        <v>3636</v>
      </c>
      <c r="B1424" s="225" t="s">
        <v>3637</v>
      </c>
    </row>
    <row r="1425" spans="1:2">
      <c r="A1425" s="225" t="s">
        <v>3638</v>
      </c>
      <c r="B1425" s="225" t="s">
        <v>3639</v>
      </c>
    </row>
    <row r="1426" spans="1:2">
      <c r="A1426" s="225" t="s">
        <v>3640</v>
      </c>
      <c r="B1426" s="225" t="s">
        <v>3641</v>
      </c>
    </row>
    <row r="1427" spans="1:2">
      <c r="A1427" s="225" t="s">
        <v>3642</v>
      </c>
      <c r="B1427" s="225" t="s">
        <v>3593</v>
      </c>
    </row>
    <row r="1428" spans="1:2">
      <c r="A1428" s="225" t="s">
        <v>3643</v>
      </c>
      <c r="B1428" s="225" t="s">
        <v>3644</v>
      </c>
    </row>
    <row r="1429" spans="1:2">
      <c r="A1429" s="225" t="s">
        <v>3649</v>
      </c>
      <c r="B1429" s="225" t="s">
        <v>3650</v>
      </c>
    </row>
    <row r="1430" spans="1:2">
      <c r="A1430" s="225" t="s">
        <v>3651</v>
      </c>
      <c r="B1430" s="225" t="s">
        <v>3652</v>
      </c>
    </row>
    <row r="1431" spans="1:2">
      <c r="A1431" s="225" t="s">
        <v>3653</v>
      </c>
      <c r="B1431" s="225" t="s">
        <v>3654</v>
      </c>
    </row>
    <row r="1432" spans="1:2">
      <c r="A1432" s="225" t="s">
        <v>3655</v>
      </c>
      <c r="B1432" s="225" t="s">
        <v>3656</v>
      </c>
    </row>
    <row r="1433" spans="1:2">
      <c r="A1433" s="225" t="s">
        <v>1117</v>
      </c>
      <c r="B1433" s="225" t="s">
        <v>3657</v>
      </c>
    </row>
    <row r="1434" spans="1:2">
      <c r="A1434" s="225" t="s">
        <v>3658</v>
      </c>
      <c r="B1434" s="225" t="s">
        <v>3659</v>
      </c>
    </row>
    <row r="1435" spans="1:2">
      <c r="A1435" s="225" t="s">
        <v>3660</v>
      </c>
      <c r="B1435" s="225" t="s">
        <v>3661</v>
      </c>
    </row>
    <row r="1436" spans="1:2">
      <c r="A1436" s="225" t="s">
        <v>763</v>
      </c>
      <c r="B1436" s="225" t="s">
        <v>2671</v>
      </c>
    </row>
    <row r="1437" spans="1:2">
      <c r="A1437" s="225" t="s">
        <v>3662</v>
      </c>
      <c r="B1437" s="225" t="s">
        <v>3663</v>
      </c>
    </row>
    <row r="1438" spans="1:2">
      <c r="A1438" s="225" t="s">
        <v>3664</v>
      </c>
      <c r="B1438" s="225" t="s">
        <v>3665</v>
      </c>
    </row>
    <row r="1439" spans="1:2">
      <c r="A1439" s="225" t="s">
        <v>3666</v>
      </c>
      <c r="B1439" s="225" t="s">
        <v>3667</v>
      </c>
    </row>
    <row r="1440" spans="1:2">
      <c r="A1440" s="225" t="s">
        <v>3668</v>
      </c>
      <c r="B1440" s="225" t="s">
        <v>3669</v>
      </c>
    </row>
    <row r="1441" spans="1:2">
      <c r="A1441" s="225" t="s">
        <v>780</v>
      </c>
      <c r="B1441" s="225" t="s">
        <v>3670</v>
      </c>
    </row>
    <row r="1442" spans="1:2">
      <c r="A1442" s="225" t="s">
        <v>3984</v>
      </c>
      <c r="B1442" s="225" t="s">
        <v>3985</v>
      </c>
    </row>
    <row r="1443" spans="1:2">
      <c r="A1443" s="225" t="s">
        <v>762</v>
      </c>
      <c r="B1443" s="225" t="s">
        <v>4065</v>
      </c>
    </row>
    <row r="1444" spans="1:2">
      <c r="A1444" s="225" t="s">
        <v>747</v>
      </c>
      <c r="B1444" s="225" t="s">
        <v>4083</v>
      </c>
    </row>
    <row r="1445" spans="1:2">
      <c r="A1445" s="225" t="s">
        <v>1056</v>
      </c>
      <c r="B1445" s="225" t="s">
        <v>4088</v>
      </c>
    </row>
    <row r="1446" spans="1:2">
      <c r="A1446" s="225" t="s">
        <v>1171</v>
      </c>
      <c r="B1446" s="225" t="s">
        <v>4089</v>
      </c>
    </row>
    <row r="1447" spans="1:2">
      <c r="A1447" s="225" t="s">
        <v>4090</v>
      </c>
      <c r="B1447" s="225" t="s">
        <v>4091</v>
      </c>
    </row>
    <row r="1448" spans="1:2">
      <c r="A1448" s="225" t="s">
        <v>776</v>
      </c>
      <c r="B1448" s="225" t="s">
        <v>4173</v>
      </c>
    </row>
    <row r="1449" spans="1:2">
      <c r="A1449" s="225" t="s">
        <v>4175</v>
      </c>
      <c r="B1449" s="225" t="s">
        <v>4176</v>
      </c>
    </row>
    <row r="1450" spans="1:2">
      <c r="A1450" s="225" t="s">
        <v>869</v>
      </c>
      <c r="B1450" s="225" t="s">
        <v>4177</v>
      </c>
    </row>
    <row r="1451" spans="1:2">
      <c r="A1451" s="225" t="s">
        <v>4178</v>
      </c>
      <c r="B1451" s="225" t="s">
        <v>4179</v>
      </c>
    </row>
    <row r="1452" spans="1:2">
      <c r="A1452" s="225" t="s">
        <v>4180</v>
      </c>
      <c r="B1452" s="225" t="s">
        <v>2209</v>
      </c>
    </row>
    <row r="1453" spans="1:2">
      <c r="A1453" s="225" t="s">
        <v>4181</v>
      </c>
      <c r="B1453" s="225" t="s">
        <v>4182</v>
      </c>
    </row>
    <row r="1454" spans="1:2">
      <c r="A1454" s="225" t="s">
        <v>4183</v>
      </c>
      <c r="B1454" s="225" t="s">
        <v>2243</v>
      </c>
    </row>
    <row r="1455" spans="1:2">
      <c r="A1455" s="225" t="s">
        <v>4184</v>
      </c>
      <c r="B1455" s="225" t="s">
        <v>4185</v>
      </c>
    </row>
    <row r="1456" spans="1:2">
      <c r="A1456" s="225" t="s">
        <v>4186</v>
      </c>
      <c r="B1456" s="225" t="s">
        <v>4187</v>
      </c>
    </row>
    <row r="1457" spans="1:2">
      <c r="A1457" s="225" t="s">
        <v>4188</v>
      </c>
      <c r="B1457" s="225" t="s">
        <v>4189</v>
      </c>
    </row>
    <row r="1458" spans="1:2">
      <c r="A1458" s="225" t="s">
        <v>4190</v>
      </c>
      <c r="B1458" s="225" t="s">
        <v>4191</v>
      </c>
    </row>
    <row r="1459" spans="1:2">
      <c r="A1459" s="225" t="s">
        <v>4192</v>
      </c>
      <c r="B1459" s="225" t="s">
        <v>4193</v>
      </c>
    </row>
    <row r="1460" spans="1:2">
      <c r="A1460" s="225" t="s">
        <v>4194</v>
      </c>
      <c r="B1460" s="225" t="s">
        <v>4195</v>
      </c>
    </row>
    <row r="1461" spans="1:2">
      <c r="A1461" s="225" t="s">
        <v>4197</v>
      </c>
      <c r="B1461" s="225" t="s">
        <v>4198</v>
      </c>
    </row>
    <row r="1462" spans="1:2">
      <c r="A1462" s="225" t="s">
        <v>4199</v>
      </c>
      <c r="B1462" s="225" t="s">
        <v>4200</v>
      </c>
    </row>
    <row r="1463" spans="1:2">
      <c r="A1463" s="225" t="s">
        <v>4201</v>
      </c>
      <c r="B1463" s="225" t="s">
        <v>4202</v>
      </c>
    </row>
    <row r="1464" spans="1:2">
      <c r="A1464" s="225" t="s">
        <v>4203</v>
      </c>
      <c r="B1464" s="225" t="s">
        <v>4204</v>
      </c>
    </row>
    <row r="1465" spans="1:2">
      <c r="A1465" s="225" t="s">
        <v>4205</v>
      </c>
      <c r="B1465" s="225" t="s">
        <v>4206</v>
      </c>
    </row>
    <row r="1466" spans="1:2">
      <c r="A1466" s="225" t="s">
        <v>4207</v>
      </c>
      <c r="B1466" s="225" t="s">
        <v>2283</v>
      </c>
    </row>
    <row r="1467" spans="1:2">
      <c r="A1467" s="225" t="s">
        <v>4208</v>
      </c>
      <c r="B1467" s="225" t="s">
        <v>2322</v>
      </c>
    </row>
    <row r="1468" spans="1:2">
      <c r="A1468" s="225" t="s">
        <v>4209</v>
      </c>
      <c r="B1468" s="225" t="s">
        <v>4210</v>
      </c>
    </row>
    <row r="1469" spans="1:2">
      <c r="A1469" s="225" t="s">
        <v>4211</v>
      </c>
      <c r="B1469" s="225" t="s">
        <v>4212</v>
      </c>
    </row>
    <row r="1470" spans="1:2">
      <c r="A1470" s="225" t="s">
        <v>4213</v>
      </c>
      <c r="B1470" s="225" t="s">
        <v>3027</v>
      </c>
    </row>
    <row r="1471" spans="1:2">
      <c r="A1471" s="225" t="s">
        <v>4214</v>
      </c>
      <c r="B1471" s="225" t="s">
        <v>3062</v>
      </c>
    </row>
    <row r="1472" spans="1:2">
      <c r="A1472" s="225" t="s">
        <v>4215</v>
      </c>
      <c r="B1472" s="225" t="s">
        <v>4216</v>
      </c>
    </row>
    <row r="1473" spans="1:2">
      <c r="A1473" s="225" t="s">
        <v>4217</v>
      </c>
      <c r="B1473" s="225" t="s">
        <v>4218</v>
      </c>
    </row>
    <row r="1474" spans="1:2">
      <c r="A1474" s="225" t="s">
        <v>4219</v>
      </c>
      <c r="B1474" s="225" t="s">
        <v>3078</v>
      </c>
    </row>
    <row r="1475" spans="1:2">
      <c r="A1475" s="225" t="s">
        <v>4220</v>
      </c>
      <c r="B1475" s="225" t="s">
        <v>3094</v>
      </c>
    </row>
    <row r="1476" spans="1:2">
      <c r="A1476" s="225" t="s">
        <v>4221</v>
      </c>
      <c r="B1476" s="225" t="s">
        <v>4222</v>
      </c>
    </row>
    <row r="1477" spans="1:2">
      <c r="A1477" s="225" t="s">
        <v>4223</v>
      </c>
      <c r="B1477" s="225" t="s">
        <v>4224</v>
      </c>
    </row>
    <row r="1478" spans="1:2">
      <c r="A1478" s="225" t="s">
        <v>4225</v>
      </c>
      <c r="B1478" s="225" t="s">
        <v>4226</v>
      </c>
    </row>
    <row r="1479" spans="1:2">
      <c r="A1479" s="225" t="s">
        <v>4227</v>
      </c>
      <c r="B1479" s="225" t="s">
        <v>4228</v>
      </c>
    </row>
    <row r="1480" spans="1:2">
      <c r="A1480" s="225" t="s">
        <v>4229</v>
      </c>
      <c r="B1480" s="225" t="s">
        <v>4230</v>
      </c>
    </row>
    <row r="1481" spans="1:2">
      <c r="A1481" s="225" t="s">
        <v>4231</v>
      </c>
      <c r="B1481" s="225" t="s">
        <v>4232</v>
      </c>
    </row>
    <row r="1482" spans="1:2">
      <c r="A1482" s="225" t="s">
        <v>4233</v>
      </c>
      <c r="B1482" s="225" t="s">
        <v>2338</v>
      </c>
    </row>
    <row r="1483" spans="1:2">
      <c r="A1483" s="225" t="s">
        <v>4234</v>
      </c>
      <c r="B1483" s="225" t="s">
        <v>2340</v>
      </c>
    </row>
    <row r="1484" spans="1:2">
      <c r="A1484" s="225" t="s">
        <v>4235</v>
      </c>
      <c r="B1484" s="225" t="s">
        <v>2362</v>
      </c>
    </row>
    <row r="1485" spans="1:2">
      <c r="A1485" s="225" t="s">
        <v>4236</v>
      </c>
      <c r="B1485" s="225" t="s">
        <v>4237</v>
      </c>
    </row>
    <row r="1486" spans="1:2">
      <c r="A1486" s="225" t="s">
        <v>4238</v>
      </c>
      <c r="B1486" s="225" t="s">
        <v>4239</v>
      </c>
    </row>
    <row r="1487" spans="1:2">
      <c r="A1487" s="225" t="s">
        <v>4240</v>
      </c>
      <c r="B1487" s="225" t="s">
        <v>4241</v>
      </c>
    </row>
    <row r="1488" spans="1:2">
      <c r="A1488" s="225" t="s">
        <v>4242</v>
      </c>
      <c r="B1488" s="225" t="s">
        <v>4243</v>
      </c>
    </row>
    <row r="1489" spans="1:2">
      <c r="A1489" s="225" t="s">
        <v>4244</v>
      </c>
      <c r="B1489" s="225" t="s">
        <v>4245</v>
      </c>
    </row>
    <row r="1490" spans="1:2">
      <c r="A1490" s="225" t="s">
        <v>4246</v>
      </c>
      <c r="B1490" s="225" t="s">
        <v>4247</v>
      </c>
    </row>
    <row r="1491" spans="1:2">
      <c r="A1491" s="225" t="s">
        <v>4248</v>
      </c>
      <c r="B1491" s="225" t="s">
        <v>4249</v>
      </c>
    </row>
    <row r="1492" spans="1:2">
      <c r="A1492" s="225" t="s">
        <v>4250</v>
      </c>
      <c r="B1492" s="225" t="s">
        <v>4251</v>
      </c>
    </row>
    <row r="1493" spans="1:2">
      <c r="A1493" s="225" t="s">
        <v>4252</v>
      </c>
      <c r="B1493" s="225" t="s">
        <v>4253</v>
      </c>
    </row>
    <row r="1494" spans="1:2">
      <c r="A1494" s="225" t="s">
        <v>4254</v>
      </c>
      <c r="B1494" s="225" t="s">
        <v>4255</v>
      </c>
    </row>
    <row r="1495" spans="1:2">
      <c r="A1495" s="225" t="s">
        <v>4256</v>
      </c>
      <c r="B1495" s="225" t="s">
        <v>4257</v>
      </c>
    </row>
    <row r="1496" spans="1:2">
      <c r="A1496" s="225" t="s">
        <v>4258</v>
      </c>
      <c r="B1496" s="225" t="s">
        <v>4259</v>
      </c>
    </row>
    <row r="1497" spans="1:2">
      <c r="A1497" s="225" t="s">
        <v>4260</v>
      </c>
      <c r="B1497" s="225" t="s">
        <v>4261</v>
      </c>
    </row>
    <row r="1498" spans="1:2">
      <c r="A1498" s="225" t="s">
        <v>4262</v>
      </c>
      <c r="B1498" s="225" t="s">
        <v>4263</v>
      </c>
    </row>
    <row r="1499" spans="1:2">
      <c r="A1499" s="225" t="s">
        <v>4264</v>
      </c>
      <c r="B1499" s="225" t="s">
        <v>4265</v>
      </c>
    </row>
    <row r="1500" spans="1:2">
      <c r="A1500" s="225" t="s">
        <v>4266</v>
      </c>
      <c r="B1500" s="225" t="s">
        <v>4267</v>
      </c>
    </row>
    <row r="1501" spans="1:2">
      <c r="A1501" s="225" t="s">
        <v>4268</v>
      </c>
      <c r="B1501" s="225" t="s">
        <v>4269</v>
      </c>
    </row>
    <row r="1502" spans="1:2">
      <c r="A1502" s="225" t="s">
        <v>4270</v>
      </c>
      <c r="B1502" s="225" t="s">
        <v>4271</v>
      </c>
    </row>
    <row r="1503" spans="1:2">
      <c r="A1503" s="225" t="s">
        <v>4272</v>
      </c>
      <c r="B1503" s="225" t="s">
        <v>4273</v>
      </c>
    </row>
    <row r="1504" spans="1:2">
      <c r="A1504" s="225" t="s">
        <v>4274</v>
      </c>
      <c r="B1504" s="225" t="s">
        <v>4275</v>
      </c>
    </row>
    <row r="1505" spans="1:2">
      <c r="A1505" s="225" t="s">
        <v>4276</v>
      </c>
      <c r="B1505" s="225" t="s">
        <v>4277</v>
      </c>
    </row>
    <row r="1506" spans="1:2">
      <c r="A1506" s="225" t="s">
        <v>4278</v>
      </c>
      <c r="B1506" s="225" t="s">
        <v>4279</v>
      </c>
    </row>
    <row r="1507" spans="1:2">
      <c r="A1507" s="225" t="s">
        <v>4280</v>
      </c>
      <c r="B1507" s="225" t="s">
        <v>4281</v>
      </c>
    </row>
    <row r="1508" spans="1:2">
      <c r="A1508" s="225" t="s">
        <v>4282</v>
      </c>
      <c r="B1508" s="225" t="s">
        <v>4283</v>
      </c>
    </row>
    <row r="1509" spans="1:2">
      <c r="A1509" s="225" t="s">
        <v>4284</v>
      </c>
      <c r="B1509" s="225" t="s">
        <v>4285</v>
      </c>
    </row>
    <row r="1510" spans="1:2">
      <c r="A1510" s="225" t="s">
        <v>4286</v>
      </c>
      <c r="B1510" s="225" t="s">
        <v>4287</v>
      </c>
    </row>
    <row r="1511" spans="1:2">
      <c r="A1511" s="225" t="s">
        <v>4288</v>
      </c>
      <c r="B1511" s="225" t="s">
        <v>4289</v>
      </c>
    </row>
    <row r="1512" spans="1:2">
      <c r="A1512" s="225" t="s">
        <v>4290</v>
      </c>
      <c r="B1512" s="225" t="s">
        <v>4291</v>
      </c>
    </row>
    <row r="1513" spans="1:2">
      <c r="A1513" s="225" t="s">
        <v>4292</v>
      </c>
      <c r="B1513" s="225" t="s">
        <v>4293</v>
      </c>
    </row>
    <row r="1514" spans="1:2">
      <c r="A1514" s="225" t="s">
        <v>4294</v>
      </c>
      <c r="B1514" s="225" t="s">
        <v>4295</v>
      </c>
    </row>
    <row r="1515" spans="1:2">
      <c r="A1515" s="225" t="s">
        <v>4296</v>
      </c>
      <c r="B1515" s="225" t="s">
        <v>4297</v>
      </c>
    </row>
    <row r="1516" spans="1:2">
      <c r="A1516" s="225" t="s">
        <v>4298</v>
      </c>
      <c r="B1516" s="225" t="s">
        <v>4299</v>
      </c>
    </row>
    <row r="1517" spans="1:2">
      <c r="A1517" s="225" t="s">
        <v>4300</v>
      </c>
      <c r="B1517" s="225" t="s">
        <v>4301</v>
      </c>
    </row>
    <row r="1518" spans="1:2">
      <c r="A1518" s="225" t="s">
        <v>4302</v>
      </c>
      <c r="B1518" s="225" t="s">
        <v>4303</v>
      </c>
    </row>
    <row r="1519" spans="1:2">
      <c r="A1519" s="225" t="s">
        <v>4304</v>
      </c>
      <c r="B1519" s="225" t="s">
        <v>4305</v>
      </c>
    </row>
    <row r="1520" spans="1:2">
      <c r="A1520" s="225" t="s">
        <v>4306</v>
      </c>
      <c r="B1520" s="225" t="s">
        <v>4307</v>
      </c>
    </row>
    <row r="1521" spans="1:2">
      <c r="A1521" s="225" t="s">
        <v>4308</v>
      </c>
      <c r="B1521" s="225" t="s">
        <v>4309</v>
      </c>
    </row>
    <row r="1522" spans="1:2">
      <c r="A1522" s="225" t="s">
        <v>4310</v>
      </c>
      <c r="B1522" s="225" t="s">
        <v>4311</v>
      </c>
    </row>
    <row r="1523" spans="1:2">
      <c r="A1523" s="225" t="s">
        <v>4312</v>
      </c>
      <c r="B1523" s="225" t="s">
        <v>4313</v>
      </c>
    </row>
    <row r="1524" spans="1:2">
      <c r="A1524" s="225" t="s">
        <v>4314</v>
      </c>
      <c r="B1524" s="225" t="s">
        <v>4315</v>
      </c>
    </row>
    <row r="1525" spans="1:2">
      <c r="A1525" s="225" t="s">
        <v>4316</v>
      </c>
      <c r="B1525" s="225" t="s">
        <v>4317</v>
      </c>
    </row>
    <row r="1526" spans="1:2">
      <c r="A1526" s="225" t="s">
        <v>4318</v>
      </c>
      <c r="B1526" s="225" t="s">
        <v>2398</v>
      </c>
    </row>
    <row r="1527" spans="1:2">
      <c r="A1527" s="225" t="s">
        <v>4319</v>
      </c>
      <c r="B1527" s="225" t="s">
        <v>4320</v>
      </c>
    </row>
    <row r="1528" spans="1:2">
      <c r="A1528" s="225" t="s">
        <v>4321</v>
      </c>
      <c r="B1528" s="225" t="s">
        <v>4322</v>
      </c>
    </row>
    <row r="1529" spans="1:2">
      <c r="A1529" s="225" t="s">
        <v>4323</v>
      </c>
      <c r="B1529" s="225" t="s">
        <v>4324</v>
      </c>
    </row>
    <row r="1530" spans="1:2">
      <c r="A1530" s="225" t="s">
        <v>4325</v>
      </c>
      <c r="B1530" s="225" t="s">
        <v>4326</v>
      </c>
    </row>
    <row r="1531" spans="1:2">
      <c r="A1531" s="225" t="s">
        <v>4327</v>
      </c>
      <c r="B1531" s="225" t="s">
        <v>4328</v>
      </c>
    </row>
    <row r="1532" spans="1:2">
      <c r="A1532" s="225" t="s">
        <v>4329</v>
      </c>
      <c r="B1532" s="225" t="s">
        <v>4330</v>
      </c>
    </row>
    <row r="1533" spans="1:2">
      <c r="A1533" s="225" t="s">
        <v>4331</v>
      </c>
      <c r="B1533" s="225" t="s">
        <v>4332</v>
      </c>
    </row>
    <row r="1534" spans="1:2">
      <c r="A1534" s="225" t="s">
        <v>4333</v>
      </c>
      <c r="B1534" s="225" t="s">
        <v>4334</v>
      </c>
    </row>
    <row r="1535" spans="1:2">
      <c r="A1535" s="225" t="s">
        <v>4335</v>
      </c>
      <c r="B1535" s="225" t="s">
        <v>4336</v>
      </c>
    </row>
    <row r="1536" spans="1:2">
      <c r="A1536" s="225" t="s">
        <v>4337</v>
      </c>
      <c r="B1536" s="225" t="s">
        <v>4338</v>
      </c>
    </row>
    <row r="1537" spans="1:2">
      <c r="A1537" s="225" t="s">
        <v>4339</v>
      </c>
      <c r="B1537" s="225" t="s">
        <v>4340</v>
      </c>
    </row>
    <row r="1538" spans="1:2">
      <c r="A1538" s="225" t="s">
        <v>4341</v>
      </c>
      <c r="B1538" s="225" t="s">
        <v>4342</v>
      </c>
    </row>
    <row r="1539" spans="1:2">
      <c r="A1539" s="225" t="s">
        <v>4343</v>
      </c>
      <c r="B1539" s="225" t="s">
        <v>4344</v>
      </c>
    </row>
    <row r="1540" spans="1:2">
      <c r="A1540" s="225" t="s">
        <v>4345</v>
      </c>
      <c r="B1540" s="225" t="s">
        <v>4346</v>
      </c>
    </row>
    <row r="1541" spans="1:2">
      <c r="A1541" s="225" t="s">
        <v>4347</v>
      </c>
      <c r="B1541" s="225" t="s">
        <v>4348</v>
      </c>
    </row>
    <row r="1542" spans="1:2">
      <c r="A1542" s="225" t="s">
        <v>4349</v>
      </c>
      <c r="B1542" s="225" t="s">
        <v>4350</v>
      </c>
    </row>
    <row r="1543" spans="1:2">
      <c r="A1543" s="225" t="s">
        <v>4351</v>
      </c>
      <c r="B1543" s="225" t="s">
        <v>4352</v>
      </c>
    </row>
    <row r="1544" spans="1:2">
      <c r="A1544" s="225" t="s">
        <v>4353</v>
      </c>
      <c r="B1544" s="225" t="s">
        <v>4354</v>
      </c>
    </row>
    <row r="1545" spans="1:2">
      <c r="A1545" s="225" t="s">
        <v>4355</v>
      </c>
      <c r="B1545" s="225" t="s">
        <v>4356</v>
      </c>
    </row>
    <row r="1546" spans="1:2">
      <c r="A1546" s="225" t="s">
        <v>4357</v>
      </c>
      <c r="B1546" s="225" t="s">
        <v>4358</v>
      </c>
    </row>
    <row r="1547" spans="1:2">
      <c r="A1547" s="225" t="s">
        <v>4359</v>
      </c>
      <c r="B1547" s="225" t="s">
        <v>4360</v>
      </c>
    </row>
    <row r="1548" spans="1:2">
      <c r="A1548" s="225" t="s">
        <v>4361</v>
      </c>
      <c r="B1548" s="225" t="s">
        <v>4362</v>
      </c>
    </row>
    <row r="1549" spans="1:2">
      <c r="A1549" s="225" t="s">
        <v>4363</v>
      </c>
      <c r="B1549" s="225" t="s">
        <v>4364</v>
      </c>
    </row>
    <row r="1550" spans="1:2">
      <c r="A1550" s="225" t="s">
        <v>4365</v>
      </c>
      <c r="B1550" s="225" t="s">
        <v>4366</v>
      </c>
    </row>
    <row r="1551" spans="1:2">
      <c r="A1551" s="225" t="s">
        <v>4367</v>
      </c>
      <c r="B1551" s="225" t="s">
        <v>4368</v>
      </c>
    </row>
    <row r="1552" spans="1:2">
      <c r="A1552" s="225" t="s">
        <v>4369</v>
      </c>
      <c r="B1552" s="225" t="s">
        <v>4370</v>
      </c>
    </row>
    <row r="1553" spans="1:2">
      <c r="A1553" s="225" t="s">
        <v>4371</v>
      </c>
      <c r="B1553" s="225" t="s">
        <v>4372</v>
      </c>
    </row>
    <row r="1554" spans="1:2">
      <c r="A1554" s="225" t="s">
        <v>4373</v>
      </c>
      <c r="B1554" s="225" t="s">
        <v>4374</v>
      </c>
    </row>
    <row r="1555" spans="1:2">
      <c r="A1555" s="225" t="s">
        <v>4375</v>
      </c>
      <c r="B1555" s="225" t="s">
        <v>4376</v>
      </c>
    </row>
    <row r="1556" spans="1:2">
      <c r="A1556" s="225" t="s">
        <v>4377</v>
      </c>
      <c r="B1556" s="225" t="s">
        <v>4378</v>
      </c>
    </row>
    <row r="1557" spans="1:2">
      <c r="A1557" s="225" t="s">
        <v>4379</v>
      </c>
      <c r="B1557" s="225" t="s">
        <v>4380</v>
      </c>
    </row>
    <row r="1558" spans="1:2">
      <c r="A1558" s="225" t="s">
        <v>4381</v>
      </c>
      <c r="B1558" s="225" t="s">
        <v>4382</v>
      </c>
    </row>
    <row r="1559" spans="1:2">
      <c r="A1559" s="225" t="s">
        <v>4383</v>
      </c>
      <c r="B1559" s="225" t="s">
        <v>4384</v>
      </c>
    </row>
    <row r="1560" spans="1:2">
      <c r="A1560" s="225" t="s">
        <v>4385</v>
      </c>
      <c r="B1560" s="225" t="s">
        <v>2441</v>
      </c>
    </row>
    <row r="1561" spans="1:2">
      <c r="A1561" s="225" t="s">
        <v>4386</v>
      </c>
      <c r="B1561" s="225" t="s">
        <v>4387</v>
      </c>
    </row>
    <row r="1562" spans="1:2">
      <c r="A1562" s="225" t="s">
        <v>4388</v>
      </c>
      <c r="B1562" s="225" t="s">
        <v>4389</v>
      </c>
    </row>
    <row r="1563" spans="1:2">
      <c r="A1563" s="225" t="s">
        <v>4390</v>
      </c>
      <c r="B1563" s="225" t="s">
        <v>4391</v>
      </c>
    </row>
    <row r="1564" spans="1:2">
      <c r="A1564" s="225" t="s">
        <v>4392</v>
      </c>
      <c r="B1564" s="225" t="s">
        <v>4393</v>
      </c>
    </row>
    <row r="1565" spans="1:2">
      <c r="A1565" s="225" t="s">
        <v>4394</v>
      </c>
      <c r="B1565" s="225" t="s">
        <v>4395</v>
      </c>
    </row>
    <row r="1566" spans="1:2">
      <c r="A1566" s="225" t="s">
        <v>4396</v>
      </c>
      <c r="B1566" s="225" t="s">
        <v>4397</v>
      </c>
    </row>
    <row r="1567" spans="1:2">
      <c r="A1567" s="225" t="s">
        <v>4398</v>
      </c>
      <c r="B1567" s="225" t="s">
        <v>4399</v>
      </c>
    </row>
    <row r="1568" spans="1:2">
      <c r="A1568" s="225" t="s">
        <v>4400</v>
      </c>
      <c r="B1568" s="225" t="s">
        <v>4401</v>
      </c>
    </row>
    <row r="1569" spans="1:2">
      <c r="A1569" s="225" t="s">
        <v>4402</v>
      </c>
      <c r="B1569" s="225" t="s">
        <v>4403</v>
      </c>
    </row>
    <row r="1570" spans="1:2">
      <c r="A1570" s="225" t="s">
        <v>4404</v>
      </c>
      <c r="B1570" s="225" t="s">
        <v>4405</v>
      </c>
    </row>
    <row r="1571" spans="1:2">
      <c r="A1571" s="225" t="s">
        <v>4406</v>
      </c>
      <c r="B1571" s="225" t="s">
        <v>4407</v>
      </c>
    </row>
    <row r="1572" spans="1:2">
      <c r="A1572" s="225" t="s">
        <v>4408</v>
      </c>
      <c r="B1572" s="225" t="s">
        <v>4409</v>
      </c>
    </row>
    <row r="1573" spans="1:2">
      <c r="A1573" s="225" t="s">
        <v>4410</v>
      </c>
      <c r="B1573" s="225" t="s">
        <v>4411</v>
      </c>
    </row>
    <row r="1574" spans="1:2">
      <c r="A1574" s="225" t="s">
        <v>4412</v>
      </c>
      <c r="B1574" s="225" t="s">
        <v>4413</v>
      </c>
    </row>
    <row r="1575" spans="1:2">
      <c r="A1575" s="225" t="s">
        <v>4414</v>
      </c>
      <c r="B1575" s="225" t="s">
        <v>4415</v>
      </c>
    </row>
    <row r="1576" spans="1:2">
      <c r="A1576" s="225" t="s">
        <v>4416</v>
      </c>
      <c r="B1576" s="225" t="s">
        <v>4417</v>
      </c>
    </row>
    <row r="1577" spans="1:2">
      <c r="A1577" s="225" t="s">
        <v>4418</v>
      </c>
      <c r="B1577" s="225" t="s">
        <v>4419</v>
      </c>
    </row>
    <row r="1578" spans="1:2">
      <c r="A1578" s="225" t="s">
        <v>4420</v>
      </c>
      <c r="B1578" s="225" t="s">
        <v>4421</v>
      </c>
    </row>
    <row r="1579" spans="1:2">
      <c r="A1579" s="225" t="s">
        <v>4422</v>
      </c>
      <c r="B1579" s="225" t="s">
        <v>2560</v>
      </c>
    </row>
    <row r="1580" spans="1:2">
      <c r="A1580" s="225" t="s">
        <v>4423</v>
      </c>
      <c r="B1580" s="225" t="s">
        <v>2562</v>
      </c>
    </row>
    <row r="1581" spans="1:2">
      <c r="A1581" s="225" t="s">
        <v>4425</v>
      </c>
      <c r="B1581" s="225" t="s">
        <v>4426</v>
      </c>
    </row>
    <row r="1582" spans="1:2">
      <c r="A1582" s="225" t="s">
        <v>4429</v>
      </c>
      <c r="B1582" s="225" t="s">
        <v>4430</v>
      </c>
    </row>
    <row r="1583" spans="1:2">
      <c r="A1583" s="225" t="s">
        <v>1447</v>
      </c>
      <c r="B1583" s="225" t="s">
        <v>4431</v>
      </c>
    </row>
    <row r="1584" spans="1:2">
      <c r="A1584" s="225" t="s">
        <v>4432</v>
      </c>
      <c r="B1584" s="225" t="s">
        <v>4433</v>
      </c>
    </row>
    <row r="1585" spans="1:2">
      <c r="A1585" s="225" t="s">
        <v>4434</v>
      </c>
      <c r="B1585" s="225" t="s">
        <v>4435</v>
      </c>
    </row>
    <row r="1586" spans="1:2">
      <c r="A1586" s="225" t="s">
        <v>4436</v>
      </c>
      <c r="B1586" s="225" t="s">
        <v>4437</v>
      </c>
    </row>
    <row r="1587" spans="1:2">
      <c r="A1587" s="225" t="s">
        <v>4440</v>
      </c>
      <c r="B1587" s="225" t="s">
        <v>4441</v>
      </c>
    </row>
    <row r="1588" spans="1:2">
      <c r="A1588" s="225" t="s">
        <v>4442</v>
      </c>
      <c r="B1588" s="225" t="s">
        <v>4443</v>
      </c>
    </row>
    <row r="1589" spans="1:2">
      <c r="A1589" s="225" t="s">
        <v>4444</v>
      </c>
      <c r="B1589" s="225" t="s">
        <v>4445</v>
      </c>
    </row>
    <row r="1590" spans="1:2">
      <c r="A1590" s="225" t="s">
        <v>4446</v>
      </c>
      <c r="B1590" s="225" t="s">
        <v>4447</v>
      </c>
    </row>
    <row r="1591" spans="1:2">
      <c r="A1591" s="225" t="s">
        <v>4448</v>
      </c>
      <c r="B1591" s="225" t="s">
        <v>4449</v>
      </c>
    </row>
    <row r="1592" spans="1:2">
      <c r="A1592" s="225" t="s">
        <v>4450</v>
      </c>
      <c r="B1592" s="225" t="s">
        <v>4451</v>
      </c>
    </row>
    <row r="1593" spans="1:2">
      <c r="A1593" s="225" t="s">
        <v>4453</v>
      </c>
      <c r="B1593" s="225" t="s">
        <v>4454</v>
      </c>
    </row>
    <row r="1594" spans="1:2">
      <c r="A1594" s="225" t="s">
        <v>4455</v>
      </c>
      <c r="B1594" s="225" t="s">
        <v>4456</v>
      </c>
    </row>
    <row r="1595" spans="1:2">
      <c r="A1595" s="225" t="s">
        <v>4457</v>
      </c>
      <c r="B1595" s="225" t="s">
        <v>4458</v>
      </c>
    </row>
    <row r="1596" spans="1:2">
      <c r="A1596" s="225" t="s">
        <v>4459</v>
      </c>
      <c r="B1596" s="225" t="s">
        <v>4460</v>
      </c>
    </row>
    <row r="1597" spans="1:2">
      <c r="A1597" s="225" t="s">
        <v>4461</v>
      </c>
      <c r="B1597" s="225" t="s">
        <v>4462</v>
      </c>
    </row>
    <row r="1598" spans="1:2">
      <c r="A1598" s="225" t="s">
        <v>4463</v>
      </c>
      <c r="B1598" s="225" t="s">
        <v>2591</v>
      </c>
    </row>
    <row r="1599" spans="1:2">
      <c r="A1599" s="225" t="s">
        <v>4464</v>
      </c>
      <c r="B1599" s="225" t="s">
        <v>4465</v>
      </c>
    </row>
    <row r="1600" spans="1:2">
      <c r="A1600" s="225" t="s">
        <v>4466</v>
      </c>
      <c r="B1600" s="225" t="s">
        <v>4467</v>
      </c>
    </row>
    <row r="1601" spans="1:2">
      <c r="A1601" s="225" t="s">
        <v>4468</v>
      </c>
      <c r="B1601" s="225" t="s">
        <v>4469</v>
      </c>
    </row>
    <row r="1602" spans="1:2">
      <c r="A1602" s="225" t="s">
        <v>4472</v>
      </c>
      <c r="B1602" s="225" t="s">
        <v>4473</v>
      </c>
    </row>
    <row r="1603" spans="1:2">
      <c r="A1603" s="225" t="s">
        <v>4474</v>
      </c>
      <c r="B1603" s="225" t="s">
        <v>4475</v>
      </c>
    </row>
    <row r="1604" spans="1:2">
      <c r="A1604" s="225" t="s">
        <v>4476</v>
      </c>
      <c r="B1604" s="225" t="s">
        <v>4477</v>
      </c>
    </row>
    <row r="1605" spans="1:2">
      <c r="A1605" s="225" t="s">
        <v>4478</v>
      </c>
      <c r="B1605" s="225" t="s">
        <v>4479</v>
      </c>
    </row>
    <row r="1606" spans="1:2">
      <c r="A1606" s="225" t="s">
        <v>4480</v>
      </c>
      <c r="B1606" s="225" t="s">
        <v>4481</v>
      </c>
    </row>
    <row r="1607" spans="1:2">
      <c r="A1607" s="225" t="s">
        <v>4482</v>
      </c>
      <c r="B1607" s="225" t="s">
        <v>4483</v>
      </c>
    </row>
    <row r="1608" spans="1:2">
      <c r="A1608" s="225" t="s">
        <v>4484</v>
      </c>
      <c r="B1608" s="225" t="s">
        <v>4485</v>
      </c>
    </row>
    <row r="1609" spans="1:2">
      <c r="A1609" s="225" t="s">
        <v>4486</v>
      </c>
      <c r="B1609" s="225" t="s">
        <v>4487</v>
      </c>
    </row>
    <row r="1610" spans="1:2">
      <c r="A1610" s="225" t="s">
        <v>4488</v>
      </c>
      <c r="B1610" s="225" t="s">
        <v>4489</v>
      </c>
    </row>
    <row r="1611" spans="1:2">
      <c r="A1611" s="225" t="s">
        <v>4490</v>
      </c>
      <c r="B1611" s="225" t="s">
        <v>4491</v>
      </c>
    </row>
    <row r="1612" spans="1:2">
      <c r="A1612" s="225" t="s">
        <v>4494</v>
      </c>
      <c r="B1612" s="225" t="s">
        <v>4495</v>
      </c>
    </row>
    <row r="1613" spans="1:2">
      <c r="A1613" s="225" t="s">
        <v>4496</v>
      </c>
      <c r="B1613" s="225" t="s">
        <v>4497</v>
      </c>
    </row>
    <row r="1614" spans="1:2">
      <c r="A1614" s="225" t="s">
        <v>4498</v>
      </c>
      <c r="B1614" s="225" t="s">
        <v>4499</v>
      </c>
    </row>
    <row r="1615" spans="1:2">
      <c r="A1615" s="225" t="s">
        <v>4500</v>
      </c>
      <c r="B1615" s="225" t="s">
        <v>4501</v>
      </c>
    </row>
    <row r="1616" spans="1:2">
      <c r="A1616" s="225" t="s">
        <v>4502</v>
      </c>
      <c r="B1616" s="225" t="s">
        <v>4503</v>
      </c>
    </row>
    <row r="1617" spans="1:2">
      <c r="A1617" s="225" t="s">
        <v>4504</v>
      </c>
      <c r="B1617" s="225" t="s">
        <v>4505</v>
      </c>
    </row>
    <row r="1618" spans="1:2">
      <c r="A1618" s="225" t="s">
        <v>4508</v>
      </c>
      <c r="B1618" s="225" t="s">
        <v>4509</v>
      </c>
    </row>
    <row r="1619" spans="1:2">
      <c r="A1619" s="225" t="s">
        <v>4510</v>
      </c>
      <c r="B1619" s="225" t="s">
        <v>4511</v>
      </c>
    </row>
    <row r="1620" spans="1:2">
      <c r="A1620" s="225" t="s">
        <v>4512</v>
      </c>
      <c r="B1620" s="225" t="s">
        <v>4513</v>
      </c>
    </row>
    <row r="1621" spans="1:2">
      <c r="A1621" s="225" t="s">
        <v>4514</v>
      </c>
      <c r="B1621" s="225" t="s">
        <v>4515</v>
      </c>
    </row>
    <row r="1622" spans="1:2">
      <c r="A1622" s="225" t="s">
        <v>4516</v>
      </c>
      <c r="B1622" s="225" t="s">
        <v>4517</v>
      </c>
    </row>
    <row r="1623" spans="1:2">
      <c r="A1623" s="225" t="s">
        <v>4518</v>
      </c>
      <c r="B1623" s="225" t="s">
        <v>4519</v>
      </c>
    </row>
    <row r="1624" spans="1:2">
      <c r="A1624" s="225" t="s">
        <v>4520</v>
      </c>
      <c r="B1624" s="225" t="s">
        <v>4521</v>
      </c>
    </row>
    <row r="1625" spans="1:2">
      <c r="A1625" s="225" t="s">
        <v>4522</v>
      </c>
      <c r="B1625" s="225" t="s">
        <v>4523</v>
      </c>
    </row>
    <row r="1626" spans="1:2">
      <c r="A1626" s="225" t="s">
        <v>4524</v>
      </c>
      <c r="B1626" s="225" t="s">
        <v>4525</v>
      </c>
    </row>
    <row r="1627" spans="1:2">
      <c r="A1627" s="225" t="s">
        <v>4526</v>
      </c>
      <c r="B1627" s="225" t="s">
        <v>4527</v>
      </c>
    </row>
    <row r="1628" spans="1:2">
      <c r="A1628" s="225" t="s">
        <v>4528</v>
      </c>
      <c r="B1628" s="225" t="s">
        <v>4529</v>
      </c>
    </row>
    <row r="1629" spans="1:2">
      <c r="A1629" s="225" t="s">
        <v>4530</v>
      </c>
      <c r="B1629" s="225" t="s">
        <v>4531</v>
      </c>
    </row>
    <row r="1630" spans="1:2">
      <c r="A1630" s="225" t="s">
        <v>4538</v>
      </c>
      <c r="B1630" s="225" t="s">
        <v>4539</v>
      </c>
    </row>
    <row r="1631" spans="1:2">
      <c r="A1631" s="225" t="s">
        <v>4542</v>
      </c>
      <c r="B1631" s="225" t="s">
        <v>4543</v>
      </c>
    </row>
    <row r="1632" spans="1:2">
      <c r="A1632" s="225" t="s">
        <v>4544</v>
      </c>
      <c r="B1632" s="225" t="s">
        <v>4545</v>
      </c>
    </row>
    <row r="1633" spans="1:2">
      <c r="A1633" s="225" t="s">
        <v>4546</v>
      </c>
      <c r="B1633" s="225" t="s">
        <v>4547</v>
      </c>
    </row>
    <row r="1634" spans="1:2">
      <c r="A1634" s="225" t="s">
        <v>4550</v>
      </c>
      <c r="B1634" s="225" t="s">
        <v>4551</v>
      </c>
    </row>
    <row r="1635" spans="1:2">
      <c r="A1635" s="225" t="s">
        <v>4552</v>
      </c>
      <c r="B1635" s="225" t="s">
        <v>4553</v>
      </c>
    </row>
    <row r="1636" spans="1:2">
      <c r="A1636" s="225" t="s">
        <v>4554</v>
      </c>
      <c r="B1636" s="225" t="s">
        <v>4555</v>
      </c>
    </row>
    <row r="1637" spans="1:2">
      <c r="A1637" s="225" t="s">
        <v>4556</v>
      </c>
      <c r="B1637" s="225" t="s">
        <v>4557</v>
      </c>
    </row>
    <row r="1638" spans="1:2">
      <c r="A1638" s="225" t="s">
        <v>4558</v>
      </c>
      <c r="B1638" s="225" t="s">
        <v>4559</v>
      </c>
    </row>
    <row r="1639" spans="1:2">
      <c r="A1639" s="225" t="s">
        <v>4560</v>
      </c>
      <c r="B1639" s="225" t="s">
        <v>4561</v>
      </c>
    </row>
    <row r="1640" spans="1:2">
      <c r="A1640" s="225" t="s">
        <v>4562</v>
      </c>
      <c r="B1640" s="225" t="s">
        <v>4563</v>
      </c>
    </row>
    <row r="1641" spans="1:2">
      <c r="A1641" s="225" t="s">
        <v>4564</v>
      </c>
      <c r="B1641" s="225" t="s">
        <v>4565</v>
      </c>
    </row>
    <row r="1642" spans="1:2">
      <c r="A1642" s="225" t="s">
        <v>4566</v>
      </c>
      <c r="B1642" s="225" t="s">
        <v>4567</v>
      </c>
    </row>
    <row r="1643" spans="1:2">
      <c r="A1643" s="225" t="s">
        <v>4568</v>
      </c>
      <c r="B1643" s="225" t="s">
        <v>4569</v>
      </c>
    </row>
    <row r="1644" spans="1:2">
      <c r="A1644" s="225" t="s">
        <v>4570</v>
      </c>
      <c r="B1644" s="225" t="s">
        <v>4571</v>
      </c>
    </row>
    <row r="1645" spans="1:2">
      <c r="A1645" s="225" t="s">
        <v>4572</v>
      </c>
      <c r="B1645" s="225" t="s">
        <v>4573</v>
      </c>
    </row>
    <row r="1646" spans="1:2">
      <c r="A1646" s="225" t="s">
        <v>4575</v>
      </c>
      <c r="B1646" s="225" t="s">
        <v>4576</v>
      </c>
    </row>
    <row r="1647" spans="1:2">
      <c r="A1647" s="225" t="s">
        <v>4577</v>
      </c>
      <c r="B1647" s="225" t="s">
        <v>4578</v>
      </c>
    </row>
    <row r="1648" spans="1:2">
      <c r="A1648" s="225" t="s">
        <v>4580</v>
      </c>
      <c r="B1648" s="225" t="s">
        <v>4581</v>
      </c>
    </row>
    <row r="1649" spans="1:2">
      <c r="A1649" s="225" t="s">
        <v>4582</v>
      </c>
      <c r="B1649" s="225" t="s">
        <v>4583</v>
      </c>
    </row>
    <row r="1650" spans="1:2">
      <c r="A1650" s="225" t="s">
        <v>4584</v>
      </c>
      <c r="B1650" s="225" t="s">
        <v>4585</v>
      </c>
    </row>
    <row r="1651" spans="1:2">
      <c r="A1651" s="225" t="s">
        <v>4590</v>
      </c>
      <c r="B1651" s="225" t="s">
        <v>4591</v>
      </c>
    </row>
    <row r="1652" spans="1:2">
      <c r="A1652" s="225" t="s">
        <v>4592</v>
      </c>
      <c r="B1652" s="225" t="s">
        <v>4593</v>
      </c>
    </row>
    <row r="1653" spans="1:2">
      <c r="A1653" s="225" t="s">
        <v>4594</v>
      </c>
      <c r="B1653" s="225" t="s">
        <v>4595</v>
      </c>
    </row>
    <row r="1654" spans="1:2">
      <c r="A1654" s="225" t="s">
        <v>4596</v>
      </c>
      <c r="B1654" s="225" t="s">
        <v>4597</v>
      </c>
    </row>
    <row r="1655" spans="1:2">
      <c r="A1655" s="225" t="s">
        <v>4600</v>
      </c>
      <c r="B1655" s="225" t="s">
        <v>4601</v>
      </c>
    </row>
    <row r="1656" spans="1:2">
      <c r="A1656" s="225" t="s">
        <v>4602</v>
      </c>
      <c r="B1656" s="225" t="s">
        <v>4603</v>
      </c>
    </row>
    <row r="1657" spans="1:2">
      <c r="A1657" s="225" t="s">
        <v>4604</v>
      </c>
      <c r="B1657" s="225" t="s">
        <v>4605</v>
      </c>
    </row>
    <row r="1658" spans="1:2">
      <c r="A1658" s="225" t="s">
        <v>4606</v>
      </c>
      <c r="B1658" s="225" t="s">
        <v>4607</v>
      </c>
    </row>
    <row r="1659" spans="1:2">
      <c r="A1659" s="225" t="s">
        <v>4610</v>
      </c>
      <c r="B1659" s="225" t="s">
        <v>4611</v>
      </c>
    </row>
    <row r="1660" spans="1:2">
      <c r="A1660" s="225" t="s">
        <v>4614</v>
      </c>
      <c r="B1660" s="225" t="s">
        <v>4615</v>
      </c>
    </row>
    <row r="1661" spans="1:2">
      <c r="A1661" s="225" t="s">
        <v>4616</v>
      </c>
      <c r="B1661" s="225" t="s">
        <v>4617</v>
      </c>
    </row>
    <row r="1662" spans="1:2">
      <c r="A1662" s="225" t="s">
        <v>4618</v>
      </c>
      <c r="B1662" s="225" t="s">
        <v>4619</v>
      </c>
    </row>
    <row r="1663" spans="1:2">
      <c r="A1663" s="225" t="s">
        <v>4622</v>
      </c>
      <c r="B1663" s="225" t="s">
        <v>4623</v>
      </c>
    </row>
    <row r="1664" spans="1:2">
      <c r="A1664" s="225" t="s">
        <v>4626</v>
      </c>
      <c r="B1664" s="225" t="s">
        <v>4627</v>
      </c>
    </row>
    <row r="1665" spans="1:2">
      <c r="A1665" s="225" t="s">
        <v>4628</v>
      </c>
      <c r="B1665" s="225" t="s">
        <v>4629</v>
      </c>
    </row>
    <row r="1666" spans="1:2">
      <c r="A1666" s="225" t="s">
        <v>4630</v>
      </c>
      <c r="B1666" s="225" t="s">
        <v>4631</v>
      </c>
    </row>
    <row r="1667" spans="1:2">
      <c r="A1667" s="225" t="s">
        <v>4632</v>
      </c>
      <c r="B1667" s="225" t="s">
        <v>4633</v>
      </c>
    </row>
    <row r="1668" spans="1:2">
      <c r="A1668" s="225" t="s">
        <v>4634</v>
      </c>
      <c r="B1668" s="225" t="s">
        <v>4635</v>
      </c>
    </row>
    <row r="1669" spans="1:2">
      <c r="A1669" s="225" t="s">
        <v>4636</v>
      </c>
      <c r="B1669" s="225" t="s">
        <v>4637</v>
      </c>
    </row>
    <row r="1670" spans="1:2">
      <c r="A1670" s="225" t="s">
        <v>4640</v>
      </c>
      <c r="B1670" s="225" t="s">
        <v>4641</v>
      </c>
    </row>
    <row r="1671" spans="1:2">
      <c r="A1671" s="225" t="s">
        <v>4644</v>
      </c>
      <c r="B1671" s="225" t="s">
        <v>4645</v>
      </c>
    </row>
    <row r="1672" spans="1:2">
      <c r="A1672" s="225" t="s">
        <v>4646</v>
      </c>
      <c r="B1672" s="225" t="s">
        <v>4647</v>
      </c>
    </row>
    <row r="1673" spans="1:2">
      <c r="A1673" s="225" t="s">
        <v>4648</v>
      </c>
      <c r="B1673" s="225" t="s">
        <v>4649</v>
      </c>
    </row>
    <row r="1674" spans="1:2">
      <c r="A1674" s="225" t="s">
        <v>4650</v>
      </c>
      <c r="B1674" s="225" t="s">
        <v>4651</v>
      </c>
    </row>
    <row r="1675" spans="1:2">
      <c r="A1675" s="225" t="s">
        <v>4652</v>
      </c>
      <c r="B1675" s="225" t="s">
        <v>4653</v>
      </c>
    </row>
    <row r="1676" spans="1:2">
      <c r="A1676" s="225" t="s">
        <v>4654</v>
      </c>
      <c r="B1676" s="225" t="s">
        <v>4655</v>
      </c>
    </row>
    <row r="1677" spans="1:2">
      <c r="A1677" s="225" t="s">
        <v>4656</v>
      </c>
      <c r="B1677" s="225" t="s">
        <v>4657</v>
      </c>
    </row>
    <row r="1678" spans="1:2">
      <c r="A1678" s="225" t="s">
        <v>4658</v>
      </c>
      <c r="B1678" s="225" t="s">
        <v>4659</v>
      </c>
    </row>
    <row r="1679" spans="1:2">
      <c r="A1679" s="225" t="s">
        <v>4660</v>
      </c>
      <c r="B1679" s="225" t="s">
        <v>4661</v>
      </c>
    </row>
    <row r="1680" spans="1:2">
      <c r="A1680" s="225" t="s">
        <v>4662</v>
      </c>
      <c r="B1680" s="225" t="s">
        <v>4663</v>
      </c>
    </row>
    <row r="1681" spans="1:2">
      <c r="A1681" s="225" t="s">
        <v>4664</v>
      </c>
      <c r="B1681" s="225" t="s">
        <v>4665</v>
      </c>
    </row>
    <row r="1682" spans="1:2">
      <c r="A1682" s="225" t="s">
        <v>4666</v>
      </c>
      <c r="B1682" s="225" t="s">
        <v>4667</v>
      </c>
    </row>
    <row r="1683" spans="1:2">
      <c r="A1683" s="225" t="s">
        <v>4668</v>
      </c>
      <c r="B1683" s="225" t="s">
        <v>4669</v>
      </c>
    </row>
    <row r="1684" spans="1:2">
      <c r="A1684" s="225" t="s">
        <v>4670</v>
      </c>
      <c r="B1684" s="225" t="s">
        <v>4671</v>
      </c>
    </row>
    <row r="1685" spans="1:2">
      <c r="A1685" s="225" t="s">
        <v>4672</v>
      </c>
      <c r="B1685" s="225" t="s">
        <v>4673</v>
      </c>
    </row>
    <row r="1686" spans="1:2">
      <c r="A1686" s="225" t="s">
        <v>4674</v>
      </c>
      <c r="B1686" s="225" t="s">
        <v>4675</v>
      </c>
    </row>
    <row r="1687" spans="1:2">
      <c r="A1687" s="225" t="s">
        <v>4676</v>
      </c>
      <c r="B1687" s="225" t="s">
        <v>4677</v>
      </c>
    </row>
    <row r="1688" spans="1:2">
      <c r="A1688" s="225" t="s">
        <v>4678</v>
      </c>
      <c r="B1688" s="225" t="s">
        <v>4679</v>
      </c>
    </row>
    <row r="1689" spans="1:2">
      <c r="A1689" s="225" t="s">
        <v>4680</v>
      </c>
      <c r="B1689" s="225" t="s">
        <v>4681</v>
      </c>
    </row>
    <row r="1690" spans="1:2">
      <c r="A1690" s="225" t="s">
        <v>4682</v>
      </c>
      <c r="B1690" s="225" t="s">
        <v>4683</v>
      </c>
    </row>
    <row r="1691" spans="1:2">
      <c r="A1691" s="225" t="s">
        <v>4684</v>
      </c>
      <c r="B1691" s="225" t="s">
        <v>4685</v>
      </c>
    </row>
    <row r="1692" spans="1:2">
      <c r="A1692" s="225" t="s">
        <v>4688</v>
      </c>
      <c r="B1692" s="225" t="s">
        <v>4689</v>
      </c>
    </row>
    <row r="1693" spans="1:2">
      <c r="A1693" s="225" t="s">
        <v>4692</v>
      </c>
      <c r="B1693" s="225" t="s">
        <v>4693</v>
      </c>
    </row>
    <row r="1694" spans="1:2">
      <c r="A1694" s="225" t="s">
        <v>4694</v>
      </c>
      <c r="B1694" s="225" t="s">
        <v>4695</v>
      </c>
    </row>
    <row r="1695" spans="1:2">
      <c r="A1695" s="225" t="s">
        <v>4699</v>
      </c>
      <c r="B1695" s="225" t="s">
        <v>4700</v>
      </c>
    </row>
    <row r="1696" spans="1:2">
      <c r="A1696" s="225" t="s">
        <v>4701</v>
      </c>
      <c r="B1696" s="225" t="s">
        <v>4702</v>
      </c>
    </row>
    <row r="1697" spans="1:2">
      <c r="A1697" s="225" t="s">
        <v>4703</v>
      </c>
      <c r="B1697" s="225" t="s">
        <v>4704</v>
      </c>
    </row>
    <row r="1698" spans="1:2">
      <c r="A1698" s="225" t="s">
        <v>4705</v>
      </c>
      <c r="B1698" s="225" t="s">
        <v>4706</v>
      </c>
    </row>
    <row r="1699" spans="1:2">
      <c r="A1699" s="225" t="s">
        <v>4707</v>
      </c>
      <c r="B1699" s="225" t="s">
        <v>4708</v>
      </c>
    </row>
    <row r="1700" spans="1:2">
      <c r="A1700" s="225" t="s">
        <v>4709</v>
      </c>
      <c r="B1700" s="225" t="s">
        <v>4710</v>
      </c>
    </row>
    <row r="1701" spans="1:2">
      <c r="A1701" s="225" t="s">
        <v>4711</v>
      </c>
      <c r="B1701" s="225" t="s">
        <v>2673</v>
      </c>
    </row>
    <row r="1702" spans="1:2">
      <c r="A1702" s="225" t="s">
        <v>4712</v>
      </c>
      <c r="B1702" s="225" t="s">
        <v>2673</v>
      </c>
    </row>
    <row r="1703" spans="1:2">
      <c r="A1703" s="225" t="s">
        <v>4713</v>
      </c>
      <c r="B1703" s="225" t="s">
        <v>4714</v>
      </c>
    </row>
    <row r="1704" spans="1:2">
      <c r="A1704" s="225" t="s">
        <v>4715</v>
      </c>
      <c r="B1704" s="225" t="s">
        <v>4716</v>
      </c>
    </row>
    <row r="1705" spans="1:2">
      <c r="A1705" s="225" t="s">
        <v>4717</v>
      </c>
      <c r="B1705" s="225" t="s">
        <v>4718</v>
      </c>
    </row>
    <row r="1706" spans="1:2">
      <c r="A1706" s="225" t="s">
        <v>4719</v>
      </c>
      <c r="B1706" s="225" t="s">
        <v>4720</v>
      </c>
    </row>
    <row r="1707" spans="1:2">
      <c r="A1707" s="225" t="s">
        <v>4721</v>
      </c>
      <c r="B1707" s="225" t="s">
        <v>4722</v>
      </c>
    </row>
    <row r="1708" spans="1:2">
      <c r="A1708" s="225" t="s">
        <v>4723</v>
      </c>
      <c r="B1708" s="225" t="s">
        <v>4724</v>
      </c>
    </row>
    <row r="1709" spans="1:2">
      <c r="A1709" s="225" t="s">
        <v>4725</v>
      </c>
      <c r="B1709" s="225" t="s">
        <v>4726</v>
      </c>
    </row>
    <row r="1710" spans="1:2">
      <c r="A1710" s="225" t="s">
        <v>4727</v>
      </c>
      <c r="B1710" s="225" t="s">
        <v>4728</v>
      </c>
    </row>
    <row r="1711" spans="1:2">
      <c r="A1711" s="225" t="s">
        <v>4729</v>
      </c>
      <c r="B1711" s="225" t="s">
        <v>4730</v>
      </c>
    </row>
    <row r="1712" spans="1:2">
      <c r="A1712" s="225" t="s">
        <v>4731</v>
      </c>
      <c r="B1712" s="225" t="s">
        <v>4732</v>
      </c>
    </row>
    <row r="1713" spans="1:2">
      <c r="A1713" s="225" t="s">
        <v>4733</v>
      </c>
      <c r="B1713" s="225" t="s">
        <v>4734</v>
      </c>
    </row>
    <row r="1714" spans="1:2">
      <c r="A1714" s="225" t="s">
        <v>4735</v>
      </c>
      <c r="B1714" s="225" t="s">
        <v>4736</v>
      </c>
    </row>
    <row r="1715" spans="1:2">
      <c r="A1715" s="225" t="s">
        <v>4737</v>
      </c>
      <c r="B1715" s="225" t="s">
        <v>4738</v>
      </c>
    </row>
    <row r="1716" spans="1:2">
      <c r="A1716" s="225" t="s">
        <v>4739</v>
      </c>
      <c r="B1716" s="225" t="s">
        <v>4740</v>
      </c>
    </row>
    <row r="1717" spans="1:2">
      <c r="A1717" s="225" t="s">
        <v>4741</v>
      </c>
      <c r="B1717" s="225" t="s">
        <v>4742</v>
      </c>
    </row>
    <row r="1718" spans="1:2">
      <c r="A1718" s="225" t="s">
        <v>4743</v>
      </c>
      <c r="B1718" s="225" t="s">
        <v>4744</v>
      </c>
    </row>
    <row r="1719" spans="1:2">
      <c r="A1719" s="225" t="s">
        <v>4745</v>
      </c>
      <c r="B1719" s="225" t="s">
        <v>4746</v>
      </c>
    </row>
    <row r="1720" spans="1:2">
      <c r="A1720" s="225" t="s">
        <v>4747</v>
      </c>
      <c r="B1720" s="225" t="s">
        <v>4748</v>
      </c>
    </row>
    <row r="1721" spans="1:2">
      <c r="A1721" s="225" t="s">
        <v>4749</v>
      </c>
      <c r="B1721" s="225" t="s">
        <v>4750</v>
      </c>
    </row>
    <row r="1722" spans="1:2">
      <c r="A1722" s="225" t="s">
        <v>4751</v>
      </c>
      <c r="B1722" s="225" t="s">
        <v>4752</v>
      </c>
    </row>
    <row r="1723" spans="1:2">
      <c r="A1723" s="225" t="s">
        <v>4753</v>
      </c>
      <c r="B1723" s="225" t="s">
        <v>4754</v>
      </c>
    </row>
    <row r="1724" spans="1:2">
      <c r="A1724" s="225" t="s">
        <v>4755</v>
      </c>
      <c r="B1724" s="225" t="s">
        <v>4756</v>
      </c>
    </row>
    <row r="1725" spans="1:2">
      <c r="A1725" s="225" t="s">
        <v>4757</v>
      </c>
      <c r="B1725" s="225" t="s">
        <v>4758</v>
      </c>
    </row>
    <row r="1726" spans="1:2">
      <c r="A1726" s="225" t="s">
        <v>4759</v>
      </c>
      <c r="B1726" s="225" t="s">
        <v>4760</v>
      </c>
    </row>
    <row r="1727" spans="1:2">
      <c r="A1727" s="225" t="s">
        <v>4761</v>
      </c>
      <c r="B1727" s="225" t="s">
        <v>4762</v>
      </c>
    </row>
    <row r="1728" spans="1:2">
      <c r="A1728" s="225" t="s">
        <v>4763</v>
      </c>
      <c r="B1728" s="225" t="s">
        <v>4764</v>
      </c>
    </row>
    <row r="1729" spans="1:2">
      <c r="A1729" s="225" t="s">
        <v>4765</v>
      </c>
      <c r="B1729" s="225" t="s">
        <v>4766</v>
      </c>
    </row>
    <row r="1730" spans="1:2">
      <c r="A1730" s="225" t="s">
        <v>4767</v>
      </c>
      <c r="B1730" s="225" t="s">
        <v>4768</v>
      </c>
    </row>
    <row r="1731" spans="1:2">
      <c r="A1731" s="225" t="s">
        <v>4769</v>
      </c>
      <c r="B1731" s="225" t="s">
        <v>4770</v>
      </c>
    </row>
    <row r="1732" spans="1:2">
      <c r="A1732" s="225" t="s">
        <v>4771</v>
      </c>
      <c r="B1732" s="225" t="s">
        <v>4772</v>
      </c>
    </row>
    <row r="1733" spans="1:2">
      <c r="A1733" s="225" t="s">
        <v>4773</v>
      </c>
      <c r="B1733" s="225" t="s">
        <v>4774</v>
      </c>
    </row>
    <row r="1734" spans="1:2">
      <c r="A1734" s="225" t="s">
        <v>4775</v>
      </c>
      <c r="B1734" s="225" t="s">
        <v>4776</v>
      </c>
    </row>
    <row r="1735" spans="1:2">
      <c r="A1735" s="225" t="s">
        <v>4777</v>
      </c>
      <c r="B1735" s="225" t="s">
        <v>4778</v>
      </c>
    </row>
    <row r="1736" spans="1:2">
      <c r="A1736" s="225" t="s">
        <v>4779</v>
      </c>
      <c r="B1736" s="225" t="s">
        <v>4780</v>
      </c>
    </row>
    <row r="1737" spans="1:2">
      <c r="A1737" s="225" t="s">
        <v>4781</v>
      </c>
      <c r="B1737" s="225" t="s">
        <v>4782</v>
      </c>
    </row>
    <row r="1738" spans="1:2">
      <c r="A1738" s="225" t="s">
        <v>4783</v>
      </c>
      <c r="B1738" s="225" t="s">
        <v>4784</v>
      </c>
    </row>
    <row r="1739" spans="1:2">
      <c r="A1739" s="225" t="s">
        <v>4785</v>
      </c>
      <c r="B1739" s="225" t="s">
        <v>4786</v>
      </c>
    </row>
    <row r="1740" spans="1:2">
      <c r="A1740" s="225" t="s">
        <v>4787</v>
      </c>
      <c r="B1740" s="225" t="s">
        <v>4788</v>
      </c>
    </row>
    <row r="1741" spans="1:2">
      <c r="A1741" s="225" t="s">
        <v>4789</v>
      </c>
      <c r="B1741" s="225" t="s">
        <v>4790</v>
      </c>
    </row>
    <row r="1742" spans="1:2">
      <c r="A1742" s="225" t="s">
        <v>4791</v>
      </c>
      <c r="B1742" s="225" t="s">
        <v>4792</v>
      </c>
    </row>
    <row r="1743" spans="1:2">
      <c r="A1743" s="225" t="s">
        <v>4793</v>
      </c>
      <c r="B1743" s="225" t="s">
        <v>4794</v>
      </c>
    </row>
    <row r="1744" spans="1:2">
      <c r="A1744" s="225" t="s">
        <v>4795</v>
      </c>
      <c r="B1744" s="225" t="s">
        <v>4796</v>
      </c>
    </row>
    <row r="1745" spans="1:2">
      <c r="A1745" s="225" t="s">
        <v>4797</v>
      </c>
      <c r="B1745" s="225" t="s">
        <v>4798</v>
      </c>
    </row>
    <row r="1746" spans="1:2">
      <c r="A1746" s="225" t="s">
        <v>4799</v>
      </c>
      <c r="B1746" s="225" t="s">
        <v>4800</v>
      </c>
    </row>
    <row r="1747" spans="1:2">
      <c r="A1747" s="225" t="s">
        <v>4801</v>
      </c>
      <c r="B1747" s="225" t="s">
        <v>4802</v>
      </c>
    </row>
    <row r="1748" spans="1:2">
      <c r="A1748" s="225" t="s">
        <v>4803</v>
      </c>
      <c r="B1748" s="225" t="s">
        <v>4804</v>
      </c>
    </row>
    <row r="1749" spans="1:2">
      <c r="A1749" s="225" t="s">
        <v>4805</v>
      </c>
      <c r="B1749" s="225" t="s">
        <v>4806</v>
      </c>
    </row>
    <row r="1750" spans="1:2">
      <c r="A1750" s="225" t="s">
        <v>3294</v>
      </c>
      <c r="B1750" s="225" t="s">
        <v>3295</v>
      </c>
    </row>
    <row r="1751" spans="1:2">
      <c r="A1751" s="225" t="s">
        <v>5613</v>
      </c>
      <c r="B1751" s="225" t="s">
        <v>5614</v>
      </c>
    </row>
    <row r="1752" spans="1:2">
      <c r="A1752" s="225" t="s">
        <v>5615</v>
      </c>
      <c r="B1752" s="225" t="s">
        <v>5616</v>
      </c>
    </row>
    <row r="1753" spans="1:2">
      <c r="A1753" s="225" t="s">
        <v>5617</v>
      </c>
      <c r="B1753" s="225" t="s">
        <v>5618</v>
      </c>
    </row>
    <row r="1754" spans="1:2">
      <c r="A1754" s="225" t="s">
        <v>5619</v>
      </c>
      <c r="B1754" s="225" t="s">
        <v>5620</v>
      </c>
    </row>
    <row r="1755" spans="1:2">
      <c r="A1755" s="225" t="s">
        <v>5621</v>
      </c>
      <c r="B1755" s="225" t="s">
        <v>5622</v>
      </c>
    </row>
    <row r="1756" spans="1:2">
      <c r="A1756" s="225" t="s">
        <v>5623</v>
      </c>
      <c r="B1756" s="225" t="s">
        <v>5624</v>
      </c>
    </row>
    <row r="1757" spans="1:2">
      <c r="A1757" s="225" t="s">
        <v>5625</v>
      </c>
      <c r="B1757" s="225" t="s">
        <v>5626</v>
      </c>
    </row>
    <row r="1758" spans="1:2">
      <c r="A1758" s="225" t="s">
        <v>5627</v>
      </c>
      <c r="B1758" s="225" t="s">
        <v>5628</v>
      </c>
    </row>
    <row r="1759" spans="1:2">
      <c r="A1759" s="225" t="s">
        <v>5629</v>
      </c>
      <c r="B1759" s="225" t="s">
        <v>5630</v>
      </c>
    </row>
    <row r="1760" spans="1:2">
      <c r="A1760" s="225" t="s">
        <v>5631</v>
      </c>
      <c r="B1760" s="225" t="s">
        <v>5632</v>
      </c>
    </row>
    <row r="1761" spans="1:2">
      <c r="A1761" s="225" t="s">
        <v>5633</v>
      </c>
      <c r="B1761" s="225" t="s">
        <v>5634</v>
      </c>
    </row>
    <row r="1762" spans="1:2">
      <c r="A1762" s="225" t="s">
        <v>5635</v>
      </c>
      <c r="B1762" s="225" t="s">
        <v>5636</v>
      </c>
    </row>
    <row r="1763" spans="1:2">
      <c r="A1763" s="225" t="s">
        <v>5637</v>
      </c>
      <c r="B1763" s="225" t="s">
        <v>5638</v>
      </c>
    </row>
    <row r="1764" spans="1:2">
      <c r="A1764" s="225" t="s">
        <v>5639</v>
      </c>
      <c r="B1764" s="225" t="s">
        <v>5640</v>
      </c>
    </row>
    <row r="1765" spans="1:2">
      <c r="A1765" s="225" t="s">
        <v>5641</v>
      </c>
      <c r="B1765" s="225" t="s">
        <v>5642</v>
      </c>
    </row>
    <row r="1766" spans="1:2">
      <c r="A1766" s="225" t="s">
        <v>767</v>
      </c>
      <c r="B1766" s="225" t="s">
        <v>4196</v>
      </c>
    </row>
    <row r="1767" spans="1:2">
      <c r="A1767" s="225" t="s">
        <v>1112</v>
      </c>
      <c r="B1767" s="225" t="s">
        <v>3258</v>
      </c>
    </row>
    <row r="1768" spans="1:2">
      <c r="A1768" s="225" t="s">
        <v>853</v>
      </c>
      <c r="B1768" s="225" t="s">
        <v>4077</v>
      </c>
    </row>
    <row r="1769" spans="1:2">
      <c r="A1769" s="225" t="s">
        <v>3603</v>
      </c>
      <c r="B1769" s="225" t="s">
        <v>3604</v>
      </c>
    </row>
    <row r="1770" spans="1:2">
      <c r="A1770" s="225" t="s">
        <v>3620</v>
      </c>
      <c r="B1770" s="225" t="s">
        <v>3621</v>
      </c>
    </row>
    <row r="1771" spans="1:2">
      <c r="A1771" s="225" t="s">
        <v>11593</v>
      </c>
      <c r="B1771" s="225" t="s">
        <v>11594</v>
      </c>
    </row>
    <row r="1772" spans="1:2">
      <c r="A1772" s="225" t="s">
        <v>5307</v>
      </c>
      <c r="B1772" s="225" t="s">
        <v>5308</v>
      </c>
    </row>
    <row r="1773" spans="1:2">
      <c r="A1773" s="225" t="s">
        <v>5309</v>
      </c>
      <c r="B1773" s="225" t="s">
        <v>5310</v>
      </c>
    </row>
    <row r="1774" spans="1:2">
      <c r="A1774" s="225" t="s">
        <v>5311</v>
      </c>
      <c r="B1774" s="225" t="s">
        <v>5312</v>
      </c>
    </row>
    <row r="1775" spans="1:2">
      <c r="A1775" s="225" t="s">
        <v>5313</v>
      </c>
      <c r="B1775" s="225" t="s">
        <v>5314</v>
      </c>
    </row>
    <row r="1776" spans="1:2">
      <c r="A1776" s="225" t="s">
        <v>5315</v>
      </c>
      <c r="B1776" s="225" t="s">
        <v>5316</v>
      </c>
    </row>
    <row r="1777" spans="1:2">
      <c r="A1777" s="225" t="s">
        <v>5317</v>
      </c>
      <c r="B1777" s="225" t="s">
        <v>4667</v>
      </c>
    </row>
    <row r="1778" spans="1:2">
      <c r="A1778" s="225" t="s">
        <v>5318</v>
      </c>
      <c r="B1778" s="225" t="s">
        <v>5319</v>
      </c>
    </row>
    <row r="1779" spans="1:2">
      <c r="A1779" s="225" t="s">
        <v>917</v>
      </c>
      <c r="B1779" s="225" t="s">
        <v>3306</v>
      </c>
    </row>
    <row r="1780" spans="1:2">
      <c r="A1780" s="225" t="s">
        <v>2741</v>
      </c>
      <c r="B1780" s="225" t="s">
        <v>2742</v>
      </c>
    </row>
    <row r="1781" spans="1:2">
      <c r="A1781" s="225" t="s">
        <v>5397</v>
      </c>
      <c r="B1781" s="225" t="s">
        <v>5398</v>
      </c>
    </row>
    <row r="1782" spans="1:2">
      <c r="A1782" s="225" t="s">
        <v>3404</v>
      </c>
      <c r="B1782" s="225" t="s">
        <v>3405</v>
      </c>
    </row>
    <row r="1783" spans="1:2">
      <c r="A1783" s="225" t="s">
        <v>3923</v>
      </c>
      <c r="B1783" s="225" t="s">
        <v>3924</v>
      </c>
    </row>
    <row r="1784" spans="1:2">
      <c r="A1784" s="225" t="s">
        <v>4019</v>
      </c>
      <c r="B1784" s="225" t="s">
        <v>4020</v>
      </c>
    </row>
    <row r="1785" spans="1:2">
      <c r="A1785" s="225" t="s">
        <v>832</v>
      </c>
      <c r="B1785" s="225" t="s">
        <v>4174</v>
      </c>
    </row>
    <row r="1786" spans="1:2">
      <c r="A1786" s="225" t="s">
        <v>806</v>
      </c>
      <c r="B1786" s="225" t="s">
        <v>4439</v>
      </c>
    </row>
    <row r="1787" spans="1:2">
      <c r="A1787" s="225" t="s">
        <v>7165</v>
      </c>
      <c r="B1787" s="225" t="s">
        <v>7166</v>
      </c>
    </row>
    <row r="1788" spans="1:2">
      <c r="A1788" s="225" t="s">
        <v>7167</v>
      </c>
      <c r="B1788" s="225" t="s">
        <v>7168</v>
      </c>
    </row>
    <row r="1789" spans="1:2">
      <c r="A1789" s="225" t="s">
        <v>7175</v>
      </c>
      <c r="B1789" s="225" t="s">
        <v>7176</v>
      </c>
    </row>
    <row r="1790" spans="1:2">
      <c r="A1790" s="225" t="s">
        <v>3449</v>
      </c>
      <c r="B1790" s="225" t="s">
        <v>3450</v>
      </c>
    </row>
    <row r="1791" spans="1:2">
      <c r="A1791" s="225" t="s">
        <v>3458</v>
      </c>
      <c r="B1791" s="225" t="s">
        <v>3459</v>
      </c>
    </row>
    <row r="1792" spans="1:2">
      <c r="A1792" s="225" t="s">
        <v>1164</v>
      </c>
      <c r="B1792" s="225" t="s">
        <v>3457</v>
      </c>
    </row>
    <row r="1793" spans="1:2">
      <c r="A1793" s="225" t="s">
        <v>8622</v>
      </c>
      <c r="B1793" s="225" t="s">
        <v>8623</v>
      </c>
    </row>
    <row r="1794" spans="1:2">
      <c r="A1794" s="225" t="s">
        <v>4997</v>
      </c>
      <c r="B1794" s="225" t="s">
        <v>4998</v>
      </c>
    </row>
    <row r="1795" spans="1:2">
      <c r="A1795" s="225" t="s">
        <v>5203</v>
      </c>
      <c r="B1795" s="225" t="s">
        <v>5204</v>
      </c>
    </row>
    <row r="1796" spans="1:2">
      <c r="A1796" s="225" t="s">
        <v>5209</v>
      </c>
      <c r="B1796" s="225" t="s">
        <v>5210</v>
      </c>
    </row>
    <row r="1797" spans="1:2">
      <c r="A1797" s="225" t="s">
        <v>5211</v>
      </c>
      <c r="B1797" s="225" t="s">
        <v>5212</v>
      </c>
    </row>
    <row r="1798" spans="1:2">
      <c r="A1798" s="225" t="s">
        <v>5213</v>
      </c>
      <c r="B1798" s="225" t="s">
        <v>5214</v>
      </c>
    </row>
    <row r="1799" spans="1:2">
      <c r="A1799" s="225" t="s">
        <v>5215</v>
      </c>
      <c r="B1799" s="225" t="s">
        <v>5216</v>
      </c>
    </row>
    <row r="1800" spans="1:2">
      <c r="A1800" s="225" t="s">
        <v>5223</v>
      </c>
      <c r="B1800" s="225" t="s">
        <v>5224</v>
      </c>
    </row>
    <row r="1801" spans="1:2">
      <c r="A1801" s="225" t="s">
        <v>873</v>
      </c>
      <c r="B1801" s="225" t="s">
        <v>3315</v>
      </c>
    </row>
    <row r="1802" spans="1:2">
      <c r="A1802" s="225" t="s">
        <v>5830</v>
      </c>
      <c r="B1802" s="225" t="s">
        <v>5831</v>
      </c>
    </row>
    <row r="1803" spans="1:2">
      <c r="A1803" s="225" t="s">
        <v>3317</v>
      </c>
      <c r="B1803" s="225" t="s">
        <v>3318</v>
      </c>
    </row>
    <row r="1804" spans="1:2">
      <c r="A1804" s="225" t="s">
        <v>803</v>
      </c>
      <c r="B1804" s="225" t="s">
        <v>3376</v>
      </c>
    </row>
    <row r="1805" spans="1:2">
      <c r="A1805" s="225" t="s">
        <v>1356</v>
      </c>
      <c r="B1805" s="225" t="s">
        <v>2609</v>
      </c>
    </row>
    <row r="1806" spans="1:2">
      <c r="A1806" s="225" t="s">
        <v>4072</v>
      </c>
      <c r="B1806" s="225" t="s">
        <v>4073</v>
      </c>
    </row>
    <row r="1807" spans="1:2">
      <c r="A1807" s="225" t="s">
        <v>8223</v>
      </c>
      <c r="B1807" s="225" t="s">
        <v>8224</v>
      </c>
    </row>
    <row r="1808" spans="1:2">
      <c r="A1808" s="225" t="s">
        <v>8225</v>
      </c>
      <c r="B1808" s="225" t="s">
        <v>8226</v>
      </c>
    </row>
    <row r="1809" spans="1:2">
      <c r="A1809" s="225" t="s">
        <v>8227</v>
      </c>
      <c r="B1809" s="225" t="s">
        <v>8228</v>
      </c>
    </row>
    <row r="1810" spans="1:2">
      <c r="A1810" s="225" t="s">
        <v>8229</v>
      </c>
      <c r="B1810" s="225" t="s">
        <v>8230</v>
      </c>
    </row>
    <row r="1811" spans="1:2">
      <c r="A1811" s="225" t="s">
        <v>8231</v>
      </c>
      <c r="B1811" s="225" t="s">
        <v>8232</v>
      </c>
    </row>
    <row r="1812" spans="1:2">
      <c r="A1812" s="225" t="s">
        <v>8233</v>
      </c>
      <c r="B1812" s="225" t="s">
        <v>8234</v>
      </c>
    </row>
    <row r="1813" spans="1:2">
      <c r="A1813" s="225" t="s">
        <v>8235</v>
      </c>
      <c r="B1813" s="225" t="s">
        <v>8236</v>
      </c>
    </row>
    <row r="1814" spans="1:2">
      <c r="A1814" s="225" t="s">
        <v>8237</v>
      </c>
      <c r="B1814" s="225" t="s">
        <v>8238</v>
      </c>
    </row>
    <row r="1815" spans="1:2">
      <c r="A1815" s="225" t="s">
        <v>8239</v>
      </c>
      <c r="B1815" s="225" t="s">
        <v>8240</v>
      </c>
    </row>
    <row r="1816" spans="1:2">
      <c r="A1816" s="225" t="s">
        <v>8241</v>
      </c>
      <c r="B1816" s="225" t="s">
        <v>8242</v>
      </c>
    </row>
    <row r="1817" spans="1:2">
      <c r="A1817" s="225" t="s">
        <v>8243</v>
      </c>
      <c r="B1817" s="225" t="s">
        <v>8244</v>
      </c>
    </row>
    <row r="1818" spans="1:2">
      <c r="A1818" s="225" t="s">
        <v>8245</v>
      </c>
      <c r="B1818" s="225" t="s">
        <v>8246</v>
      </c>
    </row>
    <row r="1819" spans="1:2">
      <c r="A1819" s="225" t="s">
        <v>8253</v>
      </c>
      <c r="B1819" s="225" t="s">
        <v>8254</v>
      </c>
    </row>
    <row r="1820" spans="1:2">
      <c r="A1820" s="225" t="s">
        <v>8261</v>
      </c>
      <c r="B1820" s="225" t="s">
        <v>8262</v>
      </c>
    </row>
    <row r="1821" spans="1:2">
      <c r="A1821" s="225" t="s">
        <v>8263</v>
      </c>
      <c r="B1821" s="225" t="s">
        <v>8264</v>
      </c>
    </row>
    <row r="1822" spans="1:2">
      <c r="A1822" s="225" t="s">
        <v>8283</v>
      </c>
      <c r="B1822" s="225" t="s">
        <v>8284</v>
      </c>
    </row>
    <row r="1823" spans="1:2">
      <c r="A1823" s="225" t="s">
        <v>8285</v>
      </c>
      <c r="B1823" s="225" t="s">
        <v>8286</v>
      </c>
    </row>
    <row r="1824" spans="1:2">
      <c r="A1824" s="225" t="s">
        <v>8293</v>
      </c>
      <c r="B1824" s="225" t="s">
        <v>8294</v>
      </c>
    </row>
    <row r="1825" spans="1:2">
      <c r="A1825" s="225" t="s">
        <v>8295</v>
      </c>
      <c r="B1825" s="225" t="s">
        <v>8296</v>
      </c>
    </row>
    <row r="1826" spans="1:2">
      <c r="A1826" s="225" t="s">
        <v>8297</v>
      </c>
      <c r="B1826" s="225" t="s">
        <v>8298</v>
      </c>
    </row>
    <row r="1827" spans="1:2">
      <c r="A1827" s="225" t="s">
        <v>8299</v>
      </c>
      <c r="B1827" s="225" t="s">
        <v>8300</v>
      </c>
    </row>
    <row r="1828" spans="1:2">
      <c r="A1828" s="225" t="s">
        <v>8301</v>
      </c>
      <c r="B1828" s="225" t="s">
        <v>8302</v>
      </c>
    </row>
    <row r="1829" spans="1:2">
      <c r="A1829" s="225" t="s">
        <v>8303</v>
      </c>
      <c r="B1829" s="225" t="s">
        <v>8304</v>
      </c>
    </row>
    <row r="1830" spans="1:2">
      <c r="A1830" s="225" t="s">
        <v>8305</v>
      </c>
      <c r="B1830" s="225" t="s">
        <v>8306</v>
      </c>
    </row>
    <row r="1831" spans="1:2">
      <c r="A1831" s="225" t="s">
        <v>8307</v>
      </c>
      <c r="B1831" s="225" t="s">
        <v>8308</v>
      </c>
    </row>
    <row r="1832" spans="1:2">
      <c r="A1832" s="225" t="s">
        <v>8311</v>
      </c>
      <c r="B1832" s="225" t="s">
        <v>8312</v>
      </c>
    </row>
    <row r="1833" spans="1:2">
      <c r="A1833" s="225" t="s">
        <v>8313</v>
      </c>
      <c r="B1833" s="225" t="s">
        <v>8314</v>
      </c>
    </row>
    <row r="1834" spans="1:2">
      <c r="A1834" s="225" t="s">
        <v>8315</v>
      </c>
      <c r="B1834" s="225" t="s">
        <v>8316</v>
      </c>
    </row>
    <row r="1835" spans="1:2">
      <c r="A1835" s="225" t="s">
        <v>8406</v>
      </c>
      <c r="B1835" s="225" t="s">
        <v>8407</v>
      </c>
    </row>
    <row r="1836" spans="1:2">
      <c r="A1836" s="225" t="s">
        <v>3696</v>
      </c>
      <c r="B1836" s="225" t="s">
        <v>3697</v>
      </c>
    </row>
    <row r="1837" spans="1:2">
      <c r="A1837" s="225" t="s">
        <v>3718</v>
      </c>
      <c r="B1837" s="225" t="s">
        <v>3719</v>
      </c>
    </row>
    <row r="1838" spans="1:2">
      <c r="A1838" s="225" t="s">
        <v>5645</v>
      </c>
      <c r="B1838" s="225" t="s">
        <v>5646</v>
      </c>
    </row>
    <row r="1839" spans="1:2">
      <c r="A1839" s="225" t="s">
        <v>2659</v>
      </c>
      <c r="B1839" s="225" t="s">
        <v>2658</v>
      </c>
    </row>
    <row r="1840" spans="1:2">
      <c r="A1840" s="225" t="s">
        <v>741</v>
      </c>
      <c r="B1840" s="225" t="s">
        <v>4031</v>
      </c>
    </row>
    <row r="1841" spans="1:2">
      <c r="A1841" s="225" t="s">
        <v>2672</v>
      </c>
      <c r="B1841" s="225" t="s">
        <v>2673</v>
      </c>
    </row>
    <row r="1842" spans="1:2">
      <c r="A1842" s="225" t="s">
        <v>2674</v>
      </c>
      <c r="B1842" s="225" t="s">
        <v>2673</v>
      </c>
    </row>
    <row r="1843" spans="1:2">
      <c r="A1843" s="225" t="s">
        <v>4536</v>
      </c>
      <c r="B1843" s="225" t="s">
        <v>4537</v>
      </c>
    </row>
    <row r="1844" spans="1:2">
      <c r="A1844" s="225" t="s">
        <v>4540</v>
      </c>
      <c r="B1844" s="225" t="s">
        <v>4541</v>
      </c>
    </row>
    <row r="1845" spans="1:2">
      <c r="A1845" s="225" t="s">
        <v>4548</v>
      </c>
      <c r="B1845" s="225" t="s">
        <v>4549</v>
      </c>
    </row>
    <row r="1846" spans="1:2">
      <c r="A1846" s="225" t="s">
        <v>7171</v>
      </c>
      <c r="B1846" s="225" t="s">
        <v>7172</v>
      </c>
    </row>
    <row r="1847" spans="1:2">
      <c r="A1847" s="225" t="s">
        <v>4574</v>
      </c>
      <c r="B1847" s="225" t="s">
        <v>2777</v>
      </c>
    </row>
    <row r="1848" spans="1:2">
      <c r="A1848" s="225" t="s">
        <v>4579</v>
      </c>
      <c r="B1848" s="225" t="s">
        <v>2057</v>
      </c>
    </row>
    <row r="1849" spans="1:2">
      <c r="A1849" s="225" t="s">
        <v>4586</v>
      </c>
      <c r="B1849" s="225" t="s">
        <v>4587</v>
      </c>
    </row>
    <row r="1850" spans="1:2">
      <c r="A1850" s="225" t="s">
        <v>4588</v>
      </c>
      <c r="B1850" s="225" t="s">
        <v>4589</v>
      </c>
    </row>
    <row r="1851" spans="1:2">
      <c r="A1851" s="225" t="s">
        <v>4598</v>
      </c>
      <c r="B1851" s="225" t="s">
        <v>4599</v>
      </c>
    </row>
    <row r="1852" spans="1:2">
      <c r="A1852" s="225" t="s">
        <v>4608</v>
      </c>
      <c r="B1852" s="225" t="s">
        <v>4609</v>
      </c>
    </row>
    <row r="1853" spans="1:2">
      <c r="A1853" s="225" t="s">
        <v>4612</v>
      </c>
      <c r="B1853" s="225" t="s">
        <v>4613</v>
      </c>
    </row>
    <row r="1854" spans="1:2">
      <c r="A1854" s="225" t="s">
        <v>4620</v>
      </c>
      <c r="B1854" s="225" t="s">
        <v>4621</v>
      </c>
    </row>
    <row r="1855" spans="1:2">
      <c r="A1855" s="225" t="s">
        <v>4427</v>
      </c>
      <c r="B1855" s="225" t="s">
        <v>4428</v>
      </c>
    </row>
    <row r="1856" spans="1:2">
      <c r="A1856" s="225" t="s">
        <v>990</v>
      </c>
      <c r="B1856" s="225" t="s">
        <v>4438</v>
      </c>
    </row>
    <row r="1857" spans="1:2">
      <c r="A1857" s="225" t="s">
        <v>1261</v>
      </c>
      <c r="B1857" s="225" t="s">
        <v>4452</v>
      </c>
    </row>
    <row r="1858" spans="1:2">
      <c r="A1858" s="225" t="s">
        <v>4965</v>
      </c>
      <c r="B1858" s="225" t="s">
        <v>4966</v>
      </c>
    </row>
    <row r="1859" spans="1:2">
      <c r="A1859" s="225" t="s">
        <v>4967</v>
      </c>
      <c r="B1859" s="225" t="s">
        <v>4968</v>
      </c>
    </row>
    <row r="1860" spans="1:2">
      <c r="A1860" s="225" t="s">
        <v>4969</v>
      </c>
      <c r="B1860" s="225" t="s">
        <v>4970</v>
      </c>
    </row>
    <row r="1861" spans="1:2">
      <c r="A1861" s="225" t="s">
        <v>4624</v>
      </c>
      <c r="B1861" s="225" t="s">
        <v>4625</v>
      </c>
    </row>
    <row r="1862" spans="1:2">
      <c r="A1862" s="225" t="s">
        <v>4638</v>
      </c>
      <c r="B1862" s="225" t="s">
        <v>4639</v>
      </c>
    </row>
    <row r="1863" spans="1:2">
      <c r="A1863" s="225" t="s">
        <v>4642</v>
      </c>
      <c r="B1863" s="225" t="s">
        <v>4643</v>
      </c>
    </row>
    <row r="1864" spans="1:2">
      <c r="A1864" s="225" t="s">
        <v>4686</v>
      </c>
      <c r="B1864" s="225" t="s">
        <v>4687</v>
      </c>
    </row>
    <row r="1865" spans="1:2">
      <c r="A1865" s="225" t="s">
        <v>4690</v>
      </c>
      <c r="B1865" s="225" t="s">
        <v>4691</v>
      </c>
    </row>
    <row r="1866" spans="1:2">
      <c r="A1866" s="225" t="s">
        <v>4696</v>
      </c>
      <c r="B1866" s="225" t="s">
        <v>4697</v>
      </c>
    </row>
    <row r="1867" spans="1:2">
      <c r="A1867" s="225" t="s">
        <v>4698</v>
      </c>
      <c r="B1867" s="225" t="s">
        <v>2673</v>
      </c>
    </row>
    <row r="1868" spans="1:2">
      <c r="A1868" s="225" t="s">
        <v>4947</v>
      </c>
      <c r="B1868" s="225" t="s">
        <v>4541</v>
      </c>
    </row>
    <row r="1869" spans="1:2">
      <c r="A1869" s="225" t="s">
        <v>4971</v>
      </c>
      <c r="B1869" s="225" t="s">
        <v>4972</v>
      </c>
    </row>
    <row r="1870" spans="1:2">
      <c r="A1870" s="225" t="s">
        <v>6249</v>
      </c>
      <c r="B1870" s="225" t="s">
        <v>6250</v>
      </c>
    </row>
    <row r="1871" spans="1:2">
      <c r="A1871" s="225" t="s">
        <v>8289</v>
      </c>
      <c r="B1871" s="225" t="s">
        <v>8290</v>
      </c>
    </row>
    <row r="1872" spans="1:2">
      <c r="A1872" s="225" t="s">
        <v>1391</v>
      </c>
      <c r="B1872" s="225" t="s">
        <v>4424</v>
      </c>
    </row>
    <row r="1873" spans="1:2">
      <c r="A1873" s="225" t="s">
        <v>743</v>
      </c>
      <c r="B1873" s="225" t="s">
        <v>4016</v>
      </c>
    </row>
    <row r="1874" spans="1:2">
      <c r="A1874" s="225" t="s">
        <v>3955</v>
      </c>
      <c r="B1874" s="225" t="s">
        <v>3956</v>
      </c>
    </row>
    <row r="1875" spans="1:2">
      <c r="A1875" s="225" t="s">
        <v>3957</v>
      </c>
      <c r="B1875" s="225" t="s">
        <v>3958</v>
      </c>
    </row>
    <row r="1876" spans="1:2">
      <c r="A1876" s="225" t="s">
        <v>3402</v>
      </c>
      <c r="B1876" s="225" t="s">
        <v>3403</v>
      </c>
    </row>
    <row r="1877" spans="1:2">
      <c r="A1877" s="225" t="s">
        <v>816</v>
      </c>
      <c r="B1877" s="225" t="s">
        <v>3406</v>
      </c>
    </row>
    <row r="1878" spans="1:2">
      <c r="A1878" s="225" t="s">
        <v>5395</v>
      </c>
      <c r="B1878" s="225" t="s">
        <v>5396</v>
      </c>
    </row>
    <row r="1879" spans="1:2">
      <c r="A1879" s="225" t="s">
        <v>5399</v>
      </c>
      <c r="B1879" s="225" t="s">
        <v>5400</v>
      </c>
    </row>
    <row r="1880" spans="1:2">
      <c r="A1880" s="225" t="s">
        <v>5401</v>
      </c>
      <c r="B1880" s="225" t="s">
        <v>5402</v>
      </c>
    </row>
    <row r="1881" spans="1:2">
      <c r="A1881" s="225" t="s">
        <v>5403</v>
      </c>
      <c r="B1881" s="225" t="s">
        <v>5404</v>
      </c>
    </row>
    <row r="1882" spans="1:2">
      <c r="A1882" s="225" t="s">
        <v>5405</v>
      </c>
      <c r="B1882" s="225" t="s">
        <v>5406</v>
      </c>
    </row>
    <row r="1883" spans="1:2">
      <c r="A1883" s="225" t="s">
        <v>2778</v>
      </c>
      <c r="B1883" s="225" t="s">
        <v>2777</v>
      </c>
    </row>
    <row r="1884" spans="1:2">
      <c r="A1884" s="225" t="s">
        <v>4470</v>
      </c>
      <c r="B1884" s="225" t="s">
        <v>4471</v>
      </c>
    </row>
    <row r="1885" spans="1:2">
      <c r="A1885" s="225" t="s">
        <v>4492</v>
      </c>
      <c r="B1885" s="225" t="s">
        <v>4493</v>
      </c>
    </row>
    <row r="1886" spans="1:2">
      <c r="A1886" s="225" t="s">
        <v>4506</v>
      </c>
      <c r="B1886" s="225" t="s">
        <v>4507</v>
      </c>
    </row>
    <row r="1887" spans="1:2">
      <c r="A1887" s="225" t="s">
        <v>4532</v>
      </c>
      <c r="B1887" s="225" t="s">
        <v>4533</v>
      </c>
    </row>
    <row r="1888" spans="1:2">
      <c r="A1888" s="225" t="s">
        <v>4534</v>
      </c>
      <c r="B1888" s="225" t="s">
        <v>4535</v>
      </c>
    </row>
    <row r="1889" spans="1:2">
      <c r="A1889" s="225" t="s">
        <v>5043</v>
      </c>
      <c r="B1889" s="225" t="s">
        <v>5044</v>
      </c>
    </row>
    <row r="1890" spans="1:2">
      <c r="A1890" s="225" t="s">
        <v>5045</v>
      </c>
      <c r="B1890" s="225" t="s">
        <v>5046</v>
      </c>
    </row>
    <row r="1891" spans="1:2">
      <c r="A1891" s="225" t="s">
        <v>3645</v>
      </c>
      <c r="B1891" s="225" t="s">
        <v>3646</v>
      </c>
    </row>
    <row r="1892" spans="1:2">
      <c r="A1892" s="225" t="s">
        <v>3708</v>
      </c>
      <c r="B1892" s="225" t="s">
        <v>3709</v>
      </c>
    </row>
    <row r="1893" spans="1:2">
      <c r="A1893" s="225" t="s">
        <v>3739</v>
      </c>
      <c r="B1893" s="225" t="s">
        <v>3335</v>
      </c>
    </row>
    <row r="1894" spans="1:2">
      <c r="A1894" s="225" t="s">
        <v>3742</v>
      </c>
      <c r="B1894" s="225" t="s">
        <v>3337</v>
      </c>
    </row>
    <row r="1895" spans="1:2">
      <c r="A1895" s="225" t="s">
        <v>3745</v>
      </c>
      <c r="B1895" s="225" t="s">
        <v>3339</v>
      </c>
    </row>
    <row r="1896" spans="1:2">
      <c r="A1896" s="225" t="s">
        <v>3748</v>
      </c>
      <c r="B1896" s="225" t="s">
        <v>3341</v>
      </c>
    </row>
    <row r="1897" spans="1:2">
      <c r="A1897" s="225" t="s">
        <v>786</v>
      </c>
      <c r="B1897" s="225" t="s">
        <v>3467</v>
      </c>
    </row>
    <row r="1898" spans="1:2">
      <c r="A1898" s="225" t="s">
        <v>9427</v>
      </c>
      <c r="B1898" s="225" t="s">
        <v>9428</v>
      </c>
    </row>
    <row r="1899" spans="1:2">
      <c r="A1899" s="225" t="s">
        <v>9890</v>
      </c>
      <c r="B1899" s="225" t="s">
        <v>9891</v>
      </c>
    </row>
    <row r="1900" spans="1:2">
      <c r="A1900" s="225" t="s">
        <v>9458</v>
      </c>
      <c r="B1900" s="225" t="s">
        <v>9459</v>
      </c>
    </row>
    <row r="1901" spans="1:2">
      <c r="A1901" s="225" t="s">
        <v>9495</v>
      </c>
      <c r="B1901" s="225" t="s">
        <v>9496</v>
      </c>
    </row>
    <row r="1902" spans="1:2">
      <c r="A1902" s="225" t="s">
        <v>9518</v>
      </c>
      <c r="B1902" s="225" t="s">
        <v>9519</v>
      </c>
    </row>
    <row r="1903" spans="1:2">
      <c r="A1903" s="225" t="s">
        <v>9543</v>
      </c>
      <c r="B1903" s="225" t="s">
        <v>9544</v>
      </c>
    </row>
    <row r="1904" spans="1:2">
      <c r="A1904" s="225" t="s">
        <v>9402</v>
      </c>
      <c r="B1904" s="225" t="s">
        <v>9403</v>
      </c>
    </row>
    <row r="1905" spans="1:2">
      <c r="A1905" s="225" t="s">
        <v>9520</v>
      </c>
      <c r="B1905" s="225" t="s">
        <v>3295</v>
      </c>
    </row>
    <row r="1906" spans="1:2">
      <c r="A1906" s="225" t="s">
        <v>7726</v>
      </c>
      <c r="B1906" s="225" t="s">
        <v>4609</v>
      </c>
    </row>
    <row r="1907" spans="1:2">
      <c r="A1907" s="225" t="s">
        <v>8220</v>
      </c>
      <c r="B1907" s="225" t="s">
        <v>8221</v>
      </c>
    </row>
    <row r="1908" spans="1:2">
      <c r="A1908" s="225" t="s">
        <v>9120</v>
      </c>
      <c r="B1908" s="225" t="s">
        <v>3886</v>
      </c>
    </row>
    <row r="1909" spans="1:2">
      <c r="A1909" s="225" t="s">
        <v>9121</v>
      </c>
      <c r="B1909" s="225" t="s">
        <v>4037</v>
      </c>
    </row>
    <row r="1910" spans="1:2">
      <c r="A1910" s="225" t="s">
        <v>8372</v>
      </c>
      <c r="B1910" s="225" t="s">
        <v>8373</v>
      </c>
    </row>
    <row r="1911" spans="1:2">
      <c r="A1911" s="225" t="s">
        <v>8380</v>
      </c>
      <c r="B1911" s="225" t="s">
        <v>8381</v>
      </c>
    </row>
    <row r="1912" spans="1:2">
      <c r="A1912" s="225" t="s">
        <v>8384</v>
      </c>
      <c r="B1912" s="225" t="s">
        <v>8385</v>
      </c>
    </row>
    <row r="1913" spans="1:2">
      <c r="A1913" s="225" t="s">
        <v>8386</v>
      </c>
      <c r="B1913" s="225" t="s">
        <v>8387</v>
      </c>
    </row>
    <row r="1914" spans="1:2">
      <c r="A1914" s="225" t="s">
        <v>8388</v>
      </c>
      <c r="B1914" s="225" t="s">
        <v>8389</v>
      </c>
    </row>
    <row r="1915" spans="1:2">
      <c r="A1915" s="225" t="s">
        <v>8390</v>
      </c>
      <c r="B1915" s="225" t="s">
        <v>8391</v>
      </c>
    </row>
    <row r="1916" spans="1:2">
      <c r="A1916" s="225" t="s">
        <v>8392</v>
      </c>
      <c r="B1916" s="225" t="s">
        <v>8393</v>
      </c>
    </row>
    <row r="1917" spans="1:2">
      <c r="A1917" s="225" t="s">
        <v>8394</v>
      </c>
      <c r="B1917" s="225" t="s">
        <v>8395</v>
      </c>
    </row>
    <row r="1918" spans="1:2">
      <c r="A1918" s="225" t="s">
        <v>8396</v>
      </c>
      <c r="B1918" s="225" t="s">
        <v>8397</v>
      </c>
    </row>
    <row r="1919" spans="1:2">
      <c r="A1919" s="225" t="s">
        <v>8398</v>
      </c>
      <c r="B1919" s="225" t="s">
        <v>8399</v>
      </c>
    </row>
    <row r="1920" spans="1:2">
      <c r="A1920" s="225" t="s">
        <v>8400</v>
      </c>
      <c r="B1920" s="225" t="s">
        <v>8401</v>
      </c>
    </row>
    <row r="1921" spans="1:2">
      <c r="A1921" s="225" t="s">
        <v>8410</v>
      </c>
      <c r="B1921" s="225" t="s">
        <v>8411</v>
      </c>
    </row>
    <row r="1922" spans="1:2">
      <c r="A1922" s="225" t="s">
        <v>8412</v>
      </c>
      <c r="B1922" s="225" t="s">
        <v>8413</v>
      </c>
    </row>
    <row r="1923" spans="1:2">
      <c r="A1923" s="225" t="s">
        <v>8414</v>
      </c>
      <c r="B1923" s="225" t="s">
        <v>8415</v>
      </c>
    </row>
    <row r="1924" spans="1:2">
      <c r="A1924" s="225" t="s">
        <v>8416</v>
      </c>
      <c r="B1924" s="225" t="s">
        <v>8417</v>
      </c>
    </row>
    <row r="1925" spans="1:2">
      <c r="A1925" s="225" t="s">
        <v>8418</v>
      </c>
      <c r="B1925" s="225" t="s">
        <v>8419</v>
      </c>
    </row>
    <row r="1926" spans="1:2">
      <c r="A1926" s="225" t="s">
        <v>8420</v>
      </c>
      <c r="B1926" s="225" t="s">
        <v>8421</v>
      </c>
    </row>
    <row r="1927" spans="1:2">
      <c r="A1927" s="225" t="s">
        <v>8422</v>
      </c>
      <c r="B1927" s="225" t="s">
        <v>8423</v>
      </c>
    </row>
    <row r="1928" spans="1:2">
      <c r="A1928" s="225" t="s">
        <v>8424</v>
      </c>
      <c r="B1928" s="225" t="s">
        <v>8425</v>
      </c>
    </row>
    <row r="1929" spans="1:2">
      <c r="A1929" s="225" t="s">
        <v>8426</v>
      </c>
      <c r="B1929" s="225" t="s">
        <v>8427</v>
      </c>
    </row>
    <row r="1930" spans="1:2">
      <c r="A1930" s="225" t="s">
        <v>8430</v>
      </c>
      <c r="B1930" s="225" t="s">
        <v>8431</v>
      </c>
    </row>
    <row r="1931" spans="1:2">
      <c r="A1931" s="225" t="s">
        <v>8442</v>
      </c>
      <c r="B1931" s="225" t="s">
        <v>8443</v>
      </c>
    </row>
    <row r="1932" spans="1:2">
      <c r="A1932" s="225" t="s">
        <v>9111</v>
      </c>
      <c r="B1932" s="225" t="s">
        <v>9112</v>
      </c>
    </row>
    <row r="1933" spans="1:2">
      <c r="A1933" s="225" t="s">
        <v>9113</v>
      </c>
      <c r="B1933" s="225" t="s">
        <v>9114</v>
      </c>
    </row>
    <row r="1934" spans="1:2">
      <c r="A1934" s="225" t="s">
        <v>9115</v>
      </c>
      <c r="B1934" s="225" t="s">
        <v>2199</v>
      </c>
    </row>
    <row r="1935" spans="1:2">
      <c r="A1935" s="225" t="s">
        <v>9116</v>
      </c>
      <c r="B1935" s="225" t="s">
        <v>9117</v>
      </c>
    </row>
    <row r="1936" spans="1:2">
      <c r="A1936" s="225" t="s">
        <v>9118</v>
      </c>
      <c r="B1936" s="225" t="s">
        <v>9119</v>
      </c>
    </row>
    <row r="1937" spans="1:2">
      <c r="A1937" s="225" t="s">
        <v>9122</v>
      </c>
      <c r="B1937" s="225" t="s">
        <v>9123</v>
      </c>
    </row>
    <row r="1938" spans="1:2">
      <c r="A1938" s="225" t="s">
        <v>9124</v>
      </c>
      <c r="B1938" s="225" t="s">
        <v>7284</v>
      </c>
    </row>
    <row r="1939" spans="1:2">
      <c r="A1939" s="225" t="s">
        <v>9125</v>
      </c>
      <c r="B1939" s="225" t="s">
        <v>2223</v>
      </c>
    </row>
    <row r="1940" spans="1:2">
      <c r="A1940" s="225" t="s">
        <v>9126</v>
      </c>
      <c r="B1940" s="225" t="s">
        <v>7288</v>
      </c>
    </row>
    <row r="1941" spans="1:2">
      <c r="A1941" s="225" t="s">
        <v>9127</v>
      </c>
      <c r="B1941" s="225" t="s">
        <v>9128</v>
      </c>
    </row>
    <row r="1942" spans="1:2">
      <c r="A1942" s="225" t="s">
        <v>9129</v>
      </c>
      <c r="B1942" s="225" t="s">
        <v>2229</v>
      </c>
    </row>
    <row r="1943" spans="1:2">
      <c r="A1943" s="225" t="s">
        <v>9130</v>
      </c>
      <c r="B1943" s="225" t="s">
        <v>2232</v>
      </c>
    </row>
    <row r="1944" spans="1:2">
      <c r="A1944" s="225" t="s">
        <v>9131</v>
      </c>
      <c r="B1944" s="225" t="s">
        <v>2235</v>
      </c>
    </row>
    <row r="1945" spans="1:2">
      <c r="A1945" s="225" t="s">
        <v>9132</v>
      </c>
      <c r="B1945" s="225" t="s">
        <v>3850</v>
      </c>
    </row>
    <row r="1946" spans="1:2">
      <c r="A1946" s="225" t="s">
        <v>9133</v>
      </c>
      <c r="B1946" s="225" t="s">
        <v>2124</v>
      </c>
    </row>
    <row r="1947" spans="1:2">
      <c r="A1947" s="225" t="s">
        <v>9134</v>
      </c>
      <c r="B1947" s="225" t="s">
        <v>9135</v>
      </c>
    </row>
    <row r="1948" spans="1:2">
      <c r="A1948" s="225" t="s">
        <v>9136</v>
      </c>
      <c r="B1948" s="225" t="s">
        <v>3851</v>
      </c>
    </row>
    <row r="1949" spans="1:2">
      <c r="A1949" s="225" t="s">
        <v>9137</v>
      </c>
      <c r="B1949" s="225" t="s">
        <v>7857</v>
      </c>
    </row>
    <row r="1950" spans="1:2">
      <c r="A1950" s="225" t="s">
        <v>9138</v>
      </c>
      <c r="B1950" s="225" t="s">
        <v>7861</v>
      </c>
    </row>
    <row r="1951" spans="1:2">
      <c r="A1951" s="225" t="s">
        <v>9139</v>
      </c>
      <c r="B1951" s="225" t="s">
        <v>7865</v>
      </c>
    </row>
    <row r="1952" spans="1:2">
      <c r="A1952" s="225" t="s">
        <v>9140</v>
      </c>
      <c r="B1952" s="225" t="s">
        <v>7869</v>
      </c>
    </row>
    <row r="1953" spans="1:2">
      <c r="A1953" s="225" t="s">
        <v>9141</v>
      </c>
      <c r="B1953" s="225" t="s">
        <v>9142</v>
      </c>
    </row>
    <row r="1954" spans="1:2">
      <c r="A1954" s="225" t="s">
        <v>9143</v>
      </c>
      <c r="B1954" s="225" t="s">
        <v>9144</v>
      </c>
    </row>
    <row r="1955" spans="1:2">
      <c r="A1955" s="225" t="s">
        <v>9145</v>
      </c>
      <c r="B1955" s="225" t="s">
        <v>9146</v>
      </c>
    </row>
    <row r="1956" spans="1:2">
      <c r="A1956" s="225" t="s">
        <v>9147</v>
      </c>
      <c r="B1956" s="225" t="s">
        <v>9148</v>
      </c>
    </row>
    <row r="1957" spans="1:2">
      <c r="A1957" s="225" t="s">
        <v>820</v>
      </c>
      <c r="B1957" s="225" t="s">
        <v>7763</v>
      </c>
    </row>
    <row r="1958" spans="1:2">
      <c r="A1958" s="225" t="s">
        <v>896</v>
      </c>
      <c r="B1958" s="225" t="s">
        <v>7764</v>
      </c>
    </row>
    <row r="1959" spans="1:2">
      <c r="A1959" s="225" t="s">
        <v>7765</v>
      </c>
      <c r="B1959" s="225" t="s">
        <v>7766</v>
      </c>
    </row>
    <row r="1960" spans="1:2">
      <c r="A1960" s="225" t="s">
        <v>7767</v>
      </c>
      <c r="B1960" s="225" t="s">
        <v>7768</v>
      </c>
    </row>
    <row r="1961" spans="1:2">
      <c r="A1961" s="225" t="s">
        <v>7769</v>
      </c>
      <c r="B1961" s="225" t="s">
        <v>7770</v>
      </c>
    </row>
    <row r="1962" spans="1:2">
      <c r="A1962" s="225" t="s">
        <v>7750</v>
      </c>
      <c r="B1962" s="225" t="s">
        <v>7751</v>
      </c>
    </row>
    <row r="1963" spans="1:2">
      <c r="A1963" s="225" t="s">
        <v>7771</v>
      </c>
      <c r="B1963" s="225" t="s">
        <v>7772</v>
      </c>
    </row>
    <row r="1964" spans="1:2">
      <c r="A1964" s="225" t="s">
        <v>7773</v>
      </c>
      <c r="B1964" s="225" t="s">
        <v>7774</v>
      </c>
    </row>
    <row r="1965" spans="1:2">
      <c r="A1965" s="225" t="s">
        <v>7775</v>
      </c>
      <c r="B1965" s="225" t="s">
        <v>7776</v>
      </c>
    </row>
    <row r="1966" spans="1:2">
      <c r="A1966" s="225" t="s">
        <v>7777</v>
      </c>
      <c r="B1966" s="225" t="s">
        <v>7778</v>
      </c>
    </row>
    <row r="1967" spans="1:2">
      <c r="A1967" s="225" t="s">
        <v>7779</v>
      </c>
      <c r="B1967" s="225" t="s">
        <v>7780</v>
      </c>
    </row>
    <row r="1968" spans="1:2">
      <c r="A1968" s="225" t="s">
        <v>7781</v>
      </c>
      <c r="B1968" s="225" t="s">
        <v>7782</v>
      </c>
    </row>
    <row r="1969" spans="1:2">
      <c r="A1969" s="225" t="s">
        <v>7783</v>
      </c>
      <c r="B1969" s="225" t="s">
        <v>7784</v>
      </c>
    </row>
    <row r="1970" spans="1:2">
      <c r="A1970" s="225" t="s">
        <v>7785</v>
      </c>
      <c r="B1970" s="225" t="s">
        <v>7786</v>
      </c>
    </row>
    <row r="1971" spans="1:2">
      <c r="A1971" s="225" t="s">
        <v>7753</v>
      </c>
      <c r="B1971" s="225" t="s">
        <v>7754</v>
      </c>
    </row>
    <row r="1972" spans="1:2">
      <c r="A1972" s="225" t="s">
        <v>7787</v>
      </c>
      <c r="B1972" s="225" t="s">
        <v>7788</v>
      </c>
    </row>
    <row r="1973" spans="1:2">
      <c r="A1973" s="225" t="s">
        <v>7789</v>
      </c>
      <c r="B1973" s="225" t="s">
        <v>7790</v>
      </c>
    </row>
    <row r="1974" spans="1:2">
      <c r="A1974" s="225" t="s">
        <v>7791</v>
      </c>
      <c r="B1974" s="225" t="s">
        <v>7792</v>
      </c>
    </row>
    <row r="1975" spans="1:2">
      <c r="A1975" s="225" t="s">
        <v>7755</v>
      </c>
      <c r="B1975" s="225" t="s">
        <v>7756</v>
      </c>
    </row>
    <row r="1976" spans="1:2">
      <c r="A1976" s="225" t="s">
        <v>7799</v>
      </c>
      <c r="B1976" s="225" t="s">
        <v>7800</v>
      </c>
    </row>
    <row r="1977" spans="1:2">
      <c r="A1977" s="225" t="s">
        <v>7801</v>
      </c>
      <c r="B1977" s="225" t="s">
        <v>7802</v>
      </c>
    </row>
    <row r="1978" spans="1:2">
      <c r="A1978" s="225" t="s">
        <v>811</v>
      </c>
      <c r="B1978" s="225" t="s">
        <v>7757</v>
      </c>
    </row>
    <row r="1979" spans="1:2">
      <c r="A1979" s="225" t="s">
        <v>7803</v>
      </c>
      <c r="B1979" s="225" t="s">
        <v>7804</v>
      </c>
    </row>
    <row r="1980" spans="1:2">
      <c r="A1980" s="225" t="s">
        <v>7805</v>
      </c>
      <c r="B1980" s="225" t="s">
        <v>7806</v>
      </c>
    </row>
    <row r="1981" spans="1:2">
      <c r="A1981" s="225" t="s">
        <v>925</v>
      </c>
      <c r="B1981" s="225" t="s">
        <v>7758</v>
      </c>
    </row>
    <row r="1982" spans="1:2">
      <c r="A1982" s="225" t="s">
        <v>7759</v>
      </c>
      <c r="B1982" s="225" t="s">
        <v>7760</v>
      </c>
    </row>
    <row r="1983" spans="1:2">
      <c r="A1983" s="225" t="s">
        <v>7761</v>
      </c>
      <c r="B1983" s="225" t="s">
        <v>7762</v>
      </c>
    </row>
    <row r="1984" spans="1:2">
      <c r="A1984" s="225" t="s">
        <v>7807</v>
      </c>
      <c r="B1984" s="225" t="s">
        <v>7808</v>
      </c>
    </row>
    <row r="1985" spans="1:2">
      <c r="A1985" s="225" t="s">
        <v>7809</v>
      </c>
      <c r="B1985" s="225" t="s">
        <v>7810</v>
      </c>
    </row>
    <row r="1986" spans="1:2">
      <c r="A1986" s="225" t="s">
        <v>7811</v>
      </c>
      <c r="B1986" s="225" t="s">
        <v>7812</v>
      </c>
    </row>
    <row r="1987" spans="1:2">
      <c r="A1987" s="225" t="s">
        <v>7813</v>
      </c>
      <c r="B1987" s="225" t="s">
        <v>7814</v>
      </c>
    </row>
    <row r="1988" spans="1:2">
      <c r="A1988" s="225" t="s">
        <v>7815</v>
      </c>
      <c r="B1988" s="225" t="s">
        <v>7816</v>
      </c>
    </row>
    <row r="1989" spans="1:2">
      <c r="A1989" s="225" t="s">
        <v>7817</v>
      </c>
      <c r="B1989" s="225" t="s">
        <v>7818</v>
      </c>
    </row>
    <row r="1990" spans="1:2">
      <c r="A1990" s="225" t="s">
        <v>7819</v>
      </c>
      <c r="B1990" s="225" t="s">
        <v>7820</v>
      </c>
    </row>
    <row r="1991" spans="1:2">
      <c r="A1991" s="225" t="s">
        <v>7821</v>
      </c>
      <c r="B1991" s="225" t="s">
        <v>7822</v>
      </c>
    </row>
    <row r="1992" spans="1:2">
      <c r="A1992" s="225" t="s">
        <v>7823</v>
      </c>
      <c r="B1992" s="225" t="s">
        <v>7824</v>
      </c>
    </row>
    <row r="1993" spans="1:2">
      <c r="A1993" s="225" t="s">
        <v>6748</v>
      </c>
      <c r="B1993" s="225" t="s">
        <v>6749</v>
      </c>
    </row>
    <row r="1994" spans="1:2">
      <c r="A1994" s="225" t="s">
        <v>6816</v>
      </c>
      <c r="B1994" s="225" t="s">
        <v>6817</v>
      </c>
    </row>
    <row r="1995" spans="1:2">
      <c r="A1995" s="225" t="s">
        <v>6828</v>
      </c>
      <c r="B1995" s="225" t="s">
        <v>6829</v>
      </c>
    </row>
    <row r="1996" spans="1:2">
      <c r="A1996" s="225" t="s">
        <v>6830</v>
      </c>
      <c r="B1996" s="225" t="s">
        <v>6831</v>
      </c>
    </row>
    <row r="1997" spans="1:2">
      <c r="A1997" s="225" t="s">
        <v>6832</v>
      </c>
      <c r="B1997" s="225" t="s">
        <v>6833</v>
      </c>
    </row>
    <row r="1998" spans="1:2">
      <c r="A1998" s="225" t="s">
        <v>6834</v>
      </c>
      <c r="B1998" s="225" t="s">
        <v>6835</v>
      </c>
    </row>
    <row r="1999" spans="1:2">
      <c r="A1999" s="225" t="s">
        <v>6836</v>
      </c>
      <c r="B1999" s="225" t="s">
        <v>6837</v>
      </c>
    </row>
    <row r="2000" spans="1:2">
      <c r="A2000" s="225" t="s">
        <v>6838</v>
      </c>
      <c r="B2000" s="225" t="s">
        <v>6839</v>
      </c>
    </row>
    <row r="2001" spans="1:2">
      <c r="A2001" s="225" t="s">
        <v>6840</v>
      </c>
      <c r="B2001" s="225" t="s">
        <v>6841</v>
      </c>
    </row>
    <row r="2002" spans="1:2">
      <c r="A2002" s="225" t="s">
        <v>6844</v>
      </c>
      <c r="B2002" s="225" t="s">
        <v>6845</v>
      </c>
    </row>
    <row r="2003" spans="1:2">
      <c r="A2003" s="225" t="s">
        <v>6848</v>
      </c>
      <c r="B2003" s="225" t="s">
        <v>6849</v>
      </c>
    </row>
    <row r="2004" spans="1:2">
      <c r="A2004" s="225" t="s">
        <v>6850</v>
      </c>
      <c r="B2004" s="225" t="s">
        <v>6851</v>
      </c>
    </row>
    <row r="2005" spans="1:2">
      <c r="A2005" s="225" t="s">
        <v>6852</v>
      </c>
      <c r="B2005" s="225" t="s">
        <v>6853</v>
      </c>
    </row>
    <row r="2006" spans="1:2">
      <c r="A2006" s="225" t="s">
        <v>6854</v>
      </c>
      <c r="B2006" s="225" t="s">
        <v>6855</v>
      </c>
    </row>
    <row r="2007" spans="1:2">
      <c r="A2007" s="225" t="s">
        <v>6856</v>
      </c>
      <c r="B2007" s="225" t="s">
        <v>6857</v>
      </c>
    </row>
    <row r="2008" spans="1:2">
      <c r="A2008" s="225" t="s">
        <v>6858</v>
      </c>
      <c r="B2008" s="225" t="s">
        <v>6859</v>
      </c>
    </row>
    <row r="2009" spans="1:2">
      <c r="A2009" s="225" t="s">
        <v>6860</v>
      </c>
      <c r="B2009" s="225" t="s">
        <v>4028</v>
      </c>
    </row>
    <row r="2010" spans="1:2">
      <c r="A2010" s="225" t="s">
        <v>6861</v>
      </c>
      <c r="B2010" s="225" t="s">
        <v>6862</v>
      </c>
    </row>
    <row r="2011" spans="1:2">
      <c r="A2011" s="225" t="s">
        <v>6863</v>
      </c>
      <c r="B2011" s="225" t="s">
        <v>6864</v>
      </c>
    </row>
    <row r="2012" spans="1:2">
      <c r="A2012" s="225" t="s">
        <v>6865</v>
      </c>
      <c r="B2012" s="225" t="s">
        <v>6866</v>
      </c>
    </row>
    <row r="2013" spans="1:2">
      <c r="A2013" s="225" t="s">
        <v>6868</v>
      </c>
      <c r="B2013" s="225" t="s">
        <v>6869</v>
      </c>
    </row>
    <row r="2014" spans="1:2">
      <c r="A2014" s="225" t="s">
        <v>751</v>
      </c>
      <c r="B2014" s="225" t="s">
        <v>6769</v>
      </c>
    </row>
    <row r="2015" spans="1:2">
      <c r="A2015" s="225" t="s">
        <v>6870</v>
      </c>
      <c r="B2015" s="225" t="s">
        <v>6871</v>
      </c>
    </row>
    <row r="2016" spans="1:2">
      <c r="A2016" s="225" t="s">
        <v>6872</v>
      </c>
      <c r="B2016" s="225" t="s">
        <v>6873</v>
      </c>
    </row>
    <row r="2017" spans="1:2">
      <c r="A2017" s="225" t="s">
        <v>731</v>
      </c>
      <c r="B2017" s="225" t="s">
        <v>6774</v>
      </c>
    </row>
    <row r="2018" spans="1:2">
      <c r="A2018" s="225" t="s">
        <v>6874</v>
      </c>
      <c r="B2018" s="225" t="s">
        <v>6875</v>
      </c>
    </row>
    <row r="2019" spans="1:2">
      <c r="A2019" s="225" t="s">
        <v>6876</v>
      </c>
      <c r="B2019" s="225" t="s">
        <v>6778</v>
      </c>
    </row>
    <row r="2020" spans="1:2">
      <c r="A2020" s="225" t="s">
        <v>6877</v>
      </c>
      <c r="B2020" s="225" t="s">
        <v>6780</v>
      </c>
    </row>
    <row r="2021" spans="1:2">
      <c r="A2021" s="225" t="s">
        <v>6878</v>
      </c>
      <c r="B2021" s="225" t="s">
        <v>6782</v>
      </c>
    </row>
    <row r="2022" spans="1:2">
      <c r="A2022" s="225" t="s">
        <v>6879</v>
      </c>
      <c r="B2022" s="225" t="s">
        <v>6784</v>
      </c>
    </row>
    <row r="2023" spans="1:2">
      <c r="A2023" s="225" t="s">
        <v>6880</v>
      </c>
      <c r="B2023" s="225" t="s">
        <v>6881</v>
      </c>
    </row>
    <row r="2024" spans="1:2">
      <c r="A2024" s="225" t="s">
        <v>6882</v>
      </c>
      <c r="B2024" s="225" t="s">
        <v>6883</v>
      </c>
    </row>
    <row r="2025" spans="1:2">
      <c r="A2025" s="225" t="s">
        <v>828</v>
      </c>
      <c r="B2025" s="225" t="s">
        <v>6884</v>
      </c>
    </row>
    <row r="2026" spans="1:2">
      <c r="A2026" s="225" t="s">
        <v>6885</v>
      </c>
      <c r="B2026" s="225" t="s">
        <v>6886</v>
      </c>
    </row>
    <row r="2027" spans="1:2">
      <c r="A2027" s="225" t="s">
        <v>6887</v>
      </c>
      <c r="B2027" s="225" t="s">
        <v>6888</v>
      </c>
    </row>
    <row r="2028" spans="1:2">
      <c r="A2028" s="225" t="s">
        <v>6889</v>
      </c>
      <c r="B2028" s="225" t="s">
        <v>6890</v>
      </c>
    </row>
    <row r="2029" spans="1:2">
      <c r="A2029" s="225" t="s">
        <v>6891</v>
      </c>
      <c r="B2029" s="225" t="s">
        <v>6892</v>
      </c>
    </row>
    <row r="2030" spans="1:2">
      <c r="A2030" s="225" t="s">
        <v>6893</v>
      </c>
      <c r="B2030" s="225" t="s">
        <v>6894</v>
      </c>
    </row>
    <row r="2031" spans="1:2">
      <c r="A2031" s="225" t="s">
        <v>6895</v>
      </c>
      <c r="B2031" s="225" t="s">
        <v>6896</v>
      </c>
    </row>
    <row r="2032" spans="1:2">
      <c r="A2032" s="225" t="s">
        <v>6897</v>
      </c>
      <c r="B2032" s="225" t="s">
        <v>6898</v>
      </c>
    </row>
    <row r="2033" spans="1:2">
      <c r="A2033" s="225" t="s">
        <v>6899</v>
      </c>
      <c r="B2033" s="225" t="s">
        <v>5210</v>
      </c>
    </row>
    <row r="2034" spans="1:2">
      <c r="A2034" s="225" t="s">
        <v>6900</v>
      </c>
      <c r="B2034" s="225" t="s">
        <v>6901</v>
      </c>
    </row>
    <row r="2035" spans="1:2">
      <c r="A2035" s="225" t="s">
        <v>6902</v>
      </c>
      <c r="B2035" s="225" t="s">
        <v>6903</v>
      </c>
    </row>
    <row r="2036" spans="1:2">
      <c r="A2036" s="225" t="s">
        <v>7724</v>
      </c>
      <c r="B2036" s="225" t="s">
        <v>7725</v>
      </c>
    </row>
    <row r="2037" spans="1:2">
      <c r="A2037" s="225" t="s">
        <v>7727</v>
      </c>
      <c r="B2037" s="225" t="s">
        <v>4824</v>
      </c>
    </row>
    <row r="2038" spans="1:2">
      <c r="A2038" s="225" t="s">
        <v>7728</v>
      </c>
      <c r="B2038" s="225" t="s">
        <v>7729</v>
      </c>
    </row>
    <row r="2039" spans="1:2">
      <c r="A2039" s="225" t="s">
        <v>7730</v>
      </c>
      <c r="B2039" s="225" t="s">
        <v>7731</v>
      </c>
    </row>
    <row r="2040" spans="1:2">
      <c r="A2040" s="225" t="s">
        <v>7732</v>
      </c>
      <c r="B2040" s="225" t="s">
        <v>3948</v>
      </c>
    </row>
    <row r="2041" spans="1:2">
      <c r="A2041" s="225" t="s">
        <v>7733</v>
      </c>
      <c r="B2041" s="225" t="s">
        <v>3950</v>
      </c>
    </row>
    <row r="2042" spans="1:2">
      <c r="A2042" s="225" t="s">
        <v>7734</v>
      </c>
      <c r="B2042" s="225" t="s">
        <v>7735</v>
      </c>
    </row>
    <row r="2043" spans="1:2">
      <c r="A2043" s="225" t="s">
        <v>7736</v>
      </c>
      <c r="B2043" s="225" t="s">
        <v>7737</v>
      </c>
    </row>
    <row r="2044" spans="1:2">
      <c r="A2044" s="225" t="s">
        <v>7738</v>
      </c>
      <c r="B2044" s="225" t="s">
        <v>7739</v>
      </c>
    </row>
    <row r="2045" spans="1:2">
      <c r="A2045" s="225" t="s">
        <v>7746</v>
      </c>
      <c r="B2045" s="225" t="s">
        <v>7747</v>
      </c>
    </row>
    <row r="2046" spans="1:2">
      <c r="A2046" s="225" t="s">
        <v>7748</v>
      </c>
      <c r="B2046" s="225" t="s">
        <v>7749</v>
      </c>
    </row>
    <row r="2047" spans="1:2">
      <c r="A2047" s="225" t="s">
        <v>1565</v>
      </c>
      <c r="B2047" s="225" t="s">
        <v>9657</v>
      </c>
    </row>
    <row r="2048" spans="1:2">
      <c r="A2048" s="225" t="s">
        <v>1566</v>
      </c>
      <c r="B2048" s="225" t="s">
        <v>9658</v>
      </c>
    </row>
    <row r="2049" spans="1:2">
      <c r="A2049" s="225" t="s">
        <v>1567</v>
      </c>
      <c r="B2049" s="225" t="s">
        <v>9659</v>
      </c>
    </row>
    <row r="2050" spans="1:2">
      <c r="A2050" s="225" t="s">
        <v>1568</v>
      </c>
      <c r="B2050" s="225" t="s">
        <v>9660</v>
      </c>
    </row>
    <row r="2051" spans="1:2">
      <c r="A2051" s="225" t="s">
        <v>1569</v>
      </c>
      <c r="B2051" s="225" t="s">
        <v>9661</v>
      </c>
    </row>
    <row r="2052" spans="1:2">
      <c r="A2052" s="225" t="s">
        <v>1570</v>
      </c>
      <c r="B2052" s="225" t="s">
        <v>9662</v>
      </c>
    </row>
    <row r="2053" spans="1:2">
      <c r="A2053" s="225" t="s">
        <v>1571</v>
      </c>
      <c r="B2053" s="225" t="s">
        <v>9663</v>
      </c>
    </row>
    <row r="2054" spans="1:2">
      <c r="A2054" s="225" t="s">
        <v>1572</v>
      </c>
      <c r="B2054" s="225" t="s">
        <v>9664</v>
      </c>
    </row>
    <row r="2055" spans="1:2">
      <c r="A2055" s="225" t="s">
        <v>1573</v>
      </c>
      <c r="B2055" s="225" t="s">
        <v>9665</v>
      </c>
    </row>
    <row r="2056" spans="1:2">
      <c r="A2056" s="225" t="s">
        <v>1574</v>
      </c>
      <c r="B2056" s="225" t="s">
        <v>9666</v>
      </c>
    </row>
    <row r="2057" spans="1:2">
      <c r="A2057" s="225" t="s">
        <v>1575</v>
      </c>
      <c r="B2057" s="225" t="s">
        <v>9667</v>
      </c>
    </row>
    <row r="2058" spans="1:2">
      <c r="A2058" s="225" t="s">
        <v>9690</v>
      </c>
      <c r="B2058" s="225" t="s">
        <v>9691</v>
      </c>
    </row>
    <row r="2059" spans="1:2">
      <c r="A2059" s="225" t="s">
        <v>1579</v>
      </c>
      <c r="B2059" s="225" t="s">
        <v>9692</v>
      </c>
    </row>
    <row r="2060" spans="1:2">
      <c r="A2060" s="225" t="s">
        <v>1577</v>
      </c>
      <c r="B2060" s="225" t="s">
        <v>9693</v>
      </c>
    </row>
    <row r="2061" spans="1:2">
      <c r="A2061" s="225" t="s">
        <v>1578</v>
      </c>
      <c r="B2061" s="225" t="s">
        <v>9694</v>
      </c>
    </row>
    <row r="2062" spans="1:2">
      <c r="A2062" s="225" t="s">
        <v>5338</v>
      </c>
      <c r="B2062" s="225" t="s">
        <v>5339</v>
      </c>
    </row>
    <row r="2063" spans="1:2">
      <c r="A2063" s="225" t="s">
        <v>709</v>
      </c>
      <c r="B2063" s="225" t="s">
        <v>5340</v>
      </c>
    </row>
    <row r="2064" spans="1:2">
      <c r="A2064" s="225" t="s">
        <v>757</v>
      </c>
      <c r="B2064" s="225" t="s">
        <v>5341</v>
      </c>
    </row>
    <row r="2065" spans="1:2">
      <c r="A2065" s="225" t="s">
        <v>5342</v>
      </c>
      <c r="B2065" s="225" t="s">
        <v>5343</v>
      </c>
    </row>
    <row r="2066" spans="1:2">
      <c r="A2066" s="225" t="s">
        <v>707</v>
      </c>
      <c r="B2066" s="225" t="s">
        <v>5344</v>
      </c>
    </row>
    <row r="2067" spans="1:2">
      <c r="A2067" s="225" t="s">
        <v>5346</v>
      </c>
      <c r="B2067" s="225" t="s">
        <v>3958</v>
      </c>
    </row>
    <row r="2068" spans="1:2">
      <c r="A2068" s="225" t="s">
        <v>1329</v>
      </c>
      <c r="B2068" s="225" t="s">
        <v>5347</v>
      </c>
    </row>
    <row r="2069" spans="1:2">
      <c r="A2069" s="225" t="s">
        <v>5348</v>
      </c>
      <c r="B2069" s="225" t="s">
        <v>5349</v>
      </c>
    </row>
    <row r="2070" spans="1:2">
      <c r="A2070" s="225" t="s">
        <v>5350</v>
      </c>
      <c r="B2070" s="225" t="s">
        <v>5351</v>
      </c>
    </row>
    <row r="2071" spans="1:2">
      <c r="A2071" s="225" t="s">
        <v>5352</v>
      </c>
      <c r="B2071" s="225" t="s">
        <v>5353</v>
      </c>
    </row>
    <row r="2072" spans="1:2">
      <c r="A2072" s="225" t="s">
        <v>5354</v>
      </c>
      <c r="B2072" s="225" t="s">
        <v>5355</v>
      </c>
    </row>
    <row r="2073" spans="1:2">
      <c r="A2073" s="225" t="s">
        <v>5356</v>
      </c>
      <c r="B2073" s="225" t="s">
        <v>5357</v>
      </c>
    </row>
    <row r="2074" spans="1:2">
      <c r="A2074" s="225" t="s">
        <v>5358</v>
      </c>
      <c r="B2074" s="225" t="s">
        <v>5359</v>
      </c>
    </row>
    <row r="2075" spans="1:2">
      <c r="A2075" s="225" t="s">
        <v>724</v>
      </c>
      <c r="B2075" s="225" t="s">
        <v>5360</v>
      </c>
    </row>
    <row r="2076" spans="1:2">
      <c r="A2076" s="225" t="s">
        <v>5361</v>
      </c>
      <c r="B2076" s="225" t="s">
        <v>5362</v>
      </c>
    </row>
    <row r="2077" spans="1:2">
      <c r="A2077" s="225" t="s">
        <v>5363</v>
      </c>
      <c r="B2077" s="225" t="s">
        <v>5364</v>
      </c>
    </row>
    <row r="2078" spans="1:2">
      <c r="A2078" s="225" t="s">
        <v>5365</v>
      </c>
      <c r="B2078" s="225" t="s">
        <v>5366</v>
      </c>
    </row>
    <row r="2079" spans="1:2">
      <c r="A2079" s="225" t="s">
        <v>711</v>
      </c>
      <c r="B2079" s="225" t="s">
        <v>5367</v>
      </c>
    </row>
    <row r="2080" spans="1:2">
      <c r="A2080" s="225" t="s">
        <v>5368</v>
      </c>
      <c r="B2080" s="225" t="s">
        <v>5369</v>
      </c>
    </row>
    <row r="2081" spans="1:2">
      <c r="A2081" s="225" t="s">
        <v>5370</v>
      </c>
      <c r="B2081" s="225" t="s">
        <v>5371</v>
      </c>
    </row>
    <row r="2082" spans="1:2">
      <c r="A2082" s="225" t="s">
        <v>5372</v>
      </c>
      <c r="B2082" s="225" t="s">
        <v>5373</v>
      </c>
    </row>
    <row r="2083" spans="1:2">
      <c r="A2083" s="225" t="s">
        <v>5374</v>
      </c>
      <c r="B2083" s="225" t="s">
        <v>5375</v>
      </c>
    </row>
    <row r="2084" spans="1:2">
      <c r="A2084" s="225" t="s">
        <v>5376</v>
      </c>
      <c r="B2084" s="225" t="s">
        <v>5377</v>
      </c>
    </row>
    <row r="2085" spans="1:2">
      <c r="A2085" s="225" t="s">
        <v>5378</v>
      </c>
      <c r="B2085" s="225" t="s">
        <v>5379</v>
      </c>
    </row>
    <row r="2086" spans="1:2">
      <c r="A2086" s="225" t="s">
        <v>5380</v>
      </c>
      <c r="B2086" s="225" t="s">
        <v>5381</v>
      </c>
    </row>
    <row r="2087" spans="1:2">
      <c r="A2087" s="225" t="s">
        <v>5382</v>
      </c>
      <c r="B2087" s="225" t="s">
        <v>5383</v>
      </c>
    </row>
    <row r="2088" spans="1:2">
      <c r="A2088" s="225" t="s">
        <v>5384</v>
      </c>
      <c r="B2088" s="225" t="s">
        <v>5385</v>
      </c>
    </row>
    <row r="2089" spans="1:2">
      <c r="A2089" s="225" t="s">
        <v>5386</v>
      </c>
      <c r="B2089" s="225" t="s">
        <v>5387</v>
      </c>
    </row>
    <row r="2090" spans="1:2">
      <c r="A2090" s="225" t="s">
        <v>5388</v>
      </c>
      <c r="B2090" s="225" t="s">
        <v>5389</v>
      </c>
    </row>
    <row r="2091" spans="1:2">
      <c r="A2091" s="225" t="s">
        <v>715</v>
      </c>
      <c r="B2091" s="225" t="s">
        <v>5390</v>
      </c>
    </row>
    <row r="2092" spans="1:2">
      <c r="A2092" s="225" t="s">
        <v>9267</v>
      </c>
      <c r="B2092" s="225" t="s">
        <v>2128</v>
      </c>
    </row>
    <row r="2093" spans="1:2">
      <c r="A2093" s="225" t="s">
        <v>201</v>
      </c>
      <c r="B2093" s="225" t="s">
        <v>9438</v>
      </c>
    </row>
    <row r="2094" spans="1:2">
      <c r="A2094" s="225" t="s">
        <v>202</v>
      </c>
      <c r="B2094" s="225" t="s">
        <v>9439</v>
      </c>
    </row>
    <row r="2095" spans="1:2">
      <c r="A2095" s="225" t="s">
        <v>2193</v>
      </c>
      <c r="B2095" s="225" t="s">
        <v>2194</v>
      </c>
    </row>
    <row r="2096" spans="1:2">
      <c r="A2096" s="225" t="s">
        <v>6193</v>
      </c>
      <c r="B2096" s="225" t="s">
        <v>6194</v>
      </c>
    </row>
    <row r="2097" spans="1:2">
      <c r="A2097" s="225" t="s">
        <v>6195</v>
      </c>
      <c r="B2097" s="225" t="s">
        <v>6196</v>
      </c>
    </row>
    <row r="2098" spans="1:2">
      <c r="A2098" s="225" t="s">
        <v>6197</v>
      </c>
      <c r="B2098" s="225" t="s">
        <v>5839</v>
      </c>
    </row>
    <row r="2099" spans="1:2">
      <c r="A2099" s="225" t="s">
        <v>6198</v>
      </c>
      <c r="B2099" s="225" t="s">
        <v>5841</v>
      </c>
    </row>
    <row r="2100" spans="1:2">
      <c r="A2100" s="225" t="s">
        <v>6199</v>
      </c>
      <c r="B2100" s="225" t="s">
        <v>5843</v>
      </c>
    </row>
    <row r="2101" spans="1:2">
      <c r="A2101" s="225" t="s">
        <v>6200</v>
      </c>
      <c r="B2101" s="225" t="s">
        <v>1702</v>
      </c>
    </row>
    <row r="2102" spans="1:2">
      <c r="A2102" s="225" t="s">
        <v>6201</v>
      </c>
      <c r="B2102" s="225" t="s">
        <v>5846</v>
      </c>
    </row>
    <row r="2103" spans="1:2">
      <c r="A2103" s="225" t="s">
        <v>7960</v>
      </c>
      <c r="B2103" s="225" t="s">
        <v>4625</v>
      </c>
    </row>
    <row r="2104" spans="1:2">
      <c r="A2104" s="225" t="s">
        <v>6230</v>
      </c>
      <c r="B2104" s="225" t="s">
        <v>6231</v>
      </c>
    </row>
    <row r="2105" spans="1:2">
      <c r="A2105" s="225" t="s">
        <v>6232</v>
      </c>
      <c r="B2105" s="225" t="s">
        <v>6231</v>
      </c>
    </row>
    <row r="2106" spans="1:2">
      <c r="A2106" s="225" t="s">
        <v>6233</v>
      </c>
      <c r="B2106" s="225" t="s">
        <v>6231</v>
      </c>
    </row>
    <row r="2107" spans="1:2">
      <c r="A2107" s="225" t="s">
        <v>3647</v>
      </c>
      <c r="B2107" s="225" t="s">
        <v>3648</v>
      </c>
    </row>
    <row r="2108" spans="1:2">
      <c r="A2108" s="225" t="s">
        <v>8247</v>
      </c>
      <c r="B2108" s="225" t="s">
        <v>8248</v>
      </c>
    </row>
    <row r="2109" spans="1:2">
      <c r="A2109" s="225" t="s">
        <v>8249</v>
      </c>
      <c r="B2109" s="225" t="s">
        <v>8250</v>
      </c>
    </row>
    <row r="2110" spans="1:2">
      <c r="A2110" s="225" t="s">
        <v>8251</v>
      </c>
      <c r="B2110" s="225" t="s">
        <v>8252</v>
      </c>
    </row>
    <row r="2111" spans="1:2">
      <c r="A2111" s="225" t="s">
        <v>8255</v>
      </c>
      <c r="B2111" s="225" t="s">
        <v>8256</v>
      </c>
    </row>
    <row r="2112" spans="1:2">
      <c r="A2112" s="225" t="s">
        <v>8257</v>
      </c>
      <c r="B2112" s="225" t="s">
        <v>8258</v>
      </c>
    </row>
    <row r="2113" spans="1:2">
      <c r="A2113" s="225" t="s">
        <v>8259</v>
      </c>
      <c r="B2113" s="225" t="s">
        <v>8260</v>
      </c>
    </row>
    <row r="2114" spans="1:2">
      <c r="A2114" s="225" t="s">
        <v>6607</v>
      </c>
      <c r="B2114" s="225" t="s">
        <v>6608</v>
      </c>
    </row>
    <row r="2115" spans="1:2">
      <c r="A2115" s="225" t="s">
        <v>6609</v>
      </c>
      <c r="B2115" s="225" t="s">
        <v>6608</v>
      </c>
    </row>
    <row r="2116" spans="1:2">
      <c r="A2116" s="225" t="s">
        <v>8265</v>
      </c>
      <c r="B2116" s="225" t="s">
        <v>8266</v>
      </c>
    </row>
    <row r="2117" spans="1:2">
      <c r="A2117" s="225" t="s">
        <v>8267</v>
      </c>
      <c r="B2117" s="225" t="s">
        <v>8268</v>
      </c>
    </row>
    <row r="2118" spans="1:2">
      <c r="A2118" s="225" t="s">
        <v>8269</v>
      </c>
      <c r="B2118" s="225" t="s">
        <v>8270</v>
      </c>
    </row>
    <row r="2119" spans="1:2">
      <c r="A2119" s="225" t="s">
        <v>8271</v>
      </c>
      <c r="B2119" s="225" t="s">
        <v>8272</v>
      </c>
    </row>
    <row r="2120" spans="1:2">
      <c r="A2120" s="225" t="s">
        <v>8273</v>
      </c>
      <c r="B2120" s="225" t="s">
        <v>8274</v>
      </c>
    </row>
    <row r="2121" spans="1:2">
      <c r="A2121" s="225" t="s">
        <v>8275</v>
      </c>
      <c r="B2121" s="225" t="s">
        <v>8276</v>
      </c>
    </row>
    <row r="2122" spans="1:2">
      <c r="A2122" s="225" t="s">
        <v>8277</v>
      </c>
      <c r="B2122" s="225" t="s">
        <v>8278</v>
      </c>
    </row>
    <row r="2123" spans="1:2">
      <c r="A2123" s="225" t="s">
        <v>8279</v>
      </c>
      <c r="B2123" s="225" t="s">
        <v>8280</v>
      </c>
    </row>
    <row r="2124" spans="1:2">
      <c r="A2124" s="225" t="s">
        <v>8281</v>
      </c>
      <c r="B2124" s="225" t="s">
        <v>8282</v>
      </c>
    </row>
    <row r="2125" spans="1:2">
      <c r="A2125" s="225" t="s">
        <v>8287</v>
      </c>
      <c r="B2125" s="225" t="s">
        <v>8288</v>
      </c>
    </row>
    <row r="2126" spans="1:2">
      <c r="A2126" s="225" t="s">
        <v>8291</v>
      </c>
      <c r="B2126" s="225" t="s">
        <v>8292</v>
      </c>
    </row>
    <row r="2127" spans="1:2">
      <c r="A2127" s="225" t="s">
        <v>8309</v>
      </c>
      <c r="B2127" s="225" t="s">
        <v>8310</v>
      </c>
    </row>
    <row r="2128" spans="1:2">
      <c r="A2128" s="225" t="s">
        <v>8404</v>
      </c>
      <c r="B2128" s="225" t="s">
        <v>8405</v>
      </c>
    </row>
    <row r="2129" spans="1:2">
      <c r="A2129" s="225" t="s">
        <v>9307</v>
      </c>
      <c r="B2129" s="225" t="s">
        <v>9308</v>
      </c>
    </row>
    <row r="2130" spans="1:2">
      <c r="A2130" s="225" t="s">
        <v>7954</v>
      </c>
      <c r="B2130" s="225" t="s">
        <v>7955</v>
      </c>
    </row>
    <row r="2131" spans="1:2">
      <c r="A2131" s="225" t="s">
        <v>7956</v>
      </c>
      <c r="B2131" s="225" t="s">
        <v>7957</v>
      </c>
    </row>
    <row r="2132" spans="1:2">
      <c r="A2132" s="225" t="s">
        <v>7961</v>
      </c>
      <c r="B2132" s="225" t="s">
        <v>7962</v>
      </c>
    </row>
    <row r="2133" spans="1:2">
      <c r="A2133" s="225" t="s">
        <v>7795</v>
      </c>
      <c r="B2133" s="225" t="s">
        <v>7796</v>
      </c>
    </row>
    <row r="2134" spans="1:2">
      <c r="A2134" s="225" t="s">
        <v>7797</v>
      </c>
      <c r="B2134" s="225" t="s">
        <v>7798</v>
      </c>
    </row>
    <row r="2135" spans="1:2">
      <c r="A2135" s="225" t="s">
        <v>714</v>
      </c>
      <c r="B2135" s="225" t="s">
        <v>5391</v>
      </c>
    </row>
    <row r="2136" spans="1:2">
      <c r="A2136" s="225" t="s">
        <v>5393</v>
      </c>
      <c r="B2136" s="225" t="s">
        <v>5394</v>
      </c>
    </row>
    <row r="2137" spans="1:2">
      <c r="A2137" s="225" t="s">
        <v>717</v>
      </c>
      <c r="B2137" s="225" t="s">
        <v>5392</v>
      </c>
    </row>
    <row r="2138" spans="1:2">
      <c r="A2138" s="225" t="s">
        <v>6753</v>
      </c>
      <c r="B2138" s="225" t="s">
        <v>6754</v>
      </c>
    </row>
    <row r="2139" spans="1:2">
      <c r="A2139" s="225" t="s">
        <v>6755</v>
      </c>
      <c r="B2139" s="225" t="s">
        <v>6756</v>
      </c>
    </row>
    <row r="2140" spans="1:2">
      <c r="A2140" s="225" t="s">
        <v>6757</v>
      </c>
      <c r="B2140" s="225" t="s">
        <v>6758</v>
      </c>
    </row>
    <row r="2141" spans="1:2">
      <c r="A2141" s="225" t="s">
        <v>6759</v>
      </c>
      <c r="B2141" s="225" t="s">
        <v>6760</v>
      </c>
    </row>
    <row r="2142" spans="1:2">
      <c r="A2142" s="225" t="s">
        <v>6761</v>
      </c>
      <c r="B2142" s="225" t="s">
        <v>6762</v>
      </c>
    </row>
    <row r="2143" spans="1:2">
      <c r="A2143" s="225" t="s">
        <v>704</v>
      </c>
      <c r="B2143" s="225" t="s">
        <v>6763</v>
      </c>
    </row>
    <row r="2144" spans="1:2">
      <c r="A2144" s="225" t="s">
        <v>6764</v>
      </c>
      <c r="B2144" s="225" t="s">
        <v>6765</v>
      </c>
    </row>
    <row r="2145" spans="1:2">
      <c r="A2145" s="225" t="s">
        <v>6767</v>
      </c>
      <c r="B2145" s="225" t="s">
        <v>6768</v>
      </c>
    </row>
    <row r="2146" spans="1:2">
      <c r="A2146" s="225" t="s">
        <v>779</v>
      </c>
      <c r="B2146" s="225" t="s">
        <v>6769</v>
      </c>
    </row>
    <row r="2147" spans="1:2">
      <c r="A2147" s="225" t="s">
        <v>6770</v>
      </c>
      <c r="B2147" s="225" t="s">
        <v>6771</v>
      </c>
    </row>
    <row r="2148" spans="1:2">
      <c r="A2148" s="225" t="s">
        <v>6772</v>
      </c>
      <c r="B2148" s="225" t="s">
        <v>6773</v>
      </c>
    </row>
    <row r="2149" spans="1:2">
      <c r="A2149" s="225" t="s">
        <v>742</v>
      </c>
      <c r="B2149" s="225" t="s">
        <v>6774</v>
      </c>
    </row>
    <row r="2150" spans="1:2">
      <c r="A2150" s="225" t="s">
        <v>6775</v>
      </c>
      <c r="B2150" s="225" t="s">
        <v>6776</v>
      </c>
    </row>
    <row r="2151" spans="1:2">
      <c r="A2151" s="225" t="s">
        <v>6777</v>
      </c>
      <c r="B2151" s="225" t="s">
        <v>6778</v>
      </c>
    </row>
    <row r="2152" spans="1:2">
      <c r="A2152" s="225" t="s">
        <v>6779</v>
      </c>
      <c r="B2152" s="225" t="s">
        <v>6780</v>
      </c>
    </row>
    <row r="2153" spans="1:2">
      <c r="A2153" s="225" t="s">
        <v>6781</v>
      </c>
      <c r="B2153" s="225" t="s">
        <v>6782</v>
      </c>
    </row>
    <row r="2154" spans="1:2">
      <c r="A2154" s="225" t="s">
        <v>6783</v>
      </c>
      <c r="B2154" s="225" t="s">
        <v>6784</v>
      </c>
    </row>
    <row r="2155" spans="1:2">
      <c r="A2155" s="225" t="s">
        <v>6785</v>
      </c>
      <c r="B2155" s="225" t="s">
        <v>6786</v>
      </c>
    </row>
    <row r="2156" spans="1:2">
      <c r="A2156" s="225" t="s">
        <v>1039</v>
      </c>
      <c r="B2156" s="225" t="s">
        <v>6787</v>
      </c>
    </row>
    <row r="2157" spans="1:2">
      <c r="A2157" s="225" t="s">
        <v>6788</v>
      </c>
      <c r="B2157" s="225" t="s">
        <v>6789</v>
      </c>
    </row>
    <row r="2158" spans="1:2">
      <c r="A2158" s="225" t="s">
        <v>6790</v>
      </c>
      <c r="B2158" s="225" t="s">
        <v>6791</v>
      </c>
    </row>
    <row r="2159" spans="1:2">
      <c r="A2159" s="225" t="s">
        <v>6792</v>
      </c>
      <c r="B2159" s="225" t="s">
        <v>6793</v>
      </c>
    </row>
    <row r="2160" spans="1:2">
      <c r="A2160" s="225" t="s">
        <v>6794</v>
      </c>
      <c r="B2160" s="225" t="s">
        <v>6795</v>
      </c>
    </row>
    <row r="2161" spans="1:2">
      <c r="A2161" s="225" t="s">
        <v>6796</v>
      </c>
      <c r="B2161" s="225" t="s">
        <v>6797</v>
      </c>
    </row>
    <row r="2162" spans="1:2">
      <c r="A2162" s="225" t="s">
        <v>6798</v>
      </c>
      <c r="B2162" s="225" t="s">
        <v>6799</v>
      </c>
    </row>
    <row r="2163" spans="1:2">
      <c r="A2163" s="225" t="s">
        <v>6800</v>
      </c>
      <c r="B2163" s="225" t="s">
        <v>6801</v>
      </c>
    </row>
    <row r="2164" spans="1:2">
      <c r="A2164" s="225" t="s">
        <v>6802</v>
      </c>
      <c r="B2164" s="225" t="s">
        <v>6803</v>
      </c>
    </row>
    <row r="2165" spans="1:2">
      <c r="A2165" s="225" t="s">
        <v>6804</v>
      </c>
      <c r="B2165" s="225" t="s">
        <v>6805</v>
      </c>
    </row>
    <row r="2166" spans="1:2">
      <c r="A2166" s="225" t="s">
        <v>6806</v>
      </c>
      <c r="B2166" s="225" t="s">
        <v>6807</v>
      </c>
    </row>
    <row r="2167" spans="1:2">
      <c r="A2167" s="225" t="s">
        <v>6808</v>
      </c>
      <c r="B2167" s="225" t="s">
        <v>6809</v>
      </c>
    </row>
    <row r="2168" spans="1:2">
      <c r="A2168" s="225" t="s">
        <v>6810</v>
      </c>
      <c r="B2168" s="225" t="s">
        <v>6811</v>
      </c>
    </row>
    <row r="2169" spans="1:2">
      <c r="A2169" s="225" t="s">
        <v>6812</v>
      </c>
      <c r="B2169" s="225" t="s">
        <v>6813</v>
      </c>
    </row>
    <row r="2170" spans="1:2">
      <c r="A2170" s="225" t="s">
        <v>6814</v>
      </c>
      <c r="B2170" s="225" t="s">
        <v>6815</v>
      </c>
    </row>
    <row r="2171" spans="1:2">
      <c r="A2171" s="225" t="s">
        <v>6818</v>
      </c>
      <c r="B2171" s="225" t="s">
        <v>6819</v>
      </c>
    </row>
    <row r="2172" spans="1:2">
      <c r="A2172" s="225" t="s">
        <v>6820</v>
      </c>
      <c r="B2172" s="225" t="s">
        <v>6821</v>
      </c>
    </row>
    <row r="2173" spans="1:2">
      <c r="A2173" s="225" t="s">
        <v>6822</v>
      </c>
      <c r="B2173" s="225" t="s">
        <v>6823</v>
      </c>
    </row>
    <row r="2174" spans="1:2">
      <c r="A2174" s="225" t="s">
        <v>6824</v>
      </c>
      <c r="B2174" s="225" t="s">
        <v>6825</v>
      </c>
    </row>
    <row r="2175" spans="1:2">
      <c r="A2175" s="225" t="s">
        <v>6826</v>
      </c>
      <c r="B2175" s="225" t="s">
        <v>6827</v>
      </c>
    </row>
    <row r="2176" spans="1:2">
      <c r="A2176" s="225" t="s">
        <v>6842</v>
      </c>
      <c r="B2176" s="225" t="s">
        <v>6843</v>
      </c>
    </row>
    <row r="2177" spans="1:2">
      <c r="A2177" s="225" t="s">
        <v>6846</v>
      </c>
      <c r="B2177" s="225" t="s">
        <v>6847</v>
      </c>
    </row>
    <row r="2178" spans="1:2">
      <c r="A2178" s="225" t="s">
        <v>5225</v>
      </c>
      <c r="B2178" s="225" t="s">
        <v>5226</v>
      </c>
    </row>
    <row r="2179" spans="1:2">
      <c r="A2179" s="225" t="s">
        <v>5227</v>
      </c>
      <c r="B2179" s="225" t="s">
        <v>4677</v>
      </c>
    </row>
    <row r="2180" spans="1:2">
      <c r="A2180" s="225" t="s">
        <v>5228</v>
      </c>
      <c r="B2180" s="225" t="s">
        <v>2618</v>
      </c>
    </row>
    <row r="2181" spans="1:2">
      <c r="A2181" s="225" t="s">
        <v>5229</v>
      </c>
      <c r="B2181" s="225" t="s">
        <v>2620</v>
      </c>
    </row>
    <row r="2182" spans="1:2">
      <c r="A2182" s="225" t="s">
        <v>5230</v>
      </c>
      <c r="B2182" s="225" t="s">
        <v>5231</v>
      </c>
    </row>
    <row r="2183" spans="1:2">
      <c r="A2183" s="225" t="s">
        <v>5232</v>
      </c>
      <c r="B2183" s="225" t="s">
        <v>5233</v>
      </c>
    </row>
    <row r="2184" spans="1:2">
      <c r="A2184" s="225" t="s">
        <v>1347</v>
      </c>
      <c r="B2184" s="225" t="s">
        <v>5234</v>
      </c>
    </row>
    <row r="2185" spans="1:2">
      <c r="A2185" s="225" t="s">
        <v>5235</v>
      </c>
      <c r="B2185" s="225" t="s">
        <v>5236</v>
      </c>
    </row>
    <row r="2186" spans="1:2">
      <c r="A2186" s="225" t="s">
        <v>5237</v>
      </c>
      <c r="B2186" s="225" t="s">
        <v>5238</v>
      </c>
    </row>
    <row r="2187" spans="1:2">
      <c r="A2187" s="225" t="s">
        <v>5239</v>
      </c>
      <c r="B2187" s="225" t="s">
        <v>5240</v>
      </c>
    </row>
    <row r="2188" spans="1:2">
      <c r="A2188" s="225" t="s">
        <v>5241</v>
      </c>
      <c r="B2188" s="225" t="s">
        <v>5242</v>
      </c>
    </row>
    <row r="2189" spans="1:2">
      <c r="A2189" s="225" t="s">
        <v>5243</v>
      </c>
      <c r="B2189" s="225" t="s">
        <v>5244</v>
      </c>
    </row>
    <row r="2190" spans="1:2">
      <c r="A2190" s="225" t="s">
        <v>5245</v>
      </c>
      <c r="B2190" s="225" t="s">
        <v>5246</v>
      </c>
    </row>
    <row r="2191" spans="1:2">
      <c r="A2191" s="225" t="s">
        <v>5247</v>
      </c>
      <c r="B2191" s="225" t="s">
        <v>5248</v>
      </c>
    </row>
    <row r="2192" spans="1:2">
      <c r="A2192" s="225" t="s">
        <v>5249</v>
      </c>
      <c r="B2192" s="225" t="s">
        <v>5250</v>
      </c>
    </row>
    <row r="2193" spans="1:2">
      <c r="A2193" s="225" t="s">
        <v>5251</v>
      </c>
      <c r="B2193" s="225" t="s">
        <v>5252</v>
      </c>
    </row>
    <row r="2194" spans="1:2">
      <c r="A2194" s="225" t="s">
        <v>5253</v>
      </c>
      <c r="B2194" s="225" t="s">
        <v>5254</v>
      </c>
    </row>
    <row r="2195" spans="1:2">
      <c r="A2195" s="225" t="s">
        <v>5255</v>
      </c>
      <c r="B2195" s="225" t="s">
        <v>5256</v>
      </c>
    </row>
    <row r="2196" spans="1:2">
      <c r="A2196" s="225" t="s">
        <v>5257</v>
      </c>
      <c r="B2196" s="225" t="s">
        <v>5258</v>
      </c>
    </row>
    <row r="2197" spans="1:2">
      <c r="A2197" s="225" t="s">
        <v>5259</v>
      </c>
      <c r="B2197" s="225" t="s">
        <v>5260</v>
      </c>
    </row>
    <row r="2198" spans="1:2">
      <c r="A2198" s="225" t="s">
        <v>5261</v>
      </c>
      <c r="B2198" s="225" t="s">
        <v>5262</v>
      </c>
    </row>
    <row r="2199" spans="1:2">
      <c r="A2199" s="225" t="s">
        <v>1415</v>
      </c>
      <c r="B2199" s="225" t="s">
        <v>5263</v>
      </c>
    </row>
    <row r="2200" spans="1:2">
      <c r="A2200" s="225" t="s">
        <v>1318</v>
      </c>
      <c r="B2200" s="225" t="s">
        <v>5264</v>
      </c>
    </row>
    <row r="2201" spans="1:2">
      <c r="A2201" s="225" t="s">
        <v>1319</v>
      </c>
      <c r="B2201" s="225" t="s">
        <v>5265</v>
      </c>
    </row>
    <row r="2202" spans="1:2">
      <c r="A2202" s="225" t="s">
        <v>5266</v>
      </c>
      <c r="B2202" s="225" t="s">
        <v>5267</v>
      </c>
    </row>
    <row r="2203" spans="1:2">
      <c r="A2203" s="225" t="s">
        <v>1350</v>
      </c>
      <c r="B2203" s="225" t="s">
        <v>5268</v>
      </c>
    </row>
    <row r="2204" spans="1:2">
      <c r="A2204" s="225" t="s">
        <v>5269</v>
      </c>
      <c r="B2204" s="225" t="s">
        <v>5270</v>
      </c>
    </row>
    <row r="2205" spans="1:2">
      <c r="A2205" s="225" t="s">
        <v>5271</v>
      </c>
      <c r="B2205" s="225" t="s">
        <v>5272</v>
      </c>
    </row>
    <row r="2206" spans="1:2">
      <c r="A2206" s="225" t="s">
        <v>5273</v>
      </c>
      <c r="B2206" s="225" t="s">
        <v>5274</v>
      </c>
    </row>
    <row r="2207" spans="1:2">
      <c r="A2207" s="225" t="s">
        <v>5275</v>
      </c>
      <c r="B2207" s="225" t="s">
        <v>5276</v>
      </c>
    </row>
    <row r="2208" spans="1:2">
      <c r="A2208" s="225" t="s">
        <v>1359</v>
      </c>
      <c r="B2208" s="225" t="s">
        <v>5277</v>
      </c>
    </row>
    <row r="2209" spans="1:2">
      <c r="A2209" s="225" t="s">
        <v>1358</v>
      </c>
      <c r="B2209" s="225" t="s">
        <v>5278</v>
      </c>
    </row>
    <row r="2210" spans="1:2">
      <c r="A2210" s="225" t="s">
        <v>5279</v>
      </c>
      <c r="B2210" s="225" t="s">
        <v>5280</v>
      </c>
    </row>
    <row r="2211" spans="1:2">
      <c r="A2211" s="225" t="s">
        <v>5281</v>
      </c>
      <c r="B2211" s="225" t="s">
        <v>5282</v>
      </c>
    </row>
    <row r="2212" spans="1:2">
      <c r="A2212" s="225" t="s">
        <v>5283</v>
      </c>
      <c r="B2212" s="225" t="s">
        <v>5284</v>
      </c>
    </row>
    <row r="2213" spans="1:2">
      <c r="A2213" s="225" t="s">
        <v>5285</v>
      </c>
      <c r="B2213" s="225" t="s">
        <v>5286</v>
      </c>
    </row>
    <row r="2214" spans="1:2">
      <c r="A2214" s="225" t="s">
        <v>1353</v>
      </c>
      <c r="B2214" s="225" t="s">
        <v>5287</v>
      </c>
    </row>
    <row r="2215" spans="1:2">
      <c r="A2215" s="225" t="s">
        <v>1351</v>
      </c>
      <c r="B2215" s="225" t="s">
        <v>5288</v>
      </c>
    </row>
    <row r="2216" spans="1:2">
      <c r="A2216" s="225" t="s">
        <v>5289</v>
      </c>
      <c r="B2216" s="225" t="s">
        <v>5290</v>
      </c>
    </row>
    <row r="2217" spans="1:2">
      <c r="A2217" s="225" t="s">
        <v>5291</v>
      </c>
      <c r="B2217" s="225" t="s">
        <v>5292</v>
      </c>
    </row>
    <row r="2218" spans="1:2">
      <c r="A2218" s="225" t="s">
        <v>5295</v>
      </c>
      <c r="B2218" s="225" t="s">
        <v>5296</v>
      </c>
    </row>
    <row r="2219" spans="1:2">
      <c r="A2219" s="225" t="s">
        <v>5297</v>
      </c>
      <c r="B2219" s="225" t="s">
        <v>5298</v>
      </c>
    </row>
    <row r="2220" spans="1:2">
      <c r="A2220" s="225" t="s">
        <v>5299</v>
      </c>
      <c r="B2220" s="225" t="s">
        <v>5300</v>
      </c>
    </row>
    <row r="2221" spans="1:2">
      <c r="A2221" s="225" t="s">
        <v>5301</v>
      </c>
      <c r="B2221" s="225" t="s">
        <v>5302</v>
      </c>
    </row>
    <row r="2222" spans="1:2">
      <c r="A2222" s="225" t="s">
        <v>5303</v>
      </c>
      <c r="B2222" s="225" t="s">
        <v>5304</v>
      </c>
    </row>
    <row r="2223" spans="1:2">
      <c r="A2223" s="225" t="s">
        <v>5305</v>
      </c>
      <c r="B2223" s="225" t="s">
        <v>5306</v>
      </c>
    </row>
    <row r="2224" spans="1:2">
      <c r="A2224" s="225" t="s">
        <v>5320</v>
      </c>
      <c r="B2224" s="225" t="s">
        <v>5321</v>
      </c>
    </row>
    <row r="2225" spans="1:2">
      <c r="A2225" s="225" t="s">
        <v>5322</v>
      </c>
      <c r="B2225" s="225" t="s">
        <v>5323</v>
      </c>
    </row>
    <row r="2226" spans="1:2">
      <c r="A2226" s="225" t="s">
        <v>5324</v>
      </c>
      <c r="B2226" s="225" t="s">
        <v>5325</v>
      </c>
    </row>
    <row r="2227" spans="1:2">
      <c r="A2227" s="225" t="s">
        <v>5326</v>
      </c>
      <c r="B2227" s="225" t="s">
        <v>5327</v>
      </c>
    </row>
    <row r="2228" spans="1:2">
      <c r="A2228" s="225" t="s">
        <v>5328</v>
      </c>
      <c r="B2228" s="225" t="s">
        <v>5329</v>
      </c>
    </row>
    <row r="2229" spans="1:2">
      <c r="A2229" s="225" t="s">
        <v>703</v>
      </c>
      <c r="B2229" s="225" t="s">
        <v>5330</v>
      </c>
    </row>
    <row r="2230" spans="1:2">
      <c r="A2230" s="225" t="s">
        <v>5331</v>
      </c>
      <c r="B2230" s="225" t="s">
        <v>5332</v>
      </c>
    </row>
    <row r="2231" spans="1:2">
      <c r="A2231" s="225" t="s">
        <v>5333</v>
      </c>
      <c r="B2231" s="225" t="s">
        <v>5334</v>
      </c>
    </row>
    <row r="2232" spans="1:2">
      <c r="A2232" s="225" t="s">
        <v>5335</v>
      </c>
      <c r="B2232" s="225" t="s">
        <v>5336</v>
      </c>
    </row>
    <row r="2233" spans="1:2">
      <c r="A2233" s="225" t="s">
        <v>9429</v>
      </c>
      <c r="B2233" s="225" t="s">
        <v>9430</v>
      </c>
    </row>
    <row r="2234" spans="1:2">
      <c r="A2234" s="225" t="s">
        <v>9431</v>
      </c>
      <c r="B2234" s="225" t="s">
        <v>141</v>
      </c>
    </row>
    <row r="2235" spans="1:2">
      <c r="A2235" s="225" t="s">
        <v>365</v>
      </c>
      <c r="B2235" s="225" t="s">
        <v>9434</v>
      </c>
    </row>
    <row r="2236" spans="1:2">
      <c r="A2236" s="225" t="s">
        <v>366</v>
      </c>
      <c r="B2236" s="225" t="s">
        <v>9435</v>
      </c>
    </row>
    <row r="2237" spans="1:2">
      <c r="A2237" s="225" t="s">
        <v>9751</v>
      </c>
      <c r="B2237" s="225" t="s">
        <v>9642</v>
      </c>
    </row>
    <row r="2238" spans="1:2">
      <c r="A2238" s="225" t="s">
        <v>9763</v>
      </c>
      <c r="B2238" s="225" t="s">
        <v>9645</v>
      </c>
    </row>
    <row r="2239" spans="1:2">
      <c r="A2239" s="225" t="s">
        <v>9779</v>
      </c>
      <c r="B2239" s="225" t="s">
        <v>9780</v>
      </c>
    </row>
    <row r="2240" spans="1:2">
      <c r="A2240" s="225" t="s">
        <v>9809</v>
      </c>
      <c r="B2240" s="225" t="s">
        <v>9810</v>
      </c>
    </row>
    <row r="2241" spans="1:2">
      <c r="A2241" s="225" t="s">
        <v>9813</v>
      </c>
      <c r="B2241" s="225" t="s">
        <v>9814</v>
      </c>
    </row>
    <row r="2242" spans="1:2">
      <c r="A2242" s="225" t="s">
        <v>9436</v>
      </c>
      <c r="B2242" s="225" t="s">
        <v>9437</v>
      </c>
    </row>
    <row r="2243" spans="1:2">
      <c r="A2243" s="225" t="s">
        <v>9874</v>
      </c>
      <c r="B2243" s="225" t="s">
        <v>9875</v>
      </c>
    </row>
    <row r="2244" spans="1:2">
      <c r="A2244" s="225" t="s">
        <v>10374</v>
      </c>
      <c r="B2244" s="225" t="s">
        <v>10375</v>
      </c>
    </row>
    <row r="2245" spans="1:2">
      <c r="A2245" s="225" t="s">
        <v>9915</v>
      </c>
      <c r="B2245" s="225" t="s">
        <v>9916</v>
      </c>
    </row>
    <row r="2246" spans="1:2">
      <c r="A2246" s="225" t="s">
        <v>9917</v>
      </c>
      <c r="B2246" s="225" t="s">
        <v>9918</v>
      </c>
    </row>
    <row r="2247" spans="1:2">
      <c r="A2247" s="225" t="s">
        <v>9500</v>
      </c>
      <c r="B2247" s="225" t="s">
        <v>9501</v>
      </c>
    </row>
    <row r="2248" spans="1:2">
      <c r="A2248" s="225" t="s">
        <v>9502</v>
      </c>
      <c r="B2248" s="225" t="s">
        <v>29</v>
      </c>
    </row>
    <row r="2249" spans="1:2">
      <c r="A2249" s="225" t="s">
        <v>9905</v>
      </c>
      <c r="B2249" s="225" t="s">
        <v>9719</v>
      </c>
    </row>
    <row r="2250" spans="1:2">
      <c r="A2250" s="225" t="s">
        <v>9928</v>
      </c>
      <c r="B2250" s="225" t="s">
        <v>9929</v>
      </c>
    </row>
    <row r="2251" spans="1:2">
      <c r="A2251" s="225" t="s">
        <v>9521</v>
      </c>
      <c r="B2251" s="225" t="s">
        <v>9522</v>
      </c>
    </row>
    <row r="2252" spans="1:2">
      <c r="A2252" s="225" t="s">
        <v>9523</v>
      </c>
      <c r="B2252" s="225" t="s">
        <v>9524</v>
      </c>
    </row>
    <row r="2253" spans="1:2">
      <c r="A2253" s="225" t="s">
        <v>9942</v>
      </c>
      <c r="B2253" s="225" t="s">
        <v>9943</v>
      </c>
    </row>
    <row r="2254" spans="1:2">
      <c r="A2254" s="225" t="s">
        <v>9533</v>
      </c>
      <c r="B2254" s="225" t="s">
        <v>3306</v>
      </c>
    </row>
    <row r="2255" spans="1:2">
      <c r="A2255" s="225" t="s">
        <v>9630</v>
      </c>
      <c r="B2255" s="225" t="s">
        <v>9631</v>
      </c>
    </row>
    <row r="2256" spans="1:2">
      <c r="A2256" s="225" t="s">
        <v>9634</v>
      </c>
      <c r="B2256" s="225" t="s">
        <v>9635</v>
      </c>
    </row>
    <row r="2257" spans="1:2">
      <c r="A2257" s="225" t="s">
        <v>9695</v>
      </c>
      <c r="B2257" s="225" t="s">
        <v>9696</v>
      </c>
    </row>
    <row r="2258" spans="1:2">
      <c r="A2258" s="225" t="s">
        <v>9718</v>
      </c>
      <c r="B2258" s="225" t="s">
        <v>9719</v>
      </c>
    </row>
    <row r="2259" spans="1:2">
      <c r="A2259" s="225" t="s">
        <v>9739</v>
      </c>
      <c r="B2259" s="225" t="s">
        <v>9740</v>
      </c>
    </row>
    <row r="2260" spans="1:2">
      <c r="A2260" s="225" t="s">
        <v>9650</v>
      </c>
      <c r="B2260" s="225" t="s">
        <v>9651</v>
      </c>
    </row>
    <row r="2261" spans="1:2">
      <c r="A2261" s="225" t="s">
        <v>10369</v>
      </c>
      <c r="B2261" s="225" t="s">
        <v>10370</v>
      </c>
    </row>
    <row r="2262" spans="1:2">
      <c r="A2262" s="225" t="s">
        <v>10371</v>
      </c>
      <c r="B2262" s="225" t="s">
        <v>10372</v>
      </c>
    </row>
    <row r="2263" spans="1:2">
      <c r="A2263" s="225" t="s">
        <v>1236</v>
      </c>
      <c r="B2263" s="225" t="s">
        <v>10373</v>
      </c>
    </row>
    <row r="2264" spans="1:2">
      <c r="A2264" s="225" t="s">
        <v>1441</v>
      </c>
      <c r="B2264" s="225" t="s">
        <v>10368</v>
      </c>
    </row>
    <row r="2265" spans="1:2">
      <c r="A2265" s="225" t="s">
        <v>10458</v>
      </c>
      <c r="B2265" s="225" t="s">
        <v>10459</v>
      </c>
    </row>
    <row r="2266" spans="1:2">
      <c r="A2266" s="225" t="s">
        <v>5345</v>
      </c>
      <c r="B2266" s="225" t="s">
        <v>3956</v>
      </c>
    </row>
    <row r="2267" spans="1:2">
      <c r="A2267" s="225" t="s">
        <v>10120</v>
      </c>
      <c r="B2267" s="225" t="s">
        <v>10121</v>
      </c>
    </row>
    <row r="2268" spans="1:2">
      <c r="A2268" s="225" t="s">
        <v>1069</v>
      </c>
      <c r="B2268" s="225" t="s">
        <v>10121</v>
      </c>
    </row>
    <row r="2269" spans="1:2">
      <c r="A2269" s="225" t="s">
        <v>10122</v>
      </c>
      <c r="B2269" s="225" t="s">
        <v>10123</v>
      </c>
    </row>
    <row r="2270" spans="1:2">
      <c r="A2270" s="225" t="s">
        <v>10124</v>
      </c>
      <c r="B2270" s="225" t="s">
        <v>10125</v>
      </c>
    </row>
    <row r="2271" spans="1:2">
      <c r="A2271" s="225" t="s">
        <v>10126</v>
      </c>
      <c r="B2271" s="225" t="s">
        <v>10127</v>
      </c>
    </row>
    <row r="2272" spans="1:2">
      <c r="A2272" s="225" t="s">
        <v>10128</v>
      </c>
      <c r="B2272" s="225" t="s">
        <v>10129</v>
      </c>
    </row>
    <row r="2273" spans="1:2">
      <c r="A2273" s="225" t="s">
        <v>10130</v>
      </c>
      <c r="B2273" s="225" t="s">
        <v>10131</v>
      </c>
    </row>
    <row r="2274" spans="1:2">
      <c r="A2274" s="225" t="s">
        <v>10132</v>
      </c>
      <c r="B2274" s="225" t="s">
        <v>10133</v>
      </c>
    </row>
    <row r="2275" spans="1:2">
      <c r="A2275" s="225" t="s">
        <v>9956</v>
      </c>
      <c r="B2275" s="225" t="s">
        <v>9957</v>
      </c>
    </row>
    <row r="2276" spans="1:2">
      <c r="A2276" s="225" t="s">
        <v>9839</v>
      </c>
      <c r="B2276" s="225" t="s">
        <v>9840</v>
      </c>
    </row>
    <row r="2277" spans="1:2">
      <c r="A2277" s="225" t="s">
        <v>9853</v>
      </c>
      <c r="B2277" s="225" t="s">
        <v>9854</v>
      </c>
    </row>
    <row r="2278" spans="1:2">
      <c r="A2278" s="225" t="s">
        <v>9963</v>
      </c>
      <c r="B2278" s="225" t="s">
        <v>9964</v>
      </c>
    </row>
    <row r="2279" spans="1:2">
      <c r="A2279" s="225" t="s">
        <v>9857</v>
      </c>
      <c r="B2279" s="225" t="s">
        <v>9858</v>
      </c>
    </row>
    <row r="2280" spans="1:2">
      <c r="A2280" s="225" t="s">
        <v>10040</v>
      </c>
      <c r="B2280" s="225" t="s">
        <v>10041</v>
      </c>
    </row>
    <row r="2281" spans="1:2">
      <c r="A2281" s="225" t="s">
        <v>10460</v>
      </c>
      <c r="B2281" s="225" t="s">
        <v>9814</v>
      </c>
    </row>
    <row r="2282" spans="1:2">
      <c r="A2282" s="225" t="s">
        <v>10112</v>
      </c>
      <c r="B2282" s="225" t="s">
        <v>10113</v>
      </c>
    </row>
    <row r="2283" spans="1:2">
      <c r="A2283" s="225" t="s">
        <v>10134</v>
      </c>
      <c r="B2283" s="225" t="s">
        <v>10135</v>
      </c>
    </row>
    <row r="2284" spans="1:2">
      <c r="A2284" s="225" t="s">
        <v>10136</v>
      </c>
      <c r="B2284" s="225" t="s">
        <v>10137</v>
      </c>
    </row>
    <row r="2285" spans="1:2">
      <c r="A2285" s="225" t="s">
        <v>10162</v>
      </c>
      <c r="B2285" s="225" t="s">
        <v>10163</v>
      </c>
    </row>
    <row r="2286" spans="1:2">
      <c r="A2286" s="225" t="s">
        <v>544</v>
      </c>
      <c r="B2286" s="225" t="s">
        <v>545</v>
      </c>
    </row>
    <row r="2287" spans="1:2">
      <c r="A2287" s="225" t="s">
        <v>546</v>
      </c>
      <c r="B2287" s="225" t="s">
        <v>547</v>
      </c>
    </row>
    <row r="2288" spans="1:2">
      <c r="A2288" s="225" t="s">
        <v>548</v>
      </c>
      <c r="B2288" s="225" t="s">
        <v>549</v>
      </c>
    </row>
    <row r="2289" spans="1:2">
      <c r="A2289" s="225" t="s">
        <v>550</v>
      </c>
      <c r="B2289" s="225" t="s">
        <v>540</v>
      </c>
    </row>
    <row r="2290" spans="1:2">
      <c r="A2290" s="225" t="s">
        <v>551</v>
      </c>
      <c r="B2290" s="225" t="s">
        <v>552</v>
      </c>
    </row>
    <row r="2291" spans="1:2">
      <c r="A2291" s="225" t="s">
        <v>553</v>
      </c>
      <c r="B2291" s="225" t="s">
        <v>554</v>
      </c>
    </row>
    <row r="2292" spans="1:2">
      <c r="A2292" s="225" t="s">
        <v>10331</v>
      </c>
      <c r="B2292" s="225" t="s">
        <v>10332</v>
      </c>
    </row>
    <row r="2293" spans="1:2">
      <c r="A2293" s="225" t="s">
        <v>10358</v>
      </c>
      <c r="B2293" s="225" t="s">
        <v>10359</v>
      </c>
    </row>
    <row r="2294" spans="1:2">
      <c r="A2294" s="225" t="s">
        <v>555</v>
      </c>
      <c r="B2294" s="225" t="s">
        <v>556</v>
      </c>
    </row>
    <row r="2295" spans="1:2">
      <c r="A2295" s="225" t="s">
        <v>557</v>
      </c>
      <c r="B2295" s="225" t="s">
        <v>558</v>
      </c>
    </row>
    <row r="2296" spans="1:2">
      <c r="A2296" s="225" t="s">
        <v>559</v>
      </c>
      <c r="B2296" s="225" t="s">
        <v>560</v>
      </c>
    </row>
    <row r="2297" spans="1:2">
      <c r="A2297" s="225" t="s">
        <v>561</v>
      </c>
      <c r="B2297" s="225" t="s">
        <v>542</v>
      </c>
    </row>
    <row r="2298" spans="1:2">
      <c r="A2298" s="225" t="s">
        <v>562</v>
      </c>
      <c r="B2298" s="225" t="s">
        <v>10362</v>
      </c>
    </row>
    <row r="2299" spans="1:2">
      <c r="A2299" s="225" t="s">
        <v>564</v>
      </c>
      <c r="B2299" s="225" t="s">
        <v>565</v>
      </c>
    </row>
    <row r="2300" spans="1:2">
      <c r="A2300" s="225" t="s">
        <v>566</v>
      </c>
      <c r="B2300" s="225" t="s">
        <v>567</v>
      </c>
    </row>
    <row r="2301" spans="1:2">
      <c r="A2301" s="225" t="s">
        <v>568</v>
      </c>
      <c r="B2301" s="225" t="s">
        <v>569</v>
      </c>
    </row>
    <row r="2302" spans="1:2">
      <c r="A2302" s="225" t="s">
        <v>570</v>
      </c>
      <c r="B2302" s="225" t="s">
        <v>571</v>
      </c>
    </row>
    <row r="2303" spans="1:2">
      <c r="A2303" s="225" t="s">
        <v>572</v>
      </c>
      <c r="B2303" s="225" t="s">
        <v>573</v>
      </c>
    </row>
    <row r="2304" spans="1:2">
      <c r="A2304" s="225" t="s">
        <v>574</v>
      </c>
      <c r="B2304" s="225" t="s">
        <v>575</v>
      </c>
    </row>
    <row r="2305" spans="1:2">
      <c r="A2305" s="225" t="s">
        <v>576</v>
      </c>
      <c r="B2305" s="225" t="s">
        <v>577</v>
      </c>
    </row>
    <row r="2306" spans="1:2">
      <c r="A2306" s="225" t="s">
        <v>578</v>
      </c>
      <c r="B2306" s="225" t="s">
        <v>539</v>
      </c>
    </row>
    <row r="2307" spans="1:2">
      <c r="A2307" s="225" t="s">
        <v>579</v>
      </c>
      <c r="B2307" s="225" t="s">
        <v>580</v>
      </c>
    </row>
    <row r="2308" spans="1:2">
      <c r="A2308" s="225" t="s">
        <v>581</v>
      </c>
      <c r="B2308" s="225" t="s">
        <v>582</v>
      </c>
    </row>
    <row r="2309" spans="1:2">
      <c r="A2309" s="225" t="s">
        <v>583</v>
      </c>
      <c r="B2309" s="225" t="s">
        <v>541</v>
      </c>
    </row>
    <row r="2310" spans="1:2">
      <c r="A2310" s="225" t="s">
        <v>584</v>
      </c>
      <c r="B2310" s="225" t="s">
        <v>585</v>
      </c>
    </row>
    <row r="2311" spans="1:2">
      <c r="A2311" s="225" t="s">
        <v>586</v>
      </c>
      <c r="B2311" s="225" t="s">
        <v>587</v>
      </c>
    </row>
    <row r="2312" spans="1:2">
      <c r="A2312" s="225" t="s">
        <v>588</v>
      </c>
      <c r="B2312" s="225" t="s">
        <v>589</v>
      </c>
    </row>
    <row r="2313" spans="1:2">
      <c r="A2313" s="225" t="s">
        <v>590</v>
      </c>
      <c r="B2313" s="225" t="s">
        <v>591</v>
      </c>
    </row>
    <row r="2314" spans="1:2">
      <c r="A2314" s="225" t="s">
        <v>592</v>
      </c>
      <c r="B2314" s="225" t="s">
        <v>10363</v>
      </c>
    </row>
    <row r="2315" spans="1:2">
      <c r="A2315" s="225" t="s">
        <v>594</v>
      </c>
      <c r="B2315" s="225" t="s">
        <v>10364</v>
      </c>
    </row>
    <row r="2316" spans="1:2">
      <c r="A2316" s="225" t="s">
        <v>596</v>
      </c>
      <c r="B2316" s="225" t="s">
        <v>597</v>
      </c>
    </row>
    <row r="2317" spans="1:2">
      <c r="A2317" s="225" t="s">
        <v>598</v>
      </c>
      <c r="B2317" s="225" t="s">
        <v>599</v>
      </c>
    </row>
    <row r="2318" spans="1:2">
      <c r="A2318" s="225" t="s">
        <v>600</v>
      </c>
      <c r="B2318" s="225" t="s">
        <v>601</v>
      </c>
    </row>
    <row r="2319" spans="1:2">
      <c r="A2319" s="225" t="s">
        <v>602</v>
      </c>
      <c r="B2319" s="225" t="s">
        <v>603</v>
      </c>
    </row>
    <row r="2320" spans="1:2">
      <c r="A2320" s="225" t="s">
        <v>604</v>
      </c>
      <c r="B2320" s="225" t="s">
        <v>605</v>
      </c>
    </row>
    <row r="2321" spans="1:2">
      <c r="A2321" s="225" t="s">
        <v>606</v>
      </c>
      <c r="B2321" s="225" t="s">
        <v>607</v>
      </c>
    </row>
    <row r="2322" spans="1:2">
      <c r="A2322" s="225" t="s">
        <v>608</v>
      </c>
      <c r="B2322" s="225" t="s">
        <v>609</v>
      </c>
    </row>
    <row r="2323" spans="1:2">
      <c r="A2323" s="225" t="s">
        <v>610</v>
      </c>
      <c r="B2323" s="225" t="s">
        <v>611</v>
      </c>
    </row>
    <row r="2324" spans="1:2">
      <c r="A2324" s="225" t="s">
        <v>612</v>
      </c>
      <c r="B2324" s="225" t="s">
        <v>613</v>
      </c>
    </row>
    <row r="2325" spans="1:2">
      <c r="A2325" s="225" t="s">
        <v>10376</v>
      </c>
      <c r="B2325" s="225" t="s">
        <v>10377</v>
      </c>
    </row>
    <row r="2326" spans="1:2">
      <c r="A2326" s="225" t="s">
        <v>10400</v>
      </c>
      <c r="B2326" s="225" t="s">
        <v>9780</v>
      </c>
    </row>
    <row r="2327" spans="1:2">
      <c r="A2327" s="225" t="s">
        <v>10405</v>
      </c>
      <c r="B2327" s="225" t="s">
        <v>9810</v>
      </c>
    </row>
    <row r="2328" spans="1:2">
      <c r="A2328" s="225" t="s">
        <v>11541</v>
      </c>
      <c r="B2328" s="225" t="s">
        <v>11542</v>
      </c>
    </row>
    <row r="2329" spans="1:2">
      <c r="A2329" s="225" t="s">
        <v>1546</v>
      </c>
      <c r="B2329" s="225" t="s">
        <v>9652</v>
      </c>
    </row>
    <row r="2330" spans="1:2">
      <c r="A2330" s="225" t="s">
        <v>1531</v>
      </c>
      <c r="B2330" s="225" t="s">
        <v>9653</v>
      </c>
    </row>
    <row r="2331" spans="1:2">
      <c r="A2331" s="225" t="s">
        <v>1532</v>
      </c>
      <c r="B2331" s="225" t="s">
        <v>9654</v>
      </c>
    </row>
    <row r="2332" spans="1:2">
      <c r="A2332" s="225" t="s">
        <v>1533</v>
      </c>
      <c r="B2332" s="225" t="s">
        <v>9655</v>
      </c>
    </row>
    <row r="2333" spans="1:2">
      <c r="A2333" s="225" t="s">
        <v>1534</v>
      </c>
      <c r="B2333" s="225" t="s">
        <v>9656</v>
      </c>
    </row>
    <row r="2334" spans="1:2">
      <c r="A2334" s="225" t="s">
        <v>1535</v>
      </c>
      <c r="B2334" s="225" t="s">
        <v>9657</v>
      </c>
    </row>
    <row r="2335" spans="1:2">
      <c r="A2335" s="225" t="s">
        <v>1536</v>
      </c>
      <c r="B2335" s="225" t="s">
        <v>9658</v>
      </c>
    </row>
    <row r="2336" spans="1:2">
      <c r="A2336" s="225" t="s">
        <v>1537</v>
      </c>
      <c r="B2336" s="225" t="s">
        <v>9659</v>
      </c>
    </row>
    <row r="2337" spans="1:2">
      <c r="A2337" s="225" t="s">
        <v>1538</v>
      </c>
      <c r="B2337" s="225" t="s">
        <v>9660</v>
      </c>
    </row>
    <row r="2338" spans="1:2">
      <c r="A2338" s="225" t="s">
        <v>1539</v>
      </c>
      <c r="B2338" s="225" t="s">
        <v>9661</v>
      </c>
    </row>
    <row r="2339" spans="1:2">
      <c r="A2339" s="225" t="s">
        <v>1540</v>
      </c>
      <c r="B2339" s="225" t="s">
        <v>9662</v>
      </c>
    </row>
    <row r="2340" spans="1:2">
      <c r="A2340" s="225" t="s">
        <v>1541</v>
      </c>
      <c r="B2340" s="225" t="s">
        <v>9663</v>
      </c>
    </row>
    <row r="2341" spans="1:2">
      <c r="A2341" s="225" t="s">
        <v>1542</v>
      </c>
      <c r="B2341" s="225" t="s">
        <v>9664</v>
      </c>
    </row>
    <row r="2342" spans="1:2">
      <c r="A2342" s="225" t="s">
        <v>1543</v>
      </c>
      <c r="B2342" s="225" t="s">
        <v>9665</v>
      </c>
    </row>
    <row r="2343" spans="1:2">
      <c r="A2343" s="225" t="s">
        <v>1544</v>
      </c>
      <c r="B2343" s="225" t="s">
        <v>9666</v>
      </c>
    </row>
    <row r="2344" spans="1:2">
      <c r="A2344" s="225" t="s">
        <v>1545</v>
      </c>
      <c r="B2344" s="225" t="s">
        <v>9667</v>
      </c>
    </row>
    <row r="2345" spans="1:2">
      <c r="A2345" s="225" t="s">
        <v>9668</v>
      </c>
      <c r="B2345" s="225" t="s">
        <v>161</v>
      </c>
    </row>
    <row r="2346" spans="1:2">
      <c r="A2346" s="225" t="s">
        <v>1561</v>
      </c>
      <c r="B2346" s="225" t="s">
        <v>35</v>
      </c>
    </row>
    <row r="2347" spans="1:2">
      <c r="A2347" s="225" t="s">
        <v>11321</v>
      </c>
      <c r="B2347" s="225" t="s">
        <v>11322</v>
      </c>
    </row>
    <row r="2348" spans="1:2">
      <c r="A2348" s="225" t="s">
        <v>11551</v>
      </c>
      <c r="B2348" s="225" t="s">
        <v>11552</v>
      </c>
    </row>
    <row r="2349" spans="1:2">
      <c r="A2349" s="225" t="s">
        <v>10631</v>
      </c>
      <c r="B2349" s="225" t="s">
        <v>10632</v>
      </c>
    </row>
    <row r="2350" spans="1:2">
      <c r="A2350" s="225" t="s">
        <v>10652</v>
      </c>
      <c r="B2350" s="225" t="s">
        <v>10653</v>
      </c>
    </row>
    <row r="2351" spans="1:2">
      <c r="A2351" s="225" t="s">
        <v>10661</v>
      </c>
      <c r="B2351" s="225" t="s">
        <v>10662</v>
      </c>
    </row>
    <row r="2352" spans="1:2">
      <c r="A2352" s="225" t="s">
        <v>10205</v>
      </c>
      <c r="B2352" s="225" t="s">
        <v>1859</v>
      </c>
    </row>
    <row r="2353" spans="1:2">
      <c r="A2353" s="225" t="s">
        <v>10688</v>
      </c>
      <c r="B2353" s="225" t="s">
        <v>10689</v>
      </c>
    </row>
    <row r="2354" spans="1:2">
      <c r="A2354" s="225" t="s">
        <v>1564</v>
      </c>
      <c r="B2354" s="225" t="s">
        <v>9689</v>
      </c>
    </row>
    <row r="2355" spans="1:2">
      <c r="A2355" s="225" t="s">
        <v>9669</v>
      </c>
      <c r="B2355" s="225" t="s">
        <v>9670</v>
      </c>
    </row>
    <row r="2356" spans="1:2">
      <c r="A2356" s="225" t="s">
        <v>9671</v>
      </c>
      <c r="B2356" s="225" t="s">
        <v>9652</v>
      </c>
    </row>
    <row r="2357" spans="1:2">
      <c r="A2357" s="225" t="s">
        <v>9672</v>
      </c>
      <c r="B2357" s="225" t="s">
        <v>1707</v>
      </c>
    </row>
    <row r="2358" spans="1:2">
      <c r="A2358" s="225" t="s">
        <v>9673</v>
      </c>
      <c r="B2358" s="225" t="s">
        <v>1712</v>
      </c>
    </row>
    <row r="2359" spans="1:2">
      <c r="A2359" s="225" t="s">
        <v>9674</v>
      </c>
      <c r="B2359" s="225" t="s">
        <v>1715</v>
      </c>
    </row>
    <row r="2360" spans="1:2">
      <c r="A2360" s="225" t="s">
        <v>9675</v>
      </c>
      <c r="B2360" s="225" t="s">
        <v>1727</v>
      </c>
    </row>
    <row r="2361" spans="1:2">
      <c r="A2361" s="225" t="s">
        <v>9676</v>
      </c>
      <c r="B2361" s="225" t="s">
        <v>1729</v>
      </c>
    </row>
    <row r="2362" spans="1:2">
      <c r="A2362" s="225" t="s">
        <v>9677</v>
      </c>
      <c r="B2362" s="225" t="s">
        <v>1730</v>
      </c>
    </row>
    <row r="2363" spans="1:2">
      <c r="A2363" s="225" t="s">
        <v>9678</v>
      </c>
      <c r="B2363" s="225" t="s">
        <v>1731</v>
      </c>
    </row>
    <row r="2364" spans="1:2">
      <c r="A2364" s="225" t="s">
        <v>9679</v>
      </c>
      <c r="B2364" s="225" t="s">
        <v>1736</v>
      </c>
    </row>
    <row r="2365" spans="1:2">
      <c r="A2365" s="225" t="s">
        <v>9680</v>
      </c>
      <c r="B2365" s="225" t="s">
        <v>9681</v>
      </c>
    </row>
    <row r="2366" spans="1:2">
      <c r="A2366" s="225" t="s">
        <v>9682</v>
      </c>
      <c r="B2366" s="225" t="s">
        <v>1740</v>
      </c>
    </row>
    <row r="2367" spans="1:2">
      <c r="A2367" s="225" t="s">
        <v>9683</v>
      </c>
      <c r="B2367" s="225" t="s">
        <v>1744</v>
      </c>
    </row>
    <row r="2368" spans="1:2">
      <c r="A2368" s="225" t="s">
        <v>9684</v>
      </c>
      <c r="B2368" s="225" t="s">
        <v>1746</v>
      </c>
    </row>
    <row r="2369" spans="1:2">
      <c r="A2369" s="225" t="s">
        <v>9685</v>
      </c>
      <c r="B2369" s="225" t="s">
        <v>1747</v>
      </c>
    </row>
    <row r="2370" spans="1:2">
      <c r="A2370" s="225" t="s">
        <v>9686</v>
      </c>
      <c r="B2370" s="225" t="s">
        <v>1706</v>
      </c>
    </row>
    <row r="2371" spans="1:2">
      <c r="A2371" s="225" t="s">
        <v>9687</v>
      </c>
      <c r="B2371" s="225" t="s">
        <v>1671</v>
      </c>
    </row>
    <row r="2372" spans="1:2">
      <c r="A2372" s="225" t="s">
        <v>9688</v>
      </c>
      <c r="B2372" s="225" t="s">
        <v>165</v>
      </c>
    </row>
    <row r="2373" spans="1:2">
      <c r="A2373" s="225" t="s">
        <v>1576</v>
      </c>
      <c r="B2373" s="225" t="s">
        <v>9652</v>
      </c>
    </row>
    <row r="2374" spans="1:2">
      <c r="A2374" s="225" t="s">
        <v>1089</v>
      </c>
      <c r="B2374" s="225" t="s">
        <v>9653</v>
      </c>
    </row>
    <row r="2375" spans="1:2">
      <c r="A2375" s="225" t="s">
        <v>1562</v>
      </c>
      <c r="B2375" s="225" t="s">
        <v>9654</v>
      </c>
    </row>
    <row r="2376" spans="1:2">
      <c r="A2376" s="225" t="s">
        <v>1563</v>
      </c>
      <c r="B2376" s="225" t="s">
        <v>9655</v>
      </c>
    </row>
    <row r="2377" spans="1:2">
      <c r="A2377" s="225" t="s">
        <v>10718</v>
      </c>
      <c r="B2377" s="225" t="s">
        <v>10719</v>
      </c>
    </row>
    <row r="2378" spans="1:2">
      <c r="A2378" s="225" t="s">
        <v>11122</v>
      </c>
      <c r="B2378" s="225" t="s">
        <v>10332</v>
      </c>
    </row>
    <row r="2379" spans="1:2">
      <c r="A2379" s="225" t="s">
        <v>11174</v>
      </c>
      <c r="B2379" s="225" t="s">
        <v>10163</v>
      </c>
    </row>
    <row r="2380" spans="1:2">
      <c r="A2380" s="225" t="s">
        <v>10843</v>
      </c>
      <c r="B2380" s="225" t="s">
        <v>10844</v>
      </c>
    </row>
    <row r="2381" spans="1:2">
      <c r="A2381" s="225" t="s">
        <v>11239</v>
      </c>
      <c r="B2381" s="225" t="s">
        <v>10163</v>
      </c>
    </row>
    <row r="2382" spans="1:2">
      <c r="A2382" s="225" t="s">
        <v>10783</v>
      </c>
      <c r="B2382" s="225" t="s">
        <v>10784</v>
      </c>
    </row>
    <row r="2383" spans="1:2">
      <c r="A2383" s="225" t="s">
        <v>10852</v>
      </c>
      <c r="B2383" s="225" t="s">
        <v>10853</v>
      </c>
    </row>
    <row r="2384" spans="1:2">
      <c r="A2384" s="225" t="s">
        <v>10781</v>
      </c>
      <c r="B2384" s="225" t="s">
        <v>10782</v>
      </c>
    </row>
    <row r="2385" spans="1:2">
      <c r="A2385" s="225" t="s">
        <v>10850</v>
      </c>
      <c r="B2385" s="225" t="s">
        <v>10851</v>
      </c>
    </row>
    <row r="2386" spans="1:2">
      <c r="A2386" s="225" t="s">
        <v>10866</v>
      </c>
      <c r="B2386" s="225" t="s">
        <v>10867</v>
      </c>
    </row>
    <row r="2387" spans="1:2">
      <c r="A2387" s="225" t="s">
        <v>10868</v>
      </c>
      <c r="B2387" s="225" t="s">
        <v>10137</v>
      </c>
    </row>
    <row r="2388" spans="1:2">
      <c r="A2388" s="225" t="s">
        <v>11354</v>
      </c>
      <c r="B2388" s="225" t="s">
        <v>11355</v>
      </c>
    </row>
    <row r="2389" spans="1:2">
      <c r="A2389" s="225" t="s">
        <v>10914</v>
      </c>
      <c r="B2389" s="225" t="s">
        <v>10163</v>
      </c>
    </row>
    <row r="2390" spans="1:2">
      <c r="A2390" s="225" t="s">
        <v>10931</v>
      </c>
      <c r="B2390" s="225" t="s">
        <v>9840</v>
      </c>
    </row>
    <row r="2391" spans="1:2">
      <c r="A2391" s="225" t="s">
        <v>10948</v>
      </c>
      <c r="B2391" s="225" t="s">
        <v>10949</v>
      </c>
    </row>
    <row r="2392" spans="1:2">
      <c r="A2392" s="225" t="s">
        <v>10950</v>
      </c>
      <c r="B2392" s="225" t="s">
        <v>10137</v>
      </c>
    </row>
    <row r="2393" spans="1:2">
      <c r="A2393" s="225" t="s">
        <v>11381</v>
      </c>
      <c r="B2393" s="225" t="s">
        <v>11382</v>
      </c>
    </row>
    <row r="2394" spans="1:2">
      <c r="A2394" s="225" t="s">
        <v>10962</v>
      </c>
      <c r="B2394" s="225" t="s">
        <v>10963</v>
      </c>
    </row>
    <row r="2395" spans="1:2">
      <c r="A2395" s="225" t="s">
        <v>11413</v>
      </c>
      <c r="B2395" s="225" t="s">
        <v>11414</v>
      </c>
    </row>
    <row r="2396" spans="1:2">
      <c r="A2396" s="225" t="s">
        <v>9460</v>
      </c>
      <c r="B2396" s="225" t="s">
        <v>1472</v>
      </c>
    </row>
    <row r="2397" spans="1:2">
      <c r="A2397" s="225" t="s">
        <v>11045</v>
      </c>
      <c r="B2397" s="225" t="s">
        <v>11046</v>
      </c>
    </row>
    <row r="2398" spans="1:2">
      <c r="A2398" s="225" t="s">
        <v>11047</v>
      </c>
      <c r="B2398" s="225" t="s">
        <v>10137</v>
      </c>
    </row>
    <row r="2399" spans="1:2">
      <c r="A2399" s="225" t="s">
        <v>11053</v>
      </c>
      <c r="B2399" s="225" t="s">
        <v>10163</v>
      </c>
    </row>
    <row r="2400" spans="1:2">
      <c r="A2400" s="225" t="s">
        <v>9482</v>
      </c>
      <c r="B2400" s="225" t="s">
        <v>9483</v>
      </c>
    </row>
    <row r="2401" spans="1:2">
      <c r="A2401" s="225" t="s">
        <v>11460</v>
      </c>
      <c r="B2401" s="225" t="s">
        <v>11461</v>
      </c>
    </row>
    <row r="2402" spans="1:2">
      <c r="A2402" s="225" t="s">
        <v>9493</v>
      </c>
      <c r="B2402" s="225" t="s">
        <v>73</v>
      </c>
    </row>
    <row r="2403" spans="1:2">
      <c r="A2403" s="225" t="s">
        <v>9497</v>
      </c>
      <c r="B2403" s="225" t="s">
        <v>79</v>
      </c>
    </row>
    <row r="2404" spans="1:2">
      <c r="A2404" s="225" t="s">
        <v>231</v>
      </c>
      <c r="B2404" s="225" t="s">
        <v>226</v>
      </c>
    </row>
    <row r="2405" spans="1:2">
      <c r="A2405" s="225" t="s">
        <v>232</v>
      </c>
      <c r="B2405" s="225" t="s">
        <v>227</v>
      </c>
    </row>
    <row r="2406" spans="1:2">
      <c r="A2406" s="225" t="s">
        <v>235</v>
      </c>
      <c r="B2406" s="225" t="s">
        <v>230</v>
      </c>
    </row>
    <row r="2407" spans="1:2">
      <c r="A2407" s="225" t="s">
        <v>233</v>
      </c>
      <c r="B2407" s="225" t="s">
        <v>9498</v>
      </c>
    </row>
    <row r="2408" spans="1:2">
      <c r="A2408" s="225" t="s">
        <v>234</v>
      </c>
      <c r="B2408" s="225" t="s">
        <v>9499</v>
      </c>
    </row>
    <row r="2409" spans="1:2">
      <c r="A2409" s="225" t="s">
        <v>9632</v>
      </c>
      <c r="B2409" s="225" t="s">
        <v>153</v>
      </c>
    </row>
    <row r="2410" spans="1:2">
      <c r="A2410" s="225" t="s">
        <v>426</v>
      </c>
      <c r="B2410" s="225" t="s">
        <v>155</v>
      </c>
    </row>
    <row r="2411" spans="1:2">
      <c r="A2411" s="225" t="s">
        <v>11494</v>
      </c>
      <c r="B2411" s="225" t="s">
        <v>11495</v>
      </c>
    </row>
    <row r="2412" spans="1:2">
      <c r="A2412" s="225" t="s">
        <v>11127</v>
      </c>
      <c r="B2412" s="225" t="s">
        <v>10359</v>
      </c>
    </row>
    <row r="2413" spans="1:2">
      <c r="A2413" s="225" t="s">
        <v>11134</v>
      </c>
      <c r="B2413" s="225" t="s">
        <v>10377</v>
      </c>
    </row>
    <row r="2414" spans="1:2">
      <c r="A2414" s="225" t="s">
        <v>11157</v>
      </c>
      <c r="B2414" s="225" t="s">
        <v>11158</v>
      </c>
    </row>
    <row r="2415" spans="1:2">
      <c r="A2415" s="225" t="s">
        <v>11159</v>
      </c>
      <c r="B2415" s="225" t="s">
        <v>10137</v>
      </c>
    </row>
    <row r="2416" spans="1:2">
      <c r="A2416" s="225" t="s">
        <v>11167</v>
      </c>
      <c r="B2416" s="225" t="s">
        <v>11168</v>
      </c>
    </row>
    <row r="2417" spans="1:2">
      <c r="A2417" s="225" t="s">
        <v>10964</v>
      </c>
      <c r="B2417" s="225" t="s">
        <v>10137</v>
      </c>
    </row>
    <row r="2418" spans="1:2">
      <c r="A2418" s="225" t="s">
        <v>11186</v>
      </c>
      <c r="B2418" s="225" t="s">
        <v>11187</v>
      </c>
    </row>
    <row r="2419" spans="1:2">
      <c r="A2419" s="225" t="s">
        <v>11188</v>
      </c>
      <c r="B2419" s="225" t="s">
        <v>10137</v>
      </c>
    </row>
    <row r="2420" spans="1:2">
      <c r="A2420" s="225" t="s">
        <v>11198</v>
      </c>
      <c r="B2420" s="225" t="s">
        <v>11199</v>
      </c>
    </row>
    <row r="2421" spans="1:2">
      <c r="A2421" s="225" t="s">
        <v>11200</v>
      </c>
      <c r="B2421" s="225" t="s">
        <v>10137</v>
      </c>
    </row>
    <row r="2422" spans="1:2">
      <c r="A2422" s="225" t="s">
        <v>11208</v>
      </c>
      <c r="B2422" s="225" t="s">
        <v>11209</v>
      </c>
    </row>
    <row r="2423" spans="1:2">
      <c r="A2423" s="225" t="s">
        <v>11210</v>
      </c>
      <c r="B2423" s="225" t="s">
        <v>10137</v>
      </c>
    </row>
    <row r="2424" spans="1:2">
      <c r="A2424" s="225" t="s">
        <v>10116</v>
      </c>
      <c r="B2424" s="225" t="s">
        <v>10117</v>
      </c>
    </row>
    <row r="2425" spans="1:2">
      <c r="A2425" s="225" t="s">
        <v>10118</v>
      </c>
      <c r="B2425" s="225" t="s">
        <v>10119</v>
      </c>
    </row>
    <row r="2426" spans="1:2">
      <c r="A2426" s="225" t="s">
        <v>203</v>
      </c>
      <c r="B2426" s="225" t="s">
        <v>9440</v>
      </c>
    </row>
    <row r="2427" spans="1:2">
      <c r="A2427" s="225" t="s">
        <v>204</v>
      </c>
      <c r="B2427" s="225" t="s">
        <v>9441</v>
      </c>
    </row>
    <row r="2428" spans="1:2">
      <c r="A2428" s="225" t="s">
        <v>205</v>
      </c>
      <c r="B2428" s="225" t="s">
        <v>9442</v>
      </c>
    </row>
    <row r="2429" spans="1:2">
      <c r="A2429" s="225" t="s">
        <v>206</v>
      </c>
      <c r="B2429" s="225" t="s">
        <v>9443</v>
      </c>
    </row>
    <row r="2430" spans="1:2">
      <c r="A2430" s="225" t="s">
        <v>207</v>
      </c>
      <c r="B2430" s="225" t="s">
        <v>9444</v>
      </c>
    </row>
    <row r="2431" spans="1:2">
      <c r="A2431" s="225" t="s">
        <v>208</v>
      </c>
      <c r="B2431" s="225" t="s">
        <v>9445</v>
      </c>
    </row>
    <row r="2432" spans="1:2">
      <c r="A2432" s="225" t="s">
        <v>209</v>
      </c>
      <c r="B2432" s="225" t="s">
        <v>9446</v>
      </c>
    </row>
    <row r="2433" spans="1:2">
      <c r="A2433" s="225" t="s">
        <v>10715</v>
      </c>
      <c r="B2433" s="225" t="s">
        <v>10163</v>
      </c>
    </row>
    <row r="2434" spans="1:2">
      <c r="A2434" s="225" t="s">
        <v>210</v>
      </c>
      <c r="B2434" s="225" t="s">
        <v>9447</v>
      </c>
    </row>
    <row r="2435" spans="1:2">
      <c r="A2435" s="225" t="s">
        <v>211</v>
      </c>
      <c r="B2435" s="225" t="s">
        <v>9448</v>
      </c>
    </row>
    <row r="2436" spans="1:2">
      <c r="A2436" s="225" t="s">
        <v>212</v>
      </c>
      <c r="B2436" s="225" t="s">
        <v>9449</v>
      </c>
    </row>
    <row r="2437" spans="1:2">
      <c r="A2437" s="225" t="s">
        <v>213</v>
      </c>
      <c r="B2437" s="225" t="s">
        <v>9450</v>
      </c>
    </row>
    <row r="2438" spans="1:2">
      <c r="A2438" s="225" t="s">
        <v>214</v>
      </c>
      <c r="B2438" s="225" t="s">
        <v>9451</v>
      </c>
    </row>
    <row r="2439" spans="1:2">
      <c r="A2439" s="225" t="s">
        <v>215</v>
      </c>
      <c r="B2439" s="225" t="s">
        <v>9452</v>
      </c>
    </row>
    <row r="2440" spans="1:2">
      <c r="A2440" s="225" t="s">
        <v>216</v>
      </c>
      <c r="B2440" s="225" t="s">
        <v>9453</v>
      </c>
    </row>
    <row r="2441" spans="1:2">
      <c r="A2441" s="225" t="s">
        <v>217</v>
      </c>
      <c r="B2441" s="225" t="s">
        <v>9454</v>
      </c>
    </row>
    <row r="2442" spans="1:2">
      <c r="A2442" s="225" t="s">
        <v>218</v>
      </c>
      <c r="B2442" s="225" t="s">
        <v>9455</v>
      </c>
    </row>
    <row r="2443" spans="1:2">
      <c r="A2443" s="225" t="s">
        <v>219</v>
      </c>
      <c r="B2443" s="225" t="s">
        <v>9456</v>
      </c>
    </row>
    <row r="2444" spans="1:2">
      <c r="A2444" s="225" t="s">
        <v>220</v>
      </c>
      <c r="B2444" s="225" t="s">
        <v>9457</v>
      </c>
    </row>
    <row r="2445" spans="1:2">
      <c r="A2445" s="225" t="s">
        <v>10114</v>
      </c>
      <c r="B2445" s="225" t="s">
        <v>10115</v>
      </c>
    </row>
    <row r="2446" spans="1:2">
      <c r="A2446" s="225" t="s">
        <v>10622</v>
      </c>
      <c r="B2446" s="225" t="s">
        <v>10623</v>
      </c>
    </row>
    <row r="2447" spans="1:2">
      <c r="A2447" s="225" t="s">
        <v>10284</v>
      </c>
      <c r="B2447" s="225" t="s">
        <v>10285</v>
      </c>
    </row>
    <row r="2448" spans="1:2">
      <c r="A2448" s="225" t="s">
        <v>10294</v>
      </c>
      <c r="B2448" s="225" t="s">
        <v>10295</v>
      </c>
    </row>
    <row r="2449" spans="1:2">
      <c r="A2449" s="225" t="s">
        <v>10300</v>
      </c>
      <c r="B2449" s="225" t="s">
        <v>10301</v>
      </c>
    </row>
    <row r="2450" spans="1:2">
      <c r="A2450" s="225" t="s">
        <v>10308</v>
      </c>
      <c r="B2450" s="225" t="s">
        <v>10309</v>
      </c>
    </row>
    <row r="2451" spans="1:2">
      <c r="A2451" s="225" t="s">
        <v>10313</v>
      </c>
      <c r="B2451" s="225" t="s">
        <v>10314</v>
      </c>
    </row>
    <row r="2452" spans="1:2">
      <c r="A2452" s="225" t="s">
        <v>10327</v>
      </c>
      <c r="B2452" s="225" t="s">
        <v>10328</v>
      </c>
    </row>
    <row r="2453" spans="1:2">
      <c r="A2453" s="225" t="s">
        <v>10206</v>
      </c>
      <c r="B2453" s="225" t="s">
        <v>10207</v>
      </c>
    </row>
    <row r="2454" spans="1:2">
      <c r="A2454" s="225" t="s">
        <v>10165</v>
      </c>
      <c r="B2454" s="225" t="s">
        <v>10166</v>
      </c>
    </row>
    <row r="2455" spans="1:2">
      <c r="A2455" s="225" t="s">
        <v>10183</v>
      </c>
      <c r="B2455" s="225" t="s">
        <v>1782</v>
      </c>
    </row>
    <row r="2456" spans="1:2">
      <c r="A2456" s="225" t="s">
        <v>10196</v>
      </c>
      <c r="B2456" s="225" t="s">
        <v>1775</v>
      </c>
    </row>
    <row r="2457" spans="1:2">
      <c r="A2457" s="225" t="s">
        <v>10202</v>
      </c>
      <c r="B2457" s="225" t="s">
        <v>1651</v>
      </c>
    </row>
    <row r="2458" spans="1:2">
      <c r="A2458" s="225" t="s">
        <v>9309</v>
      </c>
      <c r="B2458" s="225" t="s">
        <v>2196</v>
      </c>
    </row>
    <row r="2459" spans="1:2">
      <c r="A2459" s="225" t="s">
        <v>9315</v>
      </c>
      <c r="B2459" s="225" t="s">
        <v>2207</v>
      </c>
    </row>
    <row r="2460" spans="1:2">
      <c r="A2460" s="225" t="s">
        <v>9316</v>
      </c>
      <c r="B2460" s="225" t="s">
        <v>2208</v>
      </c>
    </row>
    <row r="2461" spans="1:2">
      <c r="A2461" s="225" t="s">
        <v>9320</v>
      </c>
      <c r="B2461" s="225" t="s">
        <v>2217</v>
      </c>
    </row>
    <row r="2462" spans="1:2">
      <c r="A2462" s="225" t="s">
        <v>1100</v>
      </c>
      <c r="B2462" s="225" t="s">
        <v>10408</v>
      </c>
    </row>
    <row r="2463" spans="1:2">
      <c r="A2463" s="225" t="s">
        <v>10409</v>
      </c>
      <c r="B2463" s="225" t="s">
        <v>10410</v>
      </c>
    </row>
    <row r="2464" spans="1:2">
      <c r="A2464" s="225" t="s">
        <v>10411</v>
      </c>
      <c r="B2464" s="225" t="s">
        <v>10412</v>
      </c>
    </row>
    <row r="2465" spans="1:2">
      <c r="A2465" s="225" t="s">
        <v>10413</v>
      </c>
      <c r="B2465" s="225" t="s">
        <v>10414</v>
      </c>
    </row>
    <row r="2466" spans="1:2">
      <c r="A2466" s="225" t="s">
        <v>10415</v>
      </c>
      <c r="B2466" s="225" t="s">
        <v>10416</v>
      </c>
    </row>
    <row r="2467" spans="1:2">
      <c r="A2467" s="225" t="s">
        <v>10417</v>
      </c>
      <c r="B2467" s="225" t="s">
        <v>10418</v>
      </c>
    </row>
    <row r="2468" spans="1:2">
      <c r="A2468" s="225" t="s">
        <v>10419</v>
      </c>
      <c r="B2468" s="225" t="s">
        <v>10420</v>
      </c>
    </row>
    <row r="2469" spans="1:2">
      <c r="A2469" s="225" t="s">
        <v>10421</v>
      </c>
      <c r="B2469" s="225" t="s">
        <v>10422</v>
      </c>
    </row>
    <row r="2470" spans="1:2">
      <c r="A2470" s="225" t="s">
        <v>10423</v>
      </c>
      <c r="B2470" s="225" t="s">
        <v>10424</v>
      </c>
    </row>
    <row r="2471" spans="1:2">
      <c r="A2471" s="225" t="s">
        <v>1207</v>
      </c>
      <c r="B2471" s="225" t="s">
        <v>10425</v>
      </c>
    </row>
    <row r="2472" spans="1:2">
      <c r="A2472" s="225" t="s">
        <v>10426</v>
      </c>
      <c r="B2472" s="225" t="s">
        <v>10427</v>
      </c>
    </row>
    <row r="2473" spans="1:2">
      <c r="A2473" s="225" t="s">
        <v>943</v>
      </c>
      <c r="B2473" s="225" t="s">
        <v>10428</v>
      </c>
    </row>
    <row r="2474" spans="1:2">
      <c r="A2474" s="225" t="s">
        <v>1147</v>
      </c>
      <c r="B2474" s="225" t="s">
        <v>10429</v>
      </c>
    </row>
    <row r="2475" spans="1:2">
      <c r="A2475" s="225" t="s">
        <v>9641</v>
      </c>
      <c r="B2475" s="225" t="s">
        <v>9642</v>
      </c>
    </row>
    <row r="2476" spans="1:2">
      <c r="A2476" s="225" t="s">
        <v>9644</v>
      </c>
      <c r="B2476" s="225" t="s">
        <v>9645</v>
      </c>
    </row>
    <row r="2477" spans="1:2">
      <c r="A2477" s="225" t="s">
        <v>10441</v>
      </c>
      <c r="B2477" s="225" t="s">
        <v>10442</v>
      </c>
    </row>
    <row r="2478" spans="1:2">
      <c r="A2478" s="225" t="s">
        <v>10443</v>
      </c>
      <c r="B2478" s="225" t="s">
        <v>10444</v>
      </c>
    </row>
    <row r="2479" spans="1:2">
      <c r="A2479" s="225" t="s">
        <v>10445</v>
      </c>
      <c r="B2479" s="225" t="s">
        <v>10446</v>
      </c>
    </row>
    <row r="2480" spans="1:2">
      <c r="A2480" s="225" t="s">
        <v>10447</v>
      </c>
      <c r="B2480" s="225" t="s">
        <v>10448</v>
      </c>
    </row>
    <row r="2481" spans="1:2">
      <c r="A2481" s="225" t="s">
        <v>10449</v>
      </c>
      <c r="B2481" s="225" t="s">
        <v>10450</v>
      </c>
    </row>
    <row r="2482" spans="1:2">
      <c r="A2482" s="225" t="s">
        <v>10451</v>
      </c>
      <c r="B2482" s="225" t="s">
        <v>10452</v>
      </c>
    </row>
    <row r="2483" spans="1:2">
      <c r="A2483" s="225" t="s">
        <v>10453</v>
      </c>
      <c r="B2483" s="225" t="s">
        <v>10454</v>
      </c>
    </row>
    <row r="2484" spans="1:2">
      <c r="A2484" s="225" t="s">
        <v>876</v>
      </c>
      <c r="B2484" s="225" t="s">
        <v>10455</v>
      </c>
    </row>
    <row r="2485" spans="1:2">
      <c r="A2485" s="225" t="s">
        <v>10456</v>
      </c>
      <c r="B2485" s="225" t="s">
        <v>10457</v>
      </c>
    </row>
    <row r="2486" spans="1:2">
      <c r="A2486" s="225" t="s">
        <v>10663</v>
      </c>
      <c r="B2486" s="225" t="s">
        <v>10664</v>
      </c>
    </row>
    <row r="2487" spans="1:2">
      <c r="A2487" s="225" t="s">
        <v>10430</v>
      </c>
      <c r="B2487" s="225" t="s">
        <v>10431</v>
      </c>
    </row>
    <row r="2488" spans="1:2">
      <c r="A2488" s="225" t="s">
        <v>1420</v>
      </c>
      <c r="B2488" s="225" t="s">
        <v>10432</v>
      </c>
    </row>
    <row r="2489" spans="1:2">
      <c r="A2489" s="225" t="s">
        <v>10433</v>
      </c>
      <c r="B2489" s="225" t="s">
        <v>10434</v>
      </c>
    </row>
    <row r="2490" spans="1:2">
      <c r="A2490" s="225" t="s">
        <v>10435</v>
      </c>
      <c r="B2490" s="225" t="s">
        <v>10436</v>
      </c>
    </row>
    <row r="2491" spans="1:2">
      <c r="A2491" s="225" t="s">
        <v>10437</v>
      </c>
      <c r="B2491" s="225" t="s">
        <v>10438</v>
      </c>
    </row>
    <row r="2492" spans="1:2">
      <c r="A2492" s="225" t="s">
        <v>10439</v>
      </c>
      <c r="B2492" s="225" t="s">
        <v>10440</v>
      </c>
    </row>
    <row r="2493" spans="1:2">
      <c r="A2493" s="225" t="s">
        <v>9525</v>
      </c>
      <c r="B2493" s="225" t="s">
        <v>9526</v>
      </c>
    </row>
    <row r="2494" spans="1:2">
      <c r="A2494" s="225" t="s">
        <v>9527</v>
      </c>
      <c r="B2494" s="225" t="s">
        <v>9528</v>
      </c>
    </row>
    <row r="2495" spans="1:2">
      <c r="A2495" s="225" t="s">
        <v>9529</v>
      </c>
      <c r="B2495" s="225" t="s">
        <v>9530</v>
      </c>
    </row>
    <row r="2496" spans="1:2">
      <c r="A2496" s="225" t="s">
        <v>9531</v>
      </c>
      <c r="B2496" s="225" t="s">
        <v>9532</v>
      </c>
    </row>
    <row r="2497" spans="1:2">
      <c r="A2497" s="225" t="s">
        <v>9534</v>
      </c>
      <c r="B2497" s="225" t="s">
        <v>9535</v>
      </c>
    </row>
    <row r="2498" spans="1:2">
      <c r="A2498" s="225" t="s">
        <v>9536</v>
      </c>
      <c r="B2498" s="225" t="s">
        <v>9526</v>
      </c>
    </row>
    <row r="2499" spans="1:2">
      <c r="A2499" s="225" t="s">
        <v>9537</v>
      </c>
      <c r="B2499" s="225" t="s">
        <v>9538</v>
      </c>
    </row>
    <row r="2500" spans="1:2">
      <c r="A2500" s="225" t="s">
        <v>9539</v>
      </c>
      <c r="B2500" s="225" t="s">
        <v>9540</v>
      </c>
    </row>
    <row r="2501" spans="1:2">
      <c r="A2501" s="225" t="s">
        <v>9541</v>
      </c>
      <c r="B2501" s="225" t="s">
        <v>9542</v>
      </c>
    </row>
    <row r="2502" spans="1:2">
      <c r="A2502" s="225" t="s">
        <v>10222</v>
      </c>
      <c r="B2502" s="225" t="s">
        <v>10223</v>
      </c>
    </row>
    <row r="2503" spans="1:2">
      <c r="A2503" s="225" t="s">
        <v>10233</v>
      </c>
      <c r="B2503" s="225" t="s">
        <v>10234</v>
      </c>
    </row>
    <row r="2504" spans="1:2">
      <c r="A2504" s="225" t="s">
        <v>10235</v>
      </c>
      <c r="B2504" s="225" t="s">
        <v>10236</v>
      </c>
    </row>
    <row r="2505" spans="1:2">
      <c r="A2505" s="225" t="s">
        <v>9252</v>
      </c>
      <c r="B2505" s="225" t="s">
        <v>2099</v>
      </c>
    </row>
    <row r="2506" spans="1:2">
      <c r="A2506" s="225" t="s">
        <v>9958</v>
      </c>
      <c r="B2506" s="225" t="s">
        <v>664</v>
      </c>
    </row>
    <row r="2507" spans="1:2">
      <c r="A2507" s="225" t="s">
        <v>10035</v>
      </c>
      <c r="B2507" s="225" t="s">
        <v>10036</v>
      </c>
    </row>
    <row r="2508" spans="1:2">
      <c r="A2508" s="225" t="s">
        <v>1308</v>
      </c>
      <c r="B2508" s="225" t="s">
        <v>10037</v>
      </c>
    </row>
    <row r="2509" spans="1:2">
      <c r="A2509" s="225" t="s">
        <v>1173</v>
      </c>
      <c r="B2509" s="225" t="s">
        <v>10038</v>
      </c>
    </row>
    <row r="2510" spans="1:2">
      <c r="A2510" s="225" t="s">
        <v>1049</v>
      </c>
      <c r="B2510" s="225" t="s">
        <v>10039</v>
      </c>
    </row>
    <row r="2511" spans="1:2">
      <c r="A2511" s="225" t="s">
        <v>10042</v>
      </c>
      <c r="B2511" s="225" t="s">
        <v>10043</v>
      </c>
    </row>
    <row r="2512" spans="1:2">
      <c r="A2512" s="225" t="s">
        <v>10048</v>
      </c>
      <c r="B2512" s="225" t="s">
        <v>9724</v>
      </c>
    </row>
    <row r="2513" spans="1:2">
      <c r="A2513" s="225" t="s">
        <v>10053</v>
      </c>
      <c r="B2513" s="225" t="s">
        <v>10054</v>
      </c>
    </row>
    <row r="2514" spans="1:2">
      <c r="A2514" s="225" t="s">
        <v>10068</v>
      </c>
      <c r="B2514" s="225" t="s">
        <v>10069</v>
      </c>
    </row>
    <row r="2515" spans="1:2">
      <c r="A2515" s="225" t="s">
        <v>5913</v>
      </c>
      <c r="B2515" s="225" t="s">
        <v>5839</v>
      </c>
    </row>
    <row r="2516" spans="1:2">
      <c r="A2516" s="225" t="s">
        <v>5914</v>
      </c>
      <c r="B2516" s="225" t="s">
        <v>5841</v>
      </c>
    </row>
    <row r="2517" spans="1:2">
      <c r="A2517" s="225" t="s">
        <v>5915</v>
      </c>
      <c r="B2517" s="225" t="s">
        <v>5858</v>
      </c>
    </row>
    <row r="2518" spans="1:2">
      <c r="A2518" s="225" t="s">
        <v>5916</v>
      </c>
      <c r="B2518" s="225" t="s">
        <v>5860</v>
      </c>
    </row>
    <row r="2519" spans="1:2">
      <c r="A2519" s="225" t="s">
        <v>5917</v>
      </c>
      <c r="B2519" s="225" t="s">
        <v>5862</v>
      </c>
    </row>
    <row r="2520" spans="1:2">
      <c r="A2520" s="225" t="s">
        <v>5918</v>
      </c>
      <c r="B2520" s="225" t="s">
        <v>5864</v>
      </c>
    </row>
    <row r="2521" spans="1:2">
      <c r="A2521" s="225" t="s">
        <v>6149</v>
      </c>
      <c r="B2521" s="225" t="s">
        <v>6096</v>
      </c>
    </row>
    <row r="2522" spans="1:2">
      <c r="A2522" s="225" t="s">
        <v>6150</v>
      </c>
      <c r="B2522" s="225" t="s">
        <v>5839</v>
      </c>
    </row>
    <row r="2523" spans="1:2">
      <c r="A2523" s="225" t="s">
        <v>6151</v>
      </c>
      <c r="B2523" s="225" t="s">
        <v>5841</v>
      </c>
    </row>
    <row r="2524" spans="1:2">
      <c r="A2524" s="225" t="s">
        <v>6152</v>
      </c>
      <c r="B2524" s="225" t="s">
        <v>5858</v>
      </c>
    </row>
    <row r="2525" spans="1:2">
      <c r="A2525" s="225" t="s">
        <v>6153</v>
      </c>
      <c r="B2525" s="225" t="s">
        <v>5860</v>
      </c>
    </row>
    <row r="2526" spans="1:2">
      <c r="A2526" s="225" t="s">
        <v>6154</v>
      </c>
      <c r="B2526" s="225" t="s">
        <v>5862</v>
      </c>
    </row>
    <row r="2527" spans="1:2">
      <c r="A2527" s="225" t="s">
        <v>6155</v>
      </c>
      <c r="B2527" s="225" t="s">
        <v>5864</v>
      </c>
    </row>
    <row r="2528" spans="1:2">
      <c r="A2528" s="225" t="s">
        <v>6156</v>
      </c>
      <c r="B2528" s="225" t="s">
        <v>6104</v>
      </c>
    </row>
    <row r="2529" spans="1:2">
      <c r="A2529" s="225" t="s">
        <v>6157</v>
      </c>
      <c r="B2529" s="225" t="s">
        <v>5839</v>
      </c>
    </row>
    <row r="2530" spans="1:2">
      <c r="A2530" s="225" t="s">
        <v>6158</v>
      </c>
      <c r="B2530" s="225" t="s">
        <v>5841</v>
      </c>
    </row>
    <row r="2531" spans="1:2">
      <c r="A2531" s="225" t="s">
        <v>6159</v>
      </c>
      <c r="B2531" s="225" t="s">
        <v>5858</v>
      </c>
    </row>
    <row r="2532" spans="1:2">
      <c r="A2532" s="225" t="s">
        <v>6160</v>
      </c>
      <c r="B2532" s="225" t="s">
        <v>5860</v>
      </c>
    </row>
    <row r="2533" spans="1:2">
      <c r="A2533" s="225" t="s">
        <v>6161</v>
      </c>
      <c r="B2533" s="225" t="s">
        <v>5862</v>
      </c>
    </row>
    <row r="2534" spans="1:2">
      <c r="A2534" s="225" t="s">
        <v>6162</v>
      </c>
      <c r="B2534" s="225" t="s">
        <v>5864</v>
      </c>
    </row>
    <row r="2535" spans="1:2">
      <c r="A2535" s="225" t="s">
        <v>6163</v>
      </c>
      <c r="B2535" s="225" t="s">
        <v>6112</v>
      </c>
    </row>
    <row r="2536" spans="1:2">
      <c r="A2536" s="225" t="s">
        <v>6164</v>
      </c>
      <c r="B2536" s="225" t="s">
        <v>5839</v>
      </c>
    </row>
    <row r="2537" spans="1:2">
      <c r="A2537" s="225" t="s">
        <v>6165</v>
      </c>
      <c r="B2537" s="225" t="s">
        <v>5841</v>
      </c>
    </row>
    <row r="2538" spans="1:2">
      <c r="A2538" s="225" t="s">
        <v>6166</v>
      </c>
      <c r="B2538" s="225" t="s">
        <v>5858</v>
      </c>
    </row>
    <row r="2539" spans="1:2">
      <c r="A2539" s="225" t="s">
        <v>6167</v>
      </c>
      <c r="B2539" s="225" t="s">
        <v>5860</v>
      </c>
    </row>
    <row r="2540" spans="1:2">
      <c r="A2540" s="225" t="s">
        <v>6168</v>
      </c>
      <c r="B2540" s="225" t="s">
        <v>5862</v>
      </c>
    </row>
    <row r="2541" spans="1:2">
      <c r="A2541" s="225" t="s">
        <v>6169</v>
      </c>
      <c r="B2541" s="225" t="s">
        <v>5864</v>
      </c>
    </row>
    <row r="2542" spans="1:2">
      <c r="A2542" s="225" t="s">
        <v>6170</v>
      </c>
      <c r="B2542" s="225" t="s">
        <v>6120</v>
      </c>
    </row>
    <row r="2543" spans="1:2">
      <c r="A2543" s="225" t="s">
        <v>6171</v>
      </c>
      <c r="B2543" s="225" t="s">
        <v>5839</v>
      </c>
    </row>
    <row r="2544" spans="1:2">
      <c r="A2544" s="225" t="s">
        <v>6172</v>
      </c>
      <c r="B2544" s="225" t="s">
        <v>5841</v>
      </c>
    </row>
    <row r="2545" spans="1:2">
      <c r="A2545" s="225" t="s">
        <v>6173</v>
      </c>
      <c r="B2545" s="225" t="s">
        <v>5858</v>
      </c>
    </row>
    <row r="2546" spans="1:2">
      <c r="A2546" s="225" t="s">
        <v>6174</v>
      </c>
      <c r="B2546" s="225" t="s">
        <v>5860</v>
      </c>
    </row>
    <row r="2547" spans="1:2">
      <c r="A2547" s="225" t="s">
        <v>6175</v>
      </c>
      <c r="B2547" s="225" t="s">
        <v>5862</v>
      </c>
    </row>
    <row r="2548" spans="1:2">
      <c r="A2548" s="225" t="s">
        <v>6176</v>
      </c>
      <c r="B2548" s="225" t="s">
        <v>5864</v>
      </c>
    </row>
    <row r="2549" spans="1:2">
      <c r="A2549" s="225" t="s">
        <v>6177</v>
      </c>
      <c r="B2549" s="225" t="s">
        <v>6128</v>
      </c>
    </row>
    <row r="2550" spans="1:2">
      <c r="A2550" s="225" t="s">
        <v>6178</v>
      </c>
      <c r="B2550" s="225" t="s">
        <v>5839</v>
      </c>
    </row>
    <row r="2551" spans="1:2">
      <c r="A2551" s="225" t="s">
        <v>6179</v>
      </c>
      <c r="B2551" s="225" t="s">
        <v>5841</v>
      </c>
    </row>
    <row r="2552" spans="1:2">
      <c r="A2552" s="225" t="s">
        <v>6180</v>
      </c>
      <c r="B2552" s="225" t="s">
        <v>5858</v>
      </c>
    </row>
    <row r="2553" spans="1:2">
      <c r="A2553" s="225" t="s">
        <v>6181</v>
      </c>
      <c r="B2553" s="225" t="s">
        <v>5860</v>
      </c>
    </row>
    <row r="2554" spans="1:2">
      <c r="A2554" s="225" t="s">
        <v>6182</v>
      </c>
      <c r="B2554" s="225" t="s">
        <v>5862</v>
      </c>
    </row>
    <row r="2555" spans="1:2">
      <c r="A2555" s="225" t="s">
        <v>6183</v>
      </c>
      <c r="B2555" s="225" t="s">
        <v>5864</v>
      </c>
    </row>
    <row r="2556" spans="1:2">
      <c r="A2556" s="225" t="s">
        <v>6184</v>
      </c>
      <c r="B2556" s="225" t="s">
        <v>6136</v>
      </c>
    </row>
    <row r="2557" spans="1:2">
      <c r="A2557" s="225" t="s">
        <v>6185</v>
      </c>
      <c r="B2557" s="225" t="s">
        <v>5839</v>
      </c>
    </row>
    <row r="2558" spans="1:2">
      <c r="A2558" s="225" t="s">
        <v>6461</v>
      </c>
      <c r="B2558" s="225" t="s">
        <v>5864</v>
      </c>
    </row>
    <row r="2559" spans="1:2">
      <c r="A2559" s="225" t="s">
        <v>6462</v>
      </c>
      <c r="B2559" s="225" t="s">
        <v>5882</v>
      </c>
    </row>
    <row r="2560" spans="1:2">
      <c r="A2560" s="225" t="s">
        <v>6463</v>
      </c>
      <c r="B2560" s="225" t="s">
        <v>6050</v>
      </c>
    </row>
    <row r="2561" spans="1:2">
      <c r="A2561" s="225" t="s">
        <v>6464</v>
      </c>
      <c r="B2561" s="225" t="s">
        <v>5839</v>
      </c>
    </row>
    <row r="2562" spans="1:2">
      <c r="A2562" s="225" t="s">
        <v>6465</v>
      </c>
      <c r="B2562" s="225" t="s">
        <v>5841</v>
      </c>
    </row>
    <row r="2563" spans="1:2">
      <c r="A2563" s="225" t="s">
        <v>6466</v>
      </c>
      <c r="B2563" s="225" t="s">
        <v>5858</v>
      </c>
    </row>
    <row r="2564" spans="1:2">
      <c r="A2564" s="225" t="s">
        <v>6467</v>
      </c>
      <c r="B2564" s="225" t="s">
        <v>5860</v>
      </c>
    </row>
    <row r="2565" spans="1:2">
      <c r="A2565" s="225" t="s">
        <v>6468</v>
      </c>
      <c r="B2565" s="225" t="s">
        <v>5862</v>
      </c>
    </row>
    <row r="2566" spans="1:2">
      <c r="A2566" s="225" t="s">
        <v>6469</v>
      </c>
      <c r="B2566" s="225" t="s">
        <v>5864</v>
      </c>
    </row>
    <row r="2567" spans="1:2">
      <c r="A2567" s="225" t="s">
        <v>6470</v>
      </c>
      <c r="B2567" s="225" t="s">
        <v>5890</v>
      </c>
    </row>
    <row r="2568" spans="1:2">
      <c r="A2568" s="225" t="s">
        <v>6471</v>
      </c>
      <c r="B2568" s="225" t="s">
        <v>6050</v>
      </c>
    </row>
    <row r="2569" spans="1:2">
      <c r="A2569" s="225" t="s">
        <v>6472</v>
      </c>
      <c r="B2569" s="225" t="s">
        <v>5839</v>
      </c>
    </row>
    <row r="2570" spans="1:2">
      <c r="A2570" s="225" t="s">
        <v>6473</v>
      </c>
      <c r="B2570" s="225" t="s">
        <v>5841</v>
      </c>
    </row>
    <row r="2571" spans="1:2">
      <c r="A2571" s="225" t="s">
        <v>6474</v>
      </c>
      <c r="B2571" s="225" t="s">
        <v>5858</v>
      </c>
    </row>
    <row r="2572" spans="1:2">
      <c r="A2572" s="225" t="s">
        <v>6475</v>
      </c>
      <c r="B2572" s="225" t="s">
        <v>5860</v>
      </c>
    </row>
    <row r="2573" spans="1:2">
      <c r="A2573" s="225" t="s">
        <v>6476</v>
      </c>
      <c r="B2573" s="225" t="s">
        <v>5862</v>
      </c>
    </row>
    <row r="2574" spans="1:2">
      <c r="A2574" s="225" t="s">
        <v>6477</v>
      </c>
      <c r="B2574" s="225" t="s">
        <v>5864</v>
      </c>
    </row>
    <row r="2575" spans="1:2">
      <c r="A2575" s="225" t="s">
        <v>6478</v>
      </c>
      <c r="B2575" s="225" t="s">
        <v>6479</v>
      </c>
    </row>
    <row r="2576" spans="1:2">
      <c r="A2576" s="225" t="s">
        <v>6480</v>
      </c>
      <c r="B2576" s="225" t="s">
        <v>6481</v>
      </c>
    </row>
    <row r="2577" spans="1:2">
      <c r="A2577" s="225" t="s">
        <v>6482</v>
      </c>
      <c r="B2577" s="225" t="s">
        <v>6483</v>
      </c>
    </row>
    <row r="2578" spans="1:2">
      <c r="A2578" s="225" t="s">
        <v>6484</v>
      </c>
      <c r="B2578" s="225" t="s">
        <v>6096</v>
      </c>
    </row>
    <row r="2579" spans="1:2">
      <c r="A2579" s="225" t="s">
        <v>6485</v>
      </c>
      <c r="B2579" s="225" t="s">
        <v>5839</v>
      </c>
    </row>
    <row r="2580" spans="1:2">
      <c r="A2580" s="225" t="s">
        <v>6486</v>
      </c>
      <c r="B2580" s="225" t="s">
        <v>5841</v>
      </c>
    </row>
    <row r="2581" spans="1:2">
      <c r="A2581" s="225" t="s">
        <v>6487</v>
      </c>
      <c r="B2581" s="225" t="s">
        <v>5858</v>
      </c>
    </row>
    <row r="2582" spans="1:2">
      <c r="A2582" s="225" t="s">
        <v>6488</v>
      </c>
      <c r="B2582" s="225" t="s">
        <v>5860</v>
      </c>
    </row>
    <row r="2583" spans="1:2">
      <c r="A2583" s="225" t="s">
        <v>6489</v>
      </c>
      <c r="B2583" s="225" t="s">
        <v>5862</v>
      </c>
    </row>
    <row r="2584" spans="1:2">
      <c r="A2584" s="225" t="s">
        <v>6490</v>
      </c>
      <c r="B2584" s="225" t="s">
        <v>5864</v>
      </c>
    </row>
    <row r="2585" spans="1:2">
      <c r="A2585" s="225" t="s">
        <v>6491</v>
      </c>
      <c r="B2585" s="225" t="s">
        <v>6104</v>
      </c>
    </row>
    <row r="2586" spans="1:2">
      <c r="A2586" s="225" t="s">
        <v>6492</v>
      </c>
      <c r="B2586" s="225" t="s">
        <v>5839</v>
      </c>
    </row>
    <row r="2587" spans="1:2">
      <c r="A2587" s="225" t="s">
        <v>6493</v>
      </c>
      <c r="B2587" s="225" t="s">
        <v>5841</v>
      </c>
    </row>
    <row r="2588" spans="1:2">
      <c r="A2588" s="225" t="s">
        <v>6494</v>
      </c>
      <c r="B2588" s="225" t="s">
        <v>5858</v>
      </c>
    </row>
    <row r="2589" spans="1:2">
      <c r="A2589" s="225" t="s">
        <v>6495</v>
      </c>
      <c r="B2589" s="225" t="s">
        <v>5860</v>
      </c>
    </row>
    <row r="2590" spans="1:2">
      <c r="A2590" s="225" t="s">
        <v>6496</v>
      </c>
      <c r="B2590" s="225" t="s">
        <v>5862</v>
      </c>
    </row>
    <row r="2591" spans="1:2">
      <c r="A2591" s="225" t="s">
        <v>6497</v>
      </c>
      <c r="B2591" s="225" t="s">
        <v>5864</v>
      </c>
    </row>
    <row r="2592" spans="1:2">
      <c r="A2592" s="225" t="s">
        <v>6498</v>
      </c>
      <c r="B2592" s="225" t="s">
        <v>6112</v>
      </c>
    </row>
    <row r="2593" spans="1:2">
      <c r="A2593" s="225" t="s">
        <v>6186</v>
      </c>
      <c r="B2593" s="225" t="s">
        <v>5841</v>
      </c>
    </row>
    <row r="2594" spans="1:2">
      <c r="A2594" s="225" t="s">
        <v>6187</v>
      </c>
      <c r="B2594" s="225" t="s">
        <v>5858</v>
      </c>
    </row>
    <row r="2595" spans="1:2">
      <c r="A2595" s="225" t="s">
        <v>6188</v>
      </c>
      <c r="B2595" s="225" t="s">
        <v>5860</v>
      </c>
    </row>
    <row r="2596" spans="1:2">
      <c r="A2596" s="225" t="s">
        <v>6189</v>
      </c>
      <c r="B2596" s="225" t="s">
        <v>5862</v>
      </c>
    </row>
    <row r="2597" spans="1:2">
      <c r="A2597" s="225" t="s">
        <v>6190</v>
      </c>
      <c r="B2597" s="225" t="s">
        <v>5864</v>
      </c>
    </row>
    <row r="2598" spans="1:2">
      <c r="A2598" s="225" t="s">
        <v>6191</v>
      </c>
      <c r="B2598" s="225" t="s">
        <v>6192</v>
      </c>
    </row>
    <row r="2599" spans="1:2">
      <c r="A2599" s="225" t="s">
        <v>6202</v>
      </c>
      <c r="B2599" s="225" t="s">
        <v>6203</v>
      </c>
    </row>
    <row r="2600" spans="1:2">
      <c r="A2600" s="225" t="s">
        <v>6204</v>
      </c>
      <c r="B2600" s="225" t="s">
        <v>6205</v>
      </c>
    </row>
    <row r="2601" spans="1:2">
      <c r="A2601" s="225" t="s">
        <v>6206</v>
      </c>
      <c r="B2601" s="225" t="s">
        <v>6207</v>
      </c>
    </row>
    <row r="2602" spans="1:2">
      <c r="A2602" s="225" t="s">
        <v>6208</v>
      </c>
      <c r="B2602" s="225" t="s">
        <v>6209</v>
      </c>
    </row>
    <row r="2603" spans="1:2">
      <c r="A2603" s="225" t="s">
        <v>6210</v>
      </c>
      <c r="B2603" s="225" t="s">
        <v>6211</v>
      </c>
    </row>
    <row r="2604" spans="1:2">
      <c r="A2604" s="225" t="s">
        <v>6212</v>
      </c>
      <c r="B2604" s="225" t="s">
        <v>6213</v>
      </c>
    </row>
    <row r="2605" spans="1:2">
      <c r="A2605" s="225" t="s">
        <v>6214</v>
      </c>
      <c r="B2605" s="225" t="s">
        <v>6215</v>
      </c>
    </row>
    <row r="2606" spans="1:2">
      <c r="A2606" s="225" t="s">
        <v>6216</v>
      </c>
      <c r="B2606" s="225" t="s">
        <v>6217</v>
      </c>
    </row>
    <row r="2607" spans="1:2">
      <c r="A2607" s="225" t="s">
        <v>6218</v>
      </c>
      <c r="B2607" s="225" t="s">
        <v>6219</v>
      </c>
    </row>
    <row r="2608" spans="1:2">
      <c r="A2608" s="225" t="s">
        <v>6220</v>
      </c>
      <c r="B2608" s="225" t="s">
        <v>6221</v>
      </c>
    </row>
    <row r="2609" spans="1:2">
      <c r="A2609" s="225" t="s">
        <v>6222</v>
      </c>
      <c r="B2609" s="225" t="s">
        <v>6223</v>
      </c>
    </row>
    <row r="2610" spans="1:2">
      <c r="A2610" s="225" t="s">
        <v>6224</v>
      </c>
      <c r="B2610" s="225" t="s">
        <v>6225</v>
      </c>
    </row>
    <row r="2611" spans="1:2">
      <c r="A2611" s="225" t="s">
        <v>6427</v>
      </c>
      <c r="B2611" s="225" t="s">
        <v>5841</v>
      </c>
    </row>
    <row r="2612" spans="1:2">
      <c r="A2612" s="225" t="s">
        <v>6280</v>
      </c>
      <c r="B2612" s="225" t="s">
        <v>5874</v>
      </c>
    </row>
    <row r="2613" spans="1:2">
      <c r="A2613" s="225" t="s">
        <v>6428</v>
      </c>
      <c r="B2613" s="225" t="s">
        <v>5858</v>
      </c>
    </row>
    <row r="2614" spans="1:2">
      <c r="A2614" s="225" t="s">
        <v>6429</v>
      </c>
      <c r="B2614" s="225" t="s">
        <v>5860</v>
      </c>
    </row>
    <row r="2615" spans="1:2">
      <c r="A2615" s="225" t="s">
        <v>6430</v>
      </c>
      <c r="B2615" s="225" t="s">
        <v>5862</v>
      </c>
    </row>
    <row r="2616" spans="1:2">
      <c r="A2616" s="225" t="s">
        <v>6431</v>
      </c>
      <c r="B2616" s="225" t="s">
        <v>5864</v>
      </c>
    </row>
    <row r="2617" spans="1:2">
      <c r="A2617" s="225" t="s">
        <v>6425</v>
      </c>
      <c r="B2617" s="225" t="s">
        <v>6022</v>
      </c>
    </row>
    <row r="2618" spans="1:2">
      <c r="A2618" s="225" t="s">
        <v>6499</v>
      </c>
      <c r="B2618" s="225" t="s">
        <v>5839</v>
      </c>
    </row>
    <row r="2619" spans="1:2">
      <c r="A2619" s="225" t="s">
        <v>6500</v>
      </c>
      <c r="B2619" s="225" t="s">
        <v>5841</v>
      </c>
    </row>
    <row r="2620" spans="1:2">
      <c r="A2620" s="225" t="s">
        <v>6501</v>
      </c>
      <c r="B2620" s="225" t="s">
        <v>5858</v>
      </c>
    </row>
    <row r="2621" spans="1:2">
      <c r="A2621" s="225" t="s">
        <v>6502</v>
      </c>
      <c r="B2621" s="225" t="s">
        <v>5860</v>
      </c>
    </row>
    <row r="2622" spans="1:2">
      <c r="A2622" s="225" t="s">
        <v>6503</v>
      </c>
      <c r="B2622" s="225" t="s">
        <v>5862</v>
      </c>
    </row>
    <row r="2623" spans="1:2">
      <c r="A2623" s="225" t="s">
        <v>6504</v>
      </c>
      <c r="B2623" s="225" t="s">
        <v>5864</v>
      </c>
    </row>
    <row r="2624" spans="1:2">
      <c r="A2624" s="225" t="s">
        <v>6505</v>
      </c>
      <c r="B2624" s="225" t="s">
        <v>6120</v>
      </c>
    </row>
    <row r="2625" spans="1:2">
      <c r="A2625" s="225" t="s">
        <v>6506</v>
      </c>
      <c r="B2625" s="225" t="s">
        <v>5839</v>
      </c>
    </row>
    <row r="2626" spans="1:2">
      <c r="A2626" s="225" t="s">
        <v>6507</v>
      </c>
      <c r="B2626" s="225" t="s">
        <v>5841</v>
      </c>
    </row>
    <row r="2627" spans="1:2">
      <c r="A2627" s="225" t="s">
        <v>6508</v>
      </c>
      <c r="B2627" s="225" t="s">
        <v>5858</v>
      </c>
    </row>
    <row r="2628" spans="1:2">
      <c r="A2628" s="225" t="s">
        <v>6509</v>
      </c>
      <c r="B2628" s="225" t="s">
        <v>5860</v>
      </c>
    </row>
    <row r="2629" spans="1:2">
      <c r="A2629" s="225" t="s">
        <v>6510</v>
      </c>
      <c r="B2629" s="225" t="s">
        <v>5862</v>
      </c>
    </row>
    <row r="2630" spans="1:2">
      <c r="A2630" s="225" t="s">
        <v>6511</v>
      </c>
      <c r="B2630" s="225" t="s">
        <v>5864</v>
      </c>
    </row>
    <row r="2631" spans="1:2">
      <c r="A2631" s="225" t="s">
        <v>6512</v>
      </c>
      <c r="B2631" s="225" t="s">
        <v>6128</v>
      </c>
    </row>
    <row r="2632" spans="1:2">
      <c r="A2632" s="225" t="s">
        <v>6513</v>
      </c>
      <c r="B2632" s="225" t="s">
        <v>5839</v>
      </c>
    </row>
    <row r="2633" spans="1:2">
      <c r="A2633" s="225" t="s">
        <v>6514</v>
      </c>
      <c r="B2633" s="225" t="s">
        <v>5841</v>
      </c>
    </row>
    <row r="2634" spans="1:2">
      <c r="A2634" s="225" t="s">
        <v>6515</v>
      </c>
      <c r="B2634" s="225" t="s">
        <v>5858</v>
      </c>
    </row>
    <row r="2635" spans="1:2">
      <c r="A2635" s="225" t="s">
        <v>6516</v>
      </c>
      <c r="B2635" s="225" t="s">
        <v>5860</v>
      </c>
    </row>
    <row r="2636" spans="1:2">
      <c r="A2636" s="225" t="s">
        <v>6517</v>
      </c>
      <c r="B2636" s="225" t="s">
        <v>5862</v>
      </c>
    </row>
    <row r="2637" spans="1:2">
      <c r="A2637" s="225" t="s">
        <v>6226</v>
      </c>
      <c r="B2637" s="225" t="s">
        <v>6227</v>
      </c>
    </row>
    <row r="2638" spans="1:2">
      <c r="A2638" s="225" t="s">
        <v>6228</v>
      </c>
      <c r="B2638" s="225" t="s">
        <v>6229</v>
      </c>
    </row>
    <row r="2639" spans="1:2">
      <c r="A2639" s="225" t="s">
        <v>6292</v>
      </c>
      <c r="B2639" s="225" t="s">
        <v>5862</v>
      </c>
    </row>
    <row r="2640" spans="1:2">
      <c r="A2640" s="225" t="s">
        <v>6281</v>
      </c>
      <c r="B2640" s="225" t="s">
        <v>5839</v>
      </c>
    </row>
    <row r="2641" spans="1:2">
      <c r="A2641" s="225" t="s">
        <v>6282</v>
      </c>
      <c r="B2641" s="225" t="s">
        <v>5841</v>
      </c>
    </row>
    <row r="2642" spans="1:2">
      <c r="A2642" s="225" t="s">
        <v>6283</v>
      </c>
      <c r="B2642" s="225" t="s">
        <v>5858</v>
      </c>
    </row>
    <row r="2643" spans="1:2">
      <c r="A2643" s="225" t="s">
        <v>6284</v>
      </c>
      <c r="B2643" s="225" t="s">
        <v>5860</v>
      </c>
    </row>
    <row r="2644" spans="1:2">
      <c r="A2644" s="225" t="s">
        <v>6285</v>
      </c>
      <c r="B2644" s="225" t="s">
        <v>5862</v>
      </c>
    </row>
    <row r="2645" spans="1:2">
      <c r="A2645" s="225" t="s">
        <v>6286</v>
      </c>
      <c r="B2645" s="225" t="s">
        <v>5864</v>
      </c>
    </row>
    <row r="2646" spans="1:2">
      <c r="A2646" s="225" t="s">
        <v>6287</v>
      </c>
      <c r="B2646" s="225" t="s">
        <v>5882</v>
      </c>
    </row>
    <row r="2647" spans="1:2">
      <c r="A2647" s="225" t="s">
        <v>6288</v>
      </c>
      <c r="B2647" s="225" t="s">
        <v>5839</v>
      </c>
    </row>
    <row r="2648" spans="1:2">
      <c r="A2648" s="225" t="s">
        <v>6289</v>
      </c>
      <c r="B2648" s="225" t="s">
        <v>5841</v>
      </c>
    </row>
    <row r="2649" spans="1:2">
      <c r="A2649" s="225" t="s">
        <v>6290</v>
      </c>
      <c r="B2649" s="225" t="s">
        <v>5858</v>
      </c>
    </row>
    <row r="2650" spans="1:2">
      <c r="A2650" s="225" t="s">
        <v>6291</v>
      </c>
      <c r="B2650" s="225" t="s">
        <v>5860</v>
      </c>
    </row>
    <row r="2651" spans="1:2">
      <c r="A2651" s="225" t="s">
        <v>6293</v>
      </c>
      <c r="B2651" s="225" t="s">
        <v>5864</v>
      </c>
    </row>
    <row r="2652" spans="1:2">
      <c r="A2652" s="225" t="s">
        <v>6294</v>
      </c>
      <c r="B2652" s="225" t="s">
        <v>5890</v>
      </c>
    </row>
    <row r="2653" spans="1:2">
      <c r="A2653" s="225" t="s">
        <v>6295</v>
      </c>
      <c r="B2653" s="225" t="s">
        <v>5839</v>
      </c>
    </row>
    <row r="2654" spans="1:2">
      <c r="A2654" s="225" t="s">
        <v>6296</v>
      </c>
      <c r="B2654" s="225" t="s">
        <v>5841</v>
      </c>
    </row>
    <row r="2655" spans="1:2">
      <c r="A2655" s="225" t="s">
        <v>6297</v>
      </c>
      <c r="B2655" s="225" t="s">
        <v>5858</v>
      </c>
    </row>
    <row r="2656" spans="1:2">
      <c r="A2656" s="225" t="s">
        <v>6298</v>
      </c>
      <c r="B2656" s="225" t="s">
        <v>5860</v>
      </c>
    </row>
    <row r="2657" spans="1:2">
      <c r="A2657" s="225" t="s">
        <v>6299</v>
      </c>
      <c r="B2657" s="225" t="s">
        <v>5862</v>
      </c>
    </row>
    <row r="2658" spans="1:2">
      <c r="A2658" s="225" t="s">
        <v>6300</v>
      </c>
      <c r="B2658" s="225" t="s">
        <v>5864</v>
      </c>
    </row>
    <row r="2659" spans="1:2">
      <c r="A2659" s="225" t="s">
        <v>6301</v>
      </c>
      <c r="B2659" s="225" t="s">
        <v>6302</v>
      </c>
    </row>
    <row r="2660" spans="1:2">
      <c r="A2660" s="225" t="s">
        <v>6320</v>
      </c>
      <c r="B2660" s="225" t="s">
        <v>5864</v>
      </c>
    </row>
    <row r="2661" spans="1:2">
      <c r="A2661" s="225" t="s">
        <v>6321</v>
      </c>
      <c r="B2661" s="225" t="s">
        <v>5920</v>
      </c>
    </row>
    <row r="2662" spans="1:2">
      <c r="A2662" s="225" t="s">
        <v>6322</v>
      </c>
      <c r="B2662" s="225" t="s">
        <v>5839</v>
      </c>
    </row>
    <row r="2663" spans="1:2">
      <c r="A2663" s="225" t="s">
        <v>6303</v>
      </c>
      <c r="B2663" s="225" t="s">
        <v>6304</v>
      </c>
    </row>
    <row r="2664" spans="1:2">
      <c r="A2664" s="225" t="s">
        <v>6305</v>
      </c>
      <c r="B2664" s="225" t="s">
        <v>6306</v>
      </c>
    </row>
    <row r="2665" spans="1:2">
      <c r="A2665" s="225" t="s">
        <v>6307</v>
      </c>
      <c r="B2665" s="225" t="s">
        <v>5904</v>
      </c>
    </row>
    <row r="2666" spans="1:2">
      <c r="A2666" s="225" t="s">
        <v>6308</v>
      </c>
      <c r="B2666" s="225" t="s">
        <v>5839</v>
      </c>
    </row>
    <row r="2667" spans="1:2">
      <c r="A2667" s="225" t="s">
        <v>6309</v>
      </c>
      <c r="B2667" s="225" t="s">
        <v>5841</v>
      </c>
    </row>
    <row r="2668" spans="1:2">
      <c r="A2668" s="225" t="s">
        <v>6310</v>
      </c>
      <c r="B2668" s="225" t="s">
        <v>5858</v>
      </c>
    </row>
    <row r="2669" spans="1:2">
      <c r="A2669" s="225" t="s">
        <v>6311</v>
      </c>
      <c r="B2669" s="225" t="s">
        <v>5860</v>
      </c>
    </row>
    <row r="2670" spans="1:2">
      <c r="A2670" s="225" t="s">
        <v>6312</v>
      </c>
      <c r="B2670" s="225" t="s">
        <v>5862</v>
      </c>
    </row>
    <row r="2671" spans="1:2">
      <c r="A2671" s="225" t="s">
        <v>6313</v>
      </c>
      <c r="B2671" s="225" t="s">
        <v>5864</v>
      </c>
    </row>
    <row r="2672" spans="1:2">
      <c r="A2672" s="225" t="s">
        <v>6314</v>
      </c>
      <c r="B2672" s="225" t="s">
        <v>5912</v>
      </c>
    </row>
    <row r="2673" spans="1:2">
      <c r="A2673" s="225" t="s">
        <v>6315</v>
      </c>
      <c r="B2673" s="225" t="s">
        <v>5839</v>
      </c>
    </row>
    <row r="2674" spans="1:2">
      <c r="A2674" s="225" t="s">
        <v>6316</v>
      </c>
      <c r="B2674" s="225" t="s">
        <v>5841</v>
      </c>
    </row>
    <row r="2675" spans="1:2">
      <c r="A2675" s="225" t="s">
        <v>6317</v>
      </c>
      <c r="B2675" s="225" t="s">
        <v>5858</v>
      </c>
    </row>
    <row r="2676" spans="1:2">
      <c r="A2676" s="225" t="s">
        <v>6318</v>
      </c>
      <c r="B2676" s="225" t="s">
        <v>5860</v>
      </c>
    </row>
    <row r="2677" spans="1:2">
      <c r="A2677" s="225" t="s">
        <v>6319</v>
      </c>
      <c r="B2677" s="225" t="s">
        <v>5862</v>
      </c>
    </row>
    <row r="2678" spans="1:2">
      <c r="A2678" s="225" t="s">
        <v>5921</v>
      </c>
      <c r="B2678" s="225" t="s">
        <v>5839</v>
      </c>
    </row>
    <row r="2679" spans="1:2">
      <c r="A2679" s="225" t="s">
        <v>5922</v>
      </c>
      <c r="B2679" s="225" t="s">
        <v>5841</v>
      </c>
    </row>
    <row r="2680" spans="1:2">
      <c r="A2680" s="225" t="s">
        <v>5923</v>
      </c>
      <c r="B2680" s="225" t="s">
        <v>5858</v>
      </c>
    </row>
    <row r="2681" spans="1:2">
      <c r="A2681" s="225" t="s">
        <v>5924</v>
      </c>
      <c r="B2681" s="225" t="s">
        <v>5860</v>
      </c>
    </row>
    <row r="2682" spans="1:2">
      <c r="A2682" s="225" t="s">
        <v>5925</v>
      </c>
      <c r="B2682" s="225" t="s">
        <v>5862</v>
      </c>
    </row>
    <row r="2683" spans="1:2">
      <c r="A2683" s="225" t="s">
        <v>5926</v>
      </c>
      <c r="B2683" s="225" t="s">
        <v>5864</v>
      </c>
    </row>
    <row r="2684" spans="1:2">
      <c r="A2684" s="225" t="s">
        <v>5927</v>
      </c>
      <c r="B2684" s="225" t="s">
        <v>5928</v>
      </c>
    </row>
    <row r="2685" spans="1:2">
      <c r="A2685" s="225" t="s">
        <v>5929</v>
      </c>
      <c r="B2685" s="225" t="s">
        <v>5839</v>
      </c>
    </row>
    <row r="2686" spans="1:2">
      <c r="A2686" s="225" t="s">
        <v>5930</v>
      </c>
      <c r="B2686" s="225" t="s">
        <v>5841</v>
      </c>
    </row>
    <row r="2687" spans="1:2">
      <c r="A2687" s="225" t="s">
        <v>5931</v>
      </c>
      <c r="B2687" s="225" t="s">
        <v>5858</v>
      </c>
    </row>
    <row r="2688" spans="1:2">
      <c r="A2688" s="225" t="s">
        <v>6518</v>
      </c>
      <c r="B2688" s="225" t="s">
        <v>5864</v>
      </c>
    </row>
    <row r="2689" spans="1:2">
      <c r="A2689" s="225" t="s">
        <v>6519</v>
      </c>
      <c r="B2689" s="225" t="s">
        <v>6136</v>
      </c>
    </row>
    <row r="2690" spans="1:2">
      <c r="A2690" s="225" t="s">
        <v>6520</v>
      </c>
      <c r="B2690" s="225" t="s">
        <v>5839</v>
      </c>
    </row>
    <row r="2691" spans="1:2">
      <c r="A2691" s="225" t="s">
        <v>6521</v>
      </c>
      <c r="B2691" s="225" t="s">
        <v>5841</v>
      </c>
    </row>
    <row r="2692" spans="1:2">
      <c r="A2692" s="225" t="s">
        <v>6522</v>
      </c>
      <c r="B2692" s="225" t="s">
        <v>5858</v>
      </c>
    </row>
    <row r="2693" spans="1:2">
      <c r="A2693" s="225" t="s">
        <v>6523</v>
      </c>
      <c r="B2693" s="225" t="s">
        <v>5860</v>
      </c>
    </row>
    <row r="2694" spans="1:2">
      <c r="A2694" s="225" t="s">
        <v>6524</v>
      </c>
      <c r="B2694" s="225" t="s">
        <v>5862</v>
      </c>
    </row>
    <row r="2695" spans="1:2">
      <c r="A2695" s="225" t="s">
        <v>6525</v>
      </c>
      <c r="B2695" s="225" t="s">
        <v>5864</v>
      </c>
    </row>
    <row r="2696" spans="1:2">
      <c r="A2696" s="225" t="s">
        <v>6526</v>
      </c>
      <c r="B2696" s="225" t="s">
        <v>6527</v>
      </c>
    </row>
    <row r="2697" spans="1:2">
      <c r="A2697" s="225" t="s">
        <v>6528</v>
      </c>
      <c r="B2697" s="225" t="s">
        <v>6529</v>
      </c>
    </row>
    <row r="2698" spans="1:2">
      <c r="A2698" s="225" t="s">
        <v>6530</v>
      </c>
      <c r="B2698" s="225" t="s">
        <v>6531</v>
      </c>
    </row>
    <row r="2699" spans="1:2">
      <c r="A2699" s="225" t="s">
        <v>6532</v>
      </c>
      <c r="B2699" s="225" t="s">
        <v>6096</v>
      </c>
    </row>
    <row r="2700" spans="1:2">
      <c r="A2700" s="225" t="s">
        <v>6533</v>
      </c>
      <c r="B2700" s="225" t="s">
        <v>5839</v>
      </c>
    </row>
    <row r="2701" spans="1:2">
      <c r="A2701" s="225" t="s">
        <v>6534</v>
      </c>
      <c r="B2701" s="225" t="s">
        <v>5841</v>
      </c>
    </row>
    <row r="2702" spans="1:2">
      <c r="A2702" s="225" t="s">
        <v>6535</v>
      </c>
      <c r="B2702" s="225" t="s">
        <v>5858</v>
      </c>
    </row>
    <row r="2703" spans="1:2">
      <c r="A2703" s="225" t="s">
        <v>6536</v>
      </c>
      <c r="B2703" s="225" t="s">
        <v>5860</v>
      </c>
    </row>
    <row r="2704" spans="1:2">
      <c r="A2704" s="225" t="s">
        <v>6537</v>
      </c>
      <c r="B2704" s="225" t="s">
        <v>5862</v>
      </c>
    </row>
    <row r="2705" spans="1:2">
      <c r="A2705" s="225" t="s">
        <v>6538</v>
      </c>
      <c r="B2705" s="225" t="s">
        <v>5864</v>
      </c>
    </row>
    <row r="2706" spans="1:2">
      <c r="A2706" s="225" t="s">
        <v>6539</v>
      </c>
      <c r="B2706" s="225" t="s">
        <v>6104</v>
      </c>
    </row>
    <row r="2707" spans="1:2">
      <c r="A2707" s="225" t="s">
        <v>6540</v>
      </c>
      <c r="B2707" s="225" t="s">
        <v>5839</v>
      </c>
    </row>
    <row r="2708" spans="1:2">
      <c r="A2708" s="225" t="s">
        <v>6541</v>
      </c>
      <c r="B2708" s="225" t="s">
        <v>5841</v>
      </c>
    </row>
    <row r="2709" spans="1:2">
      <c r="A2709" s="225" t="s">
        <v>6542</v>
      </c>
      <c r="B2709" s="225" t="s">
        <v>5858</v>
      </c>
    </row>
    <row r="2710" spans="1:2">
      <c r="A2710" s="225" t="s">
        <v>6543</v>
      </c>
      <c r="B2710" s="225" t="s">
        <v>5860</v>
      </c>
    </row>
    <row r="2711" spans="1:2">
      <c r="A2711" s="225" t="s">
        <v>6544</v>
      </c>
      <c r="B2711" s="225" t="s">
        <v>5862</v>
      </c>
    </row>
    <row r="2712" spans="1:2">
      <c r="A2712" s="225" t="s">
        <v>6545</v>
      </c>
      <c r="B2712" s="225" t="s">
        <v>5864</v>
      </c>
    </row>
    <row r="2713" spans="1:2">
      <c r="A2713" s="225" t="s">
        <v>6546</v>
      </c>
      <c r="B2713" s="225" t="s">
        <v>6112</v>
      </c>
    </row>
    <row r="2714" spans="1:2">
      <c r="A2714" s="225" t="s">
        <v>6547</v>
      </c>
      <c r="B2714" s="225" t="s">
        <v>5839</v>
      </c>
    </row>
    <row r="2715" spans="1:2">
      <c r="A2715" s="225" t="s">
        <v>6548</v>
      </c>
      <c r="B2715" s="225" t="s">
        <v>5841</v>
      </c>
    </row>
    <row r="2716" spans="1:2">
      <c r="A2716" s="225" t="s">
        <v>6549</v>
      </c>
      <c r="B2716" s="225" t="s">
        <v>5858</v>
      </c>
    </row>
    <row r="2717" spans="1:2">
      <c r="A2717" s="225" t="s">
        <v>6550</v>
      </c>
      <c r="B2717" s="225" t="s">
        <v>5860</v>
      </c>
    </row>
    <row r="2718" spans="1:2">
      <c r="A2718" s="225" t="s">
        <v>6551</v>
      </c>
      <c r="B2718" s="225" t="s">
        <v>5862</v>
      </c>
    </row>
    <row r="2719" spans="1:2">
      <c r="A2719" s="225" t="s">
        <v>6552</v>
      </c>
      <c r="B2719" s="225" t="s">
        <v>5864</v>
      </c>
    </row>
    <row r="2720" spans="1:2">
      <c r="A2720" s="225" t="s">
        <v>6553</v>
      </c>
      <c r="B2720" s="225" t="s">
        <v>6120</v>
      </c>
    </row>
    <row r="2721" spans="1:2">
      <c r="A2721" s="225" t="s">
        <v>6554</v>
      </c>
      <c r="B2721" s="225" t="s">
        <v>5839</v>
      </c>
    </row>
    <row r="2722" spans="1:2">
      <c r="A2722" s="225" t="s">
        <v>6555</v>
      </c>
      <c r="B2722" s="225" t="s">
        <v>5841</v>
      </c>
    </row>
    <row r="2723" spans="1:2">
      <c r="A2723" s="225" t="s">
        <v>6556</v>
      </c>
      <c r="B2723" s="225" t="s">
        <v>5858</v>
      </c>
    </row>
    <row r="2724" spans="1:2">
      <c r="A2724" s="225" t="s">
        <v>6557</v>
      </c>
      <c r="B2724" s="225" t="s">
        <v>5860</v>
      </c>
    </row>
    <row r="2725" spans="1:2">
      <c r="A2725" s="225" t="s">
        <v>6558</v>
      </c>
      <c r="B2725" s="225" t="s">
        <v>5862</v>
      </c>
    </row>
    <row r="2726" spans="1:2">
      <c r="A2726" s="225" t="s">
        <v>6559</v>
      </c>
      <c r="B2726" s="225" t="s">
        <v>5864</v>
      </c>
    </row>
    <row r="2727" spans="1:2">
      <c r="A2727" s="225" t="s">
        <v>6323</v>
      </c>
      <c r="B2727" s="225" t="s">
        <v>5841</v>
      </c>
    </row>
    <row r="2728" spans="1:2">
      <c r="A2728" s="225" t="s">
        <v>6324</v>
      </c>
      <c r="B2728" s="225" t="s">
        <v>5858</v>
      </c>
    </row>
    <row r="2729" spans="1:2">
      <c r="A2729" s="225" t="s">
        <v>6325</v>
      </c>
      <c r="B2729" s="225" t="s">
        <v>5860</v>
      </c>
    </row>
    <row r="2730" spans="1:2">
      <c r="A2730" s="225" t="s">
        <v>6326</v>
      </c>
      <c r="B2730" s="225" t="s">
        <v>5862</v>
      </c>
    </row>
    <row r="2731" spans="1:2">
      <c r="A2731" s="225" t="s">
        <v>6327</v>
      </c>
      <c r="B2731" s="225" t="s">
        <v>5864</v>
      </c>
    </row>
    <row r="2732" spans="1:2">
      <c r="A2732" s="225" t="s">
        <v>6328</v>
      </c>
      <c r="B2732" s="225" t="s">
        <v>5928</v>
      </c>
    </row>
    <row r="2733" spans="1:2">
      <c r="A2733" s="225" t="s">
        <v>6329</v>
      </c>
      <c r="B2733" s="225" t="s">
        <v>5839</v>
      </c>
    </row>
    <row r="2734" spans="1:2">
      <c r="A2734" s="225" t="s">
        <v>6330</v>
      </c>
      <c r="B2734" s="225" t="s">
        <v>5841</v>
      </c>
    </row>
    <row r="2735" spans="1:2">
      <c r="A2735" s="225" t="s">
        <v>6331</v>
      </c>
      <c r="B2735" s="225" t="s">
        <v>5858</v>
      </c>
    </row>
    <row r="2736" spans="1:2">
      <c r="A2736" s="225" t="s">
        <v>6332</v>
      </c>
      <c r="B2736" s="225" t="s">
        <v>5860</v>
      </c>
    </row>
    <row r="2737" spans="1:2">
      <c r="A2737" s="225" t="s">
        <v>6333</v>
      </c>
      <c r="B2737" s="225" t="s">
        <v>5862</v>
      </c>
    </row>
    <row r="2738" spans="1:2">
      <c r="A2738" s="225" t="s">
        <v>6334</v>
      </c>
      <c r="B2738" s="225" t="s">
        <v>5864</v>
      </c>
    </row>
    <row r="2739" spans="1:2">
      <c r="A2739" s="225" t="s">
        <v>6335</v>
      </c>
      <c r="B2739" s="225" t="s">
        <v>5936</v>
      </c>
    </row>
    <row r="2740" spans="1:2">
      <c r="A2740" s="225" t="s">
        <v>6342</v>
      </c>
      <c r="B2740" s="225" t="s">
        <v>5944</v>
      </c>
    </row>
    <row r="2741" spans="1:2">
      <c r="A2741" s="225" t="s">
        <v>6336</v>
      </c>
      <c r="B2741" s="225" t="s">
        <v>5839</v>
      </c>
    </row>
    <row r="2742" spans="1:2">
      <c r="A2742" s="225" t="s">
        <v>6337</v>
      </c>
      <c r="B2742" s="225" t="s">
        <v>5841</v>
      </c>
    </row>
    <row r="2743" spans="1:2">
      <c r="A2743" s="225" t="s">
        <v>6338</v>
      </c>
      <c r="B2743" s="225" t="s">
        <v>5858</v>
      </c>
    </row>
    <row r="2744" spans="1:2">
      <c r="A2744" s="225" t="s">
        <v>6339</v>
      </c>
      <c r="B2744" s="225" t="s">
        <v>5860</v>
      </c>
    </row>
    <row r="2745" spans="1:2">
      <c r="A2745" s="225" t="s">
        <v>6340</v>
      </c>
      <c r="B2745" s="225" t="s">
        <v>5862</v>
      </c>
    </row>
    <row r="2746" spans="1:2">
      <c r="A2746" s="225" t="s">
        <v>6341</v>
      </c>
      <c r="B2746" s="225" t="s">
        <v>5864</v>
      </c>
    </row>
    <row r="2747" spans="1:2">
      <c r="A2747" s="225" t="s">
        <v>5932</v>
      </c>
      <c r="B2747" s="225" t="s">
        <v>5860</v>
      </c>
    </row>
    <row r="2748" spans="1:2">
      <c r="A2748" s="225" t="s">
        <v>5933</v>
      </c>
      <c r="B2748" s="225" t="s">
        <v>5862</v>
      </c>
    </row>
    <row r="2749" spans="1:2">
      <c r="A2749" s="225" t="s">
        <v>5934</v>
      </c>
      <c r="B2749" s="225" t="s">
        <v>5864</v>
      </c>
    </row>
    <row r="2750" spans="1:2">
      <c r="A2750" s="225" t="s">
        <v>5935</v>
      </c>
      <c r="B2750" s="225" t="s">
        <v>5936</v>
      </c>
    </row>
    <row r="2751" spans="1:2">
      <c r="A2751" s="225" t="s">
        <v>5937</v>
      </c>
      <c r="B2751" s="225" t="s">
        <v>5839</v>
      </c>
    </row>
    <row r="2752" spans="1:2">
      <c r="A2752" s="225" t="s">
        <v>5963</v>
      </c>
      <c r="B2752" s="225" t="s">
        <v>5964</v>
      </c>
    </row>
    <row r="2753" spans="1:2">
      <c r="A2753" s="225" t="s">
        <v>5938</v>
      </c>
      <c r="B2753" s="225" t="s">
        <v>5841</v>
      </c>
    </row>
    <row r="2754" spans="1:2">
      <c r="A2754" s="225" t="s">
        <v>5939</v>
      </c>
      <c r="B2754" s="225" t="s">
        <v>5858</v>
      </c>
    </row>
    <row r="2755" spans="1:2">
      <c r="A2755" s="225" t="s">
        <v>5940</v>
      </c>
      <c r="B2755" s="225" t="s">
        <v>5860</v>
      </c>
    </row>
    <row r="2756" spans="1:2">
      <c r="A2756" s="225" t="s">
        <v>5965</v>
      </c>
      <c r="B2756" s="225" t="s">
        <v>5904</v>
      </c>
    </row>
    <row r="2757" spans="1:2">
      <c r="A2757" s="225" t="s">
        <v>5966</v>
      </c>
      <c r="B2757" s="225" t="s">
        <v>5839</v>
      </c>
    </row>
    <row r="2758" spans="1:2">
      <c r="A2758" s="225" t="s">
        <v>5941</v>
      </c>
      <c r="B2758" s="225" t="s">
        <v>5862</v>
      </c>
    </row>
    <row r="2759" spans="1:2">
      <c r="A2759" s="225" t="s">
        <v>5942</v>
      </c>
      <c r="B2759" s="225" t="s">
        <v>5864</v>
      </c>
    </row>
    <row r="2760" spans="1:2">
      <c r="A2760" s="225" t="s">
        <v>5943</v>
      </c>
      <c r="B2760" s="225" t="s">
        <v>5944</v>
      </c>
    </row>
    <row r="2761" spans="1:2">
      <c r="A2761" s="225" t="s">
        <v>5945</v>
      </c>
      <c r="B2761" s="225" t="s">
        <v>5839</v>
      </c>
    </row>
    <row r="2762" spans="1:2">
      <c r="A2762" s="225" t="s">
        <v>5946</v>
      </c>
      <c r="B2762" s="225" t="s">
        <v>5841</v>
      </c>
    </row>
    <row r="2763" spans="1:2">
      <c r="A2763" s="225" t="s">
        <v>5947</v>
      </c>
      <c r="B2763" s="225" t="s">
        <v>5858</v>
      </c>
    </row>
    <row r="2764" spans="1:2">
      <c r="A2764" s="225" t="s">
        <v>5948</v>
      </c>
      <c r="B2764" s="225" t="s">
        <v>5860</v>
      </c>
    </row>
    <row r="2765" spans="1:2">
      <c r="A2765" s="225" t="s">
        <v>5949</v>
      </c>
      <c r="B2765" s="225" t="s">
        <v>5862</v>
      </c>
    </row>
    <row r="2766" spans="1:2">
      <c r="A2766" s="225" t="s">
        <v>5950</v>
      </c>
      <c r="B2766" s="225" t="s">
        <v>5864</v>
      </c>
    </row>
    <row r="2767" spans="1:2">
      <c r="A2767" s="225" t="s">
        <v>5951</v>
      </c>
      <c r="B2767" s="225" t="s">
        <v>5952</v>
      </c>
    </row>
    <row r="2768" spans="1:2">
      <c r="A2768" s="225" t="s">
        <v>5953</v>
      </c>
      <c r="B2768" s="225" t="s">
        <v>5839</v>
      </c>
    </row>
    <row r="2769" spans="1:2">
      <c r="A2769" s="225" t="s">
        <v>5954</v>
      </c>
      <c r="B2769" s="225" t="s">
        <v>5841</v>
      </c>
    </row>
    <row r="2770" spans="1:2">
      <c r="A2770" s="225" t="s">
        <v>5955</v>
      </c>
      <c r="B2770" s="225" t="s">
        <v>5858</v>
      </c>
    </row>
    <row r="2771" spans="1:2">
      <c r="A2771" s="225" t="s">
        <v>5956</v>
      </c>
      <c r="B2771" s="225" t="s">
        <v>5860</v>
      </c>
    </row>
    <row r="2772" spans="1:2">
      <c r="A2772" s="225" t="s">
        <v>5957</v>
      </c>
      <c r="B2772" s="225" t="s">
        <v>5862</v>
      </c>
    </row>
    <row r="2773" spans="1:2">
      <c r="A2773" s="225" t="s">
        <v>5958</v>
      </c>
      <c r="B2773" s="225" t="s">
        <v>5864</v>
      </c>
    </row>
    <row r="2774" spans="1:2">
      <c r="A2774" s="225" t="s">
        <v>5959</v>
      </c>
      <c r="B2774" s="225" t="s">
        <v>5960</v>
      </c>
    </row>
    <row r="2775" spans="1:2">
      <c r="A2775" s="225" t="s">
        <v>5961</v>
      </c>
      <c r="B2775" s="225" t="s">
        <v>5962</v>
      </c>
    </row>
    <row r="2776" spans="1:2">
      <c r="A2776" s="225" t="s">
        <v>6562</v>
      </c>
      <c r="B2776" s="225" t="s">
        <v>5841</v>
      </c>
    </row>
    <row r="2777" spans="1:2">
      <c r="A2777" s="225" t="s">
        <v>6563</v>
      </c>
      <c r="B2777" s="225" t="s">
        <v>5858</v>
      </c>
    </row>
    <row r="2778" spans="1:2">
      <c r="A2778" s="225" t="s">
        <v>6564</v>
      </c>
      <c r="B2778" s="225" t="s">
        <v>5860</v>
      </c>
    </row>
    <row r="2779" spans="1:2">
      <c r="A2779" s="225" t="s">
        <v>6565</v>
      </c>
      <c r="B2779" s="225" t="s">
        <v>5862</v>
      </c>
    </row>
    <row r="2780" spans="1:2">
      <c r="A2780" s="225" t="s">
        <v>6560</v>
      </c>
      <c r="B2780" s="225" t="s">
        <v>6128</v>
      </c>
    </row>
    <row r="2781" spans="1:2">
      <c r="A2781" s="225" t="s">
        <v>6566</v>
      </c>
      <c r="B2781" s="225" t="s">
        <v>5864</v>
      </c>
    </row>
    <row r="2782" spans="1:2">
      <c r="A2782" s="225" t="s">
        <v>6567</v>
      </c>
      <c r="B2782" s="225" t="s">
        <v>6136</v>
      </c>
    </row>
    <row r="2783" spans="1:2">
      <c r="A2783" s="225" t="s">
        <v>6568</v>
      </c>
      <c r="B2783" s="225" t="s">
        <v>5839</v>
      </c>
    </row>
    <row r="2784" spans="1:2">
      <c r="A2784" s="225" t="s">
        <v>6569</v>
      </c>
      <c r="B2784" s="225" t="s">
        <v>5841</v>
      </c>
    </row>
    <row r="2785" spans="1:2">
      <c r="A2785" s="225" t="s">
        <v>6570</v>
      </c>
      <c r="B2785" s="225" t="s">
        <v>5858</v>
      </c>
    </row>
    <row r="2786" spans="1:2">
      <c r="A2786" s="225" t="s">
        <v>6561</v>
      </c>
      <c r="B2786" s="225" t="s">
        <v>5839</v>
      </c>
    </row>
    <row r="2787" spans="1:2">
      <c r="A2787" s="225" t="s">
        <v>6571</v>
      </c>
      <c r="B2787" s="225" t="s">
        <v>5860</v>
      </c>
    </row>
    <row r="2788" spans="1:2">
      <c r="A2788" s="225" t="s">
        <v>6572</v>
      </c>
      <c r="B2788" s="225" t="s">
        <v>5862</v>
      </c>
    </row>
    <row r="2789" spans="1:2">
      <c r="A2789" s="225" t="s">
        <v>6573</v>
      </c>
      <c r="B2789" s="225" t="s">
        <v>5864</v>
      </c>
    </row>
    <row r="2790" spans="1:2">
      <c r="A2790" s="225" t="s">
        <v>6343</v>
      </c>
      <c r="B2790" s="225" t="s">
        <v>5839</v>
      </c>
    </row>
    <row r="2791" spans="1:2">
      <c r="A2791" s="225" t="s">
        <v>6344</v>
      </c>
      <c r="B2791" s="225" t="s">
        <v>5841</v>
      </c>
    </row>
    <row r="2792" spans="1:2">
      <c r="A2792" s="225" t="s">
        <v>6345</v>
      </c>
      <c r="B2792" s="225" t="s">
        <v>5858</v>
      </c>
    </row>
    <row r="2793" spans="1:2">
      <c r="A2793" s="225" t="s">
        <v>6346</v>
      </c>
      <c r="B2793" s="225" t="s">
        <v>5860</v>
      </c>
    </row>
    <row r="2794" spans="1:2">
      <c r="A2794" s="225" t="s">
        <v>6347</v>
      </c>
      <c r="B2794" s="225" t="s">
        <v>5862</v>
      </c>
    </row>
    <row r="2795" spans="1:2">
      <c r="A2795" s="225" t="s">
        <v>6348</v>
      </c>
      <c r="B2795" s="225" t="s">
        <v>5864</v>
      </c>
    </row>
    <row r="2796" spans="1:2">
      <c r="A2796" s="225" t="s">
        <v>6349</v>
      </c>
      <c r="B2796" s="225" t="s">
        <v>5952</v>
      </c>
    </row>
    <row r="2797" spans="1:2">
      <c r="A2797" s="225" t="s">
        <v>6350</v>
      </c>
      <c r="B2797" s="225" t="s">
        <v>5839</v>
      </c>
    </row>
    <row r="2798" spans="1:2">
      <c r="A2798" s="225" t="s">
        <v>6351</v>
      </c>
      <c r="B2798" s="225" t="s">
        <v>5841</v>
      </c>
    </row>
    <row r="2799" spans="1:2">
      <c r="A2799" s="225" t="s">
        <v>6352</v>
      </c>
      <c r="B2799" s="225" t="s">
        <v>5858</v>
      </c>
    </row>
    <row r="2800" spans="1:2">
      <c r="A2800" s="225" t="s">
        <v>6353</v>
      </c>
      <c r="B2800" s="225" t="s">
        <v>5860</v>
      </c>
    </row>
    <row r="2801" spans="1:2">
      <c r="A2801" s="225" t="s">
        <v>6354</v>
      </c>
      <c r="B2801" s="225" t="s">
        <v>5862</v>
      </c>
    </row>
    <row r="2802" spans="1:2">
      <c r="A2802" s="225" t="s">
        <v>6355</v>
      </c>
      <c r="B2802" s="225" t="s">
        <v>5864</v>
      </c>
    </row>
    <row r="2803" spans="1:2">
      <c r="A2803" s="225" t="s">
        <v>6356</v>
      </c>
      <c r="B2803" s="225" t="s">
        <v>6357</v>
      </c>
    </row>
    <row r="2804" spans="1:2">
      <c r="A2804" s="225" t="s">
        <v>6358</v>
      </c>
      <c r="B2804" s="225" t="s">
        <v>6359</v>
      </c>
    </row>
    <row r="2805" spans="1:2">
      <c r="A2805" s="225" t="s">
        <v>6360</v>
      </c>
      <c r="B2805" s="225" t="s">
        <v>6361</v>
      </c>
    </row>
    <row r="2806" spans="1:2">
      <c r="A2806" s="225" t="s">
        <v>6362</v>
      </c>
      <c r="B2806" s="225" t="s">
        <v>5904</v>
      </c>
    </row>
    <row r="2807" spans="1:2">
      <c r="A2807" s="225" t="s">
        <v>6363</v>
      </c>
      <c r="B2807" s="225" t="s">
        <v>5839</v>
      </c>
    </row>
    <row r="2808" spans="1:2">
      <c r="A2808" s="225" t="s">
        <v>5993</v>
      </c>
      <c r="B2808" s="225" t="s">
        <v>5936</v>
      </c>
    </row>
    <row r="2809" spans="1:2">
      <c r="A2809" s="225" t="s">
        <v>5967</v>
      </c>
      <c r="B2809" s="225" t="s">
        <v>5841</v>
      </c>
    </row>
    <row r="2810" spans="1:2">
      <c r="A2810" s="225" t="s">
        <v>5968</v>
      </c>
      <c r="B2810" s="225" t="s">
        <v>5858</v>
      </c>
    </row>
    <row r="2811" spans="1:2">
      <c r="A2811" s="225" t="s">
        <v>5969</v>
      </c>
      <c r="B2811" s="225" t="s">
        <v>5860</v>
      </c>
    </row>
    <row r="2812" spans="1:2">
      <c r="A2812" s="225" t="s">
        <v>5970</v>
      </c>
      <c r="B2812" s="225" t="s">
        <v>5862</v>
      </c>
    </row>
    <row r="2813" spans="1:2">
      <c r="A2813" s="225" t="s">
        <v>5971</v>
      </c>
      <c r="B2813" s="225" t="s">
        <v>5864</v>
      </c>
    </row>
    <row r="2814" spans="1:2">
      <c r="A2814" s="225" t="s">
        <v>5972</v>
      </c>
      <c r="B2814" s="225" t="s">
        <v>5912</v>
      </c>
    </row>
    <row r="2815" spans="1:2">
      <c r="A2815" s="225" t="s">
        <v>5973</v>
      </c>
      <c r="B2815" s="225" t="s">
        <v>5839</v>
      </c>
    </row>
    <row r="2816" spans="1:2">
      <c r="A2816" s="225" t="s">
        <v>5974</v>
      </c>
      <c r="B2816" s="225" t="s">
        <v>5841</v>
      </c>
    </row>
    <row r="2817" spans="1:2">
      <c r="A2817" s="225" t="s">
        <v>5975</v>
      </c>
      <c r="B2817" s="225" t="s">
        <v>5858</v>
      </c>
    </row>
    <row r="2818" spans="1:2">
      <c r="A2818" s="225" t="s">
        <v>5976</v>
      </c>
      <c r="B2818" s="225" t="s">
        <v>5860</v>
      </c>
    </row>
    <row r="2819" spans="1:2">
      <c r="A2819" s="225" t="s">
        <v>5977</v>
      </c>
      <c r="B2819" s="225" t="s">
        <v>5862</v>
      </c>
    </row>
    <row r="2820" spans="1:2">
      <c r="A2820" s="225" t="s">
        <v>5978</v>
      </c>
      <c r="B2820" s="225" t="s">
        <v>5864</v>
      </c>
    </row>
    <row r="2821" spans="1:2">
      <c r="A2821" s="225" t="s">
        <v>5979</v>
      </c>
      <c r="B2821" s="225" t="s">
        <v>5920</v>
      </c>
    </row>
    <row r="2822" spans="1:2">
      <c r="A2822" s="225" t="s">
        <v>5980</v>
      </c>
      <c r="B2822" s="225" t="s">
        <v>5839</v>
      </c>
    </row>
    <row r="2823" spans="1:2">
      <c r="A2823" s="225" t="s">
        <v>5981</v>
      </c>
      <c r="B2823" s="225" t="s">
        <v>5841</v>
      </c>
    </row>
    <row r="2824" spans="1:2">
      <c r="A2824" s="225" t="s">
        <v>5982</v>
      </c>
      <c r="B2824" s="225" t="s">
        <v>5858</v>
      </c>
    </row>
    <row r="2825" spans="1:2">
      <c r="A2825" s="225" t="s">
        <v>5983</v>
      </c>
      <c r="B2825" s="225" t="s">
        <v>5860</v>
      </c>
    </row>
    <row r="2826" spans="1:2">
      <c r="A2826" s="225" t="s">
        <v>5984</v>
      </c>
      <c r="B2826" s="225" t="s">
        <v>5862</v>
      </c>
    </row>
    <row r="2827" spans="1:2">
      <c r="A2827" s="225" t="s">
        <v>5985</v>
      </c>
      <c r="B2827" s="225" t="s">
        <v>5864</v>
      </c>
    </row>
    <row r="2828" spans="1:2">
      <c r="A2828" s="225" t="s">
        <v>5986</v>
      </c>
      <c r="B2828" s="225" t="s">
        <v>5928</v>
      </c>
    </row>
    <row r="2829" spans="1:2">
      <c r="A2829" s="225" t="s">
        <v>5987</v>
      </c>
      <c r="B2829" s="225" t="s">
        <v>5839</v>
      </c>
    </row>
    <row r="2830" spans="1:2">
      <c r="A2830" s="225" t="s">
        <v>5988</v>
      </c>
      <c r="B2830" s="225" t="s">
        <v>5841</v>
      </c>
    </row>
    <row r="2831" spans="1:2">
      <c r="A2831" s="225" t="s">
        <v>5989</v>
      </c>
      <c r="B2831" s="225" t="s">
        <v>5858</v>
      </c>
    </row>
    <row r="2832" spans="1:2">
      <c r="A2832" s="225" t="s">
        <v>5990</v>
      </c>
      <c r="B2832" s="225" t="s">
        <v>5860</v>
      </c>
    </row>
    <row r="2833" spans="1:2">
      <c r="A2833" s="225" t="s">
        <v>5991</v>
      </c>
      <c r="B2833" s="225" t="s">
        <v>5862</v>
      </c>
    </row>
    <row r="2834" spans="1:2">
      <c r="A2834" s="225" t="s">
        <v>5992</v>
      </c>
      <c r="B2834" s="225" t="s">
        <v>5864</v>
      </c>
    </row>
    <row r="2835" spans="1:2">
      <c r="A2835" s="225" t="s">
        <v>5919</v>
      </c>
      <c r="B2835" s="225" t="s">
        <v>5920</v>
      </c>
    </row>
    <row r="2836" spans="1:2">
      <c r="A2836" s="225" t="s">
        <v>5994</v>
      </c>
      <c r="B2836" s="225" t="s">
        <v>5839</v>
      </c>
    </row>
    <row r="2837" spans="1:2">
      <c r="A2837" s="225" t="s">
        <v>5995</v>
      </c>
      <c r="B2837" s="225" t="s">
        <v>5841</v>
      </c>
    </row>
    <row r="2838" spans="1:2">
      <c r="A2838" s="225" t="s">
        <v>5996</v>
      </c>
      <c r="B2838" s="225" t="s">
        <v>5858</v>
      </c>
    </row>
    <row r="2839" spans="1:2">
      <c r="A2839" s="225" t="s">
        <v>5997</v>
      </c>
      <c r="B2839" s="225" t="s">
        <v>5860</v>
      </c>
    </row>
    <row r="2840" spans="1:2">
      <c r="A2840" s="225" t="s">
        <v>5998</v>
      </c>
      <c r="B2840" s="225" t="s">
        <v>5862</v>
      </c>
    </row>
    <row r="2841" spans="1:2">
      <c r="A2841" s="225" t="s">
        <v>5999</v>
      </c>
      <c r="B2841" s="225" t="s">
        <v>5864</v>
      </c>
    </row>
    <row r="2842" spans="1:2">
      <c r="A2842" s="225" t="s">
        <v>6000</v>
      </c>
      <c r="B2842" s="225" t="s">
        <v>5944</v>
      </c>
    </row>
    <row r="2843" spans="1:2">
      <c r="A2843" s="225" t="s">
        <v>6001</v>
      </c>
      <c r="B2843" s="225" t="s">
        <v>5839</v>
      </c>
    </row>
    <row r="2844" spans="1:2">
      <c r="A2844" s="225" t="s">
        <v>6002</v>
      </c>
      <c r="B2844" s="225" t="s">
        <v>5841</v>
      </c>
    </row>
    <row r="2845" spans="1:2">
      <c r="A2845" s="225" t="s">
        <v>6003</v>
      </c>
      <c r="B2845" s="225" t="s">
        <v>5858</v>
      </c>
    </row>
    <row r="2846" spans="1:2">
      <c r="A2846" s="225" t="s">
        <v>6004</v>
      </c>
      <c r="B2846" s="225" t="s">
        <v>5860</v>
      </c>
    </row>
    <row r="2847" spans="1:2">
      <c r="A2847" s="225" t="s">
        <v>6005</v>
      </c>
      <c r="B2847" s="225" t="s">
        <v>5862</v>
      </c>
    </row>
    <row r="2848" spans="1:2">
      <c r="A2848" s="225" t="s">
        <v>6006</v>
      </c>
      <c r="B2848" s="225" t="s">
        <v>5864</v>
      </c>
    </row>
    <row r="2849" spans="1:2">
      <c r="A2849" s="225" t="s">
        <v>6007</v>
      </c>
      <c r="B2849" s="225" t="s">
        <v>6008</v>
      </c>
    </row>
    <row r="2850" spans="1:2">
      <c r="A2850" s="225" t="s">
        <v>6009</v>
      </c>
      <c r="B2850" s="225" t="s">
        <v>5839</v>
      </c>
    </row>
    <row r="2851" spans="1:2">
      <c r="A2851" s="225" t="s">
        <v>6010</v>
      </c>
      <c r="B2851" s="225" t="s">
        <v>5841</v>
      </c>
    </row>
    <row r="2852" spans="1:2">
      <c r="A2852" s="225" t="s">
        <v>6011</v>
      </c>
      <c r="B2852" s="225" t="s">
        <v>5858</v>
      </c>
    </row>
    <row r="2853" spans="1:2">
      <c r="A2853" s="225" t="s">
        <v>6574</v>
      </c>
      <c r="B2853" s="225" t="s">
        <v>6575</v>
      </c>
    </row>
    <row r="2854" spans="1:2">
      <c r="A2854" s="225" t="s">
        <v>6576</v>
      </c>
      <c r="B2854" s="225" t="s">
        <v>6577</v>
      </c>
    </row>
    <row r="2855" spans="1:2">
      <c r="A2855" s="225" t="s">
        <v>6578</v>
      </c>
      <c r="B2855" s="225" t="s">
        <v>6579</v>
      </c>
    </row>
    <row r="2856" spans="1:2">
      <c r="A2856" s="225" t="s">
        <v>6580</v>
      </c>
      <c r="B2856" s="225" t="s">
        <v>5839</v>
      </c>
    </row>
    <row r="2857" spans="1:2">
      <c r="A2857" s="225" t="s">
        <v>6581</v>
      </c>
      <c r="B2857" s="225" t="s">
        <v>5841</v>
      </c>
    </row>
    <row r="2858" spans="1:2">
      <c r="A2858" s="225" t="s">
        <v>6582</v>
      </c>
      <c r="B2858" s="225" t="s">
        <v>5843</v>
      </c>
    </row>
    <row r="2859" spans="1:2">
      <c r="A2859" s="225" t="s">
        <v>6583</v>
      </c>
      <c r="B2859" s="225" t="s">
        <v>1702</v>
      </c>
    </row>
    <row r="2860" spans="1:2">
      <c r="A2860" s="225" t="s">
        <v>6584</v>
      </c>
      <c r="B2860" s="225" t="s">
        <v>5846</v>
      </c>
    </row>
    <row r="2861" spans="1:2">
      <c r="A2861" s="225" t="s">
        <v>6585</v>
      </c>
      <c r="B2861" s="225" t="s">
        <v>6586</v>
      </c>
    </row>
    <row r="2862" spans="1:2">
      <c r="A2862" s="225" t="s">
        <v>6587</v>
      </c>
      <c r="B2862" s="225" t="s">
        <v>6588</v>
      </c>
    </row>
    <row r="2863" spans="1:2">
      <c r="A2863" s="225" t="s">
        <v>6589</v>
      </c>
      <c r="B2863" s="225" t="s">
        <v>6590</v>
      </c>
    </row>
    <row r="2864" spans="1:2">
      <c r="A2864" s="225" t="s">
        <v>6591</v>
      </c>
      <c r="B2864" s="225" t="s">
        <v>6209</v>
      </c>
    </row>
    <row r="2865" spans="1:2">
      <c r="A2865" s="225" t="s">
        <v>6592</v>
      </c>
      <c r="B2865" s="225" t="s">
        <v>6211</v>
      </c>
    </row>
    <row r="2866" spans="1:2">
      <c r="A2866" s="225" t="s">
        <v>6593</v>
      </c>
      <c r="B2866" s="225" t="s">
        <v>6213</v>
      </c>
    </row>
    <row r="2867" spans="1:2">
      <c r="A2867" s="225" t="s">
        <v>6594</v>
      </c>
      <c r="B2867" s="225" t="s">
        <v>6215</v>
      </c>
    </row>
    <row r="2868" spans="1:2">
      <c r="A2868" s="225" t="s">
        <v>6595</v>
      </c>
      <c r="B2868" s="225" t="s">
        <v>6596</v>
      </c>
    </row>
    <row r="2869" spans="1:2">
      <c r="A2869" s="225" t="s">
        <v>6597</v>
      </c>
      <c r="B2869" s="225" t="s">
        <v>6598</v>
      </c>
    </row>
    <row r="2870" spans="1:2">
      <c r="A2870" s="225" t="s">
        <v>6599</v>
      </c>
      <c r="B2870" s="225" t="s">
        <v>6600</v>
      </c>
    </row>
    <row r="2871" spans="1:2">
      <c r="A2871" s="225" t="s">
        <v>6601</v>
      </c>
      <c r="B2871" s="225" t="s">
        <v>6223</v>
      </c>
    </row>
    <row r="2872" spans="1:2">
      <c r="A2872" s="225" t="s">
        <v>6602</v>
      </c>
      <c r="B2872" s="225" t="s">
        <v>6225</v>
      </c>
    </row>
    <row r="2873" spans="1:2">
      <c r="A2873" s="225" t="s">
        <v>6603</v>
      </c>
      <c r="B2873" s="225" t="s">
        <v>6227</v>
      </c>
    </row>
    <row r="2874" spans="1:2">
      <c r="A2874" s="225" t="s">
        <v>6604</v>
      </c>
      <c r="B2874" s="225" t="s">
        <v>6229</v>
      </c>
    </row>
    <row r="2875" spans="1:2">
      <c r="A2875" s="225" t="s">
        <v>6605</v>
      </c>
      <c r="B2875" s="225" t="s">
        <v>6606</v>
      </c>
    </row>
    <row r="2876" spans="1:2">
      <c r="A2876" s="225" t="s">
        <v>7537</v>
      </c>
      <c r="B2876" s="225" t="s">
        <v>2124</v>
      </c>
    </row>
    <row r="2877" spans="1:2">
      <c r="A2877" s="225" t="s">
        <v>7538</v>
      </c>
      <c r="B2877" s="225" t="s">
        <v>7452</v>
      </c>
    </row>
    <row r="2878" spans="1:2">
      <c r="A2878" s="225" t="s">
        <v>7539</v>
      </c>
      <c r="B2878" s="225" t="s">
        <v>7454</v>
      </c>
    </row>
    <row r="2879" spans="1:2">
      <c r="A2879" s="225" t="s">
        <v>7540</v>
      </c>
      <c r="B2879" s="225" t="s">
        <v>7297</v>
      </c>
    </row>
    <row r="2880" spans="1:2">
      <c r="A2880" s="225" t="s">
        <v>7541</v>
      </c>
      <c r="B2880" s="225" t="s">
        <v>7299</v>
      </c>
    </row>
    <row r="2881" spans="1:2">
      <c r="A2881" s="225" t="s">
        <v>7542</v>
      </c>
      <c r="B2881" s="225" t="s">
        <v>7301</v>
      </c>
    </row>
    <row r="2882" spans="1:2">
      <c r="A2882" s="225" t="s">
        <v>7543</v>
      </c>
      <c r="B2882" s="225" t="s">
        <v>7303</v>
      </c>
    </row>
    <row r="2883" spans="1:2">
      <c r="A2883" s="225" t="s">
        <v>7544</v>
      </c>
      <c r="B2883" s="225" t="s">
        <v>7304</v>
      </c>
    </row>
    <row r="2884" spans="1:2">
      <c r="A2884" s="225" t="s">
        <v>7545</v>
      </c>
      <c r="B2884" s="225" t="s">
        <v>7306</v>
      </c>
    </row>
    <row r="2885" spans="1:2">
      <c r="A2885" s="225" t="s">
        <v>7546</v>
      </c>
      <c r="B2885" s="225" t="s">
        <v>7308</v>
      </c>
    </row>
    <row r="2886" spans="1:2">
      <c r="A2886" s="225" t="s">
        <v>7547</v>
      </c>
      <c r="B2886" s="225" t="s">
        <v>7310</v>
      </c>
    </row>
    <row r="2887" spans="1:2">
      <c r="A2887" s="225" t="s">
        <v>7548</v>
      </c>
      <c r="B2887" s="225" t="s">
        <v>7312</v>
      </c>
    </row>
    <row r="2888" spans="1:2">
      <c r="A2888" s="225" t="s">
        <v>7549</v>
      </c>
      <c r="B2888" s="225" t="s">
        <v>7550</v>
      </c>
    </row>
    <row r="2889" spans="1:2">
      <c r="A2889" s="225" t="s">
        <v>7551</v>
      </c>
      <c r="B2889" s="225" t="s">
        <v>7552</v>
      </c>
    </row>
    <row r="2890" spans="1:2">
      <c r="A2890" s="225" t="s">
        <v>7561</v>
      </c>
      <c r="B2890" s="225" t="s">
        <v>7562</v>
      </c>
    </row>
    <row r="2891" spans="1:2">
      <c r="A2891" s="225" t="s">
        <v>7563</v>
      </c>
      <c r="B2891" s="225" t="s">
        <v>7564</v>
      </c>
    </row>
    <row r="2892" spans="1:2">
      <c r="A2892" s="225" t="s">
        <v>7565</v>
      </c>
      <c r="B2892" s="225" t="s">
        <v>7566</v>
      </c>
    </row>
    <row r="2893" spans="1:2">
      <c r="A2893" s="225" t="s">
        <v>7567</v>
      </c>
      <c r="B2893" s="225" t="s">
        <v>7568</v>
      </c>
    </row>
    <row r="2894" spans="1:2">
      <c r="A2894" s="225" t="s">
        <v>7569</v>
      </c>
      <c r="B2894" s="225" t="s">
        <v>7570</v>
      </c>
    </row>
    <row r="2895" spans="1:2">
      <c r="A2895" s="225" t="s">
        <v>7571</v>
      </c>
      <c r="B2895" s="225" t="s">
        <v>7572</v>
      </c>
    </row>
    <row r="2896" spans="1:2">
      <c r="A2896" s="225" t="s">
        <v>7573</v>
      </c>
      <c r="B2896" s="225" t="s">
        <v>7574</v>
      </c>
    </row>
    <row r="2897" spans="1:2">
      <c r="A2897" s="225" t="s">
        <v>7575</v>
      </c>
      <c r="B2897" s="225" t="s">
        <v>7576</v>
      </c>
    </row>
    <row r="2898" spans="1:2">
      <c r="A2898" s="225" t="s">
        <v>7577</v>
      </c>
      <c r="B2898" s="225" t="s">
        <v>7578</v>
      </c>
    </row>
    <row r="2899" spans="1:2">
      <c r="A2899" s="225" t="s">
        <v>7579</v>
      </c>
      <c r="B2899" s="225" t="s">
        <v>7580</v>
      </c>
    </row>
    <row r="2900" spans="1:2">
      <c r="A2900" s="225" t="s">
        <v>7581</v>
      </c>
      <c r="B2900" s="225" t="s">
        <v>7582</v>
      </c>
    </row>
    <row r="2901" spans="1:2">
      <c r="A2901" s="225" t="s">
        <v>7583</v>
      </c>
      <c r="B2901" s="225" t="s">
        <v>7584</v>
      </c>
    </row>
    <row r="2902" spans="1:2">
      <c r="A2902" s="225" t="s">
        <v>7585</v>
      </c>
      <c r="B2902" s="225" t="s">
        <v>7404</v>
      </c>
    </row>
    <row r="2903" spans="1:2">
      <c r="A2903" s="225" t="s">
        <v>7586</v>
      </c>
      <c r="B2903" s="225" t="s">
        <v>7406</v>
      </c>
    </row>
    <row r="2904" spans="1:2">
      <c r="A2904" s="225" t="s">
        <v>7587</v>
      </c>
      <c r="B2904" s="225" t="s">
        <v>7408</v>
      </c>
    </row>
    <row r="2905" spans="1:2">
      <c r="A2905" s="225" t="s">
        <v>7588</v>
      </c>
      <c r="B2905" s="225" t="s">
        <v>7412</v>
      </c>
    </row>
    <row r="2906" spans="1:2">
      <c r="A2906" s="225" t="s">
        <v>7589</v>
      </c>
      <c r="B2906" s="225" t="s">
        <v>7590</v>
      </c>
    </row>
    <row r="2907" spans="1:2">
      <c r="A2907" s="225" t="s">
        <v>6610</v>
      </c>
      <c r="B2907" s="225" t="s">
        <v>1870</v>
      </c>
    </row>
    <row r="2908" spans="1:2">
      <c r="A2908" s="225" t="s">
        <v>6611</v>
      </c>
      <c r="B2908" s="225" t="s">
        <v>6236</v>
      </c>
    </row>
    <row r="2909" spans="1:2">
      <c r="A2909" s="225" t="s">
        <v>6612</v>
      </c>
      <c r="B2909" s="225" t="s">
        <v>6606</v>
      </c>
    </row>
    <row r="2910" spans="1:2">
      <c r="A2910" s="225" t="s">
        <v>6613</v>
      </c>
      <c r="B2910" s="225" t="s">
        <v>6614</v>
      </c>
    </row>
    <row r="2911" spans="1:2">
      <c r="A2911" s="225" t="s">
        <v>6615</v>
      </c>
      <c r="B2911" s="225" t="s">
        <v>6616</v>
      </c>
    </row>
    <row r="2912" spans="1:2">
      <c r="A2912" s="225" t="s">
        <v>6617</v>
      </c>
      <c r="B2912" s="225" t="s">
        <v>6244</v>
      </c>
    </row>
    <row r="2913" spans="1:2">
      <c r="A2913" s="225" t="s">
        <v>6618</v>
      </c>
      <c r="B2913" s="225" t="s">
        <v>6246</v>
      </c>
    </row>
    <row r="2914" spans="1:2">
      <c r="A2914" s="225" t="s">
        <v>6619</v>
      </c>
      <c r="B2914" s="225" t="s">
        <v>6620</v>
      </c>
    </row>
    <row r="2915" spans="1:2">
      <c r="A2915" s="225" t="s">
        <v>7352</v>
      </c>
      <c r="B2915" s="225" t="s">
        <v>7353</v>
      </c>
    </row>
    <row r="2916" spans="1:2">
      <c r="A2916" s="225" t="s">
        <v>7428</v>
      </c>
      <c r="B2916" s="225" t="s">
        <v>7191</v>
      </c>
    </row>
    <row r="2917" spans="1:2">
      <c r="A2917" s="225" t="s">
        <v>7429</v>
      </c>
      <c r="B2917" s="225" t="s">
        <v>7430</v>
      </c>
    </row>
    <row r="2918" spans="1:2">
      <c r="A2918" s="225" t="s">
        <v>7431</v>
      </c>
      <c r="B2918" s="225" t="s">
        <v>7193</v>
      </c>
    </row>
    <row r="2919" spans="1:2">
      <c r="A2919" s="225" t="s">
        <v>7432</v>
      </c>
      <c r="B2919" s="225" t="s">
        <v>7195</v>
      </c>
    </row>
    <row r="2920" spans="1:2">
      <c r="A2920" s="225" t="s">
        <v>7433</v>
      </c>
      <c r="B2920" s="225" t="s">
        <v>7197</v>
      </c>
    </row>
    <row r="2921" spans="1:2">
      <c r="A2921" s="225" t="s">
        <v>7434</v>
      </c>
      <c r="B2921" s="225" t="s">
        <v>7199</v>
      </c>
    </row>
    <row r="2922" spans="1:2">
      <c r="A2922" s="225" t="s">
        <v>7435</v>
      </c>
      <c r="B2922" s="225" t="s">
        <v>7436</v>
      </c>
    </row>
    <row r="2923" spans="1:2">
      <c r="A2923" s="225" t="s">
        <v>7437</v>
      </c>
      <c r="B2923" s="225" t="s">
        <v>7438</v>
      </c>
    </row>
    <row r="2924" spans="1:2">
      <c r="A2924" s="225" t="s">
        <v>7439</v>
      </c>
      <c r="B2924" s="225" t="s">
        <v>2386</v>
      </c>
    </row>
    <row r="2925" spans="1:2">
      <c r="A2925" s="225" t="s">
        <v>7440</v>
      </c>
      <c r="B2925" s="225" t="s">
        <v>3856</v>
      </c>
    </row>
    <row r="2926" spans="1:2">
      <c r="A2926" s="225" t="s">
        <v>7441</v>
      </c>
      <c r="B2926" s="225" t="s">
        <v>7132</v>
      </c>
    </row>
    <row r="2927" spans="1:2">
      <c r="A2927" s="225" t="s">
        <v>7442</v>
      </c>
      <c r="B2927" s="225" t="s">
        <v>3857</v>
      </c>
    </row>
    <row r="2928" spans="1:2">
      <c r="A2928" s="225" t="s">
        <v>7443</v>
      </c>
      <c r="B2928" s="225" t="s">
        <v>7133</v>
      </c>
    </row>
    <row r="2929" spans="1:2">
      <c r="A2929" s="225" t="s">
        <v>7444</v>
      </c>
      <c r="B2929" s="225" t="s">
        <v>2199</v>
      </c>
    </row>
    <row r="2930" spans="1:2">
      <c r="A2930" s="225" t="s">
        <v>7445</v>
      </c>
      <c r="B2930" s="225" t="s">
        <v>2232</v>
      </c>
    </row>
    <row r="2931" spans="1:2">
      <c r="A2931" s="225" t="s">
        <v>7446</v>
      </c>
      <c r="B2931" s="225" t="s">
        <v>2234</v>
      </c>
    </row>
    <row r="2932" spans="1:2">
      <c r="A2932" s="225" t="s">
        <v>7447</v>
      </c>
      <c r="B2932" s="225" t="s">
        <v>2568</v>
      </c>
    </row>
    <row r="2933" spans="1:2">
      <c r="A2933" s="225" t="s">
        <v>7448</v>
      </c>
      <c r="B2933" s="225" t="s">
        <v>2570</v>
      </c>
    </row>
    <row r="2934" spans="1:2">
      <c r="A2934" s="225" t="s">
        <v>7449</v>
      </c>
      <c r="B2934" s="225" t="s">
        <v>7324</v>
      </c>
    </row>
    <row r="2935" spans="1:2">
      <c r="A2935" s="225" t="s">
        <v>7450</v>
      </c>
      <c r="B2935" s="225" t="s">
        <v>2124</v>
      </c>
    </row>
    <row r="2936" spans="1:2">
      <c r="A2936" s="225" t="s">
        <v>7451</v>
      </c>
      <c r="B2936" s="225" t="s">
        <v>7452</v>
      </c>
    </row>
    <row r="2937" spans="1:2">
      <c r="A2937" s="225" t="s">
        <v>7453</v>
      </c>
      <c r="B2937" s="225" t="s">
        <v>7454</v>
      </c>
    </row>
    <row r="2938" spans="1:2">
      <c r="A2938" s="225" t="s">
        <v>7455</v>
      </c>
      <c r="B2938" s="225" t="s">
        <v>7297</v>
      </c>
    </row>
    <row r="2939" spans="1:2">
      <c r="A2939" s="225" t="s">
        <v>7456</v>
      </c>
      <c r="B2939" s="225" t="s">
        <v>7299</v>
      </c>
    </row>
    <row r="2940" spans="1:2">
      <c r="A2940" s="225" t="s">
        <v>7457</v>
      </c>
      <c r="B2940" s="225" t="s">
        <v>7458</v>
      </c>
    </row>
    <row r="2941" spans="1:2">
      <c r="A2941" s="225" t="s">
        <v>7459</v>
      </c>
      <c r="B2941" s="225" t="s">
        <v>7303</v>
      </c>
    </row>
    <row r="2942" spans="1:2">
      <c r="A2942" s="225" t="s">
        <v>7460</v>
      </c>
      <c r="B2942" s="225" t="s">
        <v>7335</v>
      </c>
    </row>
    <row r="2943" spans="1:2">
      <c r="A2943" s="225" t="s">
        <v>7461</v>
      </c>
      <c r="B2943" s="225" t="s">
        <v>7337</v>
      </c>
    </row>
    <row r="2944" spans="1:2">
      <c r="A2944" s="225" t="s">
        <v>7462</v>
      </c>
      <c r="B2944" s="225" t="s">
        <v>7341</v>
      </c>
    </row>
    <row r="2945" spans="1:2">
      <c r="A2945" s="225" t="s">
        <v>7463</v>
      </c>
      <c r="B2945" s="225" t="s">
        <v>7343</v>
      </c>
    </row>
    <row r="2946" spans="1:2">
      <c r="A2946" s="225" t="s">
        <v>7464</v>
      </c>
      <c r="B2946" s="225" t="s">
        <v>7465</v>
      </c>
    </row>
    <row r="2947" spans="1:2">
      <c r="A2947" s="225" t="s">
        <v>7466</v>
      </c>
      <c r="B2947" s="225" t="s">
        <v>7346</v>
      </c>
    </row>
    <row r="2948" spans="1:2">
      <c r="A2948" s="225" t="s">
        <v>7475</v>
      </c>
      <c r="B2948" s="225" t="s">
        <v>7476</v>
      </c>
    </row>
    <row r="2949" spans="1:2">
      <c r="A2949" s="225" t="s">
        <v>7477</v>
      </c>
      <c r="B2949" s="225" t="s">
        <v>7478</v>
      </c>
    </row>
    <row r="2950" spans="1:2">
      <c r="A2950" s="225" t="s">
        <v>7479</v>
      </c>
      <c r="B2950" s="225" t="s">
        <v>7480</v>
      </c>
    </row>
    <row r="2951" spans="1:2">
      <c r="A2951" s="225" t="s">
        <v>7481</v>
      </c>
      <c r="B2951" s="225" t="s">
        <v>7482</v>
      </c>
    </row>
    <row r="2952" spans="1:2">
      <c r="A2952" s="225" t="s">
        <v>7483</v>
      </c>
      <c r="B2952" s="225" t="s">
        <v>7484</v>
      </c>
    </row>
    <row r="2953" spans="1:2">
      <c r="A2953" s="225" t="s">
        <v>7485</v>
      </c>
      <c r="B2953" s="225" t="s">
        <v>7486</v>
      </c>
    </row>
    <row r="2954" spans="1:2">
      <c r="A2954" s="225" t="s">
        <v>7487</v>
      </c>
      <c r="B2954" s="225" t="s">
        <v>7488</v>
      </c>
    </row>
    <row r="2955" spans="1:2">
      <c r="A2955" s="225" t="s">
        <v>7489</v>
      </c>
      <c r="B2955" s="225" t="s">
        <v>2386</v>
      </c>
    </row>
    <row r="2956" spans="1:2">
      <c r="A2956" s="225" t="s">
        <v>7490</v>
      </c>
      <c r="B2956" s="225" t="s">
        <v>3856</v>
      </c>
    </row>
    <row r="2957" spans="1:2">
      <c r="A2957" s="225" t="s">
        <v>7491</v>
      </c>
      <c r="B2957" s="225" t="s">
        <v>7132</v>
      </c>
    </row>
    <row r="2958" spans="1:2">
      <c r="A2958" s="225" t="s">
        <v>7492</v>
      </c>
      <c r="B2958" s="225" t="s">
        <v>3857</v>
      </c>
    </row>
    <row r="2959" spans="1:2">
      <c r="A2959" s="225" t="s">
        <v>7493</v>
      </c>
      <c r="B2959" s="225" t="s">
        <v>7133</v>
      </c>
    </row>
    <row r="2960" spans="1:2">
      <c r="A2960" s="225" t="s">
        <v>7494</v>
      </c>
      <c r="B2960" s="225" t="s">
        <v>2199</v>
      </c>
    </row>
    <row r="2961" spans="1:2">
      <c r="A2961" s="225" t="s">
        <v>7495</v>
      </c>
      <c r="B2961" s="225" t="s">
        <v>2232</v>
      </c>
    </row>
    <row r="2962" spans="1:2">
      <c r="A2962" s="225" t="s">
        <v>7496</v>
      </c>
      <c r="B2962" s="225" t="s">
        <v>2234</v>
      </c>
    </row>
    <row r="2963" spans="1:2">
      <c r="A2963" s="225" t="s">
        <v>7497</v>
      </c>
      <c r="B2963" s="225" t="s">
        <v>2568</v>
      </c>
    </row>
    <row r="2964" spans="1:2">
      <c r="A2964" s="225" t="s">
        <v>7498</v>
      </c>
      <c r="B2964" s="225" t="s">
        <v>2570</v>
      </c>
    </row>
    <row r="2965" spans="1:2">
      <c r="A2965" s="225" t="s">
        <v>7499</v>
      </c>
      <c r="B2965" s="225" t="s">
        <v>1617</v>
      </c>
    </row>
    <row r="2966" spans="1:2">
      <c r="A2966" s="225" t="s">
        <v>7500</v>
      </c>
      <c r="B2966" s="225" t="s">
        <v>1858</v>
      </c>
    </row>
    <row r="2967" spans="1:2">
      <c r="A2967" s="225" t="s">
        <v>7501</v>
      </c>
      <c r="B2967" s="225" t="s">
        <v>1919</v>
      </c>
    </row>
    <row r="2968" spans="1:2">
      <c r="A2968" s="225" t="s">
        <v>7502</v>
      </c>
      <c r="B2968" s="225" t="s">
        <v>7284</v>
      </c>
    </row>
    <row r="2969" spans="1:2">
      <c r="A2969" s="225" t="s">
        <v>7503</v>
      </c>
      <c r="B2969" s="225" t="s">
        <v>3886</v>
      </c>
    </row>
    <row r="2970" spans="1:2">
      <c r="A2970" s="225" t="s">
        <v>7504</v>
      </c>
      <c r="B2970" s="225" t="s">
        <v>4037</v>
      </c>
    </row>
    <row r="2971" spans="1:2">
      <c r="A2971" s="225" t="s">
        <v>7505</v>
      </c>
      <c r="B2971" s="225" t="s">
        <v>7288</v>
      </c>
    </row>
    <row r="2972" spans="1:2">
      <c r="A2972" s="225" t="s">
        <v>7511</v>
      </c>
      <c r="B2972" s="225" t="s">
        <v>7156</v>
      </c>
    </row>
    <row r="2973" spans="1:2">
      <c r="A2973" s="225" t="s">
        <v>7512</v>
      </c>
      <c r="B2973" s="225" t="s">
        <v>7261</v>
      </c>
    </row>
    <row r="2974" spans="1:2">
      <c r="A2974" s="225" t="s">
        <v>7513</v>
      </c>
      <c r="B2974" s="225" t="s">
        <v>7158</v>
      </c>
    </row>
    <row r="2975" spans="1:2">
      <c r="A2975" s="225" t="s">
        <v>7514</v>
      </c>
      <c r="B2975" s="225" t="s">
        <v>7160</v>
      </c>
    </row>
    <row r="2976" spans="1:2">
      <c r="A2976" s="225" t="s">
        <v>7515</v>
      </c>
      <c r="B2976" s="225" t="s">
        <v>7162</v>
      </c>
    </row>
    <row r="2977" spans="1:2">
      <c r="A2977" s="225" t="s">
        <v>7516</v>
      </c>
      <c r="B2977" s="225" t="s">
        <v>7164</v>
      </c>
    </row>
    <row r="2978" spans="1:2">
      <c r="A2978" s="225" t="s">
        <v>7517</v>
      </c>
      <c r="B2978" s="225" t="s">
        <v>7267</v>
      </c>
    </row>
    <row r="2979" spans="1:2">
      <c r="A2979" s="225" t="s">
        <v>7518</v>
      </c>
      <c r="B2979" s="225" t="s">
        <v>7269</v>
      </c>
    </row>
    <row r="2980" spans="1:2">
      <c r="A2980" s="225" t="s">
        <v>7519</v>
      </c>
      <c r="B2980" s="225" t="s">
        <v>2386</v>
      </c>
    </row>
    <row r="2981" spans="1:2">
      <c r="A2981" s="225" t="s">
        <v>7520</v>
      </c>
      <c r="B2981" s="225" t="s">
        <v>3856</v>
      </c>
    </row>
    <row r="2982" spans="1:2">
      <c r="A2982" s="225" t="s">
        <v>7521</v>
      </c>
      <c r="B2982" s="225" t="s">
        <v>7132</v>
      </c>
    </row>
    <row r="2983" spans="1:2">
      <c r="A2983" s="225" t="s">
        <v>7522</v>
      </c>
      <c r="B2983" s="225" t="s">
        <v>3857</v>
      </c>
    </row>
    <row r="2984" spans="1:2">
      <c r="A2984" s="225" t="s">
        <v>7523</v>
      </c>
      <c r="B2984" s="225" t="s">
        <v>7133</v>
      </c>
    </row>
    <row r="2985" spans="1:2">
      <c r="A2985" s="225" t="s">
        <v>7524</v>
      </c>
      <c r="B2985" s="225" t="s">
        <v>2199</v>
      </c>
    </row>
    <row r="2986" spans="1:2">
      <c r="A2986" s="225" t="s">
        <v>7525</v>
      </c>
      <c r="B2986" s="225" t="s">
        <v>2232</v>
      </c>
    </row>
    <row r="2987" spans="1:2">
      <c r="A2987" s="225" t="s">
        <v>7526</v>
      </c>
      <c r="B2987" s="225" t="s">
        <v>2234</v>
      </c>
    </row>
    <row r="2988" spans="1:2">
      <c r="A2988" s="225" t="s">
        <v>7527</v>
      </c>
      <c r="B2988" s="225" t="s">
        <v>2568</v>
      </c>
    </row>
    <row r="2989" spans="1:2">
      <c r="A2989" s="225" t="s">
        <v>7528</v>
      </c>
      <c r="B2989" s="225" t="s">
        <v>2570</v>
      </c>
    </row>
    <row r="2990" spans="1:2">
      <c r="A2990" s="225" t="s">
        <v>7529</v>
      </c>
      <c r="B2990" s="225" t="s">
        <v>1617</v>
      </c>
    </row>
    <row r="2991" spans="1:2">
      <c r="A2991" s="225" t="s">
        <v>7530</v>
      </c>
      <c r="B2991" s="225" t="s">
        <v>1858</v>
      </c>
    </row>
    <row r="2992" spans="1:2">
      <c r="A2992" s="225" t="s">
        <v>7531</v>
      </c>
      <c r="B2992" s="225" t="s">
        <v>1919</v>
      </c>
    </row>
    <row r="2993" spans="1:2">
      <c r="A2993" s="225" t="s">
        <v>7532</v>
      </c>
      <c r="B2993" s="225" t="s">
        <v>7284</v>
      </c>
    </row>
    <row r="2994" spans="1:2">
      <c r="A2994" s="225" t="s">
        <v>7533</v>
      </c>
      <c r="B2994" s="225" t="s">
        <v>3886</v>
      </c>
    </row>
    <row r="2995" spans="1:2">
      <c r="A2995" s="225" t="s">
        <v>7534</v>
      </c>
      <c r="B2995" s="225" t="s">
        <v>4037</v>
      </c>
    </row>
    <row r="2996" spans="1:2">
      <c r="A2996" s="225" t="s">
        <v>7535</v>
      </c>
      <c r="B2996" s="225" t="s">
        <v>7288</v>
      </c>
    </row>
    <row r="2997" spans="1:2">
      <c r="A2997" s="225" t="s">
        <v>7536</v>
      </c>
      <c r="B2997" s="225" t="s">
        <v>7290</v>
      </c>
    </row>
    <row r="2998" spans="1:2">
      <c r="A2998" s="225" t="s">
        <v>6388</v>
      </c>
      <c r="B2998" s="225" t="s">
        <v>5862</v>
      </c>
    </row>
    <row r="2999" spans="1:2">
      <c r="A2999" s="225" t="s">
        <v>6364</v>
      </c>
      <c r="B2999" s="225" t="s">
        <v>5841</v>
      </c>
    </row>
    <row r="3000" spans="1:2">
      <c r="A3000" s="225" t="s">
        <v>6365</v>
      </c>
      <c r="B3000" s="225" t="s">
        <v>5858</v>
      </c>
    </row>
    <row r="3001" spans="1:2">
      <c r="A3001" s="225" t="s">
        <v>6366</v>
      </c>
      <c r="B3001" s="225" t="s">
        <v>5860</v>
      </c>
    </row>
    <row r="3002" spans="1:2">
      <c r="A3002" s="225" t="s">
        <v>6367</v>
      </c>
      <c r="B3002" s="225" t="s">
        <v>5862</v>
      </c>
    </row>
    <row r="3003" spans="1:2">
      <c r="A3003" s="225" t="s">
        <v>6368</v>
      </c>
      <c r="B3003" s="225" t="s">
        <v>5864</v>
      </c>
    </row>
    <row r="3004" spans="1:2">
      <c r="A3004" s="225" t="s">
        <v>6369</v>
      </c>
      <c r="B3004" s="225" t="s">
        <v>5912</v>
      </c>
    </row>
    <row r="3005" spans="1:2">
      <c r="A3005" s="225" t="s">
        <v>6370</v>
      </c>
      <c r="B3005" s="225" t="s">
        <v>5839</v>
      </c>
    </row>
    <row r="3006" spans="1:2">
      <c r="A3006" s="225" t="s">
        <v>6371</v>
      </c>
      <c r="B3006" s="225" t="s">
        <v>5841</v>
      </c>
    </row>
    <row r="3007" spans="1:2">
      <c r="A3007" s="225" t="s">
        <v>6372</v>
      </c>
      <c r="B3007" s="225" t="s">
        <v>5858</v>
      </c>
    </row>
    <row r="3008" spans="1:2">
      <c r="A3008" s="225" t="s">
        <v>6373</v>
      </c>
      <c r="B3008" s="225" t="s">
        <v>5860</v>
      </c>
    </row>
    <row r="3009" spans="1:2">
      <c r="A3009" s="225" t="s">
        <v>6374</v>
      </c>
      <c r="B3009" s="225" t="s">
        <v>5862</v>
      </c>
    </row>
    <row r="3010" spans="1:2">
      <c r="A3010" s="225" t="s">
        <v>6375</v>
      </c>
      <c r="B3010" s="225" t="s">
        <v>5864</v>
      </c>
    </row>
    <row r="3011" spans="1:2">
      <c r="A3011" s="225" t="s">
        <v>6376</v>
      </c>
      <c r="B3011" s="225" t="s">
        <v>5920</v>
      </c>
    </row>
    <row r="3012" spans="1:2">
      <c r="A3012" s="225" t="s">
        <v>6377</v>
      </c>
      <c r="B3012" s="225" t="s">
        <v>5839</v>
      </c>
    </row>
    <row r="3013" spans="1:2">
      <c r="A3013" s="225" t="s">
        <v>6378</v>
      </c>
      <c r="B3013" s="225" t="s">
        <v>5841</v>
      </c>
    </row>
    <row r="3014" spans="1:2">
      <c r="A3014" s="225" t="s">
        <v>6379</v>
      </c>
      <c r="B3014" s="225" t="s">
        <v>5858</v>
      </c>
    </row>
    <row r="3015" spans="1:2">
      <c r="A3015" s="225" t="s">
        <v>6380</v>
      </c>
      <c r="B3015" s="225" t="s">
        <v>5860</v>
      </c>
    </row>
    <row r="3016" spans="1:2">
      <c r="A3016" s="225" t="s">
        <v>6381</v>
      </c>
      <c r="B3016" s="225" t="s">
        <v>5862</v>
      </c>
    </row>
    <row r="3017" spans="1:2">
      <c r="A3017" s="225" t="s">
        <v>6382</v>
      </c>
      <c r="B3017" s="225" t="s">
        <v>5864</v>
      </c>
    </row>
    <row r="3018" spans="1:2">
      <c r="A3018" s="225" t="s">
        <v>6383</v>
      </c>
      <c r="B3018" s="225" t="s">
        <v>5928</v>
      </c>
    </row>
    <row r="3019" spans="1:2">
      <c r="A3019" s="225" t="s">
        <v>6384</v>
      </c>
      <c r="B3019" s="225" t="s">
        <v>5839</v>
      </c>
    </row>
    <row r="3020" spans="1:2">
      <c r="A3020" s="225" t="s">
        <v>6385</v>
      </c>
      <c r="B3020" s="225" t="s">
        <v>5841</v>
      </c>
    </row>
    <row r="3021" spans="1:2">
      <c r="A3021" s="225" t="s">
        <v>6386</v>
      </c>
      <c r="B3021" s="225" t="s">
        <v>5858</v>
      </c>
    </row>
    <row r="3022" spans="1:2">
      <c r="A3022" s="225" t="s">
        <v>6387</v>
      </c>
      <c r="B3022" s="225" t="s">
        <v>5860</v>
      </c>
    </row>
    <row r="3023" spans="1:2">
      <c r="A3023" s="225" t="s">
        <v>6389</v>
      </c>
      <c r="B3023" s="225" t="s">
        <v>5864</v>
      </c>
    </row>
    <row r="3024" spans="1:2">
      <c r="A3024" s="225" t="s">
        <v>6063</v>
      </c>
      <c r="B3024" s="225" t="s">
        <v>5862</v>
      </c>
    </row>
    <row r="3025" spans="1:2">
      <c r="A3025" s="225" t="s">
        <v>6012</v>
      </c>
      <c r="B3025" s="225" t="s">
        <v>5860</v>
      </c>
    </row>
    <row r="3026" spans="1:2">
      <c r="A3026" s="225" t="s">
        <v>6013</v>
      </c>
      <c r="B3026" s="225" t="s">
        <v>5862</v>
      </c>
    </row>
    <row r="3027" spans="1:2">
      <c r="A3027" s="225" t="s">
        <v>6014</v>
      </c>
      <c r="B3027" s="225" t="s">
        <v>5864</v>
      </c>
    </row>
    <row r="3028" spans="1:2">
      <c r="A3028" s="225" t="s">
        <v>6015</v>
      </c>
      <c r="B3028" s="225" t="s">
        <v>6016</v>
      </c>
    </row>
    <row r="3029" spans="1:2">
      <c r="A3029" s="225" t="s">
        <v>6017</v>
      </c>
      <c r="B3029" s="225" t="s">
        <v>6018</v>
      </c>
    </row>
    <row r="3030" spans="1:2">
      <c r="A3030" s="225" t="s">
        <v>6019</v>
      </c>
      <c r="B3030" s="225" t="s">
        <v>6020</v>
      </c>
    </row>
    <row r="3031" spans="1:2">
      <c r="A3031" s="225" t="s">
        <v>6021</v>
      </c>
      <c r="B3031" s="225" t="s">
        <v>6022</v>
      </c>
    </row>
    <row r="3032" spans="1:2">
      <c r="A3032" s="225" t="s">
        <v>6023</v>
      </c>
      <c r="B3032" s="225" t="s">
        <v>6024</v>
      </c>
    </row>
    <row r="3033" spans="1:2">
      <c r="A3033" s="225" t="s">
        <v>6025</v>
      </c>
      <c r="B3033" s="225" t="s">
        <v>6026</v>
      </c>
    </row>
    <row r="3034" spans="1:2">
      <c r="A3034" s="225" t="s">
        <v>6027</v>
      </c>
      <c r="B3034" s="225" t="s">
        <v>6028</v>
      </c>
    </row>
    <row r="3035" spans="1:2">
      <c r="A3035" s="225" t="s">
        <v>6029</v>
      </c>
      <c r="B3035" s="225" t="s">
        <v>6030</v>
      </c>
    </row>
    <row r="3036" spans="1:2">
      <c r="A3036" s="225" t="s">
        <v>6031</v>
      </c>
      <c r="B3036" s="225" t="s">
        <v>6032</v>
      </c>
    </row>
    <row r="3037" spans="1:2">
      <c r="A3037" s="225" t="s">
        <v>6033</v>
      </c>
      <c r="B3037" s="225" t="s">
        <v>6034</v>
      </c>
    </row>
    <row r="3038" spans="1:2">
      <c r="A3038" s="225" t="s">
        <v>6035</v>
      </c>
      <c r="B3038" s="225" t="s">
        <v>6022</v>
      </c>
    </row>
    <row r="3039" spans="1:2">
      <c r="A3039" s="225" t="s">
        <v>6036</v>
      </c>
      <c r="B3039" s="225" t="s">
        <v>5839</v>
      </c>
    </row>
    <row r="3040" spans="1:2">
      <c r="A3040" s="225" t="s">
        <v>6037</v>
      </c>
      <c r="B3040" s="225" t="s">
        <v>5841</v>
      </c>
    </row>
    <row r="3041" spans="1:2">
      <c r="A3041" s="225" t="s">
        <v>6038</v>
      </c>
      <c r="B3041" s="225" t="s">
        <v>5858</v>
      </c>
    </row>
    <row r="3042" spans="1:2">
      <c r="A3042" s="225" t="s">
        <v>6039</v>
      </c>
      <c r="B3042" s="225" t="s">
        <v>5860</v>
      </c>
    </row>
    <row r="3043" spans="1:2">
      <c r="A3043" s="225" t="s">
        <v>6040</v>
      </c>
      <c r="B3043" s="225" t="s">
        <v>5862</v>
      </c>
    </row>
    <row r="3044" spans="1:2">
      <c r="A3044" s="225" t="s">
        <v>6041</v>
      </c>
      <c r="B3044" s="225" t="s">
        <v>5864</v>
      </c>
    </row>
    <row r="3045" spans="1:2">
      <c r="A3045" s="225" t="s">
        <v>6042</v>
      </c>
      <c r="B3045" s="225" t="s">
        <v>6043</v>
      </c>
    </row>
    <row r="3046" spans="1:2">
      <c r="A3046" s="225" t="s">
        <v>6044</v>
      </c>
      <c r="B3046" s="225" t="s">
        <v>6045</v>
      </c>
    </row>
    <row r="3047" spans="1:2">
      <c r="A3047" s="225" t="s">
        <v>6046</v>
      </c>
      <c r="B3047" s="225" t="s">
        <v>6047</v>
      </c>
    </row>
    <row r="3048" spans="1:2">
      <c r="A3048" s="225" t="s">
        <v>6048</v>
      </c>
      <c r="B3048" s="225" t="s">
        <v>5854</v>
      </c>
    </row>
    <row r="3049" spans="1:2">
      <c r="A3049" s="225" t="s">
        <v>6049</v>
      </c>
      <c r="B3049" s="225" t="s">
        <v>6050</v>
      </c>
    </row>
    <row r="3050" spans="1:2">
      <c r="A3050" s="225" t="s">
        <v>6051</v>
      </c>
      <c r="B3050" s="225" t="s">
        <v>5839</v>
      </c>
    </row>
    <row r="3051" spans="1:2">
      <c r="A3051" s="225" t="s">
        <v>6052</v>
      </c>
      <c r="B3051" s="225" t="s">
        <v>5841</v>
      </c>
    </row>
    <row r="3052" spans="1:2">
      <c r="A3052" s="225" t="s">
        <v>6053</v>
      </c>
      <c r="B3052" s="225" t="s">
        <v>5858</v>
      </c>
    </row>
    <row r="3053" spans="1:2">
      <c r="A3053" s="225" t="s">
        <v>6054</v>
      </c>
      <c r="B3053" s="225" t="s">
        <v>5860</v>
      </c>
    </row>
    <row r="3054" spans="1:2">
      <c r="A3054" s="225" t="s">
        <v>6055</v>
      </c>
      <c r="B3054" s="225" t="s">
        <v>5862</v>
      </c>
    </row>
    <row r="3055" spans="1:2">
      <c r="A3055" s="225" t="s">
        <v>6056</v>
      </c>
      <c r="B3055" s="225" t="s">
        <v>5864</v>
      </c>
    </row>
    <row r="3056" spans="1:2">
      <c r="A3056" s="225" t="s">
        <v>6064</v>
      </c>
      <c r="B3056" s="225" t="s">
        <v>5864</v>
      </c>
    </row>
    <row r="3057" spans="1:2">
      <c r="A3057" s="225" t="s">
        <v>6057</v>
      </c>
      <c r="B3057" s="225" t="s">
        <v>5866</v>
      </c>
    </row>
    <row r="3058" spans="1:2">
      <c r="A3058" s="225" t="s">
        <v>6058</v>
      </c>
      <c r="B3058" s="225" t="s">
        <v>6050</v>
      </c>
    </row>
    <row r="3059" spans="1:2">
      <c r="A3059" s="225" t="s">
        <v>6059</v>
      </c>
      <c r="B3059" s="225" t="s">
        <v>5839</v>
      </c>
    </row>
    <row r="3060" spans="1:2">
      <c r="A3060" s="225" t="s">
        <v>6060</v>
      </c>
      <c r="B3060" s="225" t="s">
        <v>5841</v>
      </c>
    </row>
    <row r="3061" spans="1:2">
      <c r="A3061" s="225" t="s">
        <v>6061</v>
      </c>
      <c r="B3061" s="225" t="s">
        <v>5858</v>
      </c>
    </row>
    <row r="3062" spans="1:2">
      <c r="A3062" s="225" t="s">
        <v>6062</v>
      </c>
      <c r="B3062" s="225" t="s">
        <v>5860</v>
      </c>
    </row>
    <row r="3063" spans="1:2">
      <c r="A3063" s="225" t="s">
        <v>5847</v>
      </c>
      <c r="B3063" s="225" t="s">
        <v>5848</v>
      </c>
    </row>
    <row r="3064" spans="1:2">
      <c r="A3064" s="225" t="s">
        <v>5832</v>
      </c>
      <c r="B3064" s="225" t="s">
        <v>5833</v>
      </c>
    </row>
    <row r="3065" spans="1:2">
      <c r="A3065" s="225" t="s">
        <v>5834</v>
      </c>
      <c r="B3065" s="225" t="s">
        <v>5835</v>
      </c>
    </row>
    <row r="3066" spans="1:2">
      <c r="A3066" s="225" t="s">
        <v>5836</v>
      </c>
      <c r="B3066" s="225" t="s">
        <v>5837</v>
      </c>
    </row>
    <row r="3067" spans="1:2">
      <c r="A3067" s="225" t="s">
        <v>5838</v>
      </c>
      <c r="B3067" s="225" t="s">
        <v>5839</v>
      </c>
    </row>
    <row r="3068" spans="1:2">
      <c r="A3068" s="225" t="s">
        <v>5840</v>
      </c>
      <c r="B3068" s="225" t="s">
        <v>5841</v>
      </c>
    </row>
    <row r="3069" spans="1:2">
      <c r="A3069" s="225" t="s">
        <v>5842</v>
      </c>
      <c r="B3069" s="225" t="s">
        <v>5843</v>
      </c>
    </row>
    <row r="3070" spans="1:2">
      <c r="A3070" s="225" t="s">
        <v>5844</v>
      </c>
      <c r="B3070" s="225" t="s">
        <v>1702</v>
      </c>
    </row>
    <row r="3071" spans="1:2">
      <c r="A3071" s="225" t="s">
        <v>5845</v>
      </c>
      <c r="B3071" s="225" t="s">
        <v>5846</v>
      </c>
    </row>
    <row r="3072" spans="1:2">
      <c r="A3072" s="225" t="s">
        <v>6390</v>
      </c>
      <c r="B3072" s="225" t="s">
        <v>5936</v>
      </c>
    </row>
    <row r="3073" spans="1:2">
      <c r="A3073" s="225" t="s">
        <v>6391</v>
      </c>
      <c r="B3073" s="225" t="s">
        <v>5839</v>
      </c>
    </row>
    <row r="3074" spans="1:2">
      <c r="A3074" s="225" t="s">
        <v>6392</v>
      </c>
      <c r="B3074" s="225" t="s">
        <v>5841</v>
      </c>
    </row>
    <row r="3075" spans="1:2">
      <c r="A3075" s="225" t="s">
        <v>6393</v>
      </c>
      <c r="B3075" s="225" t="s">
        <v>5858</v>
      </c>
    </row>
    <row r="3076" spans="1:2">
      <c r="A3076" s="225" t="s">
        <v>6394</v>
      </c>
      <c r="B3076" s="225" t="s">
        <v>5860</v>
      </c>
    </row>
    <row r="3077" spans="1:2">
      <c r="A3077" s="225" t="s">
        <v>6395</v>
      </c>
      <c r="B3077" s="225" t="s">
        <v>5862</v>
      </c>
    </row>
    <row r="3078" spans="1:2">
      <c r="A3078" s="225" t="s">
        <v>6396</v>
      </c>
      <c r="B3078" s="225" t="s">
        <v>5864</v>
      </c>
    </row>
    <row r="3079" spans="1:2">
      <c r="A3079" s="225" t="s">
        <v>6397</v>
      </c>
      <c r="B3079" s="225" t="s">
        <v>5944</v>
      </c>
    </row>
    <row r="3080" spans="1:2">
      <c r="A3080" s="225" t="s">
        <v>6398</v>
      </c>
      <c r="B3080" s="225" t="s">
        <v>5839</v>
      </c>
    </row>
    <row r="3081" spans="1:2">
      <c r="A3081" s="225" t="s">
        <v>6399</v>
      </c>
      <c r="B3081" s="225" t="s">
        <v>5841</v>
      </c>
    </row>
    <row r="3082" spans="1:2">
      <c r="A3082" s="225" t="s">
        <v>6400</v>
      </c>
      <c r="B3082" s="225" t="s">
        <v>5858</v>
      </c>
    </row>
    <row r="3083" spans="1:2">
      <c r="A3083" s="225" t="s">
        <v>6401</v>
      </c>
      <c r="B3083" s="225" t="s">
        <v>5860</v>
      </c>
    </row>
    <row r="3084" spans="1:2">
      <c r="A3084" s="225" t="s">
        <v>6402</v>
      </c>
      <c r="B3084" s="225" t="s">
        <v>5862</v>
      </c>
    </row>
    <row r="3085" spans="1:2">
      <c r="A3085" s="225" t="s">
        <v>6403</v>
      </c>
      <c r="B3085" s="225" t="s">
        <v>5864</v>
      </c>
    </row>
    <row r="3086" spans="1:2">
      <c r="A3086" s="225" t="s">
        <v>6404</v>
      </c>
      <c r="B3086" s="225" t="s">
        <v>6008</v>
      </c>
    </row>
    <row r="3087" spans="1:2">
      <c r="A3087" s="225" t="s">
        <v>6405</v>
      </c>
      <c r="B3087" s="225" t="s">
        <v>5839</v>
      </c>
    </row>
    <row r="3088" spans="1:2">
      <c r="A3088" s="225" t="s">
        <v>6406</v>
      </c>
      <c r="B3088" s="225" t="s">
        <v>5841</v>
      </c>
    </row>
    <row r="3089" spans="1:2">
      <c r="A3089" s="225" t="s">
        <v>6407</v>
      </c>
      <c r="B3089" s="225" t="s">
        <v>5858</v>
      </c>
    </row>
    <row r="3090" spans="1:2">
      <c r="A3090" s="225" t="s">
        <v>6408</v>
      </c>
      <c r="B3090" s="225" t="s">
        <v>5860</v>
      </c>
    </row>
    <row r="3091" spans="1:2">
      <c r="A3091" s="225" t="s">
        <v>6409</v>
      </c>
      <c r="B3091" s="225" t="s">
        <v>5862</v>
      </c>
    </row>
    <row r="3092" spans="1:2">
      <c r="A3092" s="225" t="s">
        <v>6410</v>
      </c>
      <c r="B3092" s="225" t="s">
        <v>5864</v>
      </c>
    </row>
    <row r="3093" spans="1:2">
      <c r="A3093" s="225" t="s">
        <v>6411</v>
      </c>
      <c r="B3093" s="225" t="s">
        <v>6412</v>
      </c>
    </row>
    <row r="3094" spans="1:2">
      <c r="A3094" s="225" t="s">
        <v>6065</v>
      </c>
      <c r="B3094" s="225" t="s">
        <v>5874</v>
      </c>
    </row>
    <row r="3095" spans="1:2">
      <c r="A3095" s="225" t="s">
        <v>6066</v>
      </c>
      <c r="B3095" s="225" t="s">
        <v>6050</v>
      </c>
    </row>
    <row r="3096" spans="1:2">
      <c r="A3096" s="225" t="s">
        <v>6067</v>
      </c>
      <c r="B3096" s="225" t="s">
        <v>5839</v>
      </c>
    </row>
    <row r="3097" spans="1:2">
      <c r="A3097" s="225" t="s">
        <v>6068</v>
      </c>
      <c r="B3097" s="225" t="s">
        <v>5841</v>
      </c>
    </row>
    <row r="3098" spans="1:2">
      <c r="A3098" s="225" t="s">
        <v>6069</v>
      </c>
      <c r="B3098" s="225" t="s">
        <v>5858</v>
      </c>
    </row>
    <row r="3099" spans="1:2">
      <c r="A3099" s="225" t="s">
        <v>6070</v>
      </c>
      <c r="B3099" s="225" t="s">
        <v>5860</v>
      </c>
    </row>
    <row r="3100" spans="1:2">
      <c r="A3100" s="225" t="s">
        <v>6071</v>
      </c>
      <c r="B3100" s="225" t="s">
        <v>5862</v>
      </c>
    </row>
    <row r="3101" spans="1:2">
      <c r="A3101" s="225" t="s">
        <v>6072</v>
      </c>
      <c r="B3101" s="225" t="s">
        <v>5864</v>
      </c>
    </row>
    <row r="3102" spans="1:2">
      <c r="A3102" s="225" t="s">
        <v>6073</v>
      </c>
      <c r="B3102" s="225" t="s">
        <v>5882</v>
      </c>
    </row>
    <row r="3103" spans="1:2">
      <c r="A3103" s="225" t="s">
        <v>6074</v>
      </c>
      <c r="B3103" s="225" t="s">
        <v>6050</v>
      </c>
    </row>
    <row r="3104" spans="1:2">
      <c r="A3104" s="225" t="s">
        <v>6075</v>
      </c>
      <c r="B3104" s="225" t="s">
        <v>5839</v>
      </c>
    </row>
    <row r="3105" spans="1:2">
      <c r="A3105" s="225" t="s">
        <v>6076</v>
      </c>
      <c r="B3105" s="225" t="s">
        <v>5841</v>
      </c>
    </row>
    <row r="3106" spans="1:2">
      <c r="A3106" s="225" t="s">
        <v>6077</v>
      </c>
      <c r="B3106" s="225" t="s">
        <v>5858</v>
      </c>
    </row>
    <row r="3107" spans="1:2">
      <c r="A3107" s="225" t="s">
        <v>6078</v>
      </c>
      <c r="B3107" s="225" t="s">
        <v>5860</v>
      </c>
    </row>
    <row r="3108" spans="1:2">
      <c r="A3108" s="225" t="s">
        <v>6079</v>
      </c>
      <c r="B3108" s="225" t="s">
        <v>5862</v>
      </c>
    </row>
    <row r="3109" spans="1:2">
      <c r="A3109" s="225" t="s">
        <v>6080</v>
      </c>
      <c r="B3109" s="225" t="s">
        <v>5864</v>
      </c>
    </row>
    <row r="3110" spans="1:2">
      <c r="A3110" s="225" t="s">
        <v>6081</v>
      </c>
      <c r="B3110" s="225" t="s">
        <v>5890</v>
      </c>
    </row>
    <row r="3111" spans="1:2">
      <c r="A3111" s="225" t="s">
        <v>6082</v>
      </c>
      <c r="B3111" s="225" t="s">
        <v>6050</v>
      </c>
    </row>
    <row r="3112" spans="1:2">
      <c r="A3112" s="225" t="s">
        <v>6083</v>
      </c>
      <c r="B3112" s="225" t="s">
        <v>5839</v>
      </c>
    </row>
    <row r="3113" spans="1:2">
      <c r="A3113" s="225" t="s">
        <v>6084</v>
      </c>
      <c r="B3113" s="225" t="s">
        <v>5841</v>
      </c>
    </row>
    <row r="3114" spans="1:2">
      <c r="A3114" s="225" t="s">
        <v>6085</v>
      </c>
      <c r="B3114" s="225" t="s">
        <v>5858</v>
      </c>
    </row>
    <row r="3115" spans="1:2">
      <c r="A3115" s="225" t="s">
        <v>6086</v>
      </c>
      <c r="B3115" s="225" t="s">
        <v>5860</v>
      </c>
    </row>
    <row r="3116" spans="1:2">
      <c r="A3116" s="225" t="s">
        <v>6087</v>
      </c>
      <c r="B3116" s="225" t="s">
        <v>5862</v>
      </c>
    </row>
    <row r="3117" spans="1:2">
      <c r="A3117" s="225" t="s">
        <v>6088</v>
      </c>
      <c r="B3117" s="225" t="s">
        <v>5864</v>
      </c>
    </row>
    <row r="3118" spans="1:2">
      <c r="A3118" s="225" t="s">
        <v>6089</v>
      </c>
      <c r="B3118" s="225" t="s">
        <v>6090</v>
      </c>
    </row>
    <row r="3119" spans="1:2">
      <c r="A3119" s="225" t="s">
        <v>6091</v>
      </c>
      <c r="B3119" s="225" t="s">
        <v>6092</v>
      </c>
    </row>
    <row r="3120" spans="1:2">
      <c r="A3120" s="225" t="s">
        <v>6093</v>
      </c>
      <c r="B3120" s="225" t="s">
        <v>6094</v>
      </c>
    </row>
    <row r="3121" spans="1:2">
      <c r="A3121" s="225" t="s">
        <v>6095</v>
      </c>
      <c r="B3121" s="225" t="s">
        <v>6096</v>
      </c>
    </row>
    <row r="3122" spans="1:2">
      <c r="A3122" s="225" t="s">
        <v>6097</v>
      </c>
      <c r="B3122" s="225" t="s">
        <v>5839</v>
      </c>
    </row>
    <row r="3123" spans="1:2">
      <c r="A3123" s="225" t="s">
        <v>6098</v>
      </c>
      <c r="B3123" s="225" t="s">
        <v>5841</v>
      </c>
    </row>
    <row r="3124" spans="1:2">
      <c r="A3124" s="225" t="s">
        <v>6099</v>
      </c>
      <c r="B3124" s="225" t="s">
        <v>5858</v>
      </c>
    </row>
    <row r="3125" spans="1:2">
      <c r="A3125" s="225" t="s">
        <v>6100</v>
      </c>
      <c r="B3125" s="225" t="s">
        <v>5860</v>
      </c>
    </row>
    <row r="3126" spans="1:2">
      <c r="A3126" s="225" t="s">
        <v>6101</v>
      </c>
      <c r="B3126" s="225" t="s">
        <v>5862</v>
      </c>
    </row>
    <row r="3127" spans="1:2">
      <c r="A3127" s="225" t="s">
        <v>6102</v>
      </c>
      <c r="B3127" s="225" t="s">
        <v>5864</v>
      </c>
    </row>
    <row r="3128" spans="1:2">
      <c r="A3128" s="225" t="s">
        <v>6103</v>
      </c>
      <c r="B3128" s="225" t="s">
        <v>6104</v>
      </c>
    </row>
    <row r="3129" spans="1:2">
      <c r="A3129" s="225" t="s">
        <v>6105</v>
      </c>
      <c r="B3129" s="225" t="s">
        <v>5839</v>
      </c>
    </row>
    <row r="3130" spans="1:2">
      <c r="A3130" s="225" t="s">
        <v>6106</v>
      </c>
      <c r="B3130" s="225" t="s">
        <v>5841</v>
      </c>
    </row>
    <row r="3131" spans="1:2">
      <c r="A3131" s="225" t="s">
        <v>6107</v>
      </c>
      <c r="B3131" s="225" t="s">
        <v>5858</v>
      </c>
    </row>
    <row r="3132" spans="1:2">
      <c r="A3132" s="225" t="s">
        <v>6108</v>
      </c>
      <c r="B3132" s="225" t="s">
        <v>5860</v>
      </c>
    </row>
    <row r="3133" spans="1:2">
      <c r="A3133" s="225" t="s">
        <v>6109</v>
      </c>
      <c r="B3133" s="225" t="s">
        <v>5862</v>
      </c>
    </row>
    <row r="3134" spans="1:2">
      <c r="A3134" s="225" t="s">
        <v>6110</v>
      </c>
      <c r="B3134" s="225" t="s">
        <v>5864</v>
      </c>
    </row>
    <row r="3135" spans="1:2">
      <c r="A3135" s="225" t="s">
        <v>6111</v>
      </c>
      <c r="B3135" s="225" t="s">
        <v>6112</v>
      </c>
    </row>
    <row r="3136" spans="1:2">
      <c r="A3136" s="225" t="s">
        <v>6113</v>
      </c>
      <c r="B3136" s="225" t="s">
        <v>5839</v>
      </c>
    </row>
    <row r="3137" spans="1:2">
      <c r="A3137" s="225" t="s">
        <v>6114</v>
      </c>
      <c r="B3137" s="225" t="s">
        <v>5841</v>
      </c>
    </row>
    <row r="3138" spans="1:2">
      <c r="A3138" s="225" t="s">
        <v>6115</v>
      </c>
      <c r="B3138" s="225" t="s">
        <v>5858</v>
      </c>
    </row>
    <row r="3139" spans="1:2">
      <c r="A3139" s="225" t="s">
        <v>6116</v>
      </c>
      <c r="B3139" s="225" t="s">
        <v>5860</v>
      </c>
    </row>
    <row r="3140" spans="1:2">
      <c r="A3140" s="225" t="s">
        <v>6117</v>
      </c>
      <c r="B3140" s="225" t="s">
        <v>5862</v>
      </c>
    </row>
    <row r="3141" spans="1:2">
      <c r="A3141" s="225" t="s">
        <v>6118</v>
      </c>
      <c r="B3141" s="225" t="s">
        <v>5864</v>
      </c>
    </row>
    <row r="3142" spans="1:2">
      <c r="A3142" s="225" t="s">
        <v>5895</v>
      </c>
      <c r="B3142" s="225" t="s">
        <v>5862</v>
      </c>
    </row>
    <row r="3143" spans="1:2">
      <c r="A3143" s="225" t="s">
        <v>5849</v>
      </c>
      <c r="B3143" s="225" t="s">
        <v>5850</v>
      </c>
    </row>
    <row r="3144" spans="1:2">
      <c r="A3144" s="225" t="s">
        <v>5851</v>
      </c>
      <c r="B3144" s="225" t="s">
        <v>5852</v>
      </c>
    </row>
    <row r="3145" spans="1:2">
      <c r="A3145" s="225" t="s">
        <v>5853</v>
      </c>
      <c r="B3145" s="225" t="s">
        <v>5854</v>
      </c>
    </row>
    <row r="3146" spans="1:2">
      <c r="A3146" s="225" t="s">
        <v>5855</v>
      </c>
      <c r="B3146" s="225" t="s">
        <v>5839</v>
      </c>
    </row>
    <row r="3147" spans="1:2">
      <c r="A3147" s="225" t="s">
        <v>5856</v>
      </c>
      <c r="B3147" s="225" t="s">
        <v>5841</v>
      </c>
    </row>
    <row r="3148" spans="1:2">
      <c r="A3148" s="225" t="s">
        <v>5857</v>
      </c>
      <c r="B3148" s="225" t="s">
        <v>5858</v>
      </c>
    </row>
    <row r="3149" spans="1:2">
      <c r="A3149" s="225" t="s">
        <v>5859</v>
      </c>
      <c r="B3149" s="225" t="s">
        <v>5860</v>
      </c>
    </row>
    <row r="3150" spans="1:2">
      <c r="A3150" s="225" t="s">
        <v>5861</v>
      </c>
      <c r="B3150" s="225" t="s">
        <v>5862</v>
      </c>
    </row>
    <row r="3151" spans="1:2">
      <c r="A3151" s="225" t="s">
        <v>5863</v>
      </c>
      <c r="B3151" s="225" t="s">
        <v>5864</v>
      </c>
    </row>
    <row r="3152" spans="1:2">
      <c r="A3152" s="225" t="s">
        <v>5865</v>
      </c>
      <c r="B3152" s="225" t="s">
        <v>5866</v>
      </c>
    </row>
    <row r="3153" spans="1:2">
      <c r="A3153" s="225" t="s">
        <v>5867</v>
      </c>
      <c r="B3153" s="225" t="s">
        <v>5839</v>
      </c>
    </row>
    <row r="3154" spans="1:2">
      <c r="A3154" s="225" t="s">
        <v>5868</v>
      </c>
      <c r="B3154" s="225" t="s">
        <v>5841</v>
      </c>
    </row>
    <row r="3155" spans="1:2">
      <c r="A3155" s="225" t="s">
        <v>5869</v>
      </c>
      <c r="B3155" s="225" t="s">
        <v>5858</v>
      </c>
    </row>
    <row r="3156" spans="1:2">
      <c r="A3156" s="225" t="s">
        <v>5870</v>
      </c>
      <c r="B3156" s="225" t="s">
        <v>5860</v>
      </c>
    </row>
    <row r="3157" spans="1:2">
      <c r="A3157" s="225" t="s">
        <v>5871</v>
      </c>
      <c r="B3157" s="225" t="s">
        <v>5862</v>
      </c>
    </row>
    <row r="3158" spans="1:2">
      <c r="A3158" s="225" t="s">
        <v>5872</v>
      </c>
      <c r="B3158" s="225" t="s">
        <v>5864</v>
      </c>
    </row>
    <row r="3159" spans="1:2">
      <c r="A3159" s="225" t="s">
        <v>5873</v>
      </c>
      <c r="B3159" s="225" t="s">
        <v>5874</v>
      </c>
    </row>
    <row r="3160" spans="1:2">
      <c r="A3160" s="225" t="s">
        <v>5875</v>
      </c>
      <c r="B3160" s="225" t="s">
        <v>5839</v>
      </c>
    </row>
    <row r="3161" spans="1:2">
      <c r="A3161" s="225" t="s">
        <v>5876</v>
      </c>
      <c r="B3161" s="225" t="s">
        <v>5841</v>
      </c>
    </row>
    <row r="3162" spans="1:2">
      <c r="A3162" s="225" t="s">
        <v>5877</v>
      </c>
      <c r="B3162" s="225" t="s">
        <v>5858</v>
      </c>
    </row>
    <row r="3163" spans="1:2">
      <c r="A3163" s="225" t="s">
        <v>5878</v>
      </c>
      <c r="B3163" s="225" t="s">
        <v>5860</v>
      </c>
    </row>
    <row r="3164" spans="1:2">
      <c r="A3164" s="225" t="s">
        <v>5879</v>
      </c>
      <c r="B3164" s="225" t="s">
        <v>5862</v>
      </c>
    </row>
    <row r="3165" spans="1:2">
      <c r="A3165" s="225" t="s">
        <v>5880</v>
      </c>
      <c r="B3165" s="225" t="s">
        <v>5864</v>
      </c>
    </row>
    <row r="3166" spans="1:2">
      <c r="A3166" s="225" t="s">
        <v>5881</v>
      </c>
      <c r="B3166" s="225" t="s">
        <v>5882</v>
      </c>
    </row>
    <row r="3167" spans="1:2">
      <c r="A3167" s="225" t="s">
        <v>5883</v>
      </c>
      <c r="B3167" s="225" t="s">
        <v>5839</v>
      </c>
    </row>
    <row r="3168" spans="1:2">
      <c r="A3168" s="225" t="s">
        <v>5884</v>
      </c>
      <c r="B3168" s="225" t="s">
        <v>5841</v>
      </c>
    </row>
    <row r="3169" spans="1:2">
      <c r="A3169" s="225" t="s">
        <v>5885</v>
      </c>
      <c r="B3169" s="225" t="s">
        <v>5858</v>
      </c>
    </row>
    <row r="3170" spans="1:2">
      <c r="A3170" s="225" t="s">
        <v>5886</v>
      </c>
      <c r="B3170" s="225" t="s">
        <v>5860</v>
      </c>
    </row>
    <row r="3171" spans="1:2">
      <c r="A3171" s="225" t="s">
        <v>5887</v>
      </c>
      <c r="B3171" s="225" t="s">
        <v>5862</v>
      </c>
    </row>
    <row r="3172" spans="1:2">
      <c r="A3172" s="225" t="s">
        <v>5888</v>
      </c>
      <c r="B3172" s="225" t="s">
        <v>5864</v>
      </c>
    </row>
    <row r="3173" spans="1:2">
      <c r="A3173" s="225" t="s">
        <v>5889</v>
      </c>
      <c r="B3173" s="225" t="s">
        <v>5890</v>
      </c>
    </row>
    <row r="3174" spans="1:2">
      <c r="A3174" s="225" t="s">
        <v>5891</v>
      </c>
      <c r="B3174" s="225" t="s">
        <v>5839</v>
      </c>
    </row>
    <row r="3175" spans="1:2">
      <c r="A3175" s="225" t="s">
        <v>5892</v>
      </c>
      <c r="B3175" s="225" t="s">
        <v>5841</v>
      </c>
    </row>
    <row r="3176" spans="1:2">
      <c r="A3176" s="225" t="s">
        <v>5893</v>
      </c>
      <c r="B3176" s="225" t="s">
        <v>5858</v>
      </c>
    </row>
    <row r="3177" spans="1:2">
      <c r="A3177" s="225" t="s">
        <v>5894</v>
      </c>
      <c r="B3177" s="225" t="s">
        <v>5860</v>
      </c>
    </row>
    <row r="3178" spans="1:2">
      <c r="A3178" s="225" t="s">
        <v>6124</v>
      </c>
      <c r="B3178" s="225" t="s">
        <v>5860</v>
      </c>
    </row>
    <row r="3179" spans="1:2">
      <c r="A3179" s="225" t="s">
        <v>6121</v>
      </c>
      <c r="B3179" s="225" t="s">
        <v>5839</v>
      </c>
    </row>
    <row r="3180" spans="1:2">
      <c r="A3180" s="225" t="s">
        <v>6122</v>
      </c>
      <c r="B3180" s="225" t="s">
        <v>5841</v>
      </c>
    </row>
    <row r="3181" spans="1:2">
      <c r="A3181" s="225" t="s">
        <v>6123</v>
      </c>
      <c r="B3181" s="225" t="s">
        <v>5858</v>
      </c>
    </row>
    <row r="3182" spans="1:2">
      <c r="A3182" s="225" t="s">
        <v>6125</v>
      </c>
      <c r="B3182" s="225" t="s">
        <v>5862</v>
      </c>
    </row>
    <row r="3183" spans="1:2">
      <c r="A3183" s="225" t="s">
        <v>6413</v>
      </c>
      <c r="B3183" s="225" t="s">
        <v>6018</v>
      </c>
    </row>
    <row r="3184" spans="1:2">
      <c r="A3184" s="225" t="s">
        <v>6234</v>
      </c>
      <c r="B3184" s="225" t="s">
        <v>1870</v>
      </c>
    </row>
    <row r="3185" spans="1:2">
      <c r="A3185" s="225" t="s">
        <v>6235</v>
      </c>
      <c r="B3185" s="225" t="s">
        <v>6236</v>
      </c>
    </row>
    <row r="3186" spans="1:2">
      <c r="A3186" s="225" t="s">
        <v>6237</v>
      </c>
      <c r="B3186" s="225" t="s">
        <v>6238</v>
      </c>
    </row>
    <row r="3187" spans="1:2">
      <c r="A3187" s="225" t="s">
        <v>6239</v>
      </c>
      <c r="B3187" s="225" t="s">
        <v>6240</v>
      </c>
    </row>
    <row r="3188" spans="1:2">
      <c r="A3188" s="225" t="s">
        <v>6241</v>
      </c>
      <c r="B3188" s="225" t="s">
        <v>6242</v>
      </c>
    </row>
    <row r="3189" spans="1:2">
      <c r="A3189" s="225" t="s">
        <v>6243</v>
      </c>
      <c r="B3189" s="225" t="s">
        <v>6244</v>
      </c>
    </row>
    <row r="3190" spans="1:2">
      <c r="A3190" s="225" t="s">
        <v>6245</v>
      </c>
      <c r="B3190" s="225" t="s">
        <v>6246</v>
      </c>
    </row>
    <row r="3191" spans="1:2">
      <c r="A3191" s="225" t="s">
        <v>6247</v>
      </c>
      <c r="B3191" s="225" t="s">
        <v>6248</v>
      </c>
    </row>
    <row r="3192" spans="1:2">
      <c r="A3192" s="225" t="s">
        <v>6251</v>
      </c>
      <c r="B3192" s="225" t="s">
        <v>6252</v>
      </c>
    </row>
    <row r="3193" spans="1:2">
      <c r="A3193" s="225" t="s">
        <v>6253</v>
      </c>
      <c r="B3193" s="225" t="s">
        <v>5835</v>
      </c>
    </row>
    <row r="3194" spans="1:2">
      <c r="A3194" s="225" t="s">
        <v>6254</v>
      </c>
      <c r="B3194" s="225" t="s">
        <v>6255</v>
      </c>
    </row>
    <row r="3195" spans="1:2">
      <c r="A3195" s="225" t="s">
        <v>6256</v>
      </c>
      <c r="B3195" s="225" t="s">
        <v>5839</v>
      </c>
    </row>
    <row r="3196" spans="1:2">
      <c r="A3196" s="225" t="s">
        <v>6257</v>
      </c>
      <c r="B3196" s="225" t="s">
        <v>5841</v>
      </c>
    </row>
    <row r="3197" spans="1:2">
      <c r="A3197" s="225" t="s">
        <v>6258</v>
      </c>
      <c r="B3197" s="225" t="s">
        <v>5843</v>
      </c>
    </row>
    <row r="3198" spans="1:2">
      <c r="A3198" s="225" t="s">
        <v>6259</v>
      </c>
      <c r="B3198" s="225" t="s">
        <v>1702</v>
      </c>
    </row>
    <row r="3199" spans="1:2">
      <c r="A3199" s="225" t="s">
        <v>6260</v>
      </c>
      <c r="B3199" s="225" t="s">
        <v>5846</v>
      </c>
    </row>
    <row r="3200" spans="1:2">
      <c r="A3200" s="225" t="s">
        <v>6261</v>
      </c>
      <c r="B3200" s="225" t="s">
        <v>5848</v>
      </c>
    </row>
    <row r="3201" spans="1:2">
      <c r="A3201" s="225" t="s">
        <v>6262</v>
      </c>
      <c r="B3201" s="225" t="s">
        <v>6263</v>
      </c>
    </row>
    <row r="3202" spans="1:2">
      <c r="A3202" s="225" t="s">
        <v>6264</v>
      </c>
      <c r="B3202" s="225" t="s">
        <v>6265</v>
      </c>
    </row>
    <row r="3203" spans="1:2">
      <c r="A3203" s="225" t="s">
        <v>6266</v>
      </c>
      <c r="B3203" s="225" t="s">
        <v>5854</v>
      </c>
    </row>
    <row r="3204" spans="1:2">
      <c r="A3204" s="225" t="s">
        <v>6267</v>
      </c>
      <c r="B3204" s="225" t="s">
        <v>5839</v>
      </c>
    </row>
    <row r="3205" spans="1:2">
      <c r="A3205" s="225" t="s">
        <v>6268</v>
      </c>
      <c r="B3205" s="225" t="s">
        <v>5841</v>
      </c>
    </row>
    <row r="3206" spans="1:2">
      <c r="A3206" s="225" t="s">
        <v>6269</v>
      </c>
      <c r="B3206" s="225" t="s">
        <v>5858</v>
      </c>
    </row>
    <row r="3207" spans="1:2">
      <c r="A3207" s="225" t="s">
        <v>6270</v>
      </c>
      <c r="B3207" s="225" t="s">
        <v>5860</v>
      </c>
    </row>
    <row r="3208" spans="1:2">
      <c r="A3208" s="225" t="s">
        <v>6271</v>
      </c>
      <c r="B3208" s="225" t="s">
        <v>5862</v>
      </c>
    </row>
    <row r="3209" spans="1:2">
      <c r="A3209" s="225" t="s">
        <v>6272</v>
      </c>
      <c r="B3209" s="225" t="s">
        <v>5864</v>
      </c>
    </row>
    <row r="3210" spans="1:2">
      <c r="A3210" s="225" t="s">
        <v>6273</v>
      </c>
      <c r="B3210" s="225" t="s">
        <v>5866</v>
      </c>
    </row>
    <row r="3211" spans="1:2">
      <c r="A3211" s="225" t="s">
        <v>6274</v>
      </c>
      <c r="B3211" s="225" t="s">
        <v>5839</v>
      </c>
    </row>
    <row r="3212" spans="1:2">
      <c r="A3212" s="225" t="s">
        <v>6275</v>
      </c>
      <c r="B3212" s="225" t="s">
        <v>5841</v>
      </c>
    </row>
    <row r="3213" spans="1:2">
      <c r="A3213" s="225" t="s">
        <v>6276</v>
      </c>
      <c r="B3213" s="225" t="s">
        <v>5858</v>
      </c>
    </row>
    <row r="3214" spans="1:2">
      <c r="A3214" s="225" t="s">
        <v>6277</v>
      </c>
      <c r="B3214" s="225" t="s">
        <v>5860</v>
      </c>
    </row>
    <row r="3215" spans="1:2">
      <c r="A3215" s="225" t="s">
        <v>6278</v>
      </c>
      <c r="B3215" s="225" t="s">
        <v>5862</v>
      </c>
    </row>
    <row r="3216" spans="1:2">
      <c r="A3216" s="225" t="s">
        <v>6279</v>
      </c>
      <c r="B3216" s="225" t="s">
        <v>5864</v>
      </c>
    </row>
    <row r="3217" spans="1:2">
      <c r="A3217" s="225" t="s">
        <v>6414</v>
      </c>
      <c r="B3217" s="225" t="s">
        <v>6020</v>
      </c>
    </row>
    <row r="3218" spans="1:2">
      <c r="A3218" s="225" t="s">
        <v>5896</v>
      </c>
      <c r="B3218" s="225" t="s">
        <v>5864</v>
      </c>
    </row>
    <row r="3219" spans="1:2">
      <c r="A3219" s="225" t="s">
        <v>5897</v>
      </c>
      <c r="B3219" s="225" t="s">
        <v>5898</v>
      </c>
    </row>
    <row r="3220" spans="1:2">
      <c r="A3220" s="225" t="s">
        <v>5899</v>
      </c>
      <c r="B3220" s="225" t="s">
        <v>5900</v>
      </c>
    </row>
    <row r="3221" spans="1:2">
      <c r="A3221" s="225" t="s">
        <v>5901</v>
      </c>
      <c r="B3221" s="225" t="s">
        <v>5902</v>
      </c>
    </row>
    <row r="3222" spans="1:2">
      <c r="A3222" s="225" t="s">
        <v>5903</v>
      </c>
      <c r="B3222" s="225" t="s">
        <v>5904</v>
      </c>
    </row>
    <row r="3223" spans="1:2">
      <c r="A3223" s="225" t="s">
        <v>5905</v>
      </c>
      <c r="B3223" s="225" t="s">
        <v>5839</v>
      </c>
    </row>
    <row r="3224" spans="1:2">
      <c r="A3224" s="225" t="s">
        <v>5906</v>
      </c>
      <c r="B3224" s="225" t="s">
        <v>5841</v>
      </c>
    </row>
    <row r="3225" spans="1:2">
      <c r="A3225" s="225" t="s">
        <v>5907</v>
      </c>
      <c r="B3225" s="225" t="s">
        <v>5858</v>
      </c>
    </row>
    <row r="3226" spans="1:2">
      <c r="A3226" s="225" t="s">
        <v>5908</v>
      </c>
      <c r="B3226" s="225" t="s">
        <v>5860</v>
      </c>
    </row>
    <row r="3227" spans="1:2">
      <c r="A3227" s="225" t="s">
        <v>5909</v>
      </c>
      <c r="B3227" s="225" t="s">
        <v>5862</v>
      </c>
    </row>
    <row r="3228" spans="1:2">
      <c r="A3228" s="225" t="s">
        <v>5910</v>
      </c>
      <c r="B3228" s="225" t="s">
        <v>5864</v>
      </c>
    </row>
    <row r="3229" spans="1:2">
      <c r="A3229" s="225" t="s">
        <v>5911</v>
      </c>
      <c r="B3229" s="225" t="s">
        <v>5912</v>
      </c>
    </row>
    <row r="3230" spans="1:2">
      <c r="A3230" s="225" t="s">
        <v>6126</v>
      </c>
      <c r="B3230" s="225" t="s">
        <v>5864</v>
      </c>
    </row>
    <row r="3231" spans="1:2">
      <c r="A3231" s="225" t="s">
        <v>6127</v>
      </c>
      <c r="B3231" s="225" t="s">
        <v>6128</v>
      </c>
    </row>
    <row r="3232" spans="1:2">
      <c r="A3232" s="225" t="s">
        <v>6129</v>
      </c>
      <c r="B3232" s="225" t="s">
        <v>5839</v>
      </c>
    </row>
    <row r="3233" spans="1:2">
      <c r="A3233" s="225" t="s">
        <v>6130</v>
      </c>
      <c r="B3233" s="225" t="s">
        <v>5841</v>
      </c>
    </row>
    <row r="3234" spans="1:2">
      <c r="A3234" s="225" t="s">
        <v>6134</v>
      </c>
      <c r="B3234" s="225" t="s">
        <v>5864</v>
      </c>
    </row>
    <row r="3235" spans="1:2">
      <c r="A3235" s="225" t="s">
        <v>6135</v>
      </c>
      <c r="B3235" s="225" t="s">
        <v>6136</v>
      </c>
    </row>
    <row r="3236" spans="1:2">
      <c r="A3236" s="225" t="s">
        <v>6137</v>
      </c>
      <c r="B3236" s="225" t="s">
        <v>5839</v>
      </c>
    </row>
    <row r="3237" spans="1:2">
      <c r="A3237" s="225" t="s">
        <v>6138</v>
      </c>
      <c r="B3237" s="225" t="s">
        <v>5841</v>
      </c>
    </row>
    <row r="3238" spans="1:2">
      <c r="A3238" s="225" t="s">
        <v>6139</v>
      </c>
      <c r="B3238" s="225" t="s">
        <v>5858</v>
      </c>
    </row>
    <row r="3239" spans="1:2">
      <c r="A3239" s="225" t="s">
        <v>6140</v>
      </c>
      <c r="B3239" s="225" t="s">
        <v>5860</v>
      </c>
    </row>
    <row r="3240" spans="1:2">
      <c r="A3240" s="225" t="s">
        <v>6141</v>
      </c>
      <c r="B3240" s="225" t="s">
        <v>5862</v>
      </c>
    </row>
    <row r="3241" spans="1:2">
      <c r="A3241" s="225" t="s">
        <v>6142</v>
      </c>
      <c r="B3241" s="225" t="s">
        <v>5864</v>
      </c>
    </row>
    <row r="3242" spans="1:2">
      <c r="A3242" s="225" t="s">
        <v>6119</v>
      </c>
      <c r="B3242" s="225" t="s">
        <v>6120</v>
      </c>
    </row>
    <row r="3243" spans="1:2">
      <c r="A3243" s="225" t="s">
        <v>6143</v>
      </c>
      <c r="B3243" s="225" t="s">
        <v>6144</v>
      </c>
    </row>
    <row r="3244" spans="1:2">
      <c r="A3244" s="225" t="s">
        <v>6145</v>
      </c>
      <c r="B3244" s="225" t="s">
        <v>6146</v>
      </c>
    </row>
    <row r="3245" spans="1:2">
      <c r="A3245" s="225" t="s">
        <v>6147</v>
      </c>
      <c r="B3245" s="225" t="s">
        <v>6148</v>
      </c>
    </row>
    <row r="3246" spans="1:2">
      <c r="A3246" s="225" t="s">
        <v>6131</v>
      </c>
      <c r="B3246" s="225" t="s">
        <v>5858</v>
      </c>
    </row>
    <row r="3247" spans="1:2">
      <c r="A3247" s="225" t="s">
        <v>6132</v>
      </c>
      <c r="B3247" s="225" t="s">
        <v>5860</v>
      </c>
    </row>
    <row r="3248" spans="1:2">
      <c r="A3248" s="225" t="s">
        <v>6133</v>
      </c>
      <c r="B3248" s="225" t="s">
        <v>5862</v>
      </c>
    </row>
    <row r="3249" spans="1:2">
      <c r="A3249" s="225" t="s">
        <v>6415</v>
      </c>
      <c r="B3249" s="225" t="s">
        <v>6022</v>
      </c>
    </row>
    <row r="3250" spans="1:2">
      <c r="A3250" s="225" t="s">
        <v>6416</v>
      </c>
      <c r="B3250" s="225" t="s">
        <v>6024</v>
      </c>
    </row>
    <row r="3251" spans="1:2">
      <c r="A3251" s="225" t="s">
        <v>6417</v>
      </c>
      <c r="B3251" s="225" t="s">
        <v>6026</v>
      </c>
    </row>
    <row r="3252" spans="1:2">
      <c r="A3252" s="225" t="s">
        <v>6418</v>
      </c>
      <c r="B3252" s="225" t="s">
        <v>6028</v>
      </c>
    </row>
    <row r="3253" spans="1:2">
      <c r="A3253" s="225" t="s">
        <v>6432</v>
      </c>
      <c r="B3253" s="225" t="s">
        <v>6433</v>
      </c>
    </row>
    <row r="3254" spans="1:2">
      <c r="A3254" s="225" t="s">
        <v>6419</v>
      </c>
      <c r="B3254" s="225" t="s">
        <v>6420</v>
      </c>
    </row>
    <row r="3255" spans="1:2">
      <c r="A3255" s="225" t="s">
        <v>6421</v>
      </c>
      <c r="B3255" s="225" t="s">
        <v>6422</v>
      </c>
    </row>
    <row r="3256" spans="1:2">
      <c r="A3256" s="225" t="s">
        <v>6423</v>
      </c>
      <c r="B3256" s="225" t="s">
        <v>6424</v>
      </c>
    </row>
    <row r="3257" spans="1:2">
      <c r="A3257" s="225" t="s">
        <v>6460</v>
      </c>
      <c r="B3257" s="225" t="s">
        <v>5862</v>
      </c>
    </row>
    <row r="3258" spans="1:2">
      <c r="A3258" s="225" t="s">
        <v>6426</v>
      </c>
      <c r="B3258" s="225" t="s">
        <v>5839</v>
      </c>
    </row>
    <row r="3259" spans="1:2">
      <c r="A3259" s="225" t="s">
        <v>6434</v>
      </c>
      <c r="B3259" s="225" t="s">
        <v>6435</v>
      </c>
    </row>
    <row r="3260" spans="1:2">
      <c r="A3260" s="225" t="s">
        <v>6436</v>
      </c>
      <c r="B3260" s="225" t="s">
        <v>6437</v>
      </c>
    </row>
    <row r="3261" spans="1:2">
      <c r="A3261" s="225" t="s">
        <v>6438</v>
      </c>
      <c r="B3261" s="225" t="s">
        <v>5854</v>
      </c>
    </row>
    <row r="3262" spans="1:2">
      <c r="A3262" s="225" t="s">
        <v>6439</v>
      </c>
      <c r="B3262" s="225" t="s">
        <v>6050</v>
      </c>
    </row>
    <row r="3263" spans="1:2">
      <c r="A3263" s="225" t="s">
        <v>6440</v>
      </c>
      <c r="B3263" s="225" t="s">
        <v>5839</v>
      </c>
    </row>
    <row r="3264" spans="1:2">
      <c r="A3264" s="225" t="s">
        <v>6441</v>
      </c>
      <c r="B3264" s="225" t="s">
        <v>5841</v>
      </c>
    </row>
    <row r="3265" spans="1:2">
      <c r="A3265" s="225" t="s">
        <v>6442</v>
      </c>
      <c r="B3265" s="225" t="s">
        <v>5858</v>
      </c>
    </row>
    <row r="3266" spans="1:2">
      <c r="A3266" s="225" t="s">
        <v>6443</v>
      </c>
      <c r="B3266" s="225" t="s">
        <v>5860</v>
      </c>
    </row>
    <row r="3267" spans="1:2">
      <c r="A3267" s="225" t="s">
        <v>6444</v>
      </c>
      <c r="B3267" s="225" t="s">
        <v>5862</v>
      </c>
    </row>
    <row r="3268" spans="1:2">
      <c r="A3268" s="225" t="s">
        <v>6445</v>
      </c>
      <c r="B3268" s="225" t="s">
        <v>5864</v>
      </c>
    </row>
    <row r="3269" spans="1:2">
      <c r="A3269" s="225" t="s">
        <v>6446</v>
      </c>
      <c r="B3269" s="225" t="s">
        <v>5866</v>
      </c>
    </row>
    <row r="3270" spans="1:2">
      <c r="A3270" s="225" t="s">
        <v>6447</v>
      </c>
      <c r="B3270" s="225" t="s">
        <v>6050</v>
      </c>
    </row>
    <row r="3271" spans="1:2">
      <c r="A3271" s="225" t="s">
        <v>6448</v>
      </c>
      <c r="B3271" s="225" t="s">
        <v>5839</v>
      </c>
    </row>
    <row r="3272" spans="1:2">
      <c r="A3272" s="225" t="s">
        <v>6449</v>
      </c>
      <c r="B3272" s="225" t="s">
        <v>5841</v>
      </c>
    </row>
    <row r="3273" spans="1:2">
      <c r="A3273" s="225" t="s">
        <v>6450</v>
      </c>
      <c r="B3273" s="225" t="s">
        <v>5858</v>
      </c>
    </row>
    <row r="3274" spans="1:2">
      <c r="A3274" s="225" t="s">
        <v>6451</v>
      </c>
      <c r="B3274" s="225" t="s">
        <v>5860</v>
      </c>
    </row>
    <row r="3275" spans="1:2">
      <c r="A3275" s="225" t="s">
        <v>6452</v>
      </c>
      <c r="B3275" s="225" t="s">
        <v>5862</v>
      </c>
    </row>
    <row r="3276" spans="1:2">
      <c r="A3276" s="225" t="s">
        <v>6453</v>
      </c>
      <c r="B3276" s="225" t="s">
        <v>5864</v>
      </c>
    </row>
    <row r="3277" spans="1:2">
      <c r="A3277" s="225" t="s">
        <v>6454</v>
      </c>
      <c r="B3277" s="225" t="s">
        <v>5874</v>
      </c>
    </row>
    <row r="3278" spans="1:2">
      <c r="A3278" s="225" t="s">
        <v>6455</v>
      </c>
      <c r="B3278" s="225" t="s">
        <v>6050</v>
      </c>
    </row>
    <row r="3279" spans="1:2">
      <c r="A3279" s="225" t="s">
        <v>6456</v>
      </c>
      <c r="B3279" s="225" t="s">
        <v>5839</v>
      </c>
    </row>
    <row r="3280" spans="1:2">
      <c r="A3280" s="225" t="s">
        <v>6457</v>
      </c>
      <c r="B3280" s="225" t="s">
        <v>5841</v>
      </c>
    </row>
    <row r="3281" spans="1:2">
      <c r="A3281" s="225" t="s">
        <v>6458</v>
      </c>
      <c r="B3281" s="225" t="s">
        <v>5858</v>
      </c>
    </row>
    <row r="3282" spans="1:2">
      <c r="A3282" s="225" t="s">
        <v>6459</v>
      </c>
      <c r="B3282" s="225" t="s">
        <v>5860</v>
      </c>
    </row>
    <row r="3283" spans="1:2">
      <c r="A3283" s="225" t="s">
        <v>10353</v>
      </c>
      <c r="B3283" s="225" t="s">
        <v>10334</v>
      </c>
    </row>
    <row r="3284" spans="1:2">
      <c r="A3284" s="225" t="s">
        <v>10354</v>
      </c>
      <c r="B3284" s="225" t="s">
        <v>10336</v>
      </c>
    </row>
    <row r="3285" spans="1:2">
      <c r="A3285" s="225" t="s">
        <v>10355</v>
      </c>
      <c r="B3285" s="225" t="s">
        <v>10338</v>
      </c>
    </row>
    <row r="3286" spans="1:2">
      <c r="A3286" s="225" t="s">
        <v>10356</v>
      </c>
      <c r="B3286" s="225" t="s">
        <v>10340</v>
      </c>
    </row>
    <row r="3287" spans="1:2">
      <c r="A3287" s="225" t="s">
        <v>10357</v>
      </c>
      <c r="B3287" s="225" t="s">
        <v>10342</v>
      </c>
    </row>
    <row r="3288" spans="1:2">
      <c r="A3288" s="225" t="s">
        <v>10633</v>
      </c>
      <c r="B3288" s="225" t="s">
        <v>10634</v>
      </c>
    </row>
    <row r="3289" spans="1:2">
      <c r="A3289" s="225" t="s">
        <v>10649</v>
      </c>
      <c r="B3289" s="225" t="s">
        <v>10650</v>
      </c>
    </row>
    <row r="3290" spans="1:2">
      <c r="A3290" s="225" t="s">
        <v>1292</v>
      </c>
      <c r="B3290" s="225" t="s">
        <v>10651</v>
      </c>
    </row>
    <row r="3291" spans="1:2">
      <c r="A3291" s="225" t="s">
        <v>10401</v>
      </c>
      <c r="B3291" s="225" t="s">
        <v>10402</v>
      </c>
    </row>
    <row r="3292" spans="1:2">
      <c r="A3292" s="225" t="s">
        <v>988</v>
      </c>
      <c r="B3292" s="225" t="s">
        <v>10403</v>
      </c>
    </row>
    <row r="3293" spans="1:2">
      <c r="A3293" s="225" t="s">
        <v>1133</v>
      </c>
      <c r="B3293" s="225" t="s">
        <v>10404</v>
      </c>
    </row>
    <row r="3294" spans="1:2">
      <c r="A3294" s="225" t="s">
        <v>10480</v>
      </c>
      <c r="B3294" s="225" t="s">
        <v>10234</v>
      </c>
    </row>
    <row r="3295" spans="1:2">
      <c r="A3295" s="225" t="s">
        <v>10481</v>
      </c>
      <c r="B3295" s="225" t="s">
        <v>10234</v>
      </c>
    </row>
    <row r="3296" spans="1:2">
      <c r="A3296" s="225" t="s">
        <v>10482</v>
      </c>
      <c r="B3296" s="225" t="s">
        <v>1782</v>
      </c>
    </row>
    <row r="3297" spans="1:2">
      <c r="A3297" s="225" t="s">
        <v>10483</v>
      </c>
      <c r="B3297" s="225" t="s">
        <v>10484</v>
      </c>
    </row>
    <row r="3298" spans="1:2">
      <c r="A3298" s="225" t="s">
        <v>10485</v>
      </c>
      <c r="B3298" s="225" t="s">
        <v>10486</v>
      </c>
    </row>
    <row r="3299" spans="1:2">
      <c r="A3299" s="225" t="s">
        <v>10487</v>
      </c>
      <c r="B3299" s="225" t="s">
        <v>10488</v>
      </c>
    </row>
    <row r="3300" spans="1:2">
      <c r="A3300" s="225" t="s">
        <v>10489</v>
      </c>
      <c r="B3300" s="225" t="s">
        <v>10490</v>
      </c>
    </row>
    <row r="3301" spans="1:2">
      <c r="A3301" s="225" t="s">
        <v>10491</v>
      </c>
      <c r="B3301" s="225" t="s">
        <v>1775</v>
      </c>
    </row>
    <row r="3302" spans="1:2">
      <c r="A3302" s="225" t="s">
        <v>10492</v>
      </c>
      <c r="B3302" s="225" t="s">
        <v>10493</v>
      </c>
    </row>
    <row r="3303" spans="1:2">
      <c r="A3303" s="225" t="s">
        <v>10494</v>
      </c>
      <c r="B3303" s="225" t="s">
        <v>10495</v>
      </c>
    </row>
    <row r="3304" spans="1:2">
      <c r="A3304" s="225" t="s">
        <v>10496</v>
      </c>
      <c r="B3304" s="225" t="s">
        <v>10497</v>
      </c>
    </row>
    <row r="3305" spans="1:2">
      <c r="A3305" s="225" t="s">
        <v>10498</v>
      </c>
      <c r="B3305" s="225" t="s">
        <v>10499</v>
      </c>
    </row>
    <row r="3306" spans="1:2">
      <c r="A3306" s="225" t="s">
        <v>10500</v>
      </c>
      <c r="B3306" s="225" t="s">
        <v>10501</v>
      </c>
    </row>
    <row r="3307" spans="1:2">
      <c r="A3307" s="225" t="s">
        <v>10502</v>
      </c>
      <c r="B3307" s="225" t="s">
        <v>10503</v>
      </c>
    </row>
    <row r="3308" spans="1:2">
      <c r="A3308" s="225" t="s">
        <v>10504</v>
      </c>
      <c r="B3308" s="225" t="s">
        <v>10505</v>
      </c>
    </row>
    <row r="3309" spans="1:2">
      <c r="A3309" s="225" t="s">
        <v>10506</v>
      </c>
      <c r="B3309" s="225" t="s">
        <v>10166</v>
      </c>
    </row>
    <row r="3310" spans="1:2">
      <c r="A3310" s="225" t="s">
        <v>10507</v>
      </c>
      <c r="B3310" s="225" t="s">
        <v>10508</v>
      </c>
    </row>
    <row r="3311" spans="1:2">
      <c r="A3311" s="225" t="s">
        <v>10509</v>
      </c>
      <c r="B3311" s="225" t="s">
        <v>10178</v>
      </c>
    </row>
    <row r="3312" spans="1:2">
      <c r="A3312" s="225" t="s">
        <v>10510</v>
      </c>
      <c r="B3312" s="225" t="s">
        <v>1674</v>
      </c>
    </row>
    <row r="3313" spans="1:2">
      <c r="A3313" s="225" t="s">
        <v>1422</v>
      </c>
      <c r="B3313" s="225" t="s">
        <v>10511</v>
      </c>
    </row>
    <row r="3314" spans="1:2">
      <c r="A3314" s="225" t="s">
        <v>10512</v>
      </c>
      <c r="B3314" s="225" t="s">
        <v>10513</v>
      </c>
    </row>
    <row r="3315" spans="1:2">
      <c r="A3315" s="225" t="s">
        <v>10514</v>
      </c>
      <c r="B3315" s="225" t="s">
        <v>10515</v>
      </c>
    </row>
    <row r="3316" spans="1:2">
      <c r="A3316" s="225" t="s">
        <v>10516</v>
      </c>
      <c r="B3316" s="225" t="s">
        <v>10517</v>
      </c>
    </row>
    <row r="3317" spans="1:2">
      <c r="A3317" s="225" t="s">
        <v>10518</v>
      </c>
      <c r="B3317" s="225" t="s">
        <v>10519</v>
      </c>
    </row>
    <row r="3318" spans="1:2">
      <c r="A3318" s="225" t="s">
        <v>10520</v>
      </c>
      <c r="B3318" s="225" t="s">
        <v>10521</v>
      </c>
    </row>
    <row r="3319" spans="1:2">
      <c r="A3319" s="225" t="s">
        <v>10522</v>
      </c>
      <c r="B3319" s="225" t="s">
        <v>10523</v>
      </c>
    </row>
    <row r="3320" spans="1:2">
      <c r="A3320" s="225" t="s">
        <v>10524</v>
      </c>
      <c r="B3320" s="225" t="s">
        <v>10525</v>
      </c>
    </row>
    <row r="3321" spans="1:2">
      <c r="A3321" s="225" t="s">
        <v>10526</v>
      </c>
      <c r="B3321" s="225" t="s">
        <v>10527</v>
      </c>
    </row>
    <row r="3322" spans="1:2">
      <c r="A3322" s="225" t="s">
        <v>10528</v>
      </c>
      <c r="B3322" s="225" t="s">
        <v>10529</v>
      </c>
    </row>
    <row r="3323" spans="1:2">
      <c r="A3323" s="225" t="s">
        <v>10530</v>
      </c>
      <c r="B3323" s="225" t="s">
        <v>10531</v>
      </c>
    </row>
    <row r="3324" spans="1:2">
      <c r="A3324" s="225" t="s">
        <v>10532</v>
      </c>
      <c r="B3324" s="225" t="s">
        <v>10533</v>
      </c>
    </row>
    <row r="3325" spans="1:2">
      <c r="A3325" s="225" t="s">
        <v>10534</v>
      </c>
      <c r="B3325" s="225" t="s">
        <v>10535</v>
      </c>
    </row>
    <row r="3326" spans="1:2">
      <c r="A3326" s="225" t="s">
        <v>10536</v>
      </c>
      <c r="B3326" s="225" t="s">
        <v>10537</v>
      </c>
    </row>
    <row r="3327" spans="1:2">
      <c r="A3327" s="225" t="s">
        <v>1295</v>
      </c>
      <c r="B3327" s="225" t="s">
        <v>10538</v>
      </c>
    </row>
    <row r="3328" spans="1:2">
      <c r="A3328" s="225" t="s">
        <v>1058</v>
      </c>
      <c r="B3328" s="225" t="s">
        <v>10539</v>
      </c>
    </row>
    <row r="3329" spans="1:2">
      <c r="A3329" s="225" t="s">
        <v>10540</v>
      </c>
      <c r="B3329" s="225" t="s">
        <v>10541</v>
      </c>
    </row>
    <row r="3330" spans="1:2">
      <c r="A3330" s="225" t="s">
        <v>10542</v>
      </c>
      <c r="B3330" s="225" t="s">
        <v>10543</v>
      </c>
    </row>
    <row r="3331" spans="1:2">
      <c r="A3331" s="225" t="s">
        <v>10544</v>
      </c>
      <c r="B3331" s="225" t="s">
        <v>10545</v>
      </c>
    </row>
    <row r="3332" spans="1:2">
      <c r="A3332" s="225" t="s">
        <v>10546</v>
      </c>
      <c r="B3332" s="225" t="s">
        <v>10547</v>
      </c>
    </row>
    <row r="3333" spans="1:2">
      <c r="A3333" s="225" t="s">
        <v>10548</v>
      </c>
      <c r="B3333" s="225" t="s">
        <v>10549</v>
      </c>
    </row>
    <row r="3334" spans="1:2">
      <c r="A3334" s="225" t="s">
        <v>10550</v>
      </c>
      <c r="B3334" s="225" t="s">
        <v>10551</v>
      </c>
    </row>
    <row r="3335" spans="1:2">
      <c r="A3335" s="225" t="s">
        <v>10552</v>
      </c>
      <c r="B3335" s="225" t="s">
        <v>10553</v>
      </c>
    </row>
    <row r="3336" spans="1:2">
      <c r="A3336" s="225" t="s">
        <v>10554</v>
      </c>
      <c r="B3336" s="225" t="s">
        <v>10555</v>
      </c>
    </row>
    <row r="3337" spans="1:2">
      <c r="A3337" s="225" t="s">
        <v>10463</v>
      </c>
      <c r="B3337" s="225" t="s">
        <v>10464</v>
      </c>
    </row>
    <row r="3338" spans="1:2">
      <c r="A3338" s="225" t="s">
        <v>10556</v>
      </c>
      <c r="B3338" s="225" t="s">
        <v>10557</v>
      </c>
    </row>
    <row r="3339" spans="1:2">
      <c r="A3339" s="225" t="s">
        <v>10558</v>
      </c>
      <c r="B3339" s="225" t="s">
        <v>10559</v>
      </c>
    </row>
    <row r="3340" spans="1:2">
      <c r="A3340" s="225" t="s">
        <v>10560</v>
      </c>
      <c r="B3340" s="225" t="s">
        <v>10561</v>
      </c>
    </row>
    <row r="3341" spans="1:2">
      <c r="A3341" s="225" t="s">
        <v>10562</v>
      </c>
      <c r="B3341" s="225" t="s">
        <v>10563</v>
      </c>
    </row>
    <row r="3342" spans="1:2">
      <c r="A3342" s="225" t="s">
        <v>10564</v>
      </c>
      <c r="B3342" s="225" t="s">
        <v>10565</v>
      </c>
    </row>
    <row r="3343" spans="1:2">
      <c r="A3343" s="225" t="s">
        <v>10566</v>
      </c>
      <c r="B3343" s="225" t="s">
        <v>10567</v>
      </c>
    </row>
    <row r="3344" spans="1:2">
      <c r="A3344" s="225" t="s">
        <v>10568</v>
      </c>
      <c r="B3344" s="225" t="s">
        <v>10569</v>
      </c>
    </row>
    <row r="3345" spans="1:2">
      <c r="A3345" s="225" t="s">
        <v>10465</v>
      </c>
      <c r="B3345" s="225" t="s">
        <v>10466</v>
      </c>
    </row>
    <row r="3346" spans="1:2">
      <c r="A3346" s="225" t="s">
        <v>10570</v>
      </c>
      <c r="B3346" s="225" t="s">
        <v>10571</v>
      </c>
    </row>
    <row r="3347" spans="1:2">
      <c r="A3347" s="225" t="s">
        <v>10572</v>
      </c>
      <c r="B3347" s="225" t="s">
        <v>10573</v>
      </c>
    </row>
    <row r="3348" spans="1:2">
      <c r="A3348" s="225" t="s">
        <v>10574</v>
      </c>
      <c r="B3348" s="225" t="s">
        <v>10575</v>
      </c>
    </row>
    <row r="3349" spans="1:2">
      <c r="A3349" s="225" t="s">
        <v>1243</v>
      </c>
      <c r="B3349" s="225" t="s">
        <v>10576</v>
      </c>
    </row>
    <row r="3350" spans="1:2">
      <c r="A3350" s="225" t="s">
        <v>10577</v>
      </c>
      <c r="B3350" s="225" t="s">
        <v>10578</v>
      </c>
    </row>
    <row r="3351" spans="1:2">
      <c r="A3351" s="225" t="s">
        <v>1306</v>
      </c>
      <c r="B3351" s="225" t="s">
        <v>10579</v>
      </c>
    </row>
    <row r="3352" spans="1:2">
      <c r="A3352" s="225" t="s">
        <v>10580</v>
      </c>
      <c r="B3352" s="225" t="s">
        <v>10581</v>
      </c>
    </row>
    <row r="3353" spans="1:2">
      <c r="A3353" s="225" t="s">
        <v>10582</v>
      </c>
      <c r="B3353" s="225" t="s">
        <v>10583</v>
      </c>
    </row>
    <row r="3354" spans="1:2">
      <c r="A3354" s="225" t="s">
        <v>1310</v>
      </c>
      <c r="B3354" s="225" t="s">
        <v>10467</v>
      </c>
    </row>
    <row r="3355" spans="1:2">
      <c r="A3355" s="225" t="s">
        <v>10468</v>
      </c>
      <c r="B3355" s="225" t="s">
        <v>10469</v>
      </c>
    </row>
    <row r="3356" spans="1:2">
      <c r="A3356" s="225" t="s">
        <v>10584</v>
      </c>
      <c r="B3356" s="225" t="s">
        <v>10585</v>
      </c>
    </row>
    <row r="3357" spans="1:2">
      <c r="A3357" s="225" t="s">
        <v>10586</v>
      </c>
      <c r="B3357" s="225" t="s">
        <v>10587</v>
      </c>
    </row>
    <row r="3358" spans="1:2">
      <c r="A3358" s="225" t="s">
        <v>10588</v>
      </c>
      <c r="B3358" s="225" t="s">
        <v>10589</v>
      </c>
    </row>
    <row r="3359" spans="1:2">
      <c r="A3359" s="225" t="s">
        <v>10590</v>
      </c>
      <c r="B3359" s="225" t="s">
        <v>10591</v>
      </c>
    </row>
    <row r="3360" spans="1:2">
      <c r="A3360" s="225" t="s">
        <v>10592</v>
      </c>
      <c r="B3360" s="225" t="s">
        <v>10593</v>
      </c>
    </row>
    <row r="3361" spans="1:2">
      <c r="A3361" s="225" t="s">
        <v>10594</v>
      </c>
      <c r="B3361" s="225" t="s">
        <v>10595</v>
      </c>
    </row>
    <row r="3362" spans="1:2">
      <c r="A3362" s="225" t="s">
        <v>10596</v>
      </c>
      <c r="B3362" s="225" t="s">
        <v>10597</v>
      </c>
    </row>
    <row r="3363" spans="1:2">
      <c r="A3363" s="225" t="s">
        <v>10470</v>
      </c>
      <c r="B3363" s="225" t="s">
        <v>10471</v>
      </c>
    </row>
    <row r="3364" spans="1:2">
      <c r="A3364" s="225" t="s">
        <v>10598</v>
      </c>
      <c r="B3364" s="225" t="s">
        <v>10599</v>
      </c>
    </row>
    <row r="3365" spans="1:2">
      <c r="A3365" s="225" t="s">
        <v>10600</v>
      </c>
      <c r="B3365" s="225" t="s">
        <v>10601</v>
      </c>
    </row>
    <row r="3366" spans="1:2">
      <c r="A3366" s="225" t="s">
        <v>10602</v>
      </c>
      <c r="B3366" s="225" t="s">
        <v>10603</v>
      </c>
    </row>
    <row r="3367" spans="1:2">
      <c r="A3367" s="225" t="s">
        <v>10604</v>
      </c>
      <c r="B3367" s="225" t="s">
        <v>10605</v>
      </c>
    </row>
    <row r="3368" spans="1:2">
      <c r="A3368" s="225" t="s">
        <v>10472</v>
      </c>
      <c r="B3368" s="225" t="s">
        <v>10473</v>
      </c>
    </row>
    <row r="3369" spans="1:2">
      <c r="A3369" s="225" t="s">
        <v>10606</v>
      </c>
      <c r="B3369" s="225" t="s">
        <v>10607</v>
      </c>
    </row>
    <row r="3370" spans="1:2">
      <c r="A3370" s="225" t="s">
        <v>1408</v>
      </c>
      <c r="B3370" s="225" t="s">
        <v>10608</v>
      </c>
    </row>
    <row r="3371" spans="1:2">
      <c r="A3371" s="225" t="s">
        <v>10474</v>
      </c>
      <c r="B3371" s="225" t="s">
        <v>10475</v>
      </c>
    </row>
    <row r="3372" spans="1:2">
      <c r="A3372" s="225" t="s">
        <v>10476</v>
      </c>
      <c r="B3372" s="225" t="s">
        <v>10477</v>
      </c>
    </row>
    <row r="3373" spans="1:2">
      <c r="A3373" s="225" t="s">
        <v>10478</v>
      </c>
      <c r="B3373" s="225" t="s">
        <v>10479</v>
      </c>
    </row>
    <row r="3374" spans="1:2">
      <c r="A3374" s="225" t="s">
        <v>10635</v>
      </c>
      <c r="B3374" s="225" t="s">
        <v>10636</v>
      </c>
    </row>
    <row r="3375" spans="1:2">
      <c r="A3375" s="225" t="s">
        <v>10637</v>
      </c>
      <c r="B3375" s="225" t="s">
        <v>10638</v>
      </c>
    </row>
    <row r="3376" spans="1:2">
      <c r="A3376" s="225" t="s">
        <v>10639</v>
      </c>
      <c r="B3376" s="225" t="s">
        <v>10640</v>
      </c>
    </row>
    <row r="3377" spans="1:2">
      <c r="A3377" s="225" t="s">
        <v>10641</v>
      </c>
      <c r="B3377" s="225" t="s">
        <v>10642</v>
      </c>
    </row>
    <row r="3378" spans="1:2">
      <c r="A3378" s="225" t="s">
        <v>10643</v>
      </c>
      <c r="B3378" s="225" t="s">
        <v>10236</v>
      </c>
    </row>
    <row r="3379" spans="1:2">
      <c r="A3379" s="225" t="s">
        <v>10644</v>
      </c>
      <c r="B3379" s="225" t="s">
        <v>10645</v>
      </c>
    </row>
    <row r="3380" spans="1:2">
      <c r="A3380" s="225" t="s">
        <v>10646</v>
      </c>
      <c r="B3380" s="225" t="s">
        <v>10647</v>
      </c>
    </row>
    <row r="3381" spans="1:2">
      <c r="A3381" s="225" t="s">
        <v>10648</v>
      </c>
      <c r="B3381" s="225" t="s">
        <v>1682</v>
      </c>
    </row>
    <row r="3382" spans="1:2">
      <c r="A3382" s="225" t="s">
        <v>10630</v>
      </c>
      <c r="B3382" s="225" t="s">
        <v>10628</v>
      </c>
    </row>
    <row r="3383" spans="1:2">
      <c r="A3383" s="225" t="s">
        <v>10654</v>
      </c>
      <c r="B3383" s="225" t="s">
        <v>10655</v>
      </c>
    </row>
    <row r="3384" spans="1:2">
      <c r="A3384" s="225" t="s">
        <v>10656</v>
      </c>
      <c r="B3384" s="225" t="s">
        <v>10657</v>
      </c>
    </row>
    <row r="3385" spans="1:2">
      <c r="A3385" s="225" t="s">
        <v>1204</v>
      </c>
      <c r="B3385" s="225" t="s">
        <v>10658</v>
      </c>
    </row>
    <row r="3386" spans="1:2">
      <c r="A3386" s="225" t="s">
        <v>10659</v>
      </c>
      <c r="B3386" s="225" t="s">
        <v>10660</v>
      </c>
    </row>
    <row r="3387" spans="1:2">
      <c r="A3387" s="225" t="s">
        <v>10138</v>
      </c>
      <c r="B3387" s="225" t="s">
        <v>10139</v>
      </c>
    </row>
    <row r="3388" spans="1:2">
      <c r="A3388" s="225" t="s">
        <v>920</v>
      </c>
      <c r="B3388" s="225" t="s">
        <v>10140</v>
      </c>
    </row>
    <row r="3389" spans="1:2">
      <c r="A3389" s="225" t="s">
        <v>10141</v>
      </c>
      <c r="B3389" s="225" t="s">
        <v>10142</v>
      </c>
    </row>
    <row r="3390" spans="1:2">
      <c r="A3390" s="225" t="s">
        <v>1212</v>
      </c>
      <c r="B3390" s="225" t="s">
        <v>10143</v>
      </c>
    </row>
    <row r="3391" spans="1:2">
      <c r="A3391" s="225" t="s">
        <v>1031</v>
      </c>
      <c r="B3391" s="225" t="s">
        <v>10144</v>
      </c>
    </row>
    <row r="3392" spans="1:2">
      <c r="A3392" s="225" t="s">
        <v>1080</v>
      </c>
      <c r="B3392" s="225" t="s">
        <v>10145</v>
      </c>
    </row>
    <row r="3393" spans="1:2">
      <c r="A3393" s="225" t="s">
        <v>10146</v>
      </c>
      <c r="B3393" s="225" t="s">
        <v>10147</v>
      </c>
    </row>
    <row r="3394" spans="1:2">
      <c r="A3394" s="225" t="s">
        <v>10148</v>
      </c>
      <c r="B3394" s="225" t="s">
        <v>10149</v>
      </c>
    </row>
    <row r="3395" spans="1:2">
      <c r="A3395" s="225" t="s">
        <v>10150</v>
      </c>
      <c r="B3395" s="225" t="s">
        <v>10151</v>
      </c>
    </row>
    <row r="3396" spans="1:2">
      <c r="A3396" s="225" t="s">
        <v>10152</v>
      </c>
      <c r="B3396" s="225" t="s">
        <v>10153</v>
      </c>
    </row>
    <row r="3397" spans="1:2">
      <c r="A3397" s="225" t="s">
        <v>10154</v>
      </c>
      <c r="B3397" s="225" t="s">
        <v>10155</v>
      </c>
    </row>
    <row r="3398" spans="1:2">
      <c r="A3398" s="225" t="s">
        <v>10156</v>
      </c>
      <c r="B3398" s="225" t="s">
        <v>10157</v>
      </c>
    </row>
    <row r="3399" spans="1:2">
      <c r="A3399" s="225" t="s">
        <v>10158</v>
      </c>
      <c r="B3399" s="225" t="s">
        <v>10159</v>
      </c>
    </row>
    <row r="3400" spans="1:2">
      <c r="A3400" s="225" t="s">
        <v>10160</v>
      </c>
      <c r="B3400" s="225" t="s">
        <v>10161</v>
      </c>
    </row>
    <row r="3401" spans="1:2">
      <c r="A3401" s="225" t="s">
        <v>10624</v>
      </c>
      <c r="B3401" s="225" t="s">
        <v>35</v>
      </c>
    </row>
    <row r="3402" spans="1:2">
      <c r="A3402" s="225" t="s">
        <v>10625</v>
      </c>
      <c r="B3402" s="225" t="s">
        <v>10626</v>
      </c>
    </row>
    <row r="3403" spans="1:2">
      <c r="A3403" s="225" t="s">
        <v>1082</v>
      </c>
      <c r="B3403" s="225" t="s">
        <v>10627</v>
      </c>
    </row>
    <row r="3404" spans="1:2">
      <c r="A3404" s="225" t="s">
        <v>1446</v>
      </c>
      <c r="B3404" s="225" t="s">
        <v>10628</v>
      </c>
    </row>
    <row r="3405" spans="1:2">
      <c r="A3405" s="225" t="s">
        <v>10629</v>
      </c>
      <c r="B3405" s="225" t="s">
        <v>1665</v>
      </c>
    </row>
    <row r="3406" spans="1:2">
      <c r="A3406" s="225" t="s">
        <v>1414</v>
      </c>
      <c r="B3406" s="225" t="s">
        <v>10627</v>
      </c>
    </row>
    <row r="3407" spans="1:2">
      <c r="A3407" s="225" t="s">
        <v>10609</v>
      </c>
      <c r="B3407" s="225" t="s">
        <v>10610</v>
      </c>
    </row>
    <row r="3408" spans="1:2">
      <c r="A3408" s="225" t="s">
        <v>10611</v>
      </c>
      <c r="B3408" s="225" t="s">
        <v>10612</v>
      </c>
    </row>
    <row r="3409" spans="1:2">
      <c r="A3409" s="225" t="s">
        <v>10613</v>
      </c>
      <c r="B3409" s="225" t="s">
        <v>10614</v>
      </c>
    </row>
    <row r="3410" spans="1:2">
      <c r="A3410" s="225" t="s">
        <v>1081</v>
      </c>
      <c r="B3410" s="225" t="s">
        <v>10615</v>
      </c>
    </row>
    <row r="3411" spans="1:2">
      <c r="A3411" s="225" t="s">
        <v>10616</v>
      </c>
      <c r="B3411" s="225" t="s">
        <v>10617</v>
      </c>
    </row>
    <row r="3412" spans="1:2">
      <c r="A3412" s="225" t="s">
        <v>10618</v>
      </c>
      <c r="B3412" s="225" t="s">
        <v>10619</v>
      </c>
    </row>
    <row r="3413" spans="1:2">
      <c r="A3413" s="225" t="s">
        <v>10620</v>
      </c>
      <c r="B3413" s="225" t="s">
        <v>10621</v>
      </c>
    </row>
    <row r="3414" spans="1:2">
      <c r="A3414" s="225" t="s">
        <v>10360</v>
      </c>
      <c r="B3414" s="225" t="s">
        <v>10361</v>
      </c>
    </row>
    <row r="3415" spans="1:2">
      <c r="A3415" s="225" t="s">
        <v>10333</v>
      </c>
      <c r="B3415" s="225" t="s">
        <v>10334</v>
      </c>
    </row>
    <row r="3416" spans="1:2">
      <c r="A3416" s="225" t="s">
        <v>10335</v>
      </c>
      <c r="B3416" s="225" t="s">
        <v>10336</v>
      </c>
    </row>
    <row r="3417" spans="1:2">
      <c r="A3417" s="225" t="s">
        <v>10337</v>
      </c>
      <c r="B3417" s="225" t="s">
        <v>10338</v>
      </c>
    </row>
    <row r="3418" spans="1:2">
      <c r="A3418" s="225" t="s">
        <v>10339</v>
      </c>
      <c r="B3418" s="225" t="s">
        <v>10340</v>
      </c>
    </row>
    <row r="3419" spans="1:2">
      <c r="A3419" s="225" t="s">
        <v>10341</v>
      </c>
      <c r="B3419" s="225" t="s">
        <v>10342</v>
      </c>
    </row>
    <row r="3420" spans="1:2">
      <c r="A3420" s="225" t="s">
        <v>10343</v>
      </c>
      <c r="B3420" s="225" t="s">
        <v>10344</v>
      </c>
    </row>
    <row r="3421" spans="1:2">
      <c r="A3421" s="225" t="s">
        <v>10345</v>
      </c>
      <c r="B3421" s="225" t="s">
        <v>10346</v>
      </c>
    </row>
    <row r="3422" spans="1:2">
      <c r="A3422" s="225" t="s">
        <v>10347</v>
      </c>
      <c r="B3422" s="225" t="s">
        <v>10348</v>
      </c>
    </row>
    <row r="3423" spans="1:2">
      <c r="A3423" s="225" t="s">
        <v>10349</v>
      </c>
      <c r="B3423" s="225" t="s">
        <v>10350</v>
      </c>
    </row>
    <row r="3424" spans="1:2">
      <c r="A3424" s="225" t="s">
        <v>10351</v>
      </c>
      <c r="B3424" s="225" t="s">
        <v>10352</v>
      </c>
    </row>
    <row r="3425" spans="1:2">
      <c r="A3425" s="225" t="s">
        <v>10365</v>
      </c>
      <c r="B3425" s="225" t="s">
        <v>10366</v>
      </c>
    </row>
    <row r="3426" spans="1:2">
      <c r="A3426" s="225" t="s">
        <v>1034</v>
      </c>
      <c r="B3426" s="225" t="s">
        <v>10367</v>
      </c>
    </row>
    <row r="3427" spans="1:2">
      <c r="A3427" s="225" t="s">
        <v>10406</v>
      </c>
      <c r="B3427" s="225" t="s">
        <v>10407</v>
      </c>
    </row>
    <row r="3428" spans="1:2">
      <c r="A3428" s="225" t="s">
        <v>10932</v>
      </c>
      <c r="B3428" s="225" t="s">
        <v>35</v>
      </c>
    </row>
    <row r="3429" spans="1:2">
      <c r="A3429" s="225" t="s">
        <v>10933</v>
      </c>
      <c r="B3429" s="225" t="s">
        <v>10334</v>
      </c>
    </row>
    <row r="3430" spans="1:2">
      <c r="A3430" s="225" t="s">
        <v>10934</v>
      </c>
      <c r="B3430" s="225" t="s">
        <v>10336</v>
      </c>
    </row>
    <row r="3431" spans="1:2">
      <c r="A3431" s="225" t="s">
        <v>10935</v>
      </c>
      <c r="B3431" s="225" t="s">
        <v>10338</v>
      </c>
    </row>
    <row r="3432" spans="1:2">
      <c r="A3432" s="225" t="s">
        <v>10936</v>
      </c>
      <c r="B3432" s="225" t="s">
        <v>10340</v>
      </c>
    </row>
    <row r="3433" spans="1:2">
      <c r="A3433" s="225" t="s">
        <v>10937</v>
      </c>
      <c r="B3433" s="225" t="s">
        <v>10342</v>
      </c>
    </row>
    <row r="3434" spans="1:2">
      <c r="A3434" s="225" t="s">
        <v>10938</v>
      </c>
      <c r="B3434" s="225" t="s">
        <v>10344</v>
      </c>
    </row>
    <row r="3435" spans="1:2">
      <c r="A3435" s="225" t="s">
        <v>10939</v>
      </c>
      <c r="B3435" s="225" t="s">
        <v>10346</v>
      </c>
    </row>
    <row r="3436" spans="1:2">
      <c r="A3436" s="225" t="s">
        <v>10940</v>
      </c>
      <c r="B3436" s="225" t="s">
        <v>10348</v>
      </c>
    </row>
    <row r="3437" spans="1:2">
      <c r="A3437" s="225" t="s">
        <v>10941</v>
      </c>
      <c r="B3437" s="225" t="s">
        <v>10350</v>
      </c>
    </row>
    <row r="3438" spans="1:2">
      <c r="A3438" s="225" t="s">
        <v>10942</v>
      </c>
      <c r="B3438" s="225" t="s">
        <v>10352</v>
      </c>
    </row>
    <row r="3439" spans="1:2">
      <c r="A3439" s="225" t="s">
        <v>10286</v>
      </c>
      <c r="B3439" s="225" t="s">
        <v>10287</v>
      </c>
    </row>
    <row r="3440" spans="1:2">
      <c r="A3440" s="225" t="s">
        <v>10288</v>
      </c>
      <c r="B3440" s="225" t="s">
        <v>10289</v>
      </c>
    </row>
    <row r="3441" spans="1:2">
      <c r="A3441" s="225" t="s">
        <v>10290</v>
      </c>
      <c r="B3441" s="225" t="s">
        <v>10291</v>
      </c>
    </row>
    <row r="3442" spans="1:2">
      <c r="A3442" s="225" t="s">
        <v>10292</v>
      </c>
      <c r="B3442" s="225" t="s">
        <v>10293</v>
      </c>
    </row>
    <row r="3443" spans="1:2">
      <c r="A3443" s="225" t="s">
        <v>10296</v>
      </c>
      <c r="B3443" s="225" t="s">
        <v>10297</v>
      </c>
    </row>
    <row r="3444" spans="1:2">
      <c r="A3444" s="225" t="s">
        <v>10298</v>
      </c>
      <c r="B3444" s="225" t="s">
        <v>10299</v>
      </c>
    </row>
    <row r="3445" spans="1:2">
      <c r="A3445" s="225" t="s">
        <v>10302</v>
      </c>
      <c r="B3445" s="225" t="s">
        <v>10303</v>
      </c>
    </row>
    <row r="3446" spans="1:2">
      <c r="A3446" s="225" t="s">
        <v>10304</v>
      </c>
      <c r="B3446" s="225" t="s">
        <v>10305</v>
      </c>
    </row>
    <row r="3447" spans="1:2">
      <c r="A3447" s="225" t="s">
        <v>10306</v>
      </c>
      <c r="B3447" s="225" t="s">
        <v>10307</v>
      </c>
    </row>
    <row r="3448" spans="1:2">
      <c r="A3448" s="225" t="s">
        <v>10310</v>
      </c>
      <c r="B3448" s="225" t="s">
        <v>10311</v>
      </c>
    </row>
    <row r="3449" spans="1:2">
      <c r="A3449" s="225" t="s">
        <v>10312</v>
      </c>
      <c r="B3449" s="225" t="s">
        <v>1948</v>
      </c>
    </row>
    <row r="3450" spans="1:2">
      <c r="A3450" s="225" t="s">
        <v>10315</v>
      </c>
      <c r="B3450" s="225" t="s">
        <v>10316</v>
      </c>
    </row>
    <row r="3451" spans="1:2">
      <c r="A3451" s="225" t="s">
        <v>10317</v>
      </c>
      <c r="B3451" s="225" t="s">
        <v>10318</v>
      </c>
    </row>
    <row r="3452" spans="1:2">
      <c r="A3452" s="225" t="s">
        <v>10319</v>
      </c>
      <c r="B3452" s="225" t="s">
        <v>10320</v>
      </c>
    </row>
    <row r="3453" spans="1:2">
      <c r="A3453" s="225" t="s">
        <v>10321</v>
      </c>
      <c r="B3453" s="225" t="s">
        <v>10322</v>
      </c>
    </row>
    <row r="3454" spans="1:2">
      <c r="A3454" s="225" t="s">
        <v>10323</v>
      </c>
      <c r="B3454" s="225" t="s">
        <v>10324</v>
      </c>
    </row>
    <row r="3455" spans="1:2">
      <c r="A3455" s="225" t="s">
        <v>10325</v>
      </c>
      <c r="B3455" s="225" t="s">
        <v>10326</v>
      </c>
    </row>
    <row r="3456" spans="1:2">
      <c r="A3456" s="225" t="s">
        <v>10329</v>
      </c>
      <c r="B3456" s="225" t="s">
        <v>10330</v>
      </c>
    </row>
    <row r="3457" spans="1:2">
      <c r="A3457" s="225" t="s">
        <v>1223</v>
      </c>
      <c r="B3457" s="225" t="s">
        <v>1859</v>
      </c>
    </row>
    <row r="3458" spans="1:2">
      <c r="A3458" s="225" t="s">
        <v>10164</v>
      </c>
      <c r="B3458" s="225" t="s">
        <v>10139</v>
      </c>
    </row>
    <row r="3459" spans="1:2">
      <c r="A3459" s="225" t="s">
        <v>10208</v>
      </c>
      <c r="B3459" s="225" t="s">
        <v>10209</v>
      </c>
    </row>
    <row r="3460" spans="1:2">
      <c r="A3460" s="225" t="s">
        <v>10167</v>
      </c>
      <c r="B3460" s="225" t="s">
        <v>10168</v>
      </c>
    </row>
    <row r="3461" spans="1:2">
      <c r="A3461" s="225" t="s">
        <v>10169</v>
      </c>
      <c r="B3461" s="225" t="s">
        <v>10170</v>
      </c>
    </row>
    <row r="3462" spans="1:2">
      <c r="A3462" s="225" t="s">
        <v>10171</v>
      </c>
      <c r="B3462" s="225" t="s">
        <v>10172</v>
      </c>
    </row>
    <row r="3463" spans="1:2">
      <c r="A3463" s="225" t="s">
        <v>10173</v>
      </c>
      <c r="B3463" s="225" t="s">
        <v>10174</v>
      </c>
    </row>
    <row r="3464" spans="1:2">
      <c r="A3464" s="225" t="s">
        <v>10175</v>
      </c>
      <c r="B3464" s="225" t="s">
        <v>10176</v>
      </c>
    </row>
    <row r="3465" spans="1:2">
      <c r="A3465" s="225" t="s">
        <v>10177</v>
      </c>
      <c r="B3465" s="225" t="s">
        <v>10178</v>
      </c>
    </row>
    <row r="3466" spans="1:2">
      <c r="A3466" s="225" t="s">
        <v>10179</v>
      </c>
      <c r="B3466" s="225" t="s">
        <v>10180</v>
      </c>
    </row>
    <row r="3467" spans="1:2">
      <c r="A3467" s="225" t="s">
        <v>10181</v>
      </c>
      <c r="B3467" s="225" t="s">
        <v>10182</v>
      </c>
    </row>
    <row r="3468" spans="1:2">
      <c r="A3468" s="225" t="s">
        <v>10184</v>
      </c>
      <c r="B3468" s="225" t="s">
        <v>10185</v>
      </c>
    </row>
    <row r="3469" spans="1:2">
      <c r="A3469" s="225" t="s">
        <v>10186</v>
      </c>
      <c r="B3469" s="225" t="s">
        <v>10187</v>
      </c>
    </row>
    <row r="3470" spans="1:2">
      <c r="A3470" s="225" t="s">
        <v>10188</v>
      </c>
      <c r="B3470" s="225" t="s">
        <v>10189</v>
      </c>
    </row>
    <row r="3471" spans="1:2">
      <c r="A3471" s="225" t="s">
        <v>10190</v>
      </c>
      <c r="B3471" s="225" t="s">
        <v>10191</v>
      </c>
    </row>
    <row r="3472" spans="1:2">
      <c r="A3472" s="225" t="s">
        <v>10192</v>
      </c>
      <c r="B3472" s="225" t="s">
        <v>10193</v>
      </c>
    </row>
    <row r="3473" spans="1:2">
      <c r="A3473" s="225" t="s">
        <v>10194</v>
      </c>
      <c r="B3473" s="225" t="s">
        <v>10195</v>
      </c>
    </row>
    <row r="3474" spans="1:2">
      <c r="A3474" s="225" t="s">
        <v>10197</v>
      </c>
      <c r="B3474" s="225" t="s">
        <v>1775</v>
      </c>
    </row>
    <row r="3475" spans="1:2">
      <c r="A3475" s="225" t="s">
        <v>10198</v>
      </c>
      <c r="B3475" s="225" t="s">
        <v>10199</v>
      </c>
    </row>
    <row r="3476" spans="1:2">
      <c r="A3476" s="225" t="s">
        <v>10200</v>
      </c>
      <c r="B3476" s="225" t="s">
        <v>10201</v>
      </c>
    </row>
    <row r="3477" spans="1:2">
      <c r="A3477" s="225" t="s">
        <v>10461</v>
      </c>
      <c r="B3477" s="225" t="s">
        <v>10462</v>
      </c>
    </row>
    <row r="3478" spans="1:2">
      <c r="A3478" s="225" t="s">
        <v>10378</v>
      </c>
      <c r="B3478" s="225" t="s">
        <v>10379</v>
      </c>
    </row>
    <row r="3479" spans="1:2">
      <c r="A3479" s="225" t="s">
        <v>10203</v>
      </c>
      <c r="B3479" s="225" t="s">
        <v>10204</v>
      </c>
    </row>
    <row r="3480" spans="1:2">
      <c r="A3480" s="225" t="s">
        <v>1314</v>
      </c>
      <c r="B3480" s="225" t="s">
        <v>10380</v>
      </c>
    </row>
    <row r="3481" spans="1:2">
      <c r="A3481" s="225" t="s">
        <v>10381</v>
      </c>
      <c r="B3481" s="225" t="s">
        <v>10382</v>
      </c>
    </row>
    <row r="3482" spans="1:2">
      <c r="A3482" s="225" t="s">
        <v>948</v>
      </c>
      <c r="B3482" s="225" t="s">
        <v>10383</v>
      </c>
    </row>
    <row r="3483" spans="1:2">
      <c r="A3483" s="225" t="s">
        <v>10384</v>
      </c>
      <c r="B3483" s="225" t="s">
        <v>10385</v>
      </c>
    </row>
    <row r="3484" spans="1:2">
      <c r="A3484" s="225" t="s">
        <v>1298</v>
      </c>
      <c r="B3484" s="225" t="s">
        <v>10386</v>
      </c>
    </row>
    <row r="3485" spans="1:2">
      <c r="A3485" s="225" t="s">
        <v>10387</v>
      </c>
      <c r="B3485" s="225" t="s">
        <v>10388</v>
      </c>
    </row>
    <row r="3486" spans="1:2">
      <c r="A3486" s="225" t="s">
        <v>10389</v>
      </c>
      <c r="B3486" s="225" t="s">
        <v>10390</v>
      </c>
    </row>
    <row r="3487" spans="1:2">
      <c r="A3487" s="225" t="s">
        <v>10391</v>
      </c>
      <c r="B3487" s="225" t="s">
        <v>10392</v>
      </c>
    </row>
    <row r="3488" spans="1:2">
      <c r="A3488" s="225" t="s">
        <v>10393</v>
      </c>
      <c r="B3488" s="225" t="s">
        <v>10394</v>
      </c>
    </row>
    <row r="3489" spans="1:2">
      <c r="A3489" s="225" t="s">
        <v>10395</v>
      </c>
      <c r="B3489" s="225" t="s">
        <v>10396</v>
      </c>
    </row>
    <row r="3490" spans="1:2">
      <c r="A3490" s="225" t="s">
        <v>1315</v>
      </c>
      <c r="B3490" s="225" t="s">
        <v>10397</v>
      </c>
    </row>
    <row r="3491" spans="1:2">
      <c r="A3491" s="225" t="s">
        <v>10398</v>
      </c>
      <c r="B3491" s="225" t="s">
        <v>10399</v>
      </c>
    </row>
    <row r="3492" spans="1:2">
      <c r="A3492" s="225" t="s">
        <v>10210</v>
      </c>
      <c r="B3492" s="225" t="s">
        <v>10211</v>
      </c>
    </row>
    <row r="3493" spans="1:2">
      <c r="A3493" s="225" t="s">
        <v>10212</v>
      </c>
      <c r="B3493" s="225" t="s">
        <v>10213</v>
      </c>
    </row>
    <row r="3494" spans="1:2">
      <c r="A3494" s="225" t="s">
        <v>10214</v>
      </c>
      <c r="B3494" s="225" t="s">
        <v>10215</v>
      </c>
    </row>
    <row r="3495" spans="1:2">
      <c r="A3495" s="225" t="s">
        <v>10216</v>
      </c>
      <c r="B3495" s="225" t="s">
        <v>10217</v>
      </c>
    </row>
    <row r="3496" spans="1:2">
      <c r="A3496" s="225" t="s">
        <v>10218</v>
      </c>
      <c r="B3496" s="225" t="s">
        <v>10219</v>
      </c>
    </row>
    <row r="3497" spans="1:2">
      <c r="A3497" s="225" t="s">
        <v>10220</v>
      </c>
      <c r="B3497" s="225" t="s">
        <v>10221</v>
      </c>
    </row>
    <row r="3498" spans="1:2">
      <c r="A3498" s="225" t="s">
        <v>10224</v>
      </c>
      <c r="B3498" s="225" t="s">
        <v>10225</v>
      </c>
    </row>
    <row r="3499" spans="1:2">
      <c r="A3499" s="225" t="s">
        <v>10226</v>
      </c>
      <c r="B3499" s="225" t="s">
        <v>10227</v>
      </c>
    </row>
    <row r="3500" spans="1:2">
      <c r="A3500" s="225" t="s">
        <v>10228</v>
      </c>
      <c r="B3500" s="225" t="s">
        <v>10229</v>
      </c>
    </row>
    <row r="3501" spans="1:2">
      <c r="A3501" s="225" t="s">
        <v>10230</v>
      </c>
      <c r="B3501" s="225" t="s">
        <v>1783</v>
      </c>
    </row>
    <row r="3502" spans="1:2">
      <c r="A3502" s="225" t="s">
        <v>10231</v>
      </c>
      <c r="B3502" s="225" t="s">
        <v>10232</v>
      </c>
    </row>
    <row r="3503" spans="1:2">
      <c r="A3503" s="225" t="s">
        <v>1138</v>
      </c>
      <c r="B3503" s="225" t="s">
        <v>10234</v>
      </c>
    </row>
    <row r="3504" spans="1:2">
      <c r="A3504" s="225" t="s">
        <v>10237</v>
      </c>
      <c r="B3504" s="225" t="s">
        <v>10238</v>
      </c>
    </row>
    <row r="3505" spans="1:2">
      <c r="A3505" s="225" t="s">
        <v>10239</v>
      </c>
      <c r="B3505" s="225" t="s">
        <v>10240</v>
      </c>
    </row>
    <row r="3506" spans="1:2">
      <c r="A3506" s="225" t="s">
        <v>10241</v>
      </c>
      <c r="B3506" s="225" t="s">
        <v>10242</v>
      </c>
    </row>
    <row r="3507" spans="1:2">
      <c r="A3507" s="225" t="s">
        <v>10243</v>
      </c>
      <c r="B3507" s="225" t="s">
        <v>10244</v>
      </c>
    </row>
    <row r="3508" spans="1:2">
      <c r="A3508" s="225" t="s">
        <v>10245</v>
      </c>
      <c r="B3508" s="225" t="s">
        <v>10246</v>
      </c>
    </row>
    <row r="3509" spans="1:2">
      <c r="A3509" s="225" t="s">
        <v>10247</v>
      </c>
      <c r="B3509" s="225" t="s">
        <v>10248</v>
      </c>
    </row>
    <row r="3510" spans="1:2">
      <c r="A3510" s="225" t="s">
        <v>10249</v>
      </c>
      <c r="B3510" s="225" t="s">
        <v>10250</v>
      </c>
    </row>
    <row r="3511" spans="1:2">
      <c r="A3511" s="225" t="s">
        <v>10251</v>
      </c>
      <c r="B3511" s="225" t="s">
        <v>10252</v>
      </c>
    </row>
    <row r="3512" spans="1:2">
      <c r="A3512" s="225" t="s">
        <v>10253</v>
      </c>
      <c r="B3512" s="225" t="s">
        <v>10254</v>
      </c>
    </row>
    <row r="3513" spans="1:2">
      <c r="A3513" s="225" t="s">
        <v>10255</v>
      </c>
      <c r="B3513" s="225" t="s">
        <v>10256</v>
      </c>
    </row>
    <row r="3514" spans="1:2">
      <c r="A3514" s="225" t="s">
        <v>10257</v>
      </c>
      <c r="B3514" s="225" t="s">
        <v>10258</v>
      </c>
    </row>
    <row r="3515" spans="1:2">
      <c r="A3515" s="225" t="s">
        <v>10259</v>
      </c>
      <c r="B3515" s="225" t="s">
        <v>10260</v>
      </c>
    </row>
    <row r="3516" spans="1:2">
      <c r="A3516" s="225" t="s">
        <v>10261</v>
      </c>
      <c r="B3516" s="225" t="s">
        <v>10262</v>
      </c>
    </row>
    <row r="3517" spans="1:2">
      <c r="A3517" s="225" t="s">
        <v>10263</v>
      </c>
      <c r="B3517" s="225" t="s">
        <v>10264</v>
      </c>
    </row>
    <row r="3518" spans="1:2">
      <c r="A3518" s="225" t="s">
        <v>10265</v>
      </c>
      <c r="B3518" s="225" t="s">
        <v>10266</v>
      </c>
    </row>
    <row r="3519" spans="1:2">
      <c r="A3519" s="225" t="s">
        <v>10267</v>
      </c>
      <c r="B3519" s="225" t="s">
        <v>10268</v>
      </c>
    </row>
    <row r="3520" spans="1:2">
      <c r="A3520" s="225" t="s">
        <v>10269</v>
      </c>
      <c r="B3520" s="225" t="s">
        <v>10270</v>
      </c>
    </row>
    <row r="3521" spans="1:2">
      <c r="A3521" s="225" t="s">
        <v>10271</v>
      </c>
      <c r="B3521" s="225" t="s">
        <v>10272</v>
      </c>
    </row>
    <row r="3522" spans="1:2">
      <c r="A3522" s="225" t="s">
        <v>10273</v>
      </c>
      <c r="B3522" s="225" t="s">
        <v>10274</v>
      </c>
    </row>
    <row r="3523" spans="1:2">
      <c r="A3523" s="225" t="s">
        <v>10275</v>
      </c>
      <c r="B3523" s="225" t="s">
        <v>10276</v>
      </c>
    </row>
    <row r="3524" spans="1:2">
      <c r="A3524" s="225" t="s">
        <v>10277</v>
      </c>
      <c r="B3524" s="225" t="s">
        <v>10278</v>
      </c>
    </row>
    <row r="3525" spans="1:2">
      <c r="A3525" s="225" t="s">
        <v>1258</v>
      </c>
      <c r="B3525" s="225" t="s">
        <v>10279</v>
      </c>
    </row>
    <row r="3526" spans="1:2">
      <c r="A3526" s="225" t="s">
        <v>1235</v>
      </c>
      <c r="B3526" s="225" t="s">
        <v>10280</v>
      </c>
    </row>
    <row r="3527" spans="1:2">
      <c r="A3527" s="225" t="s">
        <v>1296</v>
      </c>
      <c r="B3527" s="225" t="s">
        <v>10281</v>
      </c>
    </row>
    <row r="3528" spans="1:2">
      <c r="A3528" s="225" t="s">
        <v>10282</v>
      </c>
      <c r="B3528" s="225" t="s">
        <v>10283</v>
      </c>
    </row>
    <row r="3529" spans="1:2">
      <c r="A3529" s="225" t="s">
        <v>1290</v>
      </c>
      <c r="B3529" s="225" t="s">
        <v>10283</v>
      </c>
    </row>
    <row r="3530" spans="1:2">
      <c r="A3530" s="225" t="s">
        <v>10943</v>
      </c>
      <c r="B3530" s="225" t="s">
        <v>35</v>
      </c>
    </row>
    <row r="3531" spans="1:2">
      <c r="A3531" s="225" t="s">
        <v>10944</v>
      </c>
      <c r="B3531" s="225" t="s">
        <v>35</v>
      </c>
    </row>
    <row r="3532" spans="1:2">
      <c r="A3532" s="225" t="s">
        <v>10945</v>
      </c>
      <c r="B3532" s="225" t="s">
        <v>35</v>
      </c>
    </row>
    <row r="3533" spans="1:2">
      <c r="A3533" s="225" t="s">
        <v>10946</v>
      </c>
      <c r="B3533" s="225" t="s">
        <v>35</v>
      </c>
    </row>
    <row r="3534" spans="1:2">
      <c r="A3534" s="225" t="s">
        <v>10947</v>
      </c>
      <c r="B3534" s="225" t="s">
        <v>35</v>
      </c>
    </row>
    <row r="3535" spans="1:2">
      <c r="A3535" s="225" t="s">
        <v>7370</v>
      </c>
      <c r="B3535" s="225" t="s">
        <v>7119</v>
      </c>
    </row>
    <row r="3536" spans="1:2">
      <c r="A3536" s="225" t="s">
        <v>7371</v>
      </c>
      <c r="B3536" s="225" t="s">
        <v>7121</v>
      </c>
    </row>
    <row r="3537" spans="1:2">
      <c r="A3537" s="225" t="s">
        <v>7372</v>
      </c>
      <c r="B3537" s="225" t="s">
        <v>7123</v>
      </c>
    </row>
    <row r="3538" spans="1:2">
      <c r="A3538" s="225" t="s">
        <v>7373</v>
      </c>
      <c r="B3538" s="225" t="s">
        <v>7374</v>
      </c>
    </row>
    <row r="3539" spans="1:2">
      <c r="A3539" s="225" t="s">
        <v>9781</v>
      </c>
      <c r="B3539" s="225" t="s">
        <v>9782</v>
      </c>
    </row>
    <row r="3540" spans="1:2">
      <c r="A3540" s="225" t="s">
        <v>2172</v>
      </c>
      <c r="B3540" s="225" t="s">
        <v>2173</v>
      </c>
    </row>
    <row r="3541" spans="1:2">
      <c r="A3541" s="225" t="s">
        <v>2120</v>
      </c>
      <c r="B3541" s="225" t="s">
        <v>1710</v>
      </c>
    </row>
    <row r="3542" spans="1:2">
      <c r="A3542" s="225" t="s">
        <v>2121</v>
      </c>
      <c r="B3542" s="225" t="s">
        <v>1768</v>
      </c>
    </row>
    <row r="3543" spans="1:2">
      <c r="A3543" s="225" t="s">
        <v>830</v>
      </c>
      <c r="B3543" s="225" t="s">
        <v>2122</v>
      </c>
    </row>
    <row r="3544" spans="1:2">
      <c r="A3544" s="225" t="s">
        <v>2123</v>
      </c>
      <c r="B3544" s="225" t="s">
        <v>2124</v>
      </c>
    </row>
    <row r="3545" spans="1:2">
      <c r="A3545" s="225" t="s">
        <v>823</v>
      </c>
      <c r="B3545" s="225" t="s">
        <v>2125</v>
      </c>
    </row>
    <row r="3546" spans="1:2">
      <c r="A3546" s="225" t="s">
        <v>2126</v>
      </c>
      <c r="B3546" s="225" t="s">
        <v>1748</v>
      </c>
    </row>
    <row r="3547" spans="1:2">
      <c r="A3547" s="225" t="s">
        <v>2127</v>
      </c>
      <c r="B3547" s="225" t="s">
        <v>2128</v>
      </c>
    </row>
    <row r="3548" spans="1:2">
      <c r="A3548" s="225" t="s">
        <v>841</v>
      </c>
      <c r="B3548" s="225" t="s">
        <v>2129</v>
      </c>
    </row>
    <row r="3549" spans="1:2">
      <c r="A3549" s="225" t="s">
        <v>2130</v>
      </c>
      <c r="B3549" s="225" t="s">
        <v>2131</v>
      </c>
    </row>
    <row r="3550" spans="1:2">
      <c r="A3550" s="225" t="s">
        <v>2132</v>
      </c>
      <c r="B3550" s="225" t="s">
        <v>2133</v>
      </c>
    </row>
    <row r="3551" spans="1:2">
      <c r="A3551" s="225" t="s">
        <v>2134</v>
      </c>
      <c r="B3551" s="225" t="s">
        <v>1789</v>
      </c>
    </row>
    <row r="3552" spans="1:2">
      <c r="A3552" s="225" t="s">
        <v>2135</v>
      </c>
      <c r="B3552" s="225" t="s">
        <v>2136</v>
      </c>
    </row>
    <row r="3553" spans="1:2">
      <c r="A3553" s="225" t="s">
        <v>855</v>
      </c>
      <c r="B3553" s="225" t="s">
        <v>1637</v>
      </c>
    </row>
    <row r="3554" spans="1:2">
      <c r="A3554" s="225" t="s">
        <v>862</v>
      </c>
      <c r="B3554" s="225" t="s">
        <v>1779</v>
      </c>
    </row>
    <row r="3555" spans="1:2">
      <c r="A3555" s="225" t="s">
        <v>848</v>
      </c>
      <c r="B3555" s="225" t="s">
        <v>1796</v>
      </c>
    </row>
    <row r="3556" spans="1:2">
      <c r="A3556" s="225" t="s">
        <v>2147</v>
      </c>
      <c r="B3556" s="225" t="s">
        <v>2148</v>
      </c>
    </row>
    <row r="3557" spans="1:2">
      <c r="A3557" s="225" t="s">
        <v>756</v>
      </c>
      <c r="B3557" s="225" t="s">
        <v>2152</v>
      </c>
    </row>
    <row r="3558" spans="1:2">
      <c r="A3558" s="225" t="s">
        <v>782</v>
      </c>
      <c r="B3558" s="225" t="s">
        <v>1837</v>
      </c>
    </row>
    <row r="3559" spans="1:2">
      <c r="A3559" s="225" t="s">
        <v>787</v>
      </c>
      <c r="B3559" s="225" t="s">
        <v>1891</v>
      </c>
    </row>
    <row r="3560" spans="1:2">
      <c r="A3560" s="225" t="s">
        <v>824</v>
      </c>
      <c r="B3560" s="225" t="s">
        <v>1858</v>
      </c>
    </row>
    <row r="3561" spans="1:2">
      <c r="A3561" s="225" t="s">
        <v>2153</v>
      </c>
      <c r="B3561" s="225" t="s">
        <v>1910</v>
      </c>
    </row>
    <row r="3562" spans="1:2">
      <c r="A3562" s="225" t="s">
        <v>2156</v>
      </c>
      <c r="B3562" s="225" t="s">
        <v>2157</v>
      </c>
    </row>
    <row r="3563" spans="1:2">
      <c r="A3563" s="225" t="s">
        <v>861</v>
      </c>
      <c r="B3563" s="225" t="s">
        <v>1801</v>
      </c>
    </row>
    <row r="3564" spans="1:2">
      <c r="A3564" s="225" t="s">
        <v>2161</v>
      </c>
      <c r="B3564" s="225" t="s">
        <v>2162</v>
      </c>
    </row>
    <row r="3565" spans="1:2">
      <c r="A3565" s="225" t="s">
        <v>1139</v>
      </c>
      <c r="B3565" s="225" t="s">
        <v>2167</v>
      </c>
    </row>
    <row r="3566" spans="1:2">
      <c r="A3566" s="225" t="s">
        <v>1431</v>
      </c>
      <c r="B3566" s="225" t="s">
        <v>2168</v>
      </c>
    </row>
    <row r="3567" spans="1:2">
      <c r="A3567" s="225" t="s">
        <v>822</v>
      </c>
      <c r="B3567" s="225" t="s">
        <v>1912</v>
      </c>
    </row>
    <row r="3568" spans="1:2">
      <c r="A3568" s="225" t="s">
        <v>2169</v>
      </c>
      <c r="B3568" s="225" t="s">
        <v>2170</v>
      </c>
    </row>
    <row r="3569" spans="1:2">
      <c r="A3569" s="225" t="s">
        <v>2171</v>
      </c>
      <c r="B3569" s="225" t="s">
        <v>1919</v>
      </c>
    </row>
    <row r="3570" spans="1:2">
      <c r="A3570" s="225" t="s">
        <v>2240</v>
      </c>
      <c r="B3570" s="225" t="s">
        <v>2241</v>
      </c>
    </row>
    <row r="3571" spans="1:2">
      <c r="A3571" s="225" t="s">
        <v>1097</v>
      </c>
      <c r="B3571" s="225" t="s">
        <v>2191</v>
      </c>
    </row>
    <row r="3572" spans="1:2">
      <c r="A3572" s="225" t="s">
        <v>2174</v>
      </c>
      <c r="B3572" s="225" t="s">
        <v>2175</v>
      </c>
    </row>
    <row r="3573" spans="1:2">
      <c r="A3573" s="225" t="s">
        <v>1111</v>
      </c>
      <c r="B3573" s="225" t="s">
        <v>2192</v>
      </c>
    </row>
    <row r="3574" spans="1:2">
      <c r="A3574" s="225" t="s">
        <v>740</v>
      </c>
      <c r="B3574" s="225" t="s">
        <v>1929</v>
      </c>
    </row>
    <row r="3575" spans="1:2">
      <c r="A3575" s="225" t="s">
        <v>1163</v>
      </c>
      <c r="B3575" s="225" t="s">
        <v>1956</v>
      </c>
    </row>
    <row r="3576" spans="1:2">
      <c r="A3576" s="225" t="s">
        <v>2182</v>
      </c>
      <c r="B3576" s="225" t="s">
        <v>2183</v>
      </c>
    </row>
    <row r="3577" spans="1:2">
      <c r="A3577" s="225" t="s">
        <v>813</v>
      </c>
      <c r="B3577" s="225" t="s">
        <v>1938</v>
      </c>
    </row>
    <row r="3578" spans="1:2">
      <c r="A3578" s="225" t="s">
        <v>737</v>
      </c>
      <c r="B3578" s="225" t="s">
        <v>1971</v>
      </c>
    </row>
    <row r="3579" spans="1:2">
      <c r="A3579" s="225" t="s">
        <v>739</v>
      </c>
      <c r="B3579" s="225" t="s">
        <v>1976</v>
      </c>
    </row>
    <row r="3580" spans="1:2">
      <c r="A3580" s="225" t="s">
        <v>2184</v>
      </c>
      <c r="B3580" s="225" t="s">
        <v>1943</v>
      </c>
    </row>
    <row r="3581" spans="1:2">
      <c r="A3581" s="225" t="s">
        <v>801</v>
      </c>
      <c r="B3581" s="225" t="s">
        <v>1948</v>
      </c>
    </row>
    <row r="3582" spans="1:2">
      <c r="A3582" s="225" t="s">
        <v>809</v>
      </c>
      <c r="B3582" s="225" t="s">
        <v>2000</v>
      </c>
    </row>
    <row r="3583" spans="1:2">
      <c r="A3583" s="225" t="s">
        <v>2186</v>
      </c>
      <c r="B3583" s="225" t="s">
        <v>1921</v>
      </c>
    </row>
    <row r="3584" spans="1:2">
      <c r="A3584" s="225" t="s">
        <v>1127</v>
      </c>
      <c r="B3584" s="225" t="s">
        <v>2190</v>
      </c>
    </row>
    <row r="3585" spans="1:2">
      <c r="A3585" s="225" t="s">
        <v>1193</v>
      </c>
      <c r="B3585" s="225" t="s">
        <v>2554</v>
      </c>
    </row>
    <row r="3586" spans="1:2">
      <c r="A3586" s="225" t="s">
        <v>898</v>
      </c>
      <c r="B3586" s="225" t="s">
        <v>2503</v>
      </c>
    </row>
    <row r="3587" spans="1:2">
      <c r="A3587" s="225" t="s">
        <v>2504</v>
      </c>
      <c r="B3587" s="225" t="s">
        <v>2505</v>
      </c>
    </row>
    <row r="3588" spans="1:2">
      <c r="A3588" s="225" t="s">
        <v>821</v>
      </c>
      <c r="B3588" s="225" t="s">
        <v>2506</v>
      </c>
    </row>
    <row r="3589" spans="1:2">
      <c r="A3589" s="225" t="s">
        <v>874</v>
      </c>
      <c r="B3589" s="225" t="s">
        <v>2507</v>
      </c>
    </row>
    <row r="3590" spans="1:2">
      <c r="A3590" s="225" t="s">
        <v>2508</v>
      </c>
      <c r="B3590" s="225" t="s">
        <v>2509</v>
      </c>
    </row>
    <row r="3591" spans="1:2">
      <c r="A3591" s="225" t="s">
        <v>2510</v>
      </c>
      <c r="B3591" s="225" t="s">
        <v>2511</v>
      </c>
    </row>
    <row r="3592" spans="1:2">
      <c r="A3592" s="225" t="s">
        <v>886</v>
      </c>
      <c r="B3592" s="225" t="s">
        <v>2512</v>
      </c>
    </row>
    <row r="3593" spans="1:2">
      <c r="A3593" s="225" t="s">
        <v>2513</v>
      </c>
      <c r="B3593" s="225" t="s">
        <v>2514</v>
      </c>
    </row>
    <row r="3594" spans="1:2">
      <c r="A3594" s="225" t="s">
        <v>880</v>
      </c>
      <c r="B3594" s="225" t="s">
        <v>2515</v>
      </c>
    </row>
    <row r="3595" spans="1:2">
      <c r="A3595" s="225" t="s">
        <v>2516</v>
      </c>
      <c r="B3595" s="225" t="s">
        <v>2517</v>
      </c>
    </row>
    <row r="3596" spans="1:2">
      <c r="A3596" s="225" t="s">
        <v>856</v>
      </c>
      <c r="B3596" s="225" t="s">
        <v>2518</v>
      </c>
    </row>
    <row r="3597" spans="1:2">
      <c r="A3597" s="225" t="s">
        <v>2238</v>
      </c>
      <c r="B3597" s="225" t="s">
        <v>2239</v>
      </c>
    </row>
    <row r="3598" spans="1:2">
      <c r="A3598" s="225" t="s">
        <v>3024</v>
      </c>
      <c r="B3598" s="225" t="s">
        <v>3025</v>
      </c>
    </row>
    <row r="3599" spans="1:2">
      <c r="A3599" s="225" t="s">
        <v>3032</v>
      </c>
      <c r="B3599" s="225" t="s">
        <v>2289</v>
      </c>
    </row>
    <row r="3600" spans="1:2">
      <c r="A3600" s="225" t="s">
        <v>3038</v>
      </c>
      <c r="B3600" s="225" t="s">
        <v>2296</v>
      </c>
    </row>
    <row r="3601" spans="1:2">
      <c r="A3601" s="225" t="s">
        <v>3045</v>
      </c>
      <c r="B3601" s="225" t="s">
        <v>2304</v>
      </c>
    </row>
    <row r="3602" spans="1:2">
      <c r="A3602" s="225" t="s">
        <v>3054</v>
      </c>
      <c r="B3602" s="225" t="s">
        <v>2314</v>
      </c>
    </row>
    <row r="3603" spans="1:2">
      <c r="A3603" s="225" t="s">
        <v>3061</v>
      </c>
      <c r="B3603" s="225" t="s">
        <v>3062</v>
      </c>
    </row>
    <row r="3604" spans="1:2">
      <c r="A3604" s="225" t="s">
        <v>3063</v>
      </c>
      <c r="B3604" s="225" t="s">
        <v>3064</v>
      </c>
    </row>
    <row r="3605" spans="1:2">
      <c r="A3605" s="225" t="s">
        <v>3065</v>
      </c>
      <c r="B3605" s="225" t="s">
        <v>3066</v>
      </c>
    </row>
    <row r="3606" spans="1:2">
      <c r="A3606" s="225" t="s">
        <v>3067</v>
      </c>
      <c r="B3606" s="225" t="s">
        <v>3068</v>
      </c>
    </row>
    <row r="3607" spans="1:2">
      <c r="A3607" s="225" t="s">
        <v>3077</v>
      </c>
      <c r="B3607" s="225" t="s">
        <v>3078</v>
      </c>
    </row>
    <row r="3608" spans="1:2">
      <c r="A3608" s="225" t="s">
        <v>3079</v>
      </c>
      <c r="B3608" s="225" t="s">
        <v>3080</v>
      </c>
    </row>
    <row r="3609" spans="1:2">
      <c r="A3609" s="225" t="s">
        <v>3093</v>
      </c>
      <c r="B3609" s="225" t="s">
        <v>3094</v>
      </c>
    </row>
    <row r="3610" spans="1:2">
      <c r="A3610" s="225" t="s">
        <v>3095</v>
      </c>
      <c r="B3610" s="225" t="s">
        <v>2326</v>
      </c>
    </row>
    <row r="3611" spans="1:2">
      <c r="A3611" s="225" t="s">
        <v>769</v>
      </c>
      <c r="B3611" s="225" t="s">
        <v>2332</v>
      </c>
    </row>
    <row r="3612" spans="1:2">
      <c r="A3612" s="225" t="s">
        <v>3098</v>
      </c>
      <c r="B3612" s="225" t="s">
        <v>2334</v>
      </c>
    </row>
    <row r="3613" spans="1:2">
      <c r="A3613" s="225" t="s">
        <v>1333</v>
      </c>
      <c r="B3613" s="225" t="s">
        <v>2262</v>
      </c>
    </row>
    <row r="3614" spans="1:2">
      <c r="A3614" s="225" t="s">
        <v>2263</v>
      </c>
      <c r="B3614" s="225" t="s">
        <v>2264</v>
      </c>
    </row>
    <row r="3615" spans="1:2">
      <c r="A3615" s="225" t="s">
        <v>2265</v>
      </c>
      <c r="B3615" s="225" t="s">
        <v>2266</v>
      </c>
    </row>
    <row r="3616" spans="1:2">
      <c r="A3616" s="225" t="s">
        <v>1367</v>
      </c>
      <c r="B3616" s="225" t="s">
        <v>2267</v>
      </c>
    </row>
    <row r="3617" spans="1:2">
      <c r="A3617" s="225" t="s">
        <v>1336</v>
      </c>
      <c r="B3617" s="225" t="s">
        <v>2268</v>
      </c>
    </row>
    <row r="3618" spans="1:2">
      <c r="A3618" s="225" t="s">
        <v>8125</v>
      </c>
      <c r="B3618" s="225" t="s">
        <v>8126</v>
      </c>
    </row>
    <row r="3619" spans="1:2">
      <c r="A3619" s="225" t="s">
        <v>8127</v>
      </c>
      <c r="B3619" s="225" t="s">
        <v>8128</v>
      </c>
    </row>
    <row r="3620" spans="1:2">
      <c r="A3620" s="225" t="s">
        <v>8204</v>
      </c>
      <c r="B3620" s="225" t="s">
        <v>8205</v>
      </c>
    </row>
    <row r="3621" spans="1:2">
      <c r="A3621" s="225" t="s">
        <v>2291</v>
      </c>
      <c r="B3621" s="225" t="s">
        <v>2292</v>
      </c>
    </row>
    <row r="3622" spans="1:2">
      <c r="A3622" s="225" t="s">
        <v>8129</v>
      </c>
      <c r="B3622" s="225" t="s">
        <v>8130</v>
      </c>
    </row>
    <row r="3623" spans="1:2">
      <c r="A3623" s="225" t="s">
        <v>2299</v>
      </c>
      <c r="B3623" s="225" t="s">
        <v>2300</v>
      </c>
    </row>
    <row r="3624" spans="1:2">
      <c r="A3624" s="225" t="s">
        <v>8131</v>
      </c>
      <c r="B3624" s="225" t="s">
        <v>8132</v>
      </c>
    </row>
    <row r="3625" spans="1:2">
      <c r="A3625" s="225" t="s">
        <v>8133</v>
      </c>
      <c r="B3625" s="225" t="s">
        <v>8134</v>
      </c>
    </row>
    <row r="3626" spans="1:2">
      <c r="A3626" s="225" t="s">
        <v>8135</v>
      </c>
      <c r="B3626" s="225" t="s">
        <v>8136</v>
      </c>
    </row>
    <row r="3627" spans="1:2">
      <c r="A3627" s="225" t="s">
        <v>2307</v>
      </c>
      <c r="B3627" s="225" t="s">
        <v>2308</v>
      </c>
    </row>
    <row r="3628" spans="1:2">
      <c r="A3628" s="225" t="s">
        <v>2309</v>
      </c>
      <c r="B3628" s="225" t="s">
        <v>2310</v>
      </c>
    </row>
    <row r="3629" spans="1:2">
      <c r="A3629" s="225" t="s">
        <v>8137</v>
      </c>
      <c r="B3629" s="225" t="s">
        <v>8138</v>
      </c>
    </row>
    <row r="3630" spans="1:2">
      <c r="A3630" s="225" t="s">
        <v>8139</v>
      </c>
      <c r="B3630" s="225" t="s">
        <v>8140</v>
      </c>
    </row>
    <row r="3631" spans="1:2">
      <c r="A3631" s="225" t="s">
        <v>2317</v>
      </c>
      <c r="B3631" s="225" t="s">
        <v>2318</v>
      </c>
    </row>
    <row r="3632" spans="1:2">
      <c r="A3632" s="225" t="s">
        <v>8145</v>
      </c>
      <c r="B3632" s="225" t="s">
        <v>8146</v>
      </c>
    </row>
    <row r="3633" spans="1:2">
      <c r="A3633" s="225" t="s">
        <v>8147</v>
      </c>
      <c r="B3633" s="225" t="s">
        <v>8148</v>
      </c>
    </row>
    <row r="3634" spans="1:2">
      <c r="A3634" s="225" t="s">
        <v>8177</v>
      </c>
      <c r="B3634" s="225" t="s">
        <v>8116</v>
      </c>
    </row>
    <row r="3635" spans="1:2">
      <c r="A3635" s="225" t="s">
        <v>8178</v>
      </c>
      <c r="B3635" s="225" t="s">
        <v>8179</v>
      </c>
    </row>
    <row r="3636" spans="1:2">
      <c r="A3636" s="225" t="s">
        <v>8180</v>
      </c>
      <c r="B3636" s="225" t="s">
        <v>8181</v>
      </c>
    </row>
    <row r="3637" spans="1:2">
      <c r="A3637" s="225" t="s">
        <v>8190</v>
      </c>
      <c r="B3637" s="225" t="s">
        <v>8191</v>
      </c>
    </row>
    <row r="3638" spans="1:2">
      <c r="A3638" s="225" t="s">
        <v>8192</v>
      </c>
      <c r="B3638" s="225" t="s">
        <v>8193</v>
      </c>
    </row>
    <row r="3639" spans="1:2">
      <c r="A3639" s="225" t="s">
        <v>8194</v>
      </c>
      <c r="B3639" s="225" t="s">
        <v>8195</v>
      </c>
    </row>
    <row r="3640" spans="1:2">
      <c r="A3640" s="225" t="s">
        <v>8206</v>
      </c>
      <c r="B3640" s="225" t="s">
        <v>8207</v>
      </c>
    </row>
    <row r="3641" spans="1:2">
      <c r="A3641" s="225" t="s">
        <v>8208</v>
      </c>
      <c r="B3641" s="225" t="s">
        <v>8209</v>
      </c>
    </row>
    <row r="3642" spans="1:2">
      <c r="A3642" s="225" t="s">
        <v>8214</v>
      </c>
      <c r="B3642" s="225" t="s">
        <v>8215</v>
      </c>
    </row>
    <row r="3643" spans="1:2">
      <c r="A3643" s="225" t="s">
        <v>8216</v>
      </c>
      <c r="B3643" s="225" t="s">
        <v>8217</v>
      </c>
    </row>
    <row r="3644" spans="1:2">
      <c r="A3644" s="225" t="s">
        <v>8633</v>
      </c>
      <c r="B3644" s="225" t="s">
        <v>4595</v>
      </c>
    </row>
    <row r="3645" spans="1:2">
      <c r="A3645" s="225" t="s">
        <v>8634</v>
      </c>
      <c r="B3645" s="225" t="s">
        <v>8635</v>
      </c>
    </row>
    <row r="3646" spans="1:2">
      <c r="A3646" s="225" t="s">
        <v>8636</v>
      </c>
      <c r="B3646" s="225" t="s">
        <v>4800</v>
      </c>
    </row>
    <row r="3647" spans="1:2">
      <c r="A3647" s="225" t="s">
        <v>8637</v>
      </c>
      <c r="B3647" s="225" t="s">
        <v>8638</v>
      </c>
    </row>
    <row r="3648" spans="1:2">
      <c r="A3648" s="225" t="s">
        <v>745</v>
      </c>
      <c r="B3648" s="225" t="s">
        <v>1617</v>
      </c>
    </row>
    <row r="3649" spans="1:2">
      <c r="A3649" s="225" t="s">
        <v>2104</v>
      </c>
      <c r="B3649" s="225" t="s">
        <v>2105</v>
      </c>
    </row>
    <row r="3650" spans="1:2">
      <c r="A3650" s="225" t="s">
        <v>770</v>
      </c>
      <c r="B3650" s="225" t="s">
        <v>2106</v>
      </c>
    </row>
    <row r="3651" spans="1:2">
      <c r="A3651" s="225" t="s">
        <v>783</v>
      </c>
      <c r="B3651" s="225" t="s">
        <v>2107</v>
      </c>
    </row>
    <row r="3652" spans="1:2">
      <c r="A3652" s="225" t="s">
        <v>2108</v>
      </c>
      <c r="B3652" s="225" t="s">
        <v>1669</v>
      </c>
    </row>
    <row r="3653" spans="1:2">
      <c r="A3653" s="225" t="s">
        <v>781</v>
      </c>
      <c r="B3653" s="225" t="s">
        <v>1675</v>
      </c>
    </row>
    <row r="3654" spans="1:2">
      <c r="A3654" s="225" t="s">
        <v>2109</v>
      </c>
      <c r="B3654" s="225" t="s">
        <v>2110</v>
      </c>
    </row>
    <row r="3655" spans="1:2">
      <c r="A3655" s="225" t="s">
        <v>2111</v>
      </c>
      <c r="B3655" s="225" t="s">
        <v>2112</v>
      </c>
    </row>
    <row r="3656" spans="1:2">
      <c r="A3656" s="225" t="s">
        <v>1006</v>
      </c>
      <c r="B3656" s="225" t="s">
        <v>1633</v>
      </c>
    </row>
    <row r="3657" spans="1:2">
      <c r="A3657" s="225" t="s">
        <v>785</v>
      </c>
      <c r="B3657" s="225" t="s">
        <v>1774</v>
      </c>
    </row>
    <row r="3658" spans="1:2">
      <c r="A3658" s="225" t="s">
        <v>2115</v>
      </c>
      <c r="B3658" s="225" t="s">
        <v>2116</v>
      </c>
    </row>
    <row r="3659" spans="1:2">
      <c r="A3659" s="225" t="s">
        <v>758</v>
      </c>
      <c r="B3659" s="225" t="s">
        <v>1670</v>
      </c>
    </row>
    <row r="3660" spans="1:2">
      <c r="A3660" s="225" t="s">
        <v>773</v>
      </c>
      <c r="B3660" s="225" t="s">
        <v>2199</v>
      </c>
    </row>
    <row r="3661" spans="1:2">
      <c r="A3661" s="225" t="s">
        <v>8639</v>
      </c>
      <c r="B3661" s="225" t="s">
        <v>8640</v>
      </c>
    </row>
    <row r="3662" spans="1:2">
      <c r="A3662" s="225" t="s">
        <v>8641</v>
      </c>
      <c r="B3662" s="225" t="s">
        <v>8642</v>
      </c>
    </row>
    <row r="3663" spans="1:2">
      <c r="A3663" s="225" t="s">
        <v>2201</v>
      </c>
      <c r="B3663" s="225" t="s">
        <v>2202</v>
      </c>
    </row>
    <row r="3664" spans="1:2">
      <c r="A3664" s="225" t="s">
        <v>775</v>
      </c>
      <c r="B3664" s="225" t="s">
        <v>2203</v>
      </c>
    </row>
    <row r="3665" spans="1:2">
      <c r="A3665" s="225" t="s">
        <v>8643</v>
      </c>
      <c r="B3665" s="225" t="s">
        <v>8644</v>
      </c>
    </row>
    <row r="3666" spans="1:2">
      <c r="A3666" s="225" t="s">
        <v>2204</v>
      </c>
      <c r="B3666" s="225" t="s">
        <v>2205</v>
      </c>
    </row>
    <row r="3667" spans="1:2">
      <c r="A3667" s="225" t="s">
        <v>750</v>
      </c>
      <c r="B3667" s="225" t="s">
        <v>2206</v>
      </c>
    </row>
    <row r="3668" spans="1:2">
      <c r="A3668" s="225" t="s">
        <v>8645</v>
      </c>
      <c r="B3668" s="225" t="s">
        <v>8646</v>
      </c>
    </row>
    <row r="3669" spans="1:2">
      <c r="A3669" s="225" t="s">
        <v>8647</v>
      </c>
      <c r="B3669" s="225" t="s">
        <v>8648</v>
      </c>
    </row>
    <row r="3670" spans="1:2">
      <c r="A3670" s="225" t="s">
        <v>788</v>
      </c>
      <c r="B3670" s="225" t="s">
        <v>2207</v>
      </c>
    </row>
    <row r="3671" spans="1:2">
      <c r="A3671" s="225" t="s">
        <v>8649</v>
      </c>
      <c r="B3671" s="225" t="s">
        <v>8650</v>
      </c>
    </row>
    <row r="3672" spans="1:2">
      <c r="A3672" s="225" t="s">
        <v>866</v>
      </c>
      <c r="B3672" s="225" t="s">
        <v>2208</v>
      </c>
    </row>
    <row r="3673" spans="1:2">
      <c r="A3673" s="225" t="s">
        <v>765</v>
      </c>
      <c r="B3673" s="225" t="s">
        <v>2209</v>
      </c>
    </row>
    <row r="3674" spans="1:2">
      <c r="A3674" s="225" t="s">
        <v>8651</v>
      </c>
      <c r="B3674" s="225" t="s">
        <v>8652</v>
      </c>
    </row>
    <row r="3675" spans="1:2">
      <c r="A3675" s="225" t="s">
        <v>2210</v>
      </c>
      <c r="B3675" s="225" t="s">
        <v>2211</v>
      </c>
    </row>
    <row r="3676" spans="1:2">
      <c r="A3676" s="225" t="s">
        <v>2214</v>
      </c>
      <c r="B3676" s="225" t="s">
        <v>2215</v>
      </c>
    </row>
    <row r="3677" spans="1:2">
      <c r="A3677" s="225" t="s">
        <v>2216</v>
      </c>
      <c r="B3677" s="225" t="s">
        <v>2217</v>
      </c>
    </row>
    <row r="3678" spans="1:2">
      <c r="A3678" s="225" t="s">
        <v>2218</v>
      </c>
      <c r="B3678" s="225" t="s">
        <v>2219</v>
      </c>
    </row>
    <row r="3679" spans="1:2">
      <c r="A3679" s="225" t="s">
        <v>759</v>
      </c>
      <c r="B3679" s="225" t="s">
        <v>2220</v>
      </c>
    </row>
    <row r="3680" spans="1:2">
      <c r="A3680" s="225" t="s">
        <v>8653</v>
      </c>
      <c r="B3680" s="225" t="s">
        <v>8654</v>
      </c>
    </row>
    <row r="3681" spans="1:2">
      <c r="A3681" s="225" t="s">
        <v>748</v>
      </c>
      <c r="B3681" s="225" t="s">
        <v>2221</v>
      </c>
    </row>
    <row r="3682" spans="1:2">
      <c r="A3682" s="225" t="s">
        <v>8655</v>
      </c>
      <c r="B3682" s="225" t="s">
        <v>8656</v>
      </c>
    </row>
    <row r="3683" spans="1:2">
      <c r="A3683" s="225" t="s">
        <v>2222</v>
      </c>
      <c r="B3683" s="225" t="s">
        <v>2223</v>
      </c>
    </row>
    <row r="3684" spans="1:2">
      <c r="A3684" s="225" t="s">
        <v>8697</v>
      </c>
      <c r="B3684" s="225" t="s">
        <v>8698</v>
      </c>
    </row>
    <row r="3685" spans="1:2">
      <c r="A3685" s="225" t="s">
        <v>2224</v>
      </c>
      <c r="B3685" s="225" t="s">
        <v>2225</v>
      </c>
    </row>
    <row r="3686" spans="1:2">
      <c r="A3686" s="225" t="s">
        <v>2226</v>
      </c>
      <c r="B3686" s="225" t="s">
        <v>2227</v>
      </c>
    </row>
    <row r="3687" spans="1:2">
      <c r="A3687" s="225" t="s">
        <v>797</v>
      </c>
      <c r="B3687" s="225" t="s">
        <v>2230</v>
      </c>
    </row>
    <row r="3688" spans="1:2">
      <c r="A3688" s="225" t="s">
        <v>8657</v>
      </c>
      <c r="B3688" s="225" t="s">
        <v>8658</v>
      </c>
    </row>
    <row r="3689" spans="1:2">
      <c r="A3689" s="225" t="s">
        <v>8659</v>
      </c>
      <c r="B3689" s="225" t="s">
        <v>8660</v>
      </c>
    </row>
    <row r="3690" spans="1:2">
      <c r="A3690" s="225" t="s">
        <v>1337</v>
      </c>
      <c r="B3690" s="225" t="s">
        <v>2246</v>
      </c>
    </row>
    <row r="3691" spans="1:2">
      <c r="A3691" s="225" t="s">
        <v>2247</v>
      </c>
      <c r="B3691" s="225" t="s">
        <v>2248</v>
      </c>
    </row>
    <row r="3692" spans="1:2">
      <c r="A3692" s="225" t="s">
        <v>2253</v>
      </c>
      <c r="B3692" s="225" t="s">
        <v>2254</v>
      </c>
    </row>
    <row r="3693" spans="1:2">
      <c r="A3693" s="225" t="s">
        <v>2255</v>
      </c>
      <c r="B3693" s="225" t="s">
        <v>2256</v>
      </c>
    </row>
    <row r="3694" spans="1:2">
      <c r="A3694" s="225" t="s">
        <v>1332</v>
      </c>
      <c r="B3694" s="225" t="s">
        <v>2260</v>
      </c>
    </row>
    <row r="3695" spans="1:2">
      <c r="A3695" s="225" t="s">
        <v>1335</v>
      </c>
      <c r="B3695" s="225" t="s">
        <v>2261</v>
      </c>
    </row>
    <row r="3696" spans="1:2">
      <c r="A3696" s="225" t="s">
        <v>8661</v>
      </c>
      <c r="B3696" s="225" t="s">
        <v>8662</v>
      </c>
    </row>
    <row r="3697" spans="1:2">
      <c r="A3697" s="225" t="s">
        <v>8663</v>
      </c>
      <c r="B3697" s="225" t="s">
        <v>8664</v>
      </c>
    </row>
    <row r="3698" spans="1:2">
      <c r="A3698" s="225" t="s">
        <v>8665</v>
      </c>
      <c r="B3698" s="225" t="s">
        <v>8666</v>
      </c>
    </row>
    <row r="3699" spans="1:2">
      <c r="A3699" s="225" t="s">
        <v>8667</v>
      </c>
      <c r="B3699" s="225" t="s">
        <v>8668</v>
      </c>
    </row>
    <row r="3700" spans="1:2">
      <c r="A3700" s="225" t="s">
        <v>8669</v>
      </c>
      <c r="B3700" s="225" t="s">
        <v>8670</v>
      </c>
    </row>
    <row r="3701" spans="1:2">
      <c r="A3701" s="225" t="s">
        <v>8671</v>
      </c>
      <c r="B3701" s="225" t="s">
        <v>8672</v>
      </c>
    </row>
    <row r="3702" spans="1:2">
      <c r="A3702" s="225" t="s">
        <v>8673</v>
      </c>
      <c r="B3702" s="225" t="s">
        <v>8674</v>
      </c>
    </row>
    <row r="3703" spans="1:2">
      <c r="A3703" s="225" t="s">
        <v>8675</v>
      </c>
      <c r="B3703" s="225" t="s">
        <v>8676</v>
      </c>
    </row>
    <row r="3704" spans="1:2">
      <c r="A3704" s="225" t="s">
        <v>8677</v>
      </c>
      <c r="B3704" s="225" t="s">
        <v>8678</v>
      </c>
    </row>
    <row r="3705" spans="1:2">
      <c r="A3705" s="225" t="s">
        <v>8679</v>
      </c>
      <c r="B3705" s="225" t="s">
        <v>8680</v>
      </c>
    </row>
    <row r="3706" spans="1:2">
      <c r="A3706" s="225" t="s">
        <v>8681</v>
      </c>
      <c r="B3706" s="225" t="s">
        <v>8682</v>
      </c>
    </row>
    <row r="3707" spans="1:2">
      <c r="A3707" s="225" t="s">
        <v>8683</v>
      </c>
      <c r="B3707" s="225" t="s">
        <v>8684</v>
      </c>
    </row>
    <row r="3708" spans="1:2">
      <c r="A3708" s="225" t="s">
        <v>8685</v>
      </c>
      <c r="B3708" s="225" t="s">
        <v>8686</v>
      </c>
    </row>
    <row r="3709" spans="1:2">
      <c r="A3709" s="225" t="s">
        <v>8687</v>
      </c>
      <c r="B3709" s="225" t="s">
        <v>8688</v>
      </c>
    </row>
    <row r="3710" spans="1:2">
      <c r="A3710" s="225" t="s">
        <v>8689</v>
      </c>
      <c r="B3710" s="225" t="s">
        <v>8690</v>
      </c>
    </row>
    <row r="3711" spans="1:2">
      <c r="A3711" s="225" t="s">
        <v>8691</v>
      </c>
      <c r="B3711" s="225" t="s">
        <v>8692</v>
      </c>
    </row>
    <row r="3712" spans="1:2">
      <c r="A3712" s="225" t="s">
        <v>8693</v>
      </c>
      <c r="B3712" s="225" t="s">
        <v>8694</v>
      </c>
    </row>
    <row r="3713" spans="1:2">
      <c r="A3713" s="225" t="s">
        <v>8695</v>
      </c>
      <c r="B3713" s="225" t="s">
        <v>8696</v>
      </c>
    </row>
    <row r="3714" spans="1:2">
      <c r="A3714" s="225" t="s">
        <v>8705</v>
      </c>
      <c r="B3714" s="225" t="s">
        <v>8706</v>
      </c>
    </row>
    <row r="3715" spans="1:2">
      <c r="A3715" s="225" t="s">
        <v>8707</v>
      </c>
      <c r="B3715" s="225" t="s">
        <v>8708</v>
      </c>
    </row>
    <row r="3716" spans="1:2">
      <c r="A3716" s="225" t="s">
        <v>8709</v>
      </c>
      <c r="B3716" s="225" t="s">
        <v>8710</v>
      </c>
    </row>
    <row r="3717" spans="1:2">
      <c r="A3717" s="225" t="s">
        <v>8711</v>
      </c>
      <c r="B3717" s="225" t="s">
        <v>8712</v>
      </c>
    </row>
    <row r="3718" spans="1:2">
      <c r="A3718" s="225" t="s">
        <v>8713</v>
      </c>
      <c r="B3718" s="225" t="s">
        <v>8714</v>
      </c>
    </row>
    <row r="3719" spans="1:2">
      <c r="A3719" s="225" t="s">
        <v>8715</v>
      </c>
      <c r="B3719" s="225" t="s">
        <v>8716</v>
      </c>
    </row>
    <row r="3720" spans="1:2">
      <c r="A3720" s="225" t="s">
        <v>8717</v>
      </c>
      <c r="B3720" s="225" t="s">
        <v>8718</v>
      </c>
    </row>
    <row r="3721" spans="1:2">
      <c r="A3721" s="225" t="s">
        <v>8719</v>
      </c>
      <c r="B3721" s="225" t="s">
        <v>8720</v>
      </c>
    </row>
    <row r="3722" spans="1:2">
      <c r="A3722" s="225" t="s">
        <v>8721</v>
      </c>
      <c r="B3722" s="225" t="s">
        <v>8722</v>
      </c>
    </row>
    <row r="3723" spans="1:2">
      <c r="A3723" s="225" t="s">
        <v>8723</v>
      </c>
      <c r="B3723" s="225" t="s">
        <v>8724</v>
      </c>
    </row>
    <row r="3724" spans="1:2">
      <c r="A3724" s="225" t="s">
        <v>8725</v>
      </c>
      <c r="B3724" s="225" t="s">
        <v>8660</v>
      </c>
    </row>
    <row r="3725" spans="1:2">
      <c r="A3725" s="225" t="s">
        <v>8699</v>
      </c>
      <c r="B3725" s="225" t="s">
        <v>8700</v>
      </c>
    </row>
    <row r="3726" spans="1:2">
      <c r="A3726" s="225" t="s">
        <v>8701</v>
      </c>
      <c r="B3726" s="225" t="s">
        <v>8702</v>
      </c>
    </row>
    <row r="3727" spans="1:2">
      <c r="A3727" s="225" t="s">
        <v>8726</v>
      </c>
      <c r="B3727" s="225" t="s">
        <v>8727</v>
      </c>
    </row>
    <row r="3728" spans="1:2">
      <c r="A3728" s="225" t="s">
        <v>8728</v>
      </c>
      <c r="B3728" s="225" t="s">
        <v>8729</v>
      </c>
    </row>
    <row r="3729" spans="1:2">
      <c r="A3729" s="225" t="s">
        <v>8730</v>
      </c>
      <c r="B3729" s="225" t="s">
        <v>8731</v>
      </c>
    </row>
    <row r="3730" spans="1:2">
      <c r="A3730" s="225" t="s">
        <v>8703</v>
      </c>
      <c r="B3730" s="225" t="s">
        <v>8704</v>
      </c>
    </row>
    <row r="3731" spans="1:2">
      <c r="A3731" s="225" t="s">
        <v>8732</v>
      </c>
      <c r="B3731" s="225" t="s">
        <v>8733</v>
      </c>
    </row>
    <row r="3732" spans="1:2">
      <c r="A3732" s="225" t="s">
        <v>8734</v>
      </c>
      <c r="B3732" s="225" t="s">
        <v>8680</v>
      </c>
    </row>
    <row r="3733" spans="1:2">
      <c r="A3733" s="225" t="s">
        <v>8735</v>
      </c>
      <c r="B3733" s="225" t="s">
        <v>8658</v>
      </c>
    </row>
    <row r="3734" spans="1:2">
      <c r="A3734" s="225" t="s">
        <v>8736</v>
      </c>
      <c r="B3734" s="225" t="s">
        <v>8737</v>
      </c>
    </row>
    <row r="3735" spans="1:2">
      <c r="A3735" s="225" t="s">
        <v>8738</v>
      </c>
      <c r="B3735" s="225" t="s">
        <v>3691</v>
      </c>
    </row>
    <row r="3736" spans="1:2">
      <c r="A3736" s="225" t="s">
        <v>8739</v>
      </c>
      <c r="B3736" s="225" t="s">
        <v>8740</v>
      </c>
    </row>
    <row r="3737" spans="1:2">
      <c r="A3737" s="225" t="s">
        <v>8741</v>
      </c>
      <c r="B3737" s="225" t="s">
        <v>8692</v>
      </c>
    </row>
    <row r="3738" spans="1:2">
      <c r="A3738" s="225" t="s">
        <v>8742</v>
      </c>
      <c r="B3738" s="225" t="s">
        <v>8743</v>
      </c>
    </row>
    <row r="3739" spans="1:2">
      <c r="A3739" s="225" t="s">
        <v>8744</v>
      </c>
      <c r="B3739" s="225" t="s">
        <v>8745</v>
      </c>
    </row>
    <row r="3740" spans="1:2">
      <c r="A3740" s="225" t="s">
        <v>8746</v>
      </c>
      <c r="B3740" s="225" t="s">
        <v>8747</v>
      </c>
    </row>
    <row r="3741" spans="1:2">
      <c r="A3741" s="225" t="s">
        <v>8748</v>
      </c>
      <c r="B3741" s="225" t="s">
        <v>8749</v>
      </c>
    </row>
    <row r="3742" spans="1:2">
      <c r="A3742" s="225" t="s">
        <v>8750</v>
      </c>
      <c r="B3742" s="225" t="s">
        <v>8751</v>
      </c>
    </row>
    <row r="3743" spans="1:2">
      <c r="A3743" s="225" t="s">
        <v>8752</v>
      </c>
      <c r="B3743" s="225" t="s">
        <v>8753</v>
      </c>
    </row>
    <row r="3744" spans="1:2">
      <c r="A3744" s="225" t="s">
        <v>8754</v>
      </c>
      <c r="B3744" s="225" t="s">
        <v>8755</v>
      </c>
    </row>
    <row r="3745" spans="1:2">
      <c r="A3745" s="225" t="s">
        <v>8756</v>
      </c>
      <c r="B3745" s="225" t="s">
        <v>8757</v>
      </c>
    </row>
    <row r="3746" spans="1:2">
      <c r="A3746" s="225" t="s">
        <v>8758</v>
      </c>
      <c r="B3746" s="225" t="s">
        <v>8759</v>
      </c>
    </row>
    <row r="3747" spans="1:2">
      <c r="A3747" s="225" t="s">
        <v>8760</v>
      </c>
      <c r="B3747" s="225" t="s">
        <v>8761</v>
      </c>
    </row>
    <row r="3748" spans="1:2">
      <c r="A3748" s="225" t="s">
        <v>8762</v>
      </c>
      <c r="B3748" s="225" t="s">
        <v>8763</v>
      </c>
    </row>
    <row r="3749" spans="1:2">
      <c r="A3749" s="225" t="s">
        <v>8764</v>
      </c>
      <c r="B3749" s="225" t="s">
        <v>8765</v>
      </c>
    </row>
    <row r="3750" spans="1:2">
      <c r="A3750" s="225" t="s">
        <v>8766</v>
      </c>
      <c r="B3750" s="225" t="s">
        <v>8767</v>
      </c>
    </row>
    <row r="3751" spans="1:2">
      <c r="A3751" s="225" t="s">
        <v>8768</v>
      </c>
      <c r="B3751" s="225" t="s">
        <v>8769</v>
      </c>
    </row>
    <row r="3752" spans="1:2">
      <c r="A3752" s="225" t="s">
        <v>8770</v>
      </c>
      <c r="B3752" s="225" t="s">
        <v>8771</v>
      </c>
    </row>
    <row r="3753" spans="1:2">
      <c r="A3753" s="225" t="s">
        <v>8772</v>
      </c>
      <c r="B3753" s="225" t="s">
        <v>8773</v>
      </c>
    </row>
    <row r="3754" spans="1:2">
      <c r="A3754" s="225" t="s">
        <v>8774</v>
      </c>
      <c r="B3754" s="225" t="s">
        <v>8775</v>
      </c>
    </row>
    <row r="3755" spans="1:2">
      <c r="A3755" s="225" t="s">
        <v>8776</v>
      </c>
      <c r="B3755" s="225" t="s">
        <v>8777</v>
      </c>
    </row>
    <row r="3756" spans="1:2">
      <c r="A3756" s="225" t="s">
        <v>8778</v>
      </c>
      <c r="B3756" s="225" t="s">
        <v>8779</v>
      </c>
    </row>
    <row r="3757" spans="1:2">
      <c r="A3757" s="225" t="s">
        <v>8780</v>
      </c>
      <c r="B3757" s="225" t="s">
        <v>8781</v>
      </c>
    </row>
    <row r="3758" spans="1:2">
      <c r="A3758" s="225" t="s">
        <v>8782</v>
      </c>
      <c r="B3758" s="225" t="s">
        <v>8783</v>
      </c>
    </row>
    <row r="3759" spans="1:2">
      <c r="A3759" s="225" t="s">
        <v>8784</v>
      </c>
      <c r="B3759" s="225" t="s">
        <v>8785</v>
      </c>
    </row>
    <row r="3760" spans="1:2">
      <c r="A3760" s="225" t="s">
        <v>8786</v>
      </c>
      <c r="B3760" s="225" t="s">
        <v>8787</v>
      </c>
    </row>
    <row r="3761" spans="1:2">
      <c r="A3761" s="225" t="s">
        <v>8788</v>
      </c>
      <c r="B3761" s="225" t="s">
        <v>8789</v>
      </c>
    </row>
    <row r="3762" spans="1:2">
      <c r="A3762" s="225" t="s">
        <v>8790</v>
      </c>
      <c r="B3762" s="225" t="s">
        <v>8791</v>
      </c>
    </row>
    <row r="3763" spans="1:2">
      <c r="A3763" s="225" t="s">
        <v>8792</v>
      </c>
      <c r="B3763" s="225" t="s">
        <v>8793</v>
      </c>
    </row>
    <row r="3764" spans="1:2">
      <c r="A3764" s="225" t="s">
        <v>8794</v>
      </c>
      <c r="B3764" s="225" t="s">
        <v>8795</v>
      </c>
    </row>
    <row r="3765" spans="1:2">
      <c r="A3765" s="225" t="s">
        <v>8796</v>
      </c>
      <c r="B3765" s="225" t="s">
        <v>8797</v>
      </c>
    </row>
    <row r="3766" spans="1:2">
      <c r="A3766" s="225" t="s">
        <v>8818</v>
      </c>
      <c r="B3766" s="225" t="s">
        <v>8819</v>
      </c>
    </row>
    <row r="3767" spans="1:2">
      <c r="A3767" s="225" t="s">
        <v>8798</v>
      </c>
      <c r="B3767" s="225" t="s">
        <v>8799</v>
      </c>
    </row>
    <row r="3768" spans="1:2">
      <c r="A3768" s="225" t="s">
        <v>8800</v>
      </c>
      <c r="B3768" s="225" t="s">
        <v>8801</v>
      </c>
    </row>
    <row r="3769" spans="1:2">
      <c r="A3769" s="225" t="s">
        <v>8802</v>
      </c>
      <c r="B3769" s="225" t="s">
        <v>8803</v>
      </c>
    </row>
    <row r="3770" spans="1:2">
      <c r="A3770" s="225" t="s">
        <v>8804</v>
      </c>
      <c r="B3770" s="225" t="s">
        <v>8805</v>
      </c>
    </row>
    <row r="3771" spans="1:2">
      <c r="A3771" s="225" t="s">
        <v>8806</v>
      </c>
      <c r="B3771" s="225" t="s">
        <v>8807</v>
      </c>
    </row>
    <row r="3772" spans="1:2">
      <c r="A3772" s="225" t="s">
        <v>8808</v>
      </c>
      <c r="B3772" s="225" t="s">
        <v>8809</v>
      </c>
    </row>
    <row r="3773" spans="1:2">
      <c r="A3773" s="225" t="s">
        <v>8810</v>
      </c>
      <c r="B3773" s="225" t="s">
        <v>8811</v>
      </c>
    </row>
    <row r="3774" spans="1:2">
      <c r="A3774" s="225" t="s">
        <v>8812</v>
      </c>
      <c r="B3774" s="225" t="s">
        <v>8813</v>
      </c>
    </row>
    <row r="3775" spans="1:2">
      <c r="A3775" s="225" t="s">
        <v>8814</v>
      </c>
      <c r="B3775" s="225" t="s">
        <v>8815</v>
      </c>
    </row>
    <row r="3776" spans="1:2">
      <c r="A3776" s="225" t="s">
        <v>8816</v>
      </c>
      <c r="B3776" s="225" t="s">
        <v>8817</v>
      </c>
    </row>
    <row r="3777" spans="1:2">
      <c r="A3777" s="225" t="s">
        <v>8536</v>
      </c>
      <c r="B3777" s="225" t="s">
        <v>1789</v>
      </c>
    </row>
    <row r="3778" spans="1:2">
      <c r="A3778" s="225" t="s">
        <v>7018</v>
      </c>
      <c r="B3778" s="225" t="s">
        <v>7019</v>
      </c>
    </row>
    <row r="3779" spans="1:2">
      <c r="A3779" s="225" t="s">
        <v>7020</v>
      </c>
      <c r="B3779" s="225" t="s">
        <v>7021</v>
      </c>
    </row>
    <row r="3780" spans="1:2">
      <c r="A3780" s="225" t="s">
        <v>7022</v>
      </c>
      <c r="B3780" s="225" t="s">
        <v>7023</v>
      </c>
    </row>
    <row r="3781" spans="1:2">
      <c r="A3781" s="225" t="s">
        <v>7024</v>
      </c>
      <c r="B3781" s="225" t="s">
        <v>7025</v>
      </c>
    </row>
    <row r="3782" spans="1:2">
      <c r="A3782" s="225" t="s">
        <v>7026</v>
      </c>
      <c r="B3782" s="225" t="s">
        <v>7027</v>
      </c>
    </row>
    <row r="3783" spans="1:2">
      <c r="A3783" s="225" t="s">
        <v>7028</v>
      </c>
      <c r="B3783" s="225" t="s">
        <v>7029</v>
      </c>
    </row>
    <row r="3784" spans="1:2">
      <c r="A3784" s="225" t="s">
        <v>7030</v>
      </c>
      <c r="B3784" s="225" t="s">
        <v>7031</v>
      </c>
    </row>
    <row r="3785" spans="1:2">
      <c r="A3785" s="225" t="s">
        <v>7032</v>
      </c>
      <c r="B3785" s="225" t="s">
        <v>7033</v>
      </c>
    </row>
    <row r="3786" spans="1:2">
      <c r="A3786" s="225" t="s">
        <v>8022</v>
      </c>
      <c r="B3786" s="225" t="s">
        <v>8023</v>
      </c>
    </row>
    <row r="3787" spans="1:2">
      <c r="A3787" s="225" t="s">
        <v>8820</v>
      </c>
      <c r="B3787" s="225" t="s">
        <v>8821</v>
      </c>
    </row>
    <row r="3788" spans="1:2">
      <c r="A3788" s="225" t="s">
        <v>8822</v>
      </c>
      <c r="B3788" s="225" t="s">
        <v>8823</v>
      </c>
    </row>
    <row r="3789" spans="1:2">
      <c r="A3789" s="225" t="s">
        <v>8824</v>
      </c>
      <c r="B3789" s="225" t="s">
        <v>8825</v>
      </c>
    </row>
    <row r="3790" spans="1:2">
      <c r="A3790" s="225" t="s">
        <v>8826</v>
      </c>
      <c r="B3790" s="225" t="s">
        <v>8827</v>
      </c>
    </row>
    <row r="3791" spans="1:2">
      <c r="A3791" s="225" t="s">
        <v>8828</v>
      </c>
      <c r="B3791" s="225" t="s">
        <v>8829</v>
      </c>
    </row>
    <row r="3792" spans="1:2">
      <c r="A3792" s="225" t="s">
        <v>8830</v>
      </c>
      <c r="B3792" s="225" t="s">
        <v>8831</v>
      </c>
    </row>
    <row r="3793" spans="1:2">
      <c r="A3793" s="225" t="s">
        <v>8832</v>
      </c>
      <c r="B3793" s="225" t="s">
        <v>8833</v>
      </c>
    </row>
    <row r="3794" spans="1:2">
      <c r="A3794" s="225" t="s">
        <v>8834</v>
      </c>
      <c r="B3794" s="225" t="s">
        <v>8835</v>
      </c>
    </row>
    <row r="3795" spans="1:2">
      <c r="A3795" s="225" t="s">
        <v>8836</v>
      </c>
      <c r="B3795" s="225" t="s">
        <v>8837</v>
      </c>
    </row>
    <row r="3796" spans="1:2">
      <c r="A3796" s="225" t="s">
        <v>8838</v>
      </c>
      <c r="B3796" s="225" t="s">
        <v>8839</v>
      </c>
    </row>
    <row r="3797" spans="1:2">
      <c r="A3797" s="225" t="s">
        <v>8840</v>
      </c>
      <c r="B3797" s="225" t="s">
        <v>8841</v>
      </c>
    </row>
    <row r="3798" spans="1:2">
      <c r="A3798" s="225" t="s">
        <v>8842</v>
      </c>
      <c r="B3798" s="225" t="s">
        <v>8843</v>
      </c>
    </row>
    <row r="3799" spans="1:2">
      <c r="A3799" s="225" t="s">
        <v>7967</v>
      </c>
      <c r="B3799" s="225" t="s">
        <v>7968</v>
      </c>
    </row>
    <row r="3800" spans="1:2">
      <c r="A3800" s="225" t="s">
        <v>8000</v>
      </c>
      <c r="B3800" s="225" t="s">
        <v>8001</v>
      </c>
    </row>
    <row r="3801" spans="1:2">
      <c r="A3801" s="225" t="s">
        <v>8002</v>
      </c>
      <c r="B3801" s="225" t="s">
        <v>8003</v>
      </c>
    </row>
    <row r="3802" spans="1:2">
      <c r="A3802" s="225" t="s">
        <v>7046</v>
      </c>
      <c r="B3802" s="225" t="s">
        <v>7047</v>
      </c>
    </row>
    <row r="3803" spans="1:2">
      <c r="A3803" s="225" t="s">
        <v>7048</v>
      </c>
      <c r="B3803" s="225" t="s">
        <v>7049</v>
      </c>
    </row>
    <row r="3804" spans="1:2">
      <c r="A3804" s="225" t="s">
        <v>7050</v>
      </c>
      <c r="B3804" s="225" t="s">
        <v>7051</v>
      </c>
    </row>
    <row r="3805" spans="1:2">
      <c r="A3805" s="225" t="s">
        <v>7052</v>
      </c>
      <c r="B3805" s="225" t="s">
        <v>7053</v>
      </c>
    </row>
    <row r="3806" spans="1:2">
      <c r="A3806" s="225" t="s">
        <v>7056</v>
      </c>
      <c r="B3806" s="225" t="s">
        <v>7057</v>
      </c>
    </row>
    <row r="3807" spans="1:2">
      <c r="A3807" s="225" t="s">
        <v>7070</v>
      </c>
      <c r="B3807" s="225" t="s">
        <v>7071</v>
      </c>
    </row>
    <row r="3808" spans="1:2">
      <c r="A3808" s="225" t="s">
        <v>7072</v>
      </c>
      <c r="B3808" s="225" t="s">
        <v>7073</v>
      </c>
    </row>
    <row r="3809" spans="1:2">
      <c r="A3809" s="225" t="s">
        <v>7066</v>
      </c>
      <c r="B3809" s="225" t="s">
        <v>7067</v>
      </c>
    </row>
    <row r="3810" spans="1:2">
      <c r="A3810" s="225" t="s">
        <v>7074</v>
      </c>
      <c r="B3810" s="225" t="s">
        <v>7075</v>
      </c>
    </row>
    <row r="3811" spans="1:2">
      <c r="A3811" s="225" t="s">
        <v>7076</v>
      </c>
      <c r="B3811" s="225" t="s">
        <v>7077</v>
      </c>
    </row>
    <row r="3812" spans="1:2">
      <c r="A3812" s="225" t="s">
        <v>7082</v>
      </c>
      <c r="B3812" s="225" t="s">
        <v>7083</v>
      </c>
    </row>
    <row r="3813" spans="1:2">
      <c r="A3813" s="225" t="s">
        <v>6935</v>
      </c>
      <c r="B3813" s="225" t="s">
        <v>6936</v>
      </c>
    </row>
    <row r="3814" spans="1:2">
      <c r="A3814" s="225" t="s">
        <v>6937</v>
      </c>
      <c r="B3814" s="225" t="s">
        <v>6938</v>
      </c>
    </row>
    <row r="3815" spans="1:2">
      <c r="A3815" s="225" t="s">
        <v>6939</v>
      </c>
      <c r="B3815" s="225" t="s">
        <v>6940</v>
      </c>
    </row>
    <row r="3816" spans="1:2">
      <c r="A3816" s="225" t="s">
        <v>6941</v>
      </c>
      <c r="B3816" s="225" t="s">
        <v>6942</v>
      </c>
    </row>
    <row r="3817" spans="1:2">
      <c r="A3817" s="225" t="s">
        <v>6943</v>
      </c>
      <c r="B3817" s="225" t="s">
        <v>6944</v>
      </c>
    </row>
    <row r="3818" spans="1:2">
      <c r="A3818" s="225" t="s">
        <v>6945</v>
      </c>
      <c r="B3818" s="225" t="s">
        <v>6946</v>
      </c>
    </row>
    <row r="3819" spans="1:2">
      <c r="A3819" s="225" t="s">
        <v>6947</v>
      </c>
      <c r="B3819" s="225" t="s">
        <v>6948</v>
      </c>
    </row>
    <row r="3820" spans="1:2">
      <c r="A3820" s="225" t="s">
        <v>6949</v>
      </c>
      <c r="B3820" s="225" t="s">
        <v>6950</v>
      </c>
    </row>
    <row r="3821" spans="1:2">
      <c r="A3821" s="225" t="s">
        <v>6951</v>
      </c>
      <c r="B3821" s="225" t="s">
        <v>6952</v>
      </c>
    </row>
    <row r="3822" spans="1:2">
      <c r="A3822" s="225" t="s">
        <v>6953</v>
      </c>
      <c r="B3822" s="225" t="s">
        <v>6954</v>
      </c>
    </row>
    <row r="3823" spans="1:2">
      <c r="A3823" s="225" t="s">
        <v>6955</v>
      </c>
      <c r="B3823" s="225" t="s">
        <v>6956</v>
      </c>
    </row>
    <row r="3824" spans="1:2">
      <c r="A3824" s="225" t="s">
        <v>6957</v>
      </c>
      <c r="B3824" s="225" t="s">
        <v>6958</v>
      </c>
    </row>
    <row r="3825" spans="1:2">
      <c r="A3825" s="225" t="s">
        <v>6959</v>
      </c>
      <c r="B3825" s="225" t="s">
        <v>6960</v>
      </c>
    </row>
    <row r="3826" spans="1:2">
      <c r="A3826" s="225" t="s">
        <v>6961</v>
      </c>
      <c r="B3826" s="225" t="s">
        <v>6962</v>
      </c>
    </row>
    <row r="3827" spans="1:2">
      <c r="A3827" s="225" t="s">
        <v>6963</v>
      </c>
      <c r="B3827" s="225" t="s">
        <v>6964</v>
      </c>
    </row>
    <row r="3828" spans="1:2">
      <c r="A3828" s="225" t="s">
        <v>6965</v>
      </c>
      <c r="B3828" s="225" t="s">
        <v>6966</v>
      </c>
    </row>
    <row r="3829" spans="1:2">
      <c r="A3829" s="225" t="s">
        <v>6967</v>
      </c>
      <c r="B3829" s="225" t="s">
        <v>6968</v>
      </c>
    </row>
    <row r="3830" spans="1:2">
      <c r="A3830" s="225" t="s">
        <v>8014</v>
      </c>
      <c r="B3830" s="225" t="s">
        <v>8015</v>
      </c>
    </row>
    <row r="3831" spans="1:2">
      <c r="A3831" s="225" t="s">
        <v>8016</v>
      </c>
      <c r="B3831" s="225" t="s">
        <v>8017</v>
      </c>
    </row>
    <row r="3832" spans="1:2">
      <c r="A3832" s="225" t="s">
        <v>8018</v>
      </c>
      <c r="B3832" s="225" t="s">
        <v>8019</v>
      </c>
    </row>
    <row r="3833" spans="1:2">
      <c r="A3833" s="225" t="s">
        <v>8020</v>
      </c>
      <c r="B3833" s="225" t="s">
        <v>8021</v>
      </c>
    </row>
    <row r="3834" spans="1:2">
      <c r="A3834" s="225" t="s">
        <v>7975</v>
      </c>
      <c r="B3834" s="225" t="s">
        <v>7976</v>
      </c>
    </row>
    <row r="3835" spans="1:2">
      <c r="A3835" s="225" t="s">
        <v>7977</v>
      </c>
      <c r="B3835" s="225" t="s">
        <v>7978</v>
      </c>
    </row>
    <row r="3836" spans="1:2">
      <c r="A3836" s="225" t="s">
        <v>7979</v>
      </c>
      <c r="B3836" s="225" t="s">
        <v>7980</v>
      </c>
    </row>
    <row r="3837" spans="1:2">
      <c r="A3837" s="225" t="s">
        <v>1427</v>
      </c>
      <c r="B3837" s="225" t="s">
        <v>7981</v>
      </c>
    </row>
    <row r="3838" spans="1:2">
      <c r="A3838" s="225" t="s">
        <v>7982</v>
      </c>
      <c r="B3838" s="225" t="s">
        <v>7983</v>
      </c>
    </row>
    <row r="3839" spans="1:2">
      <c r="A3839" s="225" t="s">
        <v>7984</v>
      </c>
      <c r="B3839" s="225" t="s">
        <v>7985</v>
      </c>
    </row>
    <row r="3840" spans="1:2">
      <c r="A3840" s="225" t="s">
        <v>8898</v>
      </c>
      <c r="B3840" s="225" t="s">
        <v>8899</v>
      </c>
    </row>
    <row r="3841" spans="1:2">
      <c r="A3841" s="225" t="s">
        <v>8844</v>
      </c>
      <c r="B3841" s="225" t="s">
        <v>8845</v>
      </c>
    </row>
    <row r="3842" spans="1:2">
      <c r="A3842" s="225" t="s">
        <v>8846</v>
      </c>
      <c r="B3842" s="225" t="s">
        <v>8847</v>
      </c>
    </row>
    <row r="3843" spans="1:2">
      <c r="A3843" s="225" t="s">
        <v>8848</v>
      </c>
      <c r="B3843" s="225" t="s">
        <v>8849</v>
      </c>
    </row>
    <row r="3844" spans="1:2">
      <c r="A3844" s="225" t="s">
        <v>8850</v>
      </c>
      <c r="B3844" s="225" t="s">
        <v>8851</v>
      </c>
    </row>
    <row r="3845" spans="1:2">
      <c r="A3845" s="225" t="s">
        <v>8852</v>
      </c>
      <c r="B3845" s="225" t="s">
        <v>8853</v>
      </c>
    </row>
    <row r="3846" spans="1:2">
      <c r="A3846" s="225" t="s">
        <v>8854</v>
      </c>
      <c r="B3846" s="225" t="s">
        <v>8855</v>
      </c>
    </row>
    <row r="3847" spans="1:2">
      <c r="A3847" s="225" t="s">
        <v>8856</v>
      </c>
      <c r="B3847" s="225" t="s">
        <v>8857</v>
      </c>
    </row>
    <row r="3848" spans="1:2">
      <c r="A3848" s="225" t="s">
        <v>8858</v>
      </c>
      <c r="B3848" s="225" t="s">
        <v>8859</v>
      </c>
    </row>
    <row r="3849" spans="1:2">
      <c r="A3849" s="225" t="s">
        <v>8860</v>
      </c>
      <c r="B3849" s="225" t="s">
        <v>8861</v>
      </c>
    </row>
    <row r="3850" spans="1:2">
      <c r="A3850" s="225" t="s">
        <v>8862</v>
      </c>
      <c r="B3850" s="225" t="s">
        <v>8863</v>
      </c>
    </row>
    <row r="3851" spans="1:2">
      <c r="A3851" s="225" t="s">
        <v>8864</v>
      </c>
      <c r="B3851" s="225" t="s">
        <v>8865</v>
      </c>
    </row>
    <row r="3852" spans="1:2">
      <c r="A3852" s="225" t="s">
        <v>8866</v>
      </c>
      <c r="B3852" s="225" t="s">
        <v>8867</v>
      </c>
    </row>
    <row r="3853" spans="1:2">
      <c r="A3853" s="225" t="s">
        <v>8868</v>
      </c>
      <c r="B3853" s="225" t="s">
        <v>8869</v>
      </c>
    </row>
    <row r="3854" spans="1:2">
      <c r="A3854" s="225" t="s">
        <v>8870</v>
      </c>
      <c r="B3854" s="225" t="s">
        <v>8871</v>
      </c>
    </row>
    <row r="3855" spans="1:2">
      <c r="A3855" s="225" t="s">
        <v>8872</v>
      </c>
      <c r="B3855" s="225" t="s">
        <v>8873</v>
      </c>
    </row>
    <row r="3856" spans="1:2">
      <c r="A3856" s="225" t="s">
        <v>8874</v>
      </c>
      <c r="B3856" s="225" t="s">
        <v>8875</v>
      </c>
    </row>
    <row r="3857" spans="1:2">
      <c r="A3857" s="225" t="s">
        <v>8876</v>
      </c>
      <c r="B3857" s="225" t="s">
        <v>8877</v>
      </c>
    </row>
    <row r="3858" spans="1:2">
      <c r="A3858" s="225" t="s">
        <v>8878</v>
      </c>
      <c r="B3858" s="225" t="s">
        <v>8879</v>
      </c>
    </row>
    <row r="3859" spans="1:2">
      <c r="A3859" s="225" t="s">
        <v>8880</v>
      </c>
      <c r="B3859" s="225" t="s">
        <v>8881</v>
      </c>
    </row>
    <row r="3860" spans="1:2">
      <c r="A3860" s="225" t="s">
        <v>8882</v>
      </c>
      <c r="B3860" s="225" t="s">
        <v>8883</v>
      </c>
    </row>
    <row r="3861" spans="1:2">
      <c r="A3861" s="225" t="s">
        <v>8884</v>
      </c>
      <c r="B3861" s="225" t="s">
        <v>8885</v>
      </c>
    </row>
    <row r="3862" spans="1:2">
      <c r="A3862" s="225" t="s">
        <v>8886</v>
      </c>
      <c r="B3862" s="225" t="s">
        <v>8887</v>
      </c>
    </row>
    <row r="3863" spans="1:2">
      <c r="A3863" s="225" t="s">
        <v>8888</v>
      </c>
      <c r="B3863" s="225" t="s">
        <v>8889</v>
      </c>
    </row>
    <row r="3864" spans="1:2">
      <c r="A3864" s="225" t="s">
        <v>8890</v>
      </c>
      <c r="B3864" s="225" t="s">
        <v>8891</v>
      </c>
    </row>
    <row r="3865" spans="1:2">
      <c r="A3865" s="225" t="s">
        <v>8892</v>
      </c>
      <c r="B3865" s="225" t="s">
        <v>8893</v>
      </c>
    </row>
    <row r="3866" spans="1:2">
      <c r="A3866" s="225" t="s">
        <v>8894</v>
      </c>
      <c r="B3866" s="225" t="s">
        <v>8895</v>
      </c>
    </row>
    <row r="3867" spans="1:2">
      <c r="A3867" s="225" t="s">
        <v>8896</v>
      </c>
      <c r="B3867" s="225" t="s">
        <v>8897</v>
      </c>
    </row>
    <row r="3868" spans="1:2">
      <c r="A3868" s="225" t="s">
        <v>6907</v>
      </c>
      <c r="B3868" s="225" t="s">
        <v>6908</v>
      </c>
    </row>
    <row r="3869" spans="1:2">
      <c r="A3869" s="225" t="s">
        <v>6909</v>
      </c>
      <c r="B3869" s="225" t="s">
        <v>6910</v>
      </c>
    </row>
    <row r="3870" spans="1:2">
      <c r="A3870" s="225" t="s">
        <v>6917</v>
      </c>
      <c r="B3870" s="225" t="s">
        <v>6918</v>
      </c>
    </row>
    <row r="3871" spans="1:2">
      <c r="A3871" s="225" t="s">
        <v>6919</v>
      </c>
      <c r="B3871" s="225" t="s">
        <v>6920</v>
      </c>
    </row>
    <row r="3872" spans="1:2">
      <c r="A3872" s="225" t="s">
        <v>6921</v>
      </c>
      <c r="B3872" s="225" t="s">
        <v>6922</v>
      </c>
    </row>
    <row r="3873" spans="1:2">
      <c r="A3873" s="225" t="s">
        <v>6925</v>
      </c>
      <c r="B3873" s="225" t="s">
        <v>6926</v>
      </c>
    </row>
    <row r="3874" spans="1:2">
      <c r="A3874" s="225" t="s">
        <v>8900</v>
      </c>
      <c r="B3874" s="225" t="s">
        <v>8747</v>
      </c>
    </row>
    <row r="3875" spans="1:2">
      <c r="A3875" s="225" t="s">
        <v>8901</v>
      </c>
      <c r="B3875" s="225" t="s">
        <v>8755</v>
      </c>
    </row>
    <row r="3876" spans="1:2">
      <c r="A3876" s="225" t="s">
        <v>8902</v>
      </c>
      <c r="B3876" s="225" t="s">
        <v>8903</v>
      </c>
    </row>
    <row r="3877" spans="1:2">
      <c r="A3877" s="225" t="s">
        <v>8904</v>
      </c>
      <c r="B3877" s="225" t="s">
        <v>8905</v>
      </c>
    </row>
    <row r="3878" spans="1:2">
      <c r="A3878" s="225" t="s">
        <v>8906</v>
      </c>
      <c r="B3878" s="225" t="s">
        <v>8747</v>
      </c>
    </row>
    <row r="3879" spans="1:2">
      <c r="A3879" s="225" t="s">
        <v>8907</v>
      </c>
      <c r="B3879" s="225" t="s">
        <v>8755</v>
      </c>
    </row>
    <row r="3880" spans="1:2">
      <c r="A3880" s="225" t="s">
        <v>6971</v>
      </c>
      <c r="B3880" s="225" t="s">
        <v>6972</v>
      </c>
    </row>
    <row r="3881" spans="1:2">
      <c r="A3881" s="225" t="s">
        <v>6979</v>
      </c>
      <c r="B3881" s="225" t="s">
        <v>6980</v>
      </c>
    </row>
    <row r="3882" spans="1:2">
      <c r="A3882" s="225" t="s">
        <v>2297</v>
      </c>
      <c r="B3882" s="225" t="s">
        <v>2298</v>
      </c>
    </row>
    <row r="3883" spans="1:2">
      <c r="A3883" s="225" t="s">
        <v>819</v>
      </c>
      <c r="B3883" s="225" t="s">
        <v>2486</v>
      </c>
    </row>
    <row r="3884" spans="1:2">
      <c r="A3884" s="225" t="s">
        <v>865</v>
      </c>
      <c r="B3884" s="225" t="s">
        <v>2487</v>
      </c>
    </row>
    <row r="3885" spans="1:2">
      <c r="A3885" s="225" t="s">
        <v>2488</v>
      </c>
      <c r="B3885" s="225" t="s">
        <v>2489</v>
      </c>
    </row>
    <row r="3886" spans="1:2">
      <c r="A3886" s="225" t="s">
        <v>2490</v>
      </c>
      <c r="B3886" s="225" t="s">
        <v>2491</v>
      </c>
    </row>
    <row r="3887" spans="1:2">
      <c r="A3887" s="225" t="s">
        <v>2492</v>
      </c>
      <c r="B3887" s="225" t="s">
        <v>2493</v>
      </c>
    </row>
    <row r="3888" spans="1:2">
      <c r="A3888" s="225" t="s">
        <v>812</v>
      </c>
      <c r="B3888" s="225" t="s">
        <v>2494</v>
      </c>
    </row>
    <row r="3889" spans="1:2">
      <c r="A3889" s="225" t="s">
        <v>794</v>
      </c>
      <c r="B3889" s="225" t="s">
        <v>2495</v>
      </c>
    </row>
    <row r="3890" spans="1:2">
      <c r="A3890" s="225" t="s">
        <v>790</v>
      </c>
      <c r="B3890" s="225" t="s">
        <v>2496</v>
      </c>
    </row>
    <row r="3891" spans="1:2">
      <c r="A3891" s="225" t="s">
        <v>2497</v>
      </c>
      <c r="B3891" s="225" t="s">
        <v>2498</v>
      </c>
    </row>
    <row r="3892" spans="1:2">
      <c r="A3892" s="225" t="s">
        <v>2499</v>
      </c>
      <c r="B3892" s="225" t="s">
        <v>2500</v>
      </c>
    </row>
    <row r="3893" spans="1:2">
      <c r="A3893" s="225" t="s">
        <v>808</v>
      </c>
      <c r="B3893" s="225" t="s">
        <v>2501</v>
      </c>
    </row>
    <row r="3894" spans="1:2">
      <c r="A3894" s="225" t="s">
        <v>810</v>
      </c>
      <c r="B3894" s="225" t="s">
        <v>2502</v>
      </c>
    </row>
    <row r="3895" spans="1:2">
      <c r="A3895" s="225" t="s">
        <v>7553</v>
      </c>
      <c r="B3895" s="225" t="s">
        <v>7554</v>
      </c>
    </row>
    <row r="3896" spans="1:2">
      <c r="A3896" s="225" t="s">
        <v>7555</v>
      </c>
      <c r="B3896" s="225" t="s">
        <v>7556</v>
      </c>
    </row>
    <row r="3897" spans="1:2">
      <c r="A3897" s="225" t="s">
        <v>7557</v>
      </c>
      <c r="B3897" s="225" t="s">
        <v>7558</v>
      </c>
    </row>
    <row r="3898" spans="1:2">
      <c r="A3898" s="225" t="s">
        <v>7559</v>
      </c>
      <c r="B3898" s="225" t="s">
        <v>7560</v>
      </c>
    </row>
    <row r="3899" spans="1:2">
      <c r="A3899" s="225" t="s">
        <v>7591</v>
      </c>
      <c r="B3899" s="225" t="s">
        <v>7402</v>
      </c>
    </row>
    <row r="3900" spans="1:2">
      <c r="A3900" s="225" t="s">
        <v>7592</v>
      </c>
      <c r="B3900" s="225" t="s">
        <v>7593</v>
      </c>
    </row>
    <row r="3901" spans="1:2">
      <c r="A3901" s="225" t="s">
        <v>7594</v>
      </c>
      <c r="B3901" s="225" t="s">
        <v>7595</v>
      </c>
    </row>
    <row r="3902" spans="1:2">
      <c r="A3902" s="225" t="s">
        <v>7596</v>
      </c>
      <c r="B3902" s="225" t="s">
        <v>7597</v>
      </c>
    </row>
    <row r="3903" spans="1:2">
      <c r="A3903" s="225" t="s">
        <v>7598</v>
      </c>
      <c r="B3903" s="225" t="s">
        <v>7599</v>
      </c>
    </row>
    <row r="3904" spans="1:2">
      <c r="A3904" s="225" t="s">
        <v>7600</v>
      </c>
      <c r="B3904" s="225" t="s">
        <v>7601</v>
      </c>
    </row>
    <row r="3905" spans="1:2">
      <c r="A3905" s="225" t="s">
        <v>7602</v>
      </c>
      <c r="B3905" s="225" t="s">
        <v>7603</v>
      </c>
    </row>
    <row r="3906" spans="1:2">
      <c r="A3906" s="225" t="s">
        <v>7604</v>
      </c>
      <c r="B3906" s="225" t="s">
        <v>7605</v>
      </c>
    </row>
    <row r="3907" spans="1:2">
      <c r="A3907" s="225" t="s">
        <v>7606</v>
      </c>
      <c r="B3907" s="225" t="s">
        <v>7607</v>
      </c>
    </row>
    <row r="3908" spans="1:2">
      <c r="A3908" s="225" t="s">
        <v>7608</v>
      </c>
      <c r="B3908" s="225" t="s">
        <v>7609</v>
      </c>
    </row>
    <row r="3909" spans="1:2">
      <c r="A3909" s="225" t="s">
        <v>7610</v>
      </c>
      <c r="B3909" s="225" t="s">
        <v>7611</v>
      </c>
    </row>
    <row r="3910" spans="1:2">
      <c r="A3910" s="225" t="s">
        <v>7612</v>
      </c>
      <c r="B3910" s="225" t="s">
        <v>7613</v>
      </c>
    </row>
    <row r="3911" spans="1:2">
      <c r="A3911" s="225" t="s">
        <v>7614</v>
      </c>
      <c r="B3911" s="225" t="s">
        <v>7615</v>
      </c>
    </row>
    <row r="3912" spans="1:2">
      <c r="A3912" s="225" t="s">
        <v>7616</v>
      </c>
      <c r="B3912" s="225" t="s">
        <v>7617</v>
      </c>
    </row>
    <row r="3913" spans="1:2">
      <c r="A3913" s="225" t="s">
        <v>7618</v>
      </c>
      <c r="B3913" s="225" t="s">
        <v>7619</v>
      </c>
    </row>
    <row r="3914" spans="1:2">
      <c r="A3914" s="225" t="s">
        <v>7620</v>
      </c>
      <c r="B3914" s="225" t="s">
        <v>7621</v>
      </c>
    </row>
    <row r="3915" spans="1:2">
      <c r="A3915" s="225" t="s">
        <v>7622</v>
      </c>
      <c r="B3915" s="225" t="s">
        <v>7623</v>
      </c>
    </row>
    <row r="3916" spans="1:2">
      <c r="A3916" s="225" t="s">
        <v>7624</v>
      </c>
      <c r="B3916" s="225" t="s">
        <v>7625</v>
      </c>
    </row>
    <row r="3917" spans="1:2">
      <c r="A3917" s="225" t="s">
        <v>7626</v>
      </c>
      <c r="B3917" s="225" t="s">
        <v>7627</v>
      </c>
    </row>
    <row r="3918" spans="1:2">
      <c r="A3918" s="225" t="s">
        <v>7628</v>
      </c>
      <c r="B3918" s="225" t="s">
        <v>7629</v>
      </c>
    </row>
    <row r="3919" spans="1:2">
      <c r="A3919" s="225" t="s">
        <v>7630</v>
      </c>
      <c r="B3919" s="225" t="s">
        <v>7631</v>
      </c>
    </row>
    <row r="3920" spans="1:2">
      <c r="A3920" s="225" t="s">
        <v>7632</v>
      </c>
      <c r="B3920" s="225" t="s">
        <v>7119</v>
      </c>
    </row>
    <row r="3921" spans="1:2">
      <c r="A3921" s="225" t="s">
        <v>7633</v>
      </c>
      <c r="B3921" s="225" t="s">
        <v>7121</v>
      </c>
    </row>
    <row r="3922" spans="1:2">
      <c r="A3922" s="225" t="s">
        <v>7634</v>
      </c>
      <c r="B3922" s="225" t="s">
        <v>7123</v>
      </c>
    </row>
    <row r="3923" spans="1:2">
      <c r="A3923" s="225" t="s">
        <v>7635</v>
      </c>
      <c r="B3923" s="225" t="s">
        <v>7125</v>
      </c>
    </row>
    <row r="3924" spans="1:2">
      <c r="A3924" s="225" t="s">
        <v>7636</v>
      </c>
      <c r="B3924" s="225" t="s">
        <v>7127</v>
      </c>
    </row>
    <row r="3925" spans="1:2">
      <c r="A3925" s="225" t="s">
        <v>7637</v>
      </c>
      <c r="B3925" s="225" t="s">
        <v>7303</v>
      </c>
    </row>
    <row r="3926" spans="1:2">
      <c r="A3926" s="225" t="s">
        <v>7638</v>
      </c>
      <c r="B3926" s="225" t="s">
        <v>7639</v>
      </c>
    </row>
    <row r="3927" spans="1:2">
      <c r="A3927" s="225" t="s">
        <v>7640</v>
      </c>
      <c r="B3927" s="225" t="s">
        <v>7641</v>
      </c>
    </row>
    <row r="3928" spans="1:2">
      <c r="A3928" s="225" t="s">
        <v>7642</v>
      </c>
      <c r="B3928" s="225" t="s">
        <v>7643</v>
      </c>
    </row>
    <row r="3929" spans="1:2">
      <c r="A3929" s="225" t="s">
        <v>7644</v>
      </c>
      <c r="B3929" s="225" t="s">
        <v>7645</v>
      </c>
    </row>
    <row r="3930" spans="1:2">
      <c r="A3930" s="225" t="s">
        <v>7646</v>
      </c>
      <c r="B3930" s="225" t="s">
        <v>7647</v>
      </c>
    </row>
    <row r="3931" spans="1:2">
      <c r="A3931" s="225" t="s">
        <v>7648</v>
      </c>
      <c r="B3931" s="225" t="s">
        <v>7649</v>
      </c>
    </row>
    <row r="3932" spans="1:2">
      <c r="A3932" s="225" t="s">
        <v>7650</v>
      </c>
      <c r="B3932" s="225" t="s">
        <v>7651</v>
      </c>
    </row>
    <row r="3933" spans="1:2">
      <c r="A3933" s="225" t="s">
        <v>7652</v>
      </c>
      <c r="B3933" s="225" t="s">
        <v>7653</v>
      </c>
    </row>
    <row r="3934" spans="1:2">
      <c r="A3934" s="225" t="s">
        <v>7654</v>
      </c>
      <c r="B3934" s="225" t="s">
        <v>7655</v>
      </c>
    </row>
    <row r="3935" spans="1:2">
      <c r="A3935" s="225" t="s">
        <v>7656</v>
      </c>
      <c r="B3935" s="225" t="s">
        <v>7657</v>
      </c>
    </row>
    <row r="3936" spans="1:2">
      <c r="A3936" s="225" t="s">
        <v>7658</v>
      </c>
      <c r="B3936" s="225" t="s">
        <v>7659</v>
      </c>
    </row>
    <row r="3937" spans="1:2">
      <c r="A3937" s="225" t="s">
        <v>7660</v>
      </c>
      <c r="B3937" s="225" t="s">
        <v>7661</v>
      </c>
    </row>
    <row r="3938" spans="1:2">
      <c r="A3938" s="225" t="s">
        <v>7662</v>
      </c>
      <c r="B3938" s="225" t="s">
        <v>7663</v>
      </c>
    </row>
    <row r="3939" spans="1:2">
      <c r="A3939" s="225" t="s">
        <v>11596</v>
      </c>
      <c r="B3939" s="225" t="s">
        <v>11597</v>
      </c>
    </row>
    <row r="3940" spans="1:2">
      <c r="A3940" s="225" t="s">
        <v>7664</v>
      </c>
      <c r="B3940" s="225" t="s">
        <v>7211</v>
      </c>
    </row>
    <row r="3941" spans="1:2">
      <c r="A3941" s="225" t="s">
        <v>7665</v>
      </c>
      <c r="B3941" s="225" t="s">
        <v>7213</v>
      </c>
    </row>
    <row r="3942" spans="1:2">
      <c r="A3942" s="225" t="s">
        <v>7666</v>
      </c>
      <c r="B3942" s="225" t="s">
        <v>7215</v>
      </c>
    </row>
    <row r="3943" spans="1:2">
      <c r="A3943" s="225" t="s">
        <v>8041</v>
      </c>
      <c r="B3943" s="225" t="s">
        <v>8042</v>
      </c>
    </row>
    <row r="3944" spans="1:2">
      <c r="A3944" s="225" t="s">
        <v>8045</v>
      </c>
      <c r="B3944" s="225" t="s">
        <v>8046</v>
      </c>
    </row>
    <row r="3945" spans="1:2">
      <c r="A3945" s="225" t="s">
        <v>8047</v>
      </c>
      <c r="B3945" s="225" t="s">
        <v>8048</v>
      </c>
    </row>
    <row r="3946" spans="1:2">
      <c r="A3946" s="225" t="s">
        <v>8089</v>
      </c>
      <c r="B3946" s="225" t="s">
        <v>8090</v>
      </c>
    </row>
    <row r="3947" spans="1:2">
      <c r="A3947" s="225" t="s">
        <v>8091</v>
      </c>
      <c r="B3947" s="225" t="s">
        <v>8092</v>
      </c>
    </row>
    <row r="3948" spans="1:2">
      <c r="A3948" s="225" t="s">
        <v>8093</v>
      </c>
      <c r="B3948" s="225" t="s">
        <v>8094</v>
      </c>
    </row>
    <row r="3949" spans="1:2">
      <c r="A3949" s="225" t="s">
        <v>8097</v>
      </c>
      <c r="B3949" s="225" t="s">
        <v>8098</v>
      </c>
    </row>
    <row r="3950" spans="1:2">
      <c r="A3950" s="225" t="s">
        <v>8107</v>
      </c>
      <c r="B3950" s="225" t="s">
        <v>8108</v>
      </c>
    </row>
    <row r="3951" spans="1:2">
      <c r="A3951" s="225" t="s">
        <v>8113</v>
      </c>
      <c r="B3951" s="225" t="s">
        <v>8114</v>
      </c>
    </row>
    <row r="3952" spans="1:2">
      <c r="A3952" s="225" t="s">
        <v>8115</v>
      </c>
      <c r="B3952" s="225" t="s">
        <v>8116</v>
      </c>
    </row>
    <row r="3953" spans="1:2">
      <c r="A3953" s="225" t="s">
        <v>8117</v>
      </c>
      <c r="B3953" s="225" t="s">
        <v>8118</v>
      </c>
    </row>
    <row r="3954" spans="1:2">
      <c r="A3954" s="225" t="s">
        <v>8119</v>
      </c>
      <c r="B3954" s="225" t="s">
        <v>8120</v>
      </c>
    </row>
    <row r="3955" spans="1:2">
      <c r="A3955" s="225" t="s">
        <v>8121</v>
      </c>
      <c r="B3955" s="225" t="s">
        <v>8122</v>
      </c>
    </row>
    <row r="3956" spans="1:2">
      <c r="A3956" s="225" t="s">
        <v>8123</v>
      </c>
      <c r="B3956" s="225" t="s">
        <v>8124</v>
      </c>
    </row>
    <row r="3957" spans="1:2">
      <c r="A3957" s="225" t="s">
        <v>947</v>
      </c>
      <c r="B3957" s="225" t="s">
        <v>3021</v>
      </c>
    </row>
    <row r="3958" spans="1:2">
      <c r="A3958" s="225" t="s">
        <v>807</v>
      </c>
      <c r="B3958" s="225" t="s">
        <v>3022</v>
      </c>
    </row>
    <row r="3959" spans="1:2">
      <c r="A3959" s="225" t="s">
        <v>1098</v>
      </c>
      <c r="B3959" s="225" t="s">
        <v>3023</v>
      </c>
    </row>
    <row r="3960" spans="1:2">
      <c r="A3960" s="225" t="s">
        <v>6911</v>
      </c>
      <c r="B3960" s="225" t="s">
        <v>6912</v>
      </c>
    </row>
    <row r="3961" spans="1:2">
      <c r="A3961" s="225" t="s">
        <v>6913</v>
      </c>
      <c r="B3961" s="225" t="s">
        <v>6914</v>
      </c>
    </row>
    <row r="3962" spans="1:2">
      <c r="A3962" s="225" t="s">
        <v>6915</v>
      </c>
      <c r="B3962" s="225" t="s">
        <v>6916</v>
      </c>
    </row>
    <row r="3963" spans="1:2">
      <c r="A3963" s="225" t="s">
        <v>6923</v>
      </c>
      <c r="B3963" s="225" t="s">
        <v>6924</v>
      </c>
    </row>
    <row r="3964" spans="1:2">
      <c r="A3964" s="225" t="s">
        <v>2233</v>
      </c>
      <c r="B3964" s="225" t="s">
        <v>2234</v>
      </c>
    </row>
    <row r="3965" spans="1:2">
      <c r="A3965" s="225" t="s">
        <v>6994</v>
      </c>
      <c r="B3965" s="225" t="s">
        <v>6995</v>
      </c>
    </row>
    <row r="3966" spans="1:2">
      <c r="A3966" s="225" t="s">
        <v>7040</v>
      </c>
      <c r="B3966" s="225" t="s">
        <v>7041</v>
      </c>
    </row>
    <row r="3967" spans="1:2">
      <c r="A3967" s="225" t="s">
        <v>7042</v>
      </c>
      <c r="B3967" s="225" t="s">
        <v>7043</v>
      </c>
    </row>
    <row r="3968" spans="1:2">
      <c r="A3968" s="225" t="s">
        <v>7044</v>
      </c>
      <c r="B3968" s="225" t="s">
        <v>7045</v>
      </c>
    </row>
    <row r="3969" spans="1:2">
      <c r="A3969" s="225" t="s">
        <v>7054</v>
      </c>
      <c r="B3969" s="225" t="s">
        <v>7055</v>
      </c>
    </row>
    <row r="3970" spans="1:2">
      <c r="A3970" s="225" t="s">
        <v>7058</v>
      </c>
      <c r="B3970" s="225" t="s">
        <v>7059</v>
      </c>
    </row>
    <row r="3971" spans="1:2">
      <c r="A3971" s="225" t="s">
        <v>7060</v>
      </c>
      <c r="B3971" s="225" t="s">
        <v>7061</v>
      </c>
    </row>
    <row r="3972" spans="1:2">
      <c r="A3972" s="225" t="s">
        <v>7062</v>
      </c>
      <c r="B3972" s="225" t="s">
        <v>7063</v>
      </c>
    </row>
    <row r="3973" spans="1:2">
      <c r="A3973" s="225" t="s">
        <v>7064</v>
      </c>
      <c r="B3973" s="225" t="s">
        <v>7065</v>
      </c>
    </row>
    <row r="3974" spans="1:2">
      <c r="A3974" s="225" t="s">
        <v>7068</v>
      </c>
      <c r="B3974" s="225" t="s">
        <v>7069</v>
      </c>
    </row>
    <row r="3975" spans="1:2">
      <c r="A3975" s="225" t="s">
        <v>7078</v>
      </c>
      <c r="B3975" s="225" t="s">
        <v>7079</v>
      </c>
    </row>
    <row r="3976" spans="1:2">
      <c r="A3976" s="225" t="s">
        <v>7080</v>
      </c>
      <c r="B3976" s="225" t="s">
        <v>7081</v>
      </c>
    </row>
    <row r="3977" spans="1:2">
      <c r="A3977" s="225" t="s">
        <v>7220</v>
      </c>
      <c r="B3977" s="225" t="s">
        <v>7221</v>
      </c>
    </row>
    <row r="3978" spans="1:2">
      <c r="A3978" s="225" t="s">
        <v>7234</v>
      </c>
      <c r="B3978" s="225" t="s">
        <v>7235</v>
      </c>
    </row>
    <row r="3979" spans="1:2">
      <c r="A3979" s="225" t="s">
        <v>7248</v>
      </c>
      <c r="B3979" s="225" t="s">
        <v>7249</v>
      </c>
    </row>
    <row r="3980" spans="1:2">
      <c r="A3980" s="225" t="s">
        <v>7250</v>
      </c>
      <c r="B3980" s="225" t="s">
        <v>7251</v>
      </c>
    </row>
    <row r="3981" spans="1:2">
      <c r="A3981" s="225" t="s">
        <v>7252</v>
      </c>
      <c r="B3981" s="225" t="s">
        <v>7253</v>
      </c>
    </row>
    <row r="3982" spans="1:2">
      <c r="A3982" s="225" t="s">
        <v>7254</v>
      </c>
      <c r="B3982" s="225" t="s">
        <v>7255</v>
      </c>
    </row>
    <row r="3983" spans="1:2">
      <c r="A3983" s="225" t="s">
        <v>7317</v>
      </c>
      <c r="B3983" s="225" t="s">
        <v>7318</v>
      </c>
    </row>
    <row r="3984" spans="1:2">
      <c r="A3984" s="225" t="s">
        <v>7354</v>
      </c>
      <c r="B3984" s="225" t="s">
        <v>7355</v>
      </c>
    </row>
    <row r="3985" spans="1:2">
      <c r="A3985" s="225" t="s">
        <v>7356</v>
      </c>
      <c r="B3985" s="225" t="s">
        <v>7357</v>
      </c>
    </row>
    <row r="3986" spans="1:2">
      <c r="A3986" s="225" t="s">
        <v>7358</v>
      </c>
      <c r="B3986" s="225" t="s">
        <v>7104</v>
      </c>
    </row>
    <row r="3987" spans="1:2">
      <c r="A3987" s="225" t="s">
        <v>7359</v>
      </c>
      <c r="B3987" s="225" t="s">
        <v>7106</v>
      </c>
    </row>
    <row r="3988" spans="1:2">
      <c r="A3988" s="225" t="s">
        <v>7360</v>
      </c>
      <c r="B3988" s="225" t="s">
        <v>7361</v>
      </c>
    </row>
    <row r="3989" spans="1:2">
      <c r="A3989" s="225" t="s">
        <v>7362</v>
      </c>
      <c r="B3989" s="225" t="s">
        <v>7334</v>
      </c>
    </row>
    <row r="3990" spans="1:2">
      <c r="A3990" s="225" t="s">
        <v>7363</v>
      </c>
      <c r="B3990" s="225" t="s">
        <v>7332</v>
      </c>
    </row>
    <row r="3991" spans="1:2">
      <c r="A3991" s="225" t="s">
        <v>7364</v>
      </c>
      <c r="B3991" s="225" t="s">
        <v>7365</v>
      </c>
    </row>
    <row r="3992" spans="1:2">
      <c r="A3992" s="225" t="s">
        <v>7366</v>
      </c>
      <c r="B3992" s="225" t="s">
        <v>7367</v>
      </c>
    </row>
    <row r="3993" spans="1:2">
      <c r="A3993" s="225" t="s">
        <v>7368</v>
      </c>
      <c r="B3993" s="225" t="s">
        <v>7369</v>
      </c>
    </row>
    <row r="3994" spans="1:2">
      <c r="A3994" s="225" t="s">
        <v>7375</v>
      </c>
      <c r="B3994" s="225" t="s">
        <v>7376</v>
      </c>
    </row>
    <row r="3995" spans="1:2">
      <c r="A3995" s="225" t="s">
        <v>7377</v>
      </c>
      <c r="B3995" s="225" t="s">
        <v>2241</v>
      </c>
    </row>
    <row r="3996" spans="1:2">
      <c r="A3996" s="225" t="s">
        <v>7378</v>
      </c>
      <c r="B3996" s="225" t="s">
        <v>1921</v>
      </c>
    </row>
    <row r="3997" spans="1:2">
      <c r="A3997" s="225" t="s">
        <v>7379</v>
      </c>
      <c r="B3997" s="225" t="s">
        <v>7380</v>
      </c>
    </row>
    <row r="3998" spans="1:2">
      <c r="A3998" s="225" t="s">
        <v>7381</v>
      </c>
      <c r="B3998" s="225" t="s">
        <v>3856</v>
      </c>
    </row>
    <row r="3999" spans="1:2">
      <c r="A3999" s="225" t="s">
        <v>7382</v>
      </c>
      <c r="B3999" s="225" t="s">
        <v>7132</v>
      </c>
    </row>
    <row r="4000" spans="1:2">
      <c r="A4000" s="225" t="s">
        <v>7383</v>
      </c>
      <c r="B4000" s="225" t="s">
        <v>3857</v>
      </c>
    </row>
    <row r="4001" spans="1:2">
      <c r="A4001" s="225" t="s">
        <v>7384</v>
      </c>
      <c r="B4001" s="225" t="s">
        <v>7133</v>
      </c>
    </row>
    <row r="4002" spans="1:2">
      <c r="A4002" s="225" t="s">
        <v>7385</v>
      </c>
      <c r="B4002" s="225" t="s">
        <v>2199</v>
      </c>
    </row>
    <row r="4003" spans="1:2">
      <c r="A4003" s="225" t="s">
        <v>7386</v>
      </c>
      <c r="B4003" s="225" t="s">
        <v>2235</v>
      </c>
    </row>
    <row r="4004" spans="1:2">
      <c r="A4004" s="225" t="s">
        <v>7387</v>
      </c>
      <c r="B4004" s="225" t="s">
        <v>2570</v>
      </c>
    </row>
    <row r="4005" spans="1:2">
      <c r="A4005" s="225" t="s">
        <v>7388</v>
      </c>
      <c r="B4005" s="225" t="s">
        <v>7135</v>
      </c>
    </row>
    <row r="4006" spans="1:2">
      <c r="A4006" s="225" t="s">
        <v>7389</v>
      </c>
      <c r="B4006" s="225" t="s">
        <v>7137</v>
      </c>
    </row>
    <row r="4007" spans="1:2">
      <c r="A4007" s="225" t="s">
        <v>7390</v>
      </c>
      <c r="B4007" s="225" t="s">
        <v>7139</v>
      </c>
    </row>
    <row r="4008" spans="1:2">
      <c r="A4008" s="225" t="s">
        <v>7391</v>
      </c>
      <c r="B4008" s="225" t="s">
        <v>7392</v>
      </c>
    </row>
    <row r="4009" spans="1:2">
      <c r="A4009" s="225" t="s">
        <v>7393</v>
      </c>
      <c r="B4009" s="225" t="s">
        <v>7141</v>
      </c>
    </row>
    <row r="4010" spans="1:2">
      <c r="A4010" s="225" t="s">
        <v>7394</v>
      </c>
      <c r="B4010" s="225" t="s">
        <v>7143</v>
      </c>
    </row>
    <row r="4011" spans="1:2">
      <c r="A4011" s="225" t="s">
        <v>7395</v>
      </c>
      <c r="B4011" s="225" t="s">
        <v>7396</v>
      </c>
    </row>
    <row r="4012" spans="1:2">
      <c r="A4012" s="225" t="s">
        <v>7397</v>
      </c>
      <c r="B4012" s="225" t="s">
        <v>7398</v>
      </c>
    </row>
    <row r="4013" spans="1:2">
      <c r="A4013" s="225" t="s">
        <v>7399</v>
      </c>
      <c r="B4013" s="225" t="s">
        <v>7400</v>
      </c>
    </row>
    <row r="4014" spans="1:2">
      <c r="A4014" s="225" t="s">
        <v>7401</v>
      </c>
      <c r="B4014" s="225" t="s">
        <v>7402</v>
      </c>
    </row>
    <row r="4015" spans="1:2">
      <c r="A4015" s="225" t="s">
        <v>7403</v>
      </c>
      <c r="B4015" s="225" t="s">
        <v>7404</v>
      </c>
    </row>
    <row r="4016" spans="1:2">
      <c r="A4016" s="225" t="s">
        <v>7405</v>
      </c>
      <c r="B4016" s="225" t="s">
        <v>7406</v>
      </c>
    </row>
    <row r="4017" spans="1:2">
      <c r="A4017" s="225" t="s">
        <v>7407</v>
      </c>
      <c r="B4017" s="225" t="s">
        <v>7408</v>
      </c>
    </row>
    <row r="4018" spans="1:2">
      <c r="A4018" s="225" t="s">
        <v>7409</v>
      </c>
      <c r="B4018" s="225" t="s">
        <v>7410</v>
      </c>
    </row>
    <row r="4019" spans="1:2">
      <c r="A4019" s="225" t="s">
        <v>7411</v>
      </c>
      <c r="B4019" s="225" t="s">
        <v>7412</v>
      </c>
    </row>
    <row r="4020" spans="1:2">
      <c r="A4020" s="225" t="s">
        <v>11595</v>
      </c>
      <c r="B4020" s="225" t="s">
        <v>20102</v>
      </c>
    </row>
    <row r="4021" spans="1:2">
      <c r="A4021" s="225" t="s">
        <v>7413</v>
      </c>
      <c r="B4021" s="225" t="s">
        <v>7414</v>
      </c>
    </row>
    <row r="4022" spans="1:2">
      <c r="A4022" s="225" t="s">
        <v>7415</v>
      </c>
      <c r="B4022" s="225" t="s">
        <v>7416</v>
      </c>
    </row>
    <row r="4023" spans="1:2">
      <c r="A4023" s="225" t="s">
        <v>7417</v>
      </c>
      <c r="B4023" s="225" t="s">
        <v>7418</v>
      </c>
    </row>
    <row r="4024" spans="1:2">
      <c r="A4024" s="225" t="s">
        <v>7419</v>
      </c>
      <c r="B4024" s="225" t="s">
        <v>7420</v>
      </c>
    </row>
    <row r="4025" spans="1:2">
      <c r="A4025" s="225" t="s">
        <v>7421</v>
      </c>
      <c r="B4025" s="225" t="s">
        <v>7422</v>
      </c>
    </row>
    <row r="4026" spans="1:2">
      <c r="A4026" s="225" t="s">
        <v>7423</v>
      </c>
      <c r="B4026" s="225" t="s">
        <v>4471</v>
      </c>
    </row>
    <row r="4027" spans="1:2">
      <c r="A4027" s="225" t="s">
        <v>7424</v>
      </c>
      <c r="B4027" s="225" t="s">
        <v>7425</v>
      </c>
    </row>
    <row r="4028" spans="1:2">
      <c r="A4028" s="225" t="s">
        <v>7426</v>
      </c>
      <c r="B4028" s="225" t="s">
        <v>7427</v>
      </c>
    </row>
    <row r="4029" spans="1:2">
      <c r="A4029" s="225" t="s">
        <v>7467</v>
      </c>
      <c r="B4029" s="225" t="s">
        <v>7468</v>
      </c>
    </row>
    <row r="4030" spans="1:2">
      <c r="A4030" s="225" t="s">
        <v>7469</v>
      </c>
      <c r="B4030" s="225" t="s">
        <v>7470</v>
      </c>
    </row>
    <row r="4031" spans="1:2">
      <c r="A4031" s="225" t="s">
        <v>7471</v>
      </c>
      <c r="B4031" s="225" t="s">
        <v>7472</v>
      </c>
    </row>
    <row r="4032" spans="1:2">
      <c r="A4032" s="225" t="s">
        <v>7473</v>
      </c>
      <c r="B4032" s="225" t="s">
        <v>7474</v>
      </c>
    </row>
    <row r="4033" spans="1:2">
      <c r="A4033" s="225" t="s">
        <v>7506</v>
      </c>
      <c r="B4033" s="225" t="s">
        <v>4621</v>
      </c>
    </row>
    <row r="4034" spans="1:2">
      <c r="A4034" s="225" t="s">
        <v>7507</v>
      </c>
      <c r="B4034" s="225" t="s">
        <v>7508</v>
      </c>
    </row>
    <row r="4035" spans="1:2">
      <c r="A4035" s="225" t="s">
        <v>7509</v>
      </c>
      <c r="B4035" s="225" t="s">
        <v>7510</v>
      </c>
    </row>
    <row r="4036" spans="1:2">
      <c r="A4036" s="225" t="s">
        <v>720</v>
      </c>
      <c r="B4036" s="225" t="s">
        <v>1912</v>
      </c>
    </row>
    <row r="4037" spans="1:2">
      <c r="A4037" s="225" t="s">
        <v>7986</v>
      </c>
      <c r="B4037" s="225" t="s">
        <v>7987</v>
      </c>
    </row>
    <row r="4038" spans="1:2">
      <c r="A4038" s="225" t="s">
        <v>8004</v>
      </c>
      <c r="B4038" s="225" t="s">
        <v>8005</v>
      </c>
    </row>
    <row r="4039" spans="1:2">
      <c r="A4039" s="225" t="s">
        <v>8006</v>
      </c>
      <c r="B4039" s="225" t="s">
        <v>8007</v>
      </c>
    </row>
    <row r="4040" spans="1:2">
      <c r="A4040" s="225" t="s">
        <v>8030</v>
      </c>
      <c r="B4040" s="225" t="s">
        <v>8031</v>
      </c>
    </row>
    <row r="4041" spans="1:2">
      <c r="A4041" s="225" t="s">
        <v>2293</v>
      </c>
      <c r="B4041" s="225" t="s">
        <v>2294</v>
      </c>
    </row>
    <row r="4042" spans="1:2">
      <c r="A4042" s="225" t="s">
        <v>2301</v>
      </c>
      <c r="B4042" s="225" t="s">
        <v>2302</v>
      </c>
    </row>
    <row r="4043" spans="1:2">
      <c r="A4043" s="225" t="s">
        <v>2305</v>
      </c>
      <c r="B4043" s="225" t="s">
        <v>2306</v>
      </c>
    </row>
    <row r="4044" spans="1:2">
      <c r="A4044" s="225" t="s">
        <v>2311</v>
      </c>
      <c r="B4044" s="225" t="s">
        <v>2312</v>
      </c>
    </row>
    <row r="4045" spans="1:2">
      <c r="A4045" s="225" t="s">
        <v>2315</v>
      </c>
      <c r="B4045" s="225" t="s">
        <v>2316</v>
      </c>
    </row>
    <row r="4046" spans="1:2">
      <c r="A4046" s="225" t="s">
        <v>2319</v>
      </c>
      <c r="B4046" s="225" t="s">
        <v>2320</v>
      </c>
    </row>
    <row r="4047" spans="1:2">
      <c r="A4047" s="225" t="s">
        <v>937</v>
      </c>
      <c r="B4047" s="225" t="s">
        <v>2290</v>
      </c>
    </row>
    <row r="4048" spans="1:2">
      <c r="A4048" s="225" t="s">
        <v>6973</v>
      </c>
      <c r="B4048" s="225" t="s">
        <v>6974</v>
      </c>
    </row>
    <row r="4049" spans="1:2">
      <c r="A4049" s="225" t="s">
        <v>6975</v>
      </c>
      <c r="B4049" s="225" t="s">
        <v>6976</v>
      </c>
    </row>
    <row r="4050" spans="1:2">
      <c r="A4050" s="225" t="s">
        <v>6977</v>
      </c>
      <c r="B4050" s="225" t="s">
        <v>6978</v>
      </c>
    </row>
    <row r="4051" spans="1:2">
      <c r="A4051" s="225" t="s">
        <v>6981</v>
      </c>
      <c r="B4051" s="225" t="s">
        <v>6982</v>
      </c>
    </row>
    <row r="4052" spans="1:2">
      <c r="A4052" s="225" t="s">
        <v>6983</v>
      </c>
      <c r="B4052" s="225" t="s">
        <v>6984</v>
      </c>
    </row>
    <row r="4053" spans="1:2">
      <c r="A4053" s="225" t="s">
        <v>6985</v>
      </c>
      <c r="B4053" s="225" t="s">
        <v>6986</v>
      </c>
    </row>
    <row r="4054" spans="1:2">
      <c r="A4054" s="225" t="s">
        <v>6987</v>
      </c>
      <c r="B4054" s="225" t="s">
        <v>6988</v>
      </c>
    </row>
    <row r="4055" spans="1:2">
      <c r="A4055" s="225" t="s">
        <v>6989</v>
      </c>
      <c r="B4055" s="225" t="s">
        <v>6990</v>
      </c>
    </row>
    <row r="4056" spans="1:2">
      <c r="A4056" s="225" t="s">
        <v>8464</v>
      </c>
      <c r="B4056" s="225" t="s">
        <v>8465</v>
      </c>
    </row>
    <row r="4057" spans="1:2">
      <c r="A4057" s="225" t="s">
        <v>8471</v>
      </c>
      <c r="B4057" s="225" t="s">
        <v>8472</v>
      </c>
    </row>
    <row r="4058" spans="1:2">
      <c r="A4058" s="225" t="s">
        <v>8477</v>
      </c>
      <c r="B4058" s="225" t="s">
        <v>8478</v>
      </c>
    </row>
    <row r="4059" spans="1:2">
      <c r="A4059" s="225" t="s">
        <v>8479</v>
      </c>
      <c r="B4059" s="225" t="s">
        <v>8480</v>
      </c>
    </row>
    <row r="4060" spans="1:2">
      <c r="A4060" s="225" t="s">
        <v>8481</v>
      </c>
      <c r="B4060" s="225" t="s">
        <v>8482</v>
      </c>
    </row>
    <row r="4061" spans="1:2">
      <c r="A4061" s="225" t="s">
        <v>8483</v>
      </c>
      <c r="B4061" s="225" t="s">
        <v>8484</v>
      </c>
    </row>
    <row r="4062" spans="1:2">
      <c r="A4062" s="225" t="s">
        <v>8485</v>
      </c>
      <c r="B4062" s="225" t="s">
        <v>8486</v>
      </c>
    </row>
    <row r="4063" spans="1:2">
      <c r="A4063" s="225" t="s">
        <v>8487</v>
      </c>
      <c r="B4063" s="225" t="s">
        <v>8488</v>
      </c>
    </row>
    <row r="4064" spans="1:2">
      <c r="A4064" s="225" t="s">
        <v>8489</v>
      </c>
      <c r="B4064" s="225" t="s">
        <v>8490</v>
      </c>
    </row>
    <row r="4065" spans="1:2">
      <c r="A4065" s="225" t="s">
        <v>8495</v>
      </c>
      <c r="B4065" s="225" t="s">
        <v>8496</v>
      </c>
    </row>
    <row r="4066" spans="1:2">
      <c r="A4066" s="225" t="s">
        <v>8497</v>
      </c>
      <c r="B4066" s="225" t="s">
        <v>8498</v>
      </c>
    </row>
    <row r="4067" spans="1:2">
      <c r="A4067" s="225" t="s">
        <v>8502</v>
      </c>
      <c r="B4067" s="225" t="s">
        <v>3082</v>
      </c>
    </row>
    <row r="4068" spans="1:2">
      <c r="A4068" s="225" t="s">
        <v>8503</v>
      </c>
      <c r="B4068" s="225" t="s">
        <v>3084</v>
      </c>
    </row>
    <row r="4069" spans="1:2">
      <c r="A4069" s="225" t="s">
        <v>8504</v>
      </c>
      <c r="B4069" s="225" t="s">
        <v>3082</v>
      </c>
    </row>
    <row r="4070" spans="1:2">
      <c r="A4070" s="225" t="s">
        <v>877</v>
      </c>
      <c r="B4070" s="225" t="s">
        <v>3070</v>
      </c>
    </row>
    <row r="4071" spans="1:2">
      <c r="A4071" s="225" t="s">
        <v>8505</v>
      </c>
      <c r="B4071" s="225" t="s">
        <v>8506</v>
      </c>
    </row>
    <row r="4072" spans="1:2">
      <c r="A4072" s="225" t="s">
        <v>1124</v>
      </c>
      <c r="B4072" s="225" t="s">
        <v>3069</v>
      </c>
    </row>
    <row r="4073" spans="1:2">
      <c r="A4073" s="225" t="s">
        <v>8507</v>
      </c>
      <c r="B4073" s="225" t="s">
        <v>3090</v>
      </c>
    </row>
    <row r="4074" spans="1:2">
      <c r="A4074" s="225" t="s">
        <v>8508</v>
      </c>
      <c r="B4074" s="225" t="s">
        <v>3074</v>
      </c>
    </row>
    <row r="4075" spans="1:2">
      <c r="A4075" s="225" t="s">
        <v>8514</v>
      </c>
      <c r="B4075" s="225" t="s">
        <v>7681</v>
      </c>
    </row>
    <row r="4076" spans="1:2">
      <c r="A4076" s="225" t="s">
        <v>8515</v>
      </c>
      <c r="B4076" s="225" t="s">
        <v>7677</v>
      </c>
    </row>
    <row r="4077" spans="1:2">
      <c r="A4077" s="225" t="s">
        <v>8541</v>
      </c>
      <c r="B4077" s="225" t="s">
        <v>8542</v>
      </c>
    </row>
    <row r="4078" spans="1:2">
      <c r="A4078" s="225" t="s">
        <v>8543</v>
      </c>
      <c r="B4078" s="225" t="s">
        <v>8544</v>
      </c>
    </row>
    <row r="4079" spans="1:2">
      <c r="A4079" s="225" t="s">
        <v>8547</v>
      </c>
      <c r="B4079" s="225" t="s">
        <v>8548</v>
      </c>
    </row>
    <row r="4080" spans="1:2">
      <c r="A4080" s="225" t="s">
        <v>8549</v>
      </c>
      <c r="B4080" s="225" t="s">
        <v>8550</v>
      </c>
    </row>
    <row r="4081" spans="1:2">
      <c r="A4081" s="225" t="s">
        <v>718</v>
      </c>
      <c r="B4081" s="225" t="s">
        <v>8553</v>
      </c>
    </row>
    <row r="4082" spans="1:2">
      <c r="A4082" s="225" t="s">
        <v>8554</v>
      </c>
      <c r="B4082" s="225" t="s">
        <v>8555</v>
      </c>
    </row>
    <row r="4083" spans="1:2">
      <c r="A4083" s="225" t="s">
        <v>8556</v>
      </c>
      <c r="B4083" s="225" t="s">
        <v>8550</v>
      </c>
    </row>
    <row r="4084" spans="1:2">
      <c r="A4084" s="225" t="s">
        <v>1370</v>
      </c>
      <c r="B4084" s="225" t="s">
        <v>8498</v>
      </c>
    </row>
    <row r="4085" spans="1:2">
      <c r="A4085" s="225" t="s">
        <v>8557</v>
      </c>
      <c r="B4085" s="225" t="s">
        <v>8558</v>
      </c>
    </row>
    <row r="4086" spans="1:2">
      <c r="A4086" s="225" t="s">
        <v>8559</v>
      </c>
      <c r="B4086" s="225" t="s">
        <v>8560</v>
      </c>
    </row>
    <row r="4087" spans="1:2">
      <c r="A4087" s="225" t="s">
        <v>8561</v>
      </c>
      <c r="B4087" s="225" t="s">
        <v>8562</v>
      </c>
    </row>
    <row r="4088" spans="1:2">
      <c r="A4088" s="225" t="s">
        <v>8563</v>
      </c>
      <c r="B4088" s="225" t="s">
        <v>8564</v>
      </c>
    </row>
    <row r="4089" spans="1:2">
      <c r="A4089" s="225" t="s">
        <v>8567</v>
      </c>
      <c r="B4089" s="225" t="s">
        <v>8568</v>
      </c>
    </row>
    <row r="4090" spans="1:2">
      <c r="A4090" s="225" t="s">
        <v>8571</v>
      </c>
      <c r="B4090" s="225" t="s">
        <v>8572</v>
      </c>
    </row>
    <row r="4091" spans="1:2">
      <c r="A4091" s="225" t="s">
        <v>8573</v>
      </c>
      <c r="B4091" s="225" t="s">
        <v>8574</v>
      </c>
    </row>
    <row r="4092" spans="1:2">
      <c r="A4092" s="225" t="s">
        <v>8575</v>
      </c>
      <c r="B4092" s="225" t="s">
        <v>8576</v>
      </c>
    </row>
    <row r="4093" spans="1:2">
      <c r="A4093" s="225" t="s">
        <v>8577</v>
      </c>
      <c r="B4093" s="225" t="s">
        <v>8578</v>
      </c>
    </row>
    <row r="4094" spans="1:2">
      <c r="A4094" s="225" t="s">
        <v>8579</v>
      </c>
      <c r="B4094" s="225" t="s">
        <v>8580</v>
      </c>
    </row>
    <row r="4095" spans="1:2">
      <c r="A4095" s="225" t="s">
        <v>8581</v>
      </c>
      <c r="B4095" s="225" t="s">
        <v>8582</v>
      </c>
    </row>
    <row r="4096" spans="1:2">
      <c r="A4096" s="225" t="s">
        <v>5563</v>
      </c>
      <c r="B4096" s="225" t="s">
        <v>5564</v>
      </c>
    </row>
    <row r="4097" spans="1:2">
      <c r="A4097" s="225" t="s">
        <v>5565</v>
      </c>
      <c r="B4097" s="225" t="s">
        <v>5566</v>
      </c>
    </row>
    <row r="4098" spans="1:2">
      <c r="A4098" s="225" t="s">
        <v>5572</v>
      </c>
      <c r="B4098" s="225" t="s">
        <v>5564</v>
      </c>
    </row>
    <row r="4099" spans="1:2">
      <c r="A4099" s="225" t="s">
        <v>5573</v>
      </c>
      <c r="B4099" s="225" t="s">
        <v>5566</v>
      </c>
    </row>
    <row r="4100" spans="1:2">
      <c r="A4100" s="225" t="s">
        <v>5579</v>
      </c>
      <c r="B4100" s="225" t="s">
        <v>5564</v>
      </c>
    </row>
    <row r="4101" spans="1:2">
      <c r="A4101" s="225" t="s">
        <v>5580</v>
      </c>
      <c r="B4101" s="225" t="s">
        <v>5566</v>
      </c>
    </row>
    <row r="4102" spans="1:2">
      <c r="A4102" s="225" t="s">
        <v>5586</v>
      </c>
      <c r="B4102" s="225" t="s">
        <v>5564</v>
      </c>
    </row>
    <row r="4103" spans="1:2">
      <c r="A4103" s="225" t="s">
        <v>5587</v>
      </c>
      <c r="B4103" s="225" t="s">
        <v>5566</v>
      </c>
    </row>
    <row r="4104" spans="1:2">
      <c r="A4104" s="225" t="s">
        <v>5593</v>
      </c>
      <c r="B4104" s="225" t="s">
        <v>5564</v>
      </c>
    </row>
    <row r="4105" spans="1:2">
      <c r="A4105" s="225" t="s">
        <v>5594</v>
      </c>
      <c r="B4105" s="225" t="s">
        <v>5566</v>
      </c>
    </row>
    <row r="4106" spans="1:2">
      <c r="A4106" s="225" t="s">
        <v>7006</v>
      </c>
      <c r="B4106" s="225" t="s">
        <v>7007</v>
      </c>
    </row>
    <row r="4107" spans="1:2">
      <c r="A4107" s="225" t="s">
        <v>7014</v>
      </c>
      <c r="B4107" s="225" t="s">
        <v>7015</v>
      </c>
    </row>
    <row r="4108" spans="1:2">
      <c r="A4108" s="225" t="s">
        <v>7016</v>
      </c>
      <c r="B4108" s="225" t="s">
        <v>7017</v>
      </c>
    </row>
    <row r="4109" spans="1:2">
      <c r="A4109" s="225" t="s">
        <v>2429</v>
      </c>
      <c r="B4109" s="225" t="s">
        <v>2430</v>
      </c>
    </row>
    <row r="4110" spans="1:2">
      <c r="A4110" s="225" t="s">
        <v>2431</v>
      </c>
      <c r="B4110" s="225" t="s">
        <v>2432</v>
      </c>
    </row>
    <row r="4111" spans="1:2">
      <c r="A4111" s="225" t="s">
        <v>2433</v>
      </c>
      <c r="B4111" s="225" t="s">
        <v>2386</v>
      </c>
    </row>
    <row r="4112" spans="1:2">
      <c r="A4112" s="225" t="s">
        <v>2434</v>
      </c>
      <c r="B4112" s="225" t="s">
        <v>2388</v>
      </c>
    </row>
    <row r="4113" spans="1:2">
      <c r="A4113" s="225" t="s">
        <v>2435</v>
      </c>
      <c r="B4113" s="225" t="s">
        <v>2390</v>
      </c>
    </row>
    <row r="4114" spans="1:2">
      <c r="A4114" s="225" t="s">
        <v>2343</v>
      </c>
      <c r="B4114" s="225" t="s">
        <v>2344</v>
      </c>
    </row>
    <row r="4115" spans="1:2">
      <c r="A4115" s="225" t="s">
        <v>2345</v>
      </c>
      <c r="B4115" s="225" t="s">
        <v>2346</v>
      </c>
    </row>
    <row r="4116" spans="1:2">
      <c r="A4116" s="225" t="s">
        <v>2347</v>
      </c>
      <c r="B4116" s="225" t="s">
        <v>2348</v>
      </c>
    </row>
    <row r="4117" spans="1:2">
      <c r="A4117" s="225" t="s">
        <v>2349</v>
      </c>
      <c r="B4117" s="225" t="s">
        <v>2350</v>
      </c>
    </row>
    <row r="4118" spans="1:2">
      <c r="A4118" s="225" t="s">
        <v>2351</v>
      </c>
      <c r="B4118" s="225" t="s">
        <v>2352</v>
      </c>
    </row>
    <row r="4119" spans="1:2">
      <c r="A4119" s="225" t="s">
        <v>2353</v>
      </c>
      <c r="B4119" s="225" t="s">
        <v>2354</v>
      </c>
    </row>
    <row r="4120" spans="1:2">
      <c r="A4120" s="225" t="s">
        <v>2355</v>
      </c>
      <c r="B4120" s="225" t="s">
        <v>2356</v>
      </c>
    </row>
    <row r="4121" spans="1:2">
      <c r="A4121" s="225" t="s">
        <v>2357</v>
      </c>
      <c r="B4121" s="225" t="s">
        <v>2358</v>
      </c>
    </row>
    <row r="4122" spans="1:2">
      <c r="A4122" s="225" t="s">
        <v>2359</v>
      </c>
      <c r="B4122" s="225" t="s">
        <v>2360</v>
      </c>
    </row>
    <row r="4123" spans="1:2">
      <c r="A4123" s="225" t="s">
        <v>2363</v>
      </c>
      <c r="B4123" s="225" t="s">
        <v>2364</v>
      </c>
    </row>
    <row r="4124" spans="1:2">
      <c r="A4124" s="225" t="s">
        <v>2365</v>
      </c>
      <c r="B4124" s="225" t="s">
        <v>2366</v>
      </c>
    </row>
    <row r="4125" spans="1:2">
      <c r="A4125" s="225" t="s">
        <v>2367</v>
      </c>
      <c r="B4125" s="225" t="s">
        <v>2368</v>
      </c>
    </row>
    <row r="4126" spans="1:2">
      <c r="A4126" s="225" t="s">
        <v>2369</v>
      </c>
      <c r="B4126" s="225" t="s">
        <v>2370</v>
      </c>
    </row>
    <row r="4127" spans="1:2">
      <c r="A4127" s="225" t="s">
        <v>2371</v>
      </c>
      <c r="B4127" s="225" t="s">
        <v>2372</v>
      </c>
    </row>
    <row r="4128" spans="1:2">
      <c r="A4128" s="225" t="s">
        <v>2373</v>
      </c>
      <c r="B4128" s="225" t="s">
        <v>2374</v>
      </c>
    </row>
    <row r="4129" spans="1:2">
      <c r="A4129" s="225" t="s">
        <v>2375</v>
      </c>
      <c r="B4129" s="225" t="s">
        <v>2376</v>
      </c>
    </row>
    <row r="4130" spans="1:2">
      <c r="A4130" s="225" t="s">
        <v>2377</v>
      </c>
      <c r="B4130" s="225" t="s">
        <v>2378</v>
      </c>
    </row>
    <row r="4131" spans="1:2">
      <c r="A4131" s="225" t="s">
        <v>2379</v>
      </c>
      <c r="B4131" s="225" t="s">
        <v>2380</v>
      </c>
    </row>
    <row r="4132" spans="1:2">
      <c r="A4132" s="225" t="s">
        <v>2383</v>
      </c>
      <c r="B4132" s="225" t="s">
        <v>2384</v>
      </c>
    </row>
    <row r="4133" spans="1:2">
      <c r="A4133" s="225" t="s">
        <v>2385</v>
      </c>
      <c r="B4133" s="225" t="s">
        <v>2386</v>
      </c>
    </row>
    <row r="4134" spans="1:2">
      <c r="A4134" s="225" t="s">
        <v>2387</v>
      </c>
      <c r="B4134" s="225" t="s">
        <v>2388</v>
      </c>
    </row>
    <row r="4135" spans="1:2">
      <c r="A4135" s="225" t="s">
        <v>2389</v>
      </c>
      <c r="B4135" s="225" t="s">
        <v>2390</v>
      </c>
    </row>
    <row r="4136" spans="1:2">
      <c r="A4136" s="225" t="s">
        <v>2391</v>
      </c>
      <c r="B4136" s="225" t="s">
        <v>2392</v>
      </c>
    </row>
    <row r="4137" spans="1:2">
      <c r="A4137" s="225" t="s">
        <v>2393</v>
      </c>
      <c r="B4137" s="225" t="s">
        <v>2394</v>
      </c>
    </row>
    <row r="4138" spans="1:2">
      <c r="A4138" s="225" t="s">
        <v>2399</v>
      </c>
      <c r="B4138" s="225" t="s">
        <v>2400</v>
      </c>
    </row>
    <row r="4139" spans="1:2">
      <c r="A4139" s="225" t="s">
        <v>2401</v>
      </c>
      <c r="B4139" s="225" t="s">
        <v>2402</v>
      </c>
    </row>
    <row r="4140" spans="1:2">
      <c r="A4140" s="225" t="s">
        <v>2403</v>
      </c>
      <c r="B4140" s="225" t="s">
        <v>2404</v>
      </c>
    </row>
    <row r="4141" spans="1:2">
      <c r="A4141" s="225" t="s">
        <v>2405</v>
      </c>
      <c r="B4141" s="225" t="s">
        <v>2406</v>
      </c>
    </row>
    <row r="4142" spans="1:2">
      <c r="A4142" s="225" t="s">
        <v>2407</v>
      </c>
      <c r="B4142" s="225" t="s">
        <v>2408</v>
      </c>
    </row>
    <row r="4143" spans="1:2">
      <c r="A4143" s="225" t="s">
        <v>2409</v>
      </c>
      <c r="B4143" s="225" t="s">
        <v>2410</v>
      </c>
    </row>
    <row r="4144" spans="1:2">
      <c r="A4144" s="225" t="s">
        <v>2411</v>
      </c>
      <c r="B4144" s="225" t="s">
        <v>2412</v>
      </c>
    </row>
    <row r="4145" spans="1:2">
      <c r="A4145" s="225" t="s">
        <v>2413</v>
      </c>
      <c r="B4145" s="225" t="s">
        <v>2414</v>
      </c>
    </row>
    <row r="4146" spans="1:2">
      <c r="A4146" s="225" t="s">
        <v>2415</v>
      </c>
      <c r="B4146" s="225" t="s">
        <v>2416</v>
      </c>
    </row>
    <row r="4147" spans="1:2">
      <c r="A4147" s="225" t="s">
        <v>2417</v>
      </c>
      <c r="B4147" s="225" t="s">
        <v>2418</v>
      </c>
    </row>
    <row r="4148" spans="1:2">
      <c r="A4148" s="225" t="s">
        <v>2419</v>
      </c>
      <c r="B4148" s="225" t="s">
        <v>2420</v>
      </c>
    </row>
    <row r="4149" spans="1:2">
      <c r="A4149" s="225" t="s">
        <v>2421</v>
      </c>
      <c r="B4149" s="225" t="s">
        <v>2422</v>
      </c>
    </row>
    <row r="4150" spans="1:2">
      <c r="A4150" s="225" t="s">
        <v>2423</v>
      </c>
      <c r="B4150" s="225" t="s">
        <v>2424</v>
      </c>
    </row>
    <row r="4151" spans="1:2">
      <c r="A4151" s="225" t="s">
        <v>2425</v>
      </c>
      <c r="B4151" s="225" t="s">
        <v>2426</v>
      </c>
    </row>
    <row r="4152" spans="1:2">
      <c r="A4152" s="225" t="s">
        <v>2427</v>
      </c>
      <c r="B4152" s="225" t="s">
        <v>2428</v>
      </c>
    </row>
    <row r="4153" spans="1:2">
      <c r="A4153" s="225" t="s">
        <v>2436</v>
      </c>
      <c r="B4153" s="225" t="s">
        <v>2392</v>
      </c>
    </row>
    <row r="4154" spans="1:2">
      <c r="A4154" s="225" t="s">
        <v>2437</v>
      </c>
      <c r="B4154" s="225" t="s">
        <v>2394</v>
      </c>
    </row>
    <row r="4155" spans="1:2">
      <c r="A4155" s="225" t="s">
        <v>2442</v>
      </c>
      <c r="B4155" s="225" t="s">
        <v>2443</v>
      </c>
    </row>
    <row r="4156" spans="1:2">
      <c r="A4156" s="225" t="s">
        <v>2444</v>
      </c>
      <c r="B4156" s="225" t="s">
        <v>2445</v>
      </c>
    </row>
    <row r="4157" spans="1:2">
      <c r="A4157" s="225" t="s">
        <v>2446</v>
      </c>
      <c r="B4157" s="225" t="s">
        <v>2447</v>
      </c>
    </row>
    <row r="4158" spans="1:2">
      <c r="A4158" s="225" t="s">
        <v>2448</v>
      </c>
      <c r="B4158" s="225" t="s">
        <v>2449</v>
      </c>
    </row>
    <row r="4159" spans="1:2">
      <c r="A4159" s="225" t="s">
        <v>2450</v>
      </c>
      <c r="B4159" s="225" t="s">
        <v>2451</v>
      </c>
    </row>
    <row r="4160" spans="1:2">
      <c r="A4160" s="225" t="s">
        <v>2452</v>
      </c>
      <c r="B4160" s="225" t="s">
        <v>2453</v>
      </c>
    </row>
    <row r="4161" spans="1:2">
      <c r="A4161" s="225" t="s">
        <v>2454</v>
      </c>
      <c r="B4161" s="225" t="s">
        <v>2455</v>
      </c>
    </row>
    <row r="4162" spans="1:2">
      <c r="A4162" s="225" t="s">
        <v>2456</v>
      </c>
      <c r="B4162" s="225" t="s">
        <v>2457</v>
      </c>
    </row>
    <row r="4163" spans="1:2">
      <c r="A4163" s="225" t="s">
        <v>2458</v>
      </c>
      <c r="B4163" s="225" t="s">
        <v>2459</v>
      </c>
    </row>
    <row r="4164" spans="1:2">
      <c r="A4164" s="225" t="s">
        <v>2460</v>
      </c>
      <c r="B4164" s="225" t="s">
        <v>2424</v>
      </c>
    </row>
    <row r="4165" spans="1:2">
      <c r="A4165" s="225" t="s">
        <v>2461</v>
      </c>
      <c r="B4165" s="225" t="s">
        <v>2384</v>
      </c>
    </row>
    <row r="4166" spans="1:2">
      <c r="A4166" s="225" t="s">
        <v>2462</v>
      </c>
      <c r="B4166" s="225" t="s">
        <v>2388</v>
      </c>
    </row>
    <row r="4167" spans="1:2">
      <c r="A4167" s="225" t="s">
        <v>2463</v>
      </c>
      <c r="B4167" s="225" t="s">
        <v>2392</v>
      </c>
    </row>
    <row r="4168" spans="1:2">
      <c r="A4168" s="225" t="s">
        <v>2464</v>
      </c>
      <c r="B4168" s="225" t="s">
        <v>2394</v>
      </c>
    </row>
    <row r="4169" spans="1:2">
      <c r="A4169" s="225" t="s">
        <v>9743</v>
      </c>
      <c r="B4169" s="225" t="s">
        <v>9725</v>
      </c>
    </row>
    <row r="4170" spans="1:2">
      <c r="A4170" s="225" t="s">
        <v>9744</v>
      </c>
      <c r="B4170" s="225" t="s">
        <v>9727</v>
      </c>
    </row>
    <row r="4171" spans="1:2">
      <c r="A4171" s="225" t="s">
        <v>9745</v>
      </c>
      <c r="B4171" s="225" t="s">
        <v>9729</v>
      </c>
    </row>
    <row r="4172" spans="1:2">
      <c r="A4172" s="225" t="s">
        <v>9746</v>
      </c>
      <c r="B4172" s="225" t="s">
        <v>9731</v>
      </c>
    </row>
    <row r="4173" spans="1:2">
      <c r="A4173" s="225" t="s">
        <v>9747</v>
      </c>
      <c r="B4173" s="225" t="s">
        <v>9733</v>
      </c>
    </row>
    <row r="4174" spans="1:2">
      <c r="A4174" s="225" t="s">
        <v>9748</v>
      </c>
      <c r="B4174" s="225" t="s">
        <v>9735</v>
      </c>
    </row>
    <row r="4175" spans="1:2">
      <c r="A4175" s="225" t="s">
        <v>953</v>
      </c>
      <c r="B4175" s="225" t="s">
        <v>9724</v>
      </c>
    </row>
    <row r="4176" spans="1:2">
      <c r="A4176" s="225" t="s">
        <v>893</v>
      </c>
      <c r="B4176" s="225" t="s">
        <v>9725</v>
      </c>
    </row>
    <row r="4177" spans="1:2">
      <c r="A4177" s="225" t="s">
        <v>9749</v>
      </c>
      <c r="B4177" s="225" t="s">
        <v>9731</v>
      </c>
    </row>
    <row r="4178" spans="1:2">
      <c r="A4178" s="225" t="s">
        <v>9750</v>
      </c>
      <c r="B4178" s="225" t="s">
        <v>9733</v>
      </c>
    </row>
    <row r="4179" spans="1:2">
      <c r="A4179" s="225" t="s">
        <v>9752</v>
      </c>
      <c r="B4179" s="225" t="s">
        <v>9721</v>
      </c>
    </row>
    <row r="4180" spans="1:2">
      <c r="A4180" s="225" t="s">
        <v>9753</v>
      </c>
      <c r="B4180" s="225" t="s">
        <v>9723</v>
      </c>
    </row>
    <row r="4181" spans="1:2">
      <c r="A4181" s="225" t="s">
        <v>912</v>
      </c>
      <c r="B4181" s="225" t="s">
        <v>9724</v>
      </c>
    </row>
    <row r="4182" spans="1:2">
      <c r="A4182" s="225" t="s">
        <v>914</v>
      </c>
      <c r="B4182" s="225" t="s">
        <v>9725</v>
      </c>
    </row>
    <row r="4183" spans="1:2">
      <c r="A4183" s="225" t="s">
        <v>9754</v>
      </c>
      <c r="B4183" s="225" t="s">
        <v>9727</v>
      </c>
    </row>
    <row r="4184" spans="1:2">
      <c r="A4184" s="225" t="s">
        <v>9755</v>
      </c>
      <c r="B4184" s="225" t="s">
        <v>9729</v>
      </c>
    </row>
    <row r="4185" spans="1:2">
      <c r="A4185" s="225" t="s">
        <v>9756</v>
      </c>
      <c r="B4185" s="225" t="s">
        <v>9731</v>
      </c>
    </row>
    <row r="4186" spans="1:2">
      <c r="A4186" s="225" t="s">
        <v>9757</v>
      </c>
      <c r="B4186" s="225" t="s">
        <v>9733</v>
      </c>
    </row>
    <row r="4187" spans="1:2">
      <c r="A4187" s="225" t="s">
        <v>9758</v>
      </c>
      <c r="B4187" s="225" t="s">
        <v>9735</v>
      </c>
    </row>
    <row r="4188" spans="1:2">
      <c r="A4188" s="225" t="s">
        <v>1007</v>
      </c>
      <c r="B4188" s="225" t="s">
        <v>9724</v>
      </c>
    </row>
    <row r="4189" spans="1:2">
      <c r="A4189" s="225" t="s">
        <v>881</v>
      </c>
      <c r="B4189" s="225" t="s">
        <v>9725</v>
      </c>
    </row>
    <row r="4190" spans="1:2">
      <c r="A4190" s="225" t="s">
        <v>9759</v>
      </c>
      <c r="B4190" s="225" t="s">
        <v>9731</v>
      </c>
    </row>
    <row r="4191" spans="1:2">
      <c r="A4191" s="225" t="s">
        <v>9821</v>
      </c>
      <c r="B4191" s="225" t="s">
        <v>9822</v>
      </c>
    </row>
    <row r="4192" spans="1:2">
      <c r="A4192" s="225" t="s">
        <v>919</v>
      </c>
      <c r="B4192" s="225" t="s">
        <v>9823</v>
      </c>
    </row>
    <row r="4193" spans="1:2">
      <c r="A4193" s="225" t="s">
        <v>9760</v>
      </c>
      <c r="B4193" s="225" t="s">
        <v>9733</v>
      </c>
    </row>
    <row r="4194" spans="1:2">
      <c r="A4194" s="225" t="s">
        <v>916</v>
      </c>
      <c r="B4194" s="225" t="s">
        <v>9761</v>
      </c>
    </row>
    <row r="4195" spans="1:2">
      <c r="A4195" s="225" t="s">
        <v>1009</v>
      </c>
      <c r="B4195" s="225" t="s">
        <v>9762</v>
      </c>
    </row>
    <row r="4196" spans="1:2">
      <c r="A4196" s="225" t="s">
        <v>9764</v>
      </c>
      <c r="B4196" s="225" t="s">
        <v>2179</v>
      </c>
    </row>
    <row r="4197" spans="1:2">
      <c r="A4197" s="225" t="s">
        <v>9765</v>
      </c>
      <c r="B4197" s="225" t="s">
        <v>9766</v>
      </c>
    </row>
    <row r="4198" spans="1:2">
      <c r="A4198" s="225" t="s">
        <v>9767</v>
      </c>
      <c r="B4198" s="225" t="s">
        <v>1707</v>
      </c>
    </row>
    <row r="4199" spans="1:2">
      <c r="A4199" s="225" t="s">
        <v>952</v>
      </c>
      <c r="B4199" s="225" t="s">
        <v>1728</v>
      </c>
    </row>
    <row r="4200" spans="1:2">
      <c r="A4200" s="225" t="s">
        <v>9768</v>
      </c>
      <c r="B4200" s="225" t="s">
        <v>9703</v>
      </c>
    </row>
    <row r="4201" spans="1:2">
      <c r="A4201" s="225" t="s">
        <v>9769</v>
      </c>
      <c r="B4201" s="225" t="s">
        <v>9705</v>
      </c>
    </row>
    <row r="4202" spans="1:2">
      <c r="A4202" s="225" t="s">
        <v>1079</v>
      </c>
      <c r="B4202" s="225" t="s">
        <v>9706</v>
      </c>
    </row>
    <row r="4203" spans="1:2">
      <c r="A4203" s="225" t="s">
        <v>9770</v>
      </c>
      <c r="B4203" s="225" t="s">
        <v>9708</v>
      </c>
    </row>
    <row r="4204" spans="1:2">
      <c r="A4204" s="225" t="s">
        <v>9771</v>
      </c>
      <c r="B4204" s="225" t="s">
        <v>9710</v>
      </c>
    </row>
    <row r="4205" spans="1:2">
      <c r="A4205" s="225" t="s">
        <v>9772</v>
      </c>
      <c r="B4205" s="225" t="s">
        <v>9773</v>
      </c>
    </row>
    <row r="4206" spans="1:2">
      <c r="A4206" s="225" t="s">
        <v>9774</v>
      </c>
      <c r="B4206" s="225" t="s">
        <v>1707</v>
      </c>
    </row>
    <row r="4207" spans="1:2">
      <c r="A4207" s="225" t="s">
        <v>971</v>
      </c>
      <c r="B4207" s="225" t="s">
        <v>1728</v>
      </c>
    </row>
    <row r="4208" spans="1:2">
      <c r="A4208" s="225" t="s">
        <v>9775</v>
      </c>
      <c r="B4208" s="225" t="s">
        <v>9703</v>
      </c>
    </row>
    <row r="4209" spans="1:2">
      <c r="A4209" s="225" t="s">
        <v>9776</v>
      </c>
      <c r="B4209" s="225" t="s">
        <v>9705</v>
      </c>
    </row>
    <row r="4210" spans="1:2">
      <c r="A4210" s="225" t="s">
        <v>1179</v>
      </c>
      <c r="B4210" s="225" t="s">
        <v>9706</v>
      </c>
    </row>
    <row r="4211" spans="1:2">
      <c r="A4211" s="225" t="s">
        <v>9777</v>
      </c>
      <c r="B4211" s="225" t="s">
        <v>9708</v>
      </c>
    </row>
    <row r="4212" spans="1:2">
      <c r="A4212" s="225" t="s">
        <v>9778</v>
      </c>
      <c r="B4212" s="225" t="s">
        <v>9710</v>
      </c>
    </row>
    <row r="4213" spans="1:2">
      <c r="A4213" s="225" t="s">
        <v>9783</v>
      </c>
      <c r="B4213" s="225" t="s">
        <v>9784</v>
      </c>
    </row>
    <row r="4214" spans="1:2">
      <c r="A4214" s="225" t="s">
        <v>9785</v>
      </c>
      <c r="B4214" s="225" t="s">
        <v>1707</v>
      </c>
    </row>
    <row r="4215" spans="1:2">
      <c r="A4215" s="225" t="s">
        <v>956</v>
      </c>
      <c r="B4215" s="225" t="s">
        <v>1728</v>
      </c>
    </row>
    <row r="4216" spans="1:2">
      <c r="A4216" s="225" t="s">
        <v>9786</v>
      </c>
      <c r="B4216" s="225" t="s">
        <v>9703</v>
      </c>
    </row>
    <row r="4217" spans="1:2">
      <c r="A4217" s="225" t="s">
        <v>9787</v>
      </c>
      <c r="B4217" s="225" t="s">
        <v>9705</v>
      </c>
    </row>
    <row r="4218" spans="1:2">
      <c r="A4218" s="225" t="s">
        <v>1208</v>
      </c>
      <c r="B4218" s="225" t="s">
        <v>9706</v>
      </c>
    </row>
    <row r="4219" spans="1:2">
      <c r="A4219" s="225" t="s">
        <v>9788</v>
      </c>
      <c r="B4219" s="225" t="s">
        <v>9708</v>
      </c>
    </row>
    <row r="4220" spans="1:2">
      <c r="A4220" s="225" t="s">
        <v>9789</v>
      </c>
      <c r="B4220" s="225" t="s">
        <v>9710</v>
      </c>
    </row>
    <row r="4221" spans="1:2">
      <c r="A4221" s="225" t="s">
        <v>9790</v>
      </c>
      <c r="B4221" s="225" t="s">
        <v>9791</v>
      </c>
    </row>
    <row r="4222" spans="1:2">
      <c r="A4222" s="225" t="s">
        <v>1217</v>
      </c>
      <c r="B4222" s="225" t="s">
        <v>9792</v>
      </c>
    </row>
    <row r="4223" spans="1:2">
      <c r="A4223" s="225" t="s">
        <v>9793</v>
      </c>
      <c r="B4223" s="225" t="s">
        <v>9794</v>
      </c>
    </row>
    <row r="4224" spans="1:2">
      <c r="A4224" s="225" t="s">
        <v>9795</v>
      </c>
      <c r="B4224" s="225" t="s">
        <v>9796</v>
      </c>
    </row>
    <row r="4225" spans="1:2">
      <c r="A4225" s="225" t="s">
        <v>11612</v>
      </c>
      <c r="B4225" s="225" t="s">
        <v>11613</v>
      </c>
    </row>
    <row r="4226" spans="1:2">
      <c r="A4226" s="225" t="s">
        <v>9797</v>
      </c>
      <c r="B4226" s="225" t="s">
        <v>9798</v>
      </c>
    </row>
    <row r="4227" spans="1:2">
      <c r="A4227" s="225" t="s">
        <v>933</v>
      </c>
      <c r="B4227" s="225" t="s">
        <v>9799</v>
      </c>
    </row>
    <row r="4228" spans="1:2">
      <c r="A4228" s="225" t="s">
        <v>1222</v>
      </c>
      <c r="B4228" s="225" t="s">
        <v>9800</v>
      </c>
    </row>
    <row r="4229" spans="1:2">
      <c r="A4229" s="225" t="s">
        <v>9801</v>
      </c>
      <c r="B4229" s="225" t="s">
        <v>9802</v>
      </c>
    </row>
    <row r="4230" spans="1:2">
      <c r="A4230" s="225" t="s">
        <v>9803</v>
      </c>
      <c r="B4230" s="225" t="s">
        <v>9804</v>
      </c>
    </row>
    <row r="4231" spans="1:2">
      <c r="A4231" s="225" t="s">
        <v>9805</v>
      </c>
      <c r="B4231" s="225" t="s">
        <v>9806</v>
      </c>
    </row>
    <row r="4232" spans="1:2">
      <c r="A4232" s="225" t="s">
        <v>9807</v>
      </c>
      <c r="B4232" s="225" t="s">
        <v>9808</v>
      </c>
    </row>
    <row r="4233" spans="1:2">
      <c r="A4233" s="225" t="s">
        <v>909</v>
      </c>
      <c r="B4233" s="225" t="s">
        <v>9811</v>
      </c>
    </row>
    <row r="4234" spans="1:2">
      <c r="A4234" s="225" t="s">
        <v>878</v>
      </c>
      <c r="B4234" s="225" t="s">
        <v>9812</v>
      </c>
    </row>
    <row r="4235" spans="1:2">
      <c r="A4235" s="225" t="s">
        <v>9815</v>
      </c>
      <c r="B4235" s="225" t="s">
        <v>9816</v>
      </c>
    </row>
    <row r="4236" spans="1:2">
      <c r="A4236" s="225" t="s">
        <v>9817</v>
      </c>
      <c r="B4236" s="225" t="s">
        <v>9818</v>
      </c>
    </row>
    <row r="4237" spans="1:2">
      <c r="A4237" s="225" t="s">
        <v>918</v>
      </c>
      <c r="B4237" s="225" t="s">
        <v>9819</v>
      </c>
    </row>
    <row r="4238" spans="1:2">
      <c r="A4238" s="225" t="s">
        <v>921</v>
      </c>
      <c r="B4238" s="225" t="s">
        <v>9820</v>
      </c>
    </row>
    <row r="4239" spans="1:2">
      <c r="A4239" s="225" t="s">
        <v>1175</v>
      </c>
      <c r="B4239" s="225" t="s">
        <v>11256</v>
      </c>
    </row>
    <row r="4240" spans="1:2">
      <c r="A4240" s="225" t="s">
        <v>982</v>
      </c>
      <c r="B4240" s="225" t="s">
        <v>11249</v>
      </c>
    </row>
    <row r="4241" spans="1:2">
      <c r="A4241" s="225" t="s">
        <v>963</v>
      </c>
      <c r="B4241" s="225" t="s">
        <v>11250</v>
      </c>
    </row>
    <row r="4242" spans="1:2">
      <c r="A4242" s="225" t="s">
        <v>1210</v>
      </c>
      <c r="B4242" s="225" t="s">
        <v>11251</v>
      </c>
    </row>
    <row r="4243" spans="1:2">
      <c r="A4243" s="225" t="s">
        <v>9697</v>
      </c>
      <c r="B4243" s="225" t="s">
        <v>9698</v>
      </c>
    </row>
    <row r="4244" spans="1:2">
      <c r="A4244" s="225" t="s">
        <v>9699</v>
      </c>
      <c r="B4244" s="225" t="s">
        <v>9700</v>
      </c>
    </row>
    <row r="4245" spans="1:2">
      <c r="A4245" s="225" t="s">
        <v>9701</v>
      </c>
      <c r="B4245" s="225" t="s">
        <v>1707</v>
      </c>
    </row>
    <row r="4246" spans="1:2">
      <c r="A4246" s="225" t="s">
        <v>954</v>
      </c>
      <c r="B4246" s="225" t="s">
        <v>1728</v>
      </c>
    </row>
    <row r="4247" spans="1:2">
      <c r="A4247" s="225" t="s">
        <v>9702</v>
      </c>
      <c r="B4247" s="225" t="s">
        <v>9703</v>
      </c>
    </row>
    <row r="4248" spans="1:2">
      <c r="A4248" s="225" t="s">
        <v>9704</v>
      </c>
      <c r="B4248" s="225" t="s">
        <v>9705</v>
      </c>
    </row>
    <row r="4249" spans="1:2">
      <c r="A4249" s="225" t="s">
        <v>1206</v>
      </c>
      <c r="B4249" s="225" t="s">
        <v>9706</v>
      </c>
    </row>
    <row r="4250" spans="1:2">
      <c r="A4250" s="225" t="s">
        <v>9707</v>
      </c>
      <c r="B4250" s="225" t="s">
        <v>9708</v>
      </c>
    </row>
    <row r="4251" spans="1:2">
      <c r="A4251" s="225" t="s">
        <v>9709</v>
      </c>
      <c r="B4251" s="225" t="s">
        <v>9710</v>
      </c>
    </row>
    <row r="4252" spans="1:2">
      <c r="A4252" s="225" t="s">
        <v>9711</v>
      </c>
      <c r="B4252" s="225" t="s">
        <v>9712</v>
      </c>
    </row>
    <row r="4253" spans="1:2">
      <c r="A4253" s="225" t="s">
        <v>9713</v>
      </c>
      <c r="B4253" s="225" t="s">
        <v>1707</v>
      </c>
    </row>
    <row r="4254" spans="1:2">
      <c r="A4254" s="225" t="s">
        <v>951</v>
      </c>
      <c r="B4254" s="225" t="s">
        <v>1728</v>
      </c>
    </row>
    <row r="4255" spans="1:2">
      <c r="A4255" s="225" t="s">
        <v>9714</v>
      </c>
      <c r="B4255" s="225" t="s">
        <v>9703</v>
      </c>
    </row>
    <row r="4256" spans="1:2">
      <c r="A4256" s="225" t="s">
        <v>9715</v>
      </c>
      <c r="B4256" s="225" t="s">
        <v>9705</v>
      </c>
    </row>
    <row r="4257" spans="1:2">
      <c r="A4257" s="225" t="s">
        <v>1029</v>
      </c>
      <c r="B4257" s="225" t="s">
        <v>9706</v>
      </c>
    </row>
    <row r="4258" spans="1:2">
      <c r="A4258" s="225" t="s">
        <v>9716</v>
      </c>
      <c r="B4258" s="225" t="s">
        <v>9708</v>
      </c>
    </row>
    <row r="4259" spans="1:2">
      <c r="A4259" s="225" t="s">
        <v>9717</v>
      </c>
      <c r="B4259" s="225" t="s">
        <v>9710</v>
      </c>
    </row>
    <row r="4260" spans="1:2">
      <c r="A4260" s="225" t="s">
        <v>9720</v>
      </c>
      <c r="B4260" s="225" t="s">
        <v>9721</v>
      </c>
    </row>
    <row r="4261" spans="1:2">
      <c r="A4261" s="225" t="s">
        <v>9722</v>
      </c>
      <c r="B4261" s="225" t="s">
        <v>9723</v>
      </c>
    </row>
    <row r="4262" spans="1:2">
      <c r="A4262" s="225" t="s">
        <v>1108</v>
      </c>
      <c r="B4262" s="225" t="s">
        <v>9724</v>
      </c>
    </row>
    <row r="4263" spans="1:2">
      <c r="A4263" s="225" t="s">
        <v>1166</v>
      </c>
      <c r="B4263" s="225" t="s">
        <v>9725</v>
      </c>
    </row>
    <row r="4264" spans="1:2">
      <c r="A4264" s="225" t="s">
        <v>9726</v>
      </c>
      <c r="B4264" s="225" t="s">
        <v>9727</v>
      </c>
    </row>
    <row r="4265" spans="1:2">
      <c r="A4265" s="225" t="s">
        <v>9728</v>
      </c>
      <c r="B4265" s="225" t="s">
        <v>9729</v>
      </c>
    </row>
    <row r="4266" spans="1:2">
      <c r="A4266" s="225" t="s">
        <v>9730</v>
      </c>
      <c r="B4266" s="225" t="s">
        <v>9731</v>
      </c>
    </row>
    <row r="4267" spans="1:2">
      <c r="A4267" s="225" t="s">
        <v>9732</v>
      </c>
      <c r="B4267" s="225" t="s">
        <v>9733</v>
      </c>
    </row>
    <row r="4268" spans="1:2">
      <c r="A4268" s="225" t="s">
        <v>9734</v>
      </c>
      <c r="B4268" s="225" t="s">
        <v>9735</v>
      </c>
    </row>
    <row r="4269" spans="1:2">
      <c r="A4269" s="225" t="s">
        <v>9736</v>
      </c>
      <c r="B4269" s="225" t="s">
        <v>9724</v>
      </c>
    </row>
    <row r="4270" spans="1:2">
      <c r="A4270" s="225" t="s">
        <v>1113</v>
      </c>
      <c r="B4270" s="225" t="s">
        <v>9725</v>
      </c>
    </row>
    <row r="4271" spans="1:2">
      <c r="A4271" s="225" t="s">
        <v>9737</v>
      </c>
      <c r="B4271" s="225" t="s">
        <v>9731</v>
      </c>
    </row>
    <row r="4272" spans="1:2">
      <c r="A4272" s="225" t="s">
        <v>9738</v>
      </c>
      <c r="B4272" s="225" t="s">
        <v>9733</v>
      </c>
    </row>
    <row r="4273" spans="1:2">
      <c r="A4273" s="225" t="s">
        <v>9741</v>
      </c>
      <c r="B4273" s="225" t="s">
        <v>9721</v>
      </c>
    </row>
    <row r="4274" spans="1:2">
      <c r="A4274" s="225" t="s">
        <v>9742</v>
      </c>
      <c r="B4274" s="225" t="s">
        <v>9723</v>
      </c>
    </row>
    <row r="4275" spans="1:2">
      <c r="A4275" s="225" t="s">
        <v>890</v>
      </c>
      <c r="B4275" s="225" t="s">
        <v>9724</v>
      </c>
    </row>
    <row r="4276" spans="1:2">
      <c r="A4276" s="225" t="s">
        <v>11580</v>
      </c>
      <c r="B4276" s="225" t="s">
        <v>11581</v>
      </c>
    </row>
    <row r="4277" spans="1:2">
      <c r="A4277" s="225" t="s">
        <v>11575</v>
      </c>
      <c r="B4277" s="225" t="s">
        <v>5359</v>
      </c>
    </row>
    <row r="4278" spans="1:2">
      <c r="A4278" s="225" t="s">
        <v>9337</v>
      </c>
      <c r="B4278" s="225" t="s">
        <v>2276</v>
      </c>
    </row>
    <row r="4279" spans="1:2">
      <c r="A4279" s="225" t="s">
        <v>985</v>
      </c>
      <c r="B4279" s="225" t="s">
        <v>2283</v>
      </c>
    </row>
    <row r="4280" spans="1:2">
      <c r="A4280" s="225" t="s">
        <v>9342</v>
      </c>
      <c r="B4280" s="225" t="s">
        <v>2289</v>
      </c>
    </row>
    <row r="4281" spans="1:2">
      <c r="A4281" s="225" t="s">
        <v>9346</v>
      </c>
      <c r="B4281" s="225" t="s">
        <v>2296</v>
      </c>
    </row>
    <row r="4282" spans="1:2">
      <c r="A4282" s="225" t="s">
        <v>9350</v>
      </c>
      <c r="B4282" s="225" t="s">
        <v>2304</v>
      </c>
    </row>
    <row r="4283" spans="1:2">
      <c r="A4283" s="225" t="s">
        <v>9355</v>
      </c>
      <c r="B4283" s="225" t="s">
        <v>2314</v>
      </c>
    </row>
    <row r="4284" spans="1:2">
      <c r="A4284" s="225" t="s">
        <v>9359</v>
      </c>
      <c r="B4284" s="225" t="s">
        <v>2322</v>
      </c>
    </row>
    <row r="4285" spans="1:2">
      <c r="A4285" s="225" t="s">
        <v>9364</v>
      </c>
      <c r="B4285" s="225" t="s">
        <v>2332</v>
      </c>
    </row>
    <row r="4286" spans="1:2">
      <c r="A4286" s="225" t="s">
        <v>9365</v>
      </c>
      <c r="B4286" s="225" t="s">
        <v>2334</v>
      </c>
    </row>
    <row r="4287" spans="1:2">
      <c r="A4287" s="225" t="s">
        <v>9368</v>
      </c>
      <c r="B4287" s="225" t="s">
        <v>9369</v>
      </c>
    </row>
    <row r="4288" spans="1:2">
      <c r="A4288" s="225" t="s">
        <v>9376</v>
      </c>
      <c r="B4288" s="225" t="s">
        <v>9377</v>
      </c>
    </row>
    <row r="4289" spans="1:2">
      <c r="A4289" s="225" t="s">
        <v>9384</v>
      </c>
      <c r="B4289" s="225" t="s">
        <v>9385</v>
      </c>
    </row>
    <row r="4290" spans="1:2">
      <c r="A4290" s="225" t="s">
        <v>9392</v>
      </c>
      <c r="B4290" s="225" t="s">
        <v>9393</v>
      </c>
    </row>
    <row r="4291" spans="1:2">
      <c r="A4291" s="225" t="s">
        <v>946</v>
      </c>
      <c r="B4291" s="225" t="s">
        <v>2107</v>
      </c>
    </row>
    <row r="4292" spans="1:2">
      <c r="A4292" s="225" t="s">
        <v>9255</v>
      </c>
      <c r="B4292" s="225" t="s">
        <v>2105</v>
      </c>
    </row>
    <row r="4293" spans="1:2">
      <c r="A4293" s="225" t="s">
        <v>9258</v>
      </c>
      <c r="B4293" s="225" t="s">
        <v>2112</v>
      </c>
    </row>
    <row r="4294" spans="1:2">
      <c r="A4294" s="225" t="s">
        <v>9268</v>
      </c>
      <c r="B4294" s="225" t="s">
        <v>2131</v>
      </c>
    </row>
    <row r="4295" spans="1:2">
      <c r="A4295" s="225" t="s">
        <v>1077</v>
      </c>
      <c r="B4295" s="225" t="s">
        <v>1796</v>
      </c>
    </row>
    <row r="4296" spans="1:2">
      <c r="A4296" s="225" t="s">
        <v>958</v>
      </c>
      <c r="B4296" s="225" t="s">
        <v>1837</v>
      </c>
    </row>
    <row r="4297" spans="1:2">
      <c r="A4297" s="225" t="s">
        <v>1394</v>
      </c>
      <c r="B4297" s="225" t="s">
        <v>2168</v>
      </c>
    </row>
    <row r="4298" spans="1:2">
      <c r="A4298" s="225" t="s">
        <v>887</v>
      </c>
      <c r="B4298" s="225" t="s">
        <v>1971</v>
      </c>
    </row>
    <row r="4299" spans="1:2">
      <c r="A4299" s="225" t="s">
        <v>1178</v>
      </c>
      <c r="B4299" s="225" t="s">
        <v>2191</v>
      </c>
    </row>
    <row r="4300" spans="1:2">
      <c r="A4300" s="225" t="s">
        <v>1062</v>
      </c>
      <c r="B4300" s="225" t="s">
        <v>2192</v>
      </c>
    </row>
    <row r="4301" spans="1:2">
      <c r="A4301" s="225" t="s">
        <v>885</v>
      </c>
      <c r="B4301" s="225" t="s">
        <v>1929</v>
      </c>
    </row>
    <row r="4302" spans="1:2">
      <c r="A4302" s="225" t="s">
        <v>968</v>
      </c>
      <c r="B4302" s="225" t="s">
        <v>1938</v>
      </c>
    </row>
    <row r="4303" spans="1:2">
      <c r="A4303" s="225" t="s">
        <v>930</v>
      </c>
      <c r="B4303" s="225" t="s">
        <v>9824</v>
      </c>
    </row>
    <row r="4304" spans="1:2">
      <c r="A4304" s="225" t="s">
        <v>9825</v>
      </c>
      <c r="B4304" s="225" t="s">
        <v>9826</v>
      </c>
    </row>
    <row r="4305" spans="1:2">
      <c r="A4305" s="225" t="s">
        <v>924</v>
      </c>
      <c r="B4305" s="225" t="s">
        <v>9827</v>
      </c>
    </row>
    <row r="4306" spans="1:2">
      <c r="A4306" s="225" t="s">
        <v>929</v>
      </c>
      <c r="B4306" s="225" t="s">
        <v>9828</v>
      </c>
    </row>
    <row r="4307" spans="1:2">
      <c r="A4307" s="225" t="s">
        <v>9829</v>
      </c>
      <c r="B4307" s="225" t="s">
        <v>9830</v>
      </c>
    </row>
    <row r="4308" spans="1:2">
      <c r="A4308" s="225" t="s">
        <v>9831</v>
      </c>
      <c r="B4308" s="225" t="s">
        <v>9832</v>
      </c>
    </row>
    <row r="4309" spans="1:2">
      <c r="A4309" s="225" t="s">
        <v>9833</v>
      </c>
      <c r="B4309" s="225" t="s">
        <v>9834</v>
      </c>
    </row>
    <row r="4310" spans="1:2">
      <c r="A4310" s="225" t="s">
        <v>9835</v>
      </c>
      <c r="B4310" s="225" t="s">
        <v>9806</v>
      </c>
    </row>
    <row r="4311" spans="1:2">
      <c r="A4311" s="225" t="s">
        <v>9836</v>
      </c>
      <c r="B4311" s="225" t="s">
        <v>9808</v>
      </c>
    </row>
    <row r="4312" spans="1:2">
      <c r="A4312" s="225" t="s">
        <v>9837</v>
      </c>
      <c r="B4312" s="225" t="s">
        <v>9838</v>
      </c>
    </row>
    <row r="4313" spans="1:2">
      <c r="A4313" s="225" t="s">
        <v>9841</v>
      </c>
      <c r="B4313" s="225" t="s">
        <v>9842</v>
      </c>
    </row>
    <row r="4314" spans="1:2">
      <c r="A4314" s="225" t="s">
        <v>9843</v>
      </c>
      <c r="B4314" s="225" t="s">
        <v>9844</v>
      </c>
    </row>
    <row r="4315" spans="1:2">
      <c r="A4315" s="225" t="s">
        <v>9845</v>
      </c>
      <c r="B4315" s="225" t="s">
        <v>9846</v>
      </c>
    </row>
    <row r="4316" spans="1:2">
      <c r="A4316" s="225" t="s">
        <v>9847</v>
      </c>
      <c r="B4316" s="225" t="s">
        <v>9848</v>
      </c>
    </row>
    <row r="4317" spans="1:2">
      <c r="A4317" s="225" t="s">
        <v>9849</v>
      </c>
      <c r="B4317" s="225" t="s">
        <v>9850</v>
      </c>
    </row>
    <row r="4318" spans="1:2">
      <c r="A4318" s="225" t="s">
        <v>9851</v>
      </c>
      <c r="B4318" s="225" t="s">
        <v>9852</v>
      </c>
    </row>
    <row r="4319" spans="1:2">
      <c r="A4319" s="225" t="s">
        <v>911</v>
      </c>
      <c r="B4319" s="225" t="s">
        <v>9855</v>
      </c>
    </row>
    <row r="4320" spans="1:2">
      <c r="A4320" s="225" t="s">
        <v>910</v>
      </c>
      <c r="B4320" s="225" t="s">
        <v>9856</v>
      </c>
    </row>
    <row r="4321" spans="1:2">
      <c r="A4321" s="225" t="s">
        <v>9859</v>
      </c>
      <c r="B4321" s="225" t="s">
        <v>9860</v>
      </c>
    </row>
    <row r="4322" spans="1:2">
      <c r="A4322" s="225" t="s">
        <v>9861</v>
      </c>
      <c r="B4322" s="225" t="s">
        <v>9799</v>
      </c>
    </row>
    <row r="4323" spans="1:2">
      <c r="A4323" s="225" t="s">
        <v>9862</v>
      </c>
      <c r="B4323" s="225" t="s">
        <v>9863</v>
      </c>
    </row>
    <row r="4324" spans="1:2">
      <c r="A4324" s="225" t="s">
        <v>9864</v>
      </c>
      <c r="B4324" s="225" t="s">
        <v>9865</v>
      </c>
    </row>
    <row r="4325" spans="1:2">
      <c r="A4325" s="225" t="s">
        <v>9866</v>
      </c>
      <c r="B4325" s="225" t="s">
        <v>9867</v>
      </c>
    </row>
    <row r="4326" spans="1:2">
      <c r="A4326" s="225" t="s">
        <v>9868</v>
      </c>
      <c r="B4326" s="225" t="s">
        <v>9869</v>
      </c>
    </row>
    <row r="4327" spans="1:2">
      <c r="A4327" s="225" t="s">
        <v>9870</v>
      </c>
      <c r="B4327" s="225" t="s">
        <v>9871</v>
      </c>
    </row>
    <row r="4328" spans="1:2">
      <c r="A4328" s="225" t="s">
        <v>9872</v>
      </c>
      <c r="B4328" s="225" t="s">
        <v>9873</v>
      </c>
    </row>
    <row r="4329" spans="1:2">
      <c r="A4329" s="225" t="s">
        <v>10870</v>
      </c>
      <c r="B4329" s="225" t="s">
        <v>10871</v>
      </c>
    </row>
    <row r="4330" spans="1:2">
      <c r="A4330" s="225" t="s">
        <v>10872</v>
      </c>
      <c r="B4330" s="225" t="s">
        <v>10873</v>
      </c>
    </row>
    <row r="4331" spans="1:2">
      <c r="A4331" s="225" t="s">
        <v>10874</v>
      </c>
      <c r="B4331" s="225" t="s">
        <v>10875</v>
      </c>
    </row>
    <row r="4332" spans="1:2">
      <c r="A4332" s="225" t="s">
        <v>10876</v>
      </c>
      <c r="B4332" s="225" t="s">
        <v>10877</v>
      </c>
    </row>
    <row r="4333" spans="1:2">
      <c r="A4333" s="225" t="s">
        <v>10878</v>
      </c>
      <c r="B4333" s="225" t="s">
        <v>10879</v>
      </c>
    </row>
    <row r="4334" spans="1:2">
      <c r="A4334" s="225" t="s">
        <v>10880</v>
      </c>
      <c r="B4334" s="225" t="s">
        <v>10881</v>
      </c>
    </row>
    <row r="4335" spans="1:2">
      <c r="A4335" s="225" t="s">
        <v>10882</v>
      </c>
      <c r="B4335" s="225" t="s">
        <v>10883</v>
      </c>
    </row>
    <row r="4336" spans="1:2">
      <c r="A4336" s="225" t="s">
        <v>10884</v>
      </c>
      <c r="B4336" s="225" t="s">
        <v>10885</v>
      </c>
    </row>
    <row r="4337" spans="1:2">
      <c r="A4337" s="225" t="s">
        <v>10886</v>
      </c>
      <c r="B4337" s="225" t="s">
        <v>10887</v>
      </c>
    </row>
    <row r="4338" spans="1:2">
      <c r="A4338" s="225" t="s">
        <v>10888</v>
      </c>
      <c r="B4338" s="225" t="s">
        <v>10889</v>
      </c>
    </row>
    <row r="4339" spans="1:2">
      <c r="A4339" s="225" t="s">
        <v>10890</v>
      </c>
      <c r="B4339" s="225" t="s">
        <v>10891</v>
      </c>
    </row>
    <row r="4340" spans="1:2">
      <c r="A4340" s="225" t="s">
        <v>10892</v>
      </c>
      <c r="B4340" s="225" t="s">
        <v>10893</v>
      </c>
    </row>
    <row r="4341" spans="1:2">
      <c r="A4341" s="225" t="s">
        <v>1060</v>
      </c>
      <c r="B4341" s="225" t="s">
        <v>10894</v>
      </c>
    </row>
    <row r="4342" spans="1:2">
      <c r="A4342" s="225" t="s">
        <v>973</v>
      </c>
      <c r="B4342" s="225" t="s">
        <v>10895</v>
      </c>
    </row>
    <row r="4343" spans="1:2">
      <c r="A4343" s="225" t="s">
        <v>10896</v>
      </c>
      <c r="B4343" s="225" t="s">
        <v>10897</v>
      </c>
    </row>
    <row r="4344" spans="1:2">
      <c r="A4344" s="225" t="s">
        <v>10898</v>
      </c>
      <c r="B4344" s="225" t="s">
        <v>10899</v>
      </c>
    </row>
    <row r="4345" spans="1:2">
      <c r="A4345" s="225" t="s">
        <v>10900</v>
      </c>
      <c r="B4345" s="225" t="s">
        <v>10901</v>
      </c>
    </row>
    <row r="4346" spans="1:2">
      <c r="A4346" s="225" t="s">
        <v>10902</v>
      </c>
      <c r="B4346" s="225" t="s">
        <v>10903</v>
      </c>
    </row>
    <row r="4347" spans="1:2">
      <c r="A4347" s="225" t="s">
        <v>1072</v>
      </c>
      <c r="B4347" s="225" t="s">
        <v>10904</v>
      </c>
    </row>
    <row r="4348" spans="1:2">
      <c r="A4348" s="225" t="s">
        <v>1065</v>
      </c>
      <c r="B4348" s="225" t="s">
        <v>10905</v>
      </c>
    </row>
    <row r="4349" spans="1:2">
      <c r="A4349" s="225" t="s">
        <v>1035</v>
      </c>
      <c r="B4349" s="225" t="s">
        <v>10906</v>
      </c>
    </row>
    <row r="4350" spans="1:2">
      <c r="A4350" s="225" t="s">
        <v>1084</v>
      </c>
      <c r="B4350" s="225" t="s">
        <v>10907</v>
      </c>
    </row>
    <row r="4351" spans="1:2">
      <c r="A4351" s="225" t="s">
        <v>1052</v>
      </c>
      <c r="B4351" s="225" t="s">
        <v>10908</v>
      </c>
    </row>
    <row r="4352" spans="1:2">
      <c r="A4352" s="225" t="s">
        <v>1016</v>
      </c>
      <c r="B4352" s="225" t="s">
        <v>10909</v>
      </c>
    </row>
    <row r="4353" spans="1:2">
      <c r="A4353" s="225" t="s">
        <v>10910</v>
      </c>
      <c r="B4353" s="225" t="s">
        <v>10911</v>
      </c>
    </row>
    <row r="4354" spans="1:2">
      <c r="A4354" s="225" t="s">
        <v>10912</v>
      </c>
      <c r="B4354" s="225" t="s">
        <v>10913</v>
      </c>
    </row>
    <row r="4355" spans="1:2">
      <c r="A4355" s="225" t="s">
        <v>1000</v>
      </c>
      <c r="B4355" s="225" t="s">
        <v>10916</v>
      </c>
    </row>
    <row r="4356" spans="1:2">
      <c r="A4356" s="225" t="s">
        <v>1005</v>
      </c>
      <c r="B4356" s="225" t="s">
        <v>10917</v>
      </c>
    </row>
    <row r="4357" spans="1:2">
      <c r="A4357" s="225" t="s">
        <v>1094</v>
      </c>
      <c r="B4357" s="225" t="s">
        <v>10918</v>
      </c>
    </row>
    <row r="4358" spans="1:2">
      <c r="A4358" s="225" t="s">
        <v>1015</v>
      </c>
      <c r="B4358" s="225" t="s">
        <v>10919</v>
      </c>
    </row>
    <row r="4359" spans="1:2">
      <c r="A4359" s="225" t="s">
        <v>10920</v>
      </c>
      <c r="B4359" s="225" t="s">
        <v>10921</v>
      </c>
    </row>
    <row r="4360" spans="1:2">
      <c r="A4360" s="225" t="s">
        <v>1397</v>
      </c>
      <c r="B4360" s="225" t="s">
        <v>10922</v>
      </c>
    </row>
    <row r="4361" spans="1:2">
      <c r="A4361" s="225" t="s">
        <v>10923</v>
      </c>
      <c r="B4361" s="225" t="s">
        <v>10924</v>
      </c>
    </row>
    <row r="4362" spans="1:2">
      <c r="A4362" s="225" t="s">
        <v>10925</v>
      </c>
      <c r="B4362" s="225" t="s">
        <v>10926</v>
      </c>
    </row>
    <row r="4363" spans="1:2">
      <c r="A4363" s="225" t="s">
        <v>10927</v>
      </c>
      <c r="B4363" s="225" t="s">
        <v>10928</v>
      </c>
    </row>
    <row r="4364" spans="1:2">
      <c r="A4364" s="225" t="s">
        <v>10929</v>
      </c>
      <c r="B4364" s="225" t="s">
        <v>10930</v>
      </c>
    </row>
    <row r="4365" spans="1:2">
      <c r="A4365" s="225" t="s">
        <v>1051</v>
      </c>
      <c r="B4365" s="225" t="s">
        <v>11135</v>
      </c>
    </row>
    <row r="4366" spans="1:2">
      <c r="A4366" s="225" t="s">
        <v>11582</v>
      </c>
      <c r="B4366" s="225" t="s">
        <v>5371</v>
      </c>
    </row>
    <row r="4367" spans="1:2">
      <c r="A4367" s="225" t="s">
        <v>11574</v>
      </c>
      <c r="B4367" s="225" t="s">
        <v>5357</v>
      </c>
    </row>
    <row r="4368" spans="1:2">
      <c r="A4368" s="225" t="s">
        <v>11576</v>
      </c>
      <c r="B4368" s="225" t="s">
        <v>11577</v>
      </c>
    </row>
    <row r="4369" spans="1:2">
      <c r="A4369" s="225" t="s">
        <v>1205</v>
      </c>
      <c r="B4369" s="225" t="s">
        <v>5391</v>
      </c>
    </row>
    <row r="4370" spans="1:2">
      <c r="A4370" s="225" t="s">
        <v>1025</v>
      </c>
      <c r="B4370" s="225" t="s">
        <v>5392</v>
      </c>
    </row>
    <row r="4371" spans="1:2">
      <c r="A4371" s="225" t="s">
        <v>11105</v>
      </c>
      <c r="B4371" s="225" t="s">
        <v>11106</v>
      </c>
    </row>
    <row r="4372" spans="1:2">
      <c r="A4372" s="225" t="s">
        <v>1239</v>
      </c>
      <c r="B4372" s="225" t="s">
        <v>11056</v>
      </c>
    </row>
    <row r="4373" spans="1:2">
      <c r="A4373" s="225" t="s">
        <v>1428</v>
      </c>
      <c r="B4373" s="225" t="s">
        <v>11057</v>
      </c>
    </row>
    <row r="4374" spans="1:2">
      <c r="A4374" s="225" t="s">
        <v>11058</v>
      </c>
      <c r="B4374" s="225" t="s">
        <v>11059</v>
      </c>
    </row>
    <row r="4375" spans="1:2">
      <c r="A4375" s="225" t="s">
        <v>1231</v>
      </c>
      <c r="B4375" s="225" t="s">
        <v>11060</v>
      </c>
    </row>
    <row r="4376" spans="1:2">
      <c r="A4376" s="225" t="s">
        <v>11061</v>
      </c>
      <c r="B4376" s="225" t="s">
        <v>11062</v>
      </c>
    </row>
    <row r="4377" spans="1:2">
      <c r="A4377" s="225" t="s">
        <v>11063</v>
      </c>
      <c r="B4377" s="225" t="s">
        <v>11064</v>
      </c>
    </row>
    <row r="4378" spans="1:2">
      <c r="A4378" s="225" t="s">
        <v>1263</v>
      </c>
      <c r="B4378" s="225" t="s">
        <v>11065</v>
      </c>
    </row>
    <row r="4379" spans="1:2">
      <c r="A4379" s="225" t="s">
        <v>1435</v>
      </c>
      <c r="B4379" s="225" t="s">
        <v>11066</v>
      </c>
    </row>
    <row r="4380" spans="1:2">
      <c r="A4380" s="225" t="s">
        <v>11067</v>
      </c>
      <c r="B4380" s="225" t="s">
        <v>11068</v>
      </c>
    </row>
    <row r="4381" spans="1:2">
      <c r="A4381" s="225" t="s">
        <v>11069</v>
      </c>
      <c r="B4381" s="225" t="s">
        <v>11070</v>
      </c>
    </row>
    <row r="4382" spans="1:2">
      <c r="A4382" s="225" t="s">
        <v>1286</v>
      </c>
      <c r="B4382" s="225" t="s">
        <v>11071</v>
      </c>
    </row>
    <row r="4383" spans="1:2">
      <c r="A4383" s="225" t="s">
        <v>1110</v>
      </c>
      <c r="B4383" s="225" t="s">
        <v>11072</v>
      </c>
    </row>
    <row r="4384" spans="1:2">
      <c r="A4384" s="225" t="s">
        <v>11073</v>
      </c>
      <c r="B4384" s="225" t="s">
        <v>11074</v>
      </c>
    </row>
    <row r="4385" spans="1:2">
      <c r="A4385" s="225" t="s">
        <v>1291</v>
      </c>
      <c r="B4385" s="225" t="s">
        <v>11075</v>
      </c>
    </row>
    <row r="4386" spans="1:2">
      <c r="A4386" s="225" t="s">
        <v>11076</v>
      </c>
      <c r="B4386" s="225" t="s">
        <v>11077</v>
      </c>
    </row>
    <row r="4387" spans="1:2">
      <c r="A4387" s="225" t="s">
        <v>11078</v>
      </c>
      <c r="B4387" s="225" t="s">
        <v>11079</v>
      </c>
    </row>
    <row r="4388" spans="1:2">
      <c r="A4388" s="225" t="s">
        <v>11080</v>
      </c>
      <c r="B4388" s="225" t="s">
        <v>10591</v>
      </c>
    </row>
    <row r="4389" spans="1:2">
      <c r="A4389" s="225" t="s">
        <v>1153</v>
      </c>
      <c r="B4389" s="225" t="s">
        <v>11081</v>
      </c>
    </row>
    <row r="4390" spans="1:2">
      <c r="A4390" s="225" t="s">
        <v>1122</v>
      </c>
      <c r="B4390" s="225" t="s">
        <v>1856</v>
      </c>
    </row>
    <row r="4391" spans="1:2">
      <c r="A4391" s="225" t="s">
        <v>1229</v>
      </c>
      <c r="B4391" s="225" t="s">
        <v>11082</v>
      </c>
    </row>
    <row r="4392" spans="1:2">
      <c r="A4392" s="225" t="s">
        <v>11083</v>
      </c>
      <c r="B4392" s="225" t="s">
        <v>11084</v>
      </c>
    </row>
    <row r="4393" spans="1:2">
      <c r="A4393" s="225" t="s">
        <v>1019</v>
      </c>
      <c r="B4393" s="225" t="s">
        <v>1848</v>
      </c>
    </row>
    <row r="4394" spans="1:2">
      <c r="A4394" s="225" t="s">
        <v>1183</v>
      </c>
      <c r="B4394" s="225" t="s">
        <v>11085</v>
      </c>
    </row>
    <row r="4395" spans="1:2">
      <c r="A4395" s="225" t="s">
        <v>1141</v>
      </c>
      <c r="B4395" s="225" t="s">
        <v>11086</v>
      </c>
    </row>
    <row r="4396" spans="1:2">
      <c r="A4396" s="225" t="s">
        <v>1184</v>
      </c>
      <c r="B4396" s="225" t="s">
        <v>11087</v>
      </c>
    </row>
    <row r="4397" spans="1:2">
      <c r="A4397" s="225" t="s">
        <v>1066</v>
      </c>
      <c r="B4397" s="225" t="s">
        <v>1782</v>
      </c>
    </row>
    <row r="4398" spans="1:2">
      <c r="A4398" s="225" t="s">
        <v>1090</v>
      </c>
      <c r="B4398" s="225" t="s">
        <v>11088</v>
      </c>
    </row>
    <row r="4399" spans="1:2">
      <c r="A4399" s="225" t="s">
        <v>1083</v>
      </c>
      <c r="B4399" s="225" t="s">
        <v>1852</v>
      </c>
    </row>
    <row r="4400" spans="1:2">
      <c r="A4400" s="225" t="s">
        <v>1126</v>
      </c>
      <c r="B4400" s="225" t="s">
        <v>1674</v>
      </c>
    </row>
    <row r="4401" spans="1:2">
      <c r="A4401" s="225" t="s">
        <v>1067</v>
      </c>
      <c r="B4401" s="225" t="s">
        <v>1845</v>
      </c>
    </row>
    <row r="4402" spans="1:2">
      <c r="A4402" s="225" t="s">
        <v>1053</v>
      </c>
      <c r="B4402" s="225" t="s">
        <v>11089</v>
      </c>
    </row>
    <row r="4403" spans="1:2">
      <c r="A4403" s="225" t="s">
        <v>1278</v>
      </c>
      <c r="B4403" s="225" t="s">
        <v>11090</v>
      </c>
    </row>
    <row r="4404" spans="1:2">
      <c r="A4404" s="225" t="s">
        <v>1045</v>
      </c>
      <c r="B4404" s="225" t="s">
        <v>1854</v>
      </c>
    </row>
    <row r="4405" spans="1:2">
      <c r="A4405" s="225" t="s">
        <v>1123</v>
      </c>
      <c r="B4405" s="225" t="s">
        <v>11091</v>
      </c>
    </row>
    <row r="4406" spans="1:2">
      <c r="A4406" s="225" t="s">
        <v>1240</v>
      </c>
      <c r="B4406" s="225" t="s">
        <v>11092</v>
      </c>
    </row>
    <row r="4407" spans="1:2">
      <c r="A4407" s="225" t="s">
        <v>11093</v>
      </c>
      <c r="B4407" s="225" t="s">
        <v>11094</v>
      </c>
    </row>
    <row r="4408" spans="1:2">
      <c r="A4408" s="225" t="s">
        <v>1020</v>
      </c>
      <c r="B4408" s="225" t="s">
        <v>11095</v>
      </c>
    </row>
    <row r="4409" spans="1:2">
      <c r="A4409" s="225" t="s">
        <v>1255</v>
      </c>
      <c r="B4409" s="225" t="s">
        <v>1775</v>
      </c>
    </row>
    <row r="4410" spans="1:2">
      <c r="A4410" s="225" t="s">
        <v>1224</v>
      </c>
      <c r="B4410" s="225" t="s">
        <v>11096</v>
      </c>
    </row>
    <row r="4411" spans="1:2">
      <c r="A4411" s="225" t="s">
        <v>1280</v>
      </c>
      <c r="B4411" s="225" t="s">
        <v>11097</v>
      </c>
    </row>
    <row r="4412" spans="1:2">
      <c r="A4412" s="225" t="s">
        <v>1442</v>
      </c>
      <c r="B4412" s="225" t="s">
        <v>11098</v>
      </c>
    </row>
    <row r="4413" spans="1:2">
      <c r="A4413" s="225" t="s">
        <v>1095</v>
      </c>
      <c r="B4413" s="225" t="s">
        <v>4037</v>
      </c>
    </row>
    <row r="4414" spans="1:2">
      <c r="A4414" s="225" t="s">
        <v>1085</v>
      </c>
      <c r="B4414" s="225" t="s">
        <v>11099</v>
      </c>
    </row>
    <row r="4415" spans="1:2">
      <c r="A4415" s="225" t="s">
        <v>1054</v>
      </c>
      <c r="B4415" s="225" t="s">
        <v>1702</v>
      </c>
    </row>
    <row r="4416" spans="1:2">
      <c r="A4416" s="225" t="s">
        <v>11100</v>
      </c>
      <c r="B4416" s="225" t="s">
        <v>11101</v>
      </c>
    </row>
    <row r="4417" spans="1:2">
      <c r="A4417" s="225" t="s">
        <v>1073</v>
      </c>
      <c r="B4417" s="225" t="s">
        <v>11102</v>
      </c>
    </row>
    <row r="4418" spans="1:2">
      <c r="A4418" s="225" t="s">
        <v>1438</v>
      </c>
      <c r="B4418" s="225" t="s">
        <v>11103</v>
      </c>
    </row>
    <row r="4419" spans="1:2">
      <c r="A4419" s="225" t="s">
        <v>1142</v>
      </c>
      <c r="B4419" s="225" t="s">
        <v>11104</v>
      </c>
    </row>
    <row r="4420" spans="1:2">
      <c r="A4420" s="225" t="s">
        <v>1004</v>
      </c>
      <c r="B4420" s="225" t="s">
        <v>11252</v>
      </c>
    </row>
    <row r="4421" spans="1:2">
      <c r="A4421" s="225" t="s">
        <v>1036</v>
      </c>
      <c r="B4421" s="225" t="s">
        <v>11253</v>
      </c>
    </row>
    <row r="4422" spans="1:2">
      <c r="A4422" s="225" t="s">
        <v>1214</v>
      </c>
      <c r="B4422" s="225" t="s">
        <v>11254</v>
      </c>
    </row>
    <row r="4423" spans="1:2">
      <c r="A4423" s="225" t="s">
        <v>1197</v>
      </c>
      <c r="B4423" s="225" t="s">
        <v>11255</v>
      </c>
    </row>
    <row r="4424" spans="1:2">
      <c r="A4424" s="225" t="s">
        <v>1043</v>
      </c>
      <c r="B4424" s="225" t="s">
        <v>11257</v>
      </c>
    </row>
    <row r="4425" spans="1:2">
      <c r="A4425" s="225" t="s">
        <v>1203</v>
      </c>
      <c r="B4425" s="225" t="s">
        <v>11258</v>
      </c>
    </row>
    <row r="4426" spans="1:2">
      <c r="A4426" s="225" t="s">
        <v>11107</v>
      </c>
      <c r="B4426" s="225" t="s">
        <v>11108</v>
      </c>
    </row>
    <row r="4427" spans="1:2">
      <c r="A4427" s="225" t="s">
        <v>1091</v>
      </c>
      <c r="B4427" s="225" t="s">
        <v>11109</v>
      </c>
    </row>
    <row r="4428" spans="1:2">
      <c r="A4428" s="225" t="s">
        <v>11110</v>
      </c>
      <c r="B4428" s="225" t="s">
        <v>11111</v>
      </c>
    </row>
    <row r="4429" spans="1:2">
      <c r="A4429" s="225" t="s">
        <v>11112</v>
      </c>
      <c r="B4429" s="225" t="s">
        <v>11113</v>
      </c>
    </row>
    <row r="4430" spans="1:2">
      <c r="A4430" s="225" t="s">
        <v>1161</v>
      </c>
      <c r="B4430" s="225" t="s">
        <v>11114</v>
      </c>
    </row>
    <row r="4431" spans="1:2">
      <c r="A4431" s="225" t="s">
        <v>11115</v>
      </c>
      <c r="B4431" s="225" t="s">
        <v>11116</v>
      </c>
    </row>
    <row r="4432" spans="1:2">
      <c r="A4432" s="225" t="s">
        <v>11117</v>
      </c>
      <c r="B4432" s="225" t="s">
        <v>11118</v>
      </c>
    </row>
    <row r="4433" spans="1:2">
      <c r="A4433" s="225" t="s">
        <v>1092</v>
      </c>
      <c r="B4433" s="225" t="s">
        <v>11119</v>
      </c>
    </row>
    <row r="4434" spans="1:2">
      <c r="A4434" s="225" t="s">
        <v>11124</v>
      </c>
      <c r="B4434" s="225" t="s">
        <v>11125</v>
      </c>
    </row>
    <row r="4435" spans="1:2">
      <c r="A4435" s="225" t="s">
        <v>1105</v>
      </c>
      <c r="B4435" s="225" t="s">
        <v>11126</v>
      </c>
    </row>
    <row r="4436" spans="1:2">
      <c r="A4436" s="225" t="s">
        <v>11130</v>
      </c>
      <c r="B4436" s="225" t="s">
        <v>11131</v>
      </c>
    </row>
    <row r="4437" spans="1:2">
      <c r="A4437" s="225" t="s">
        <v>1454</v>
      </c>
      <c r="B4437" s="225" t="s">
        <v>11132</v>
      </c>
    </row>
    <row r="4438" spans="1:2">
      <c r="A4438" s="225" t="s">
        <v>1162</v>
      </c>
      <c r="B4438" s="225" t="s">
        <v>11133</v>
      </c>
    </row>
    <row r="4439" spans="1:2">
      <c r="A4439" s="225" t="s">
        <v>1190</v>
      </c>
      <c r="B4439" s="225" t="s">
        <v>11136</v>
      </c>
    </row>
    <row r="4440" spans="1:2">
      <c r="A4440" s="225" t="s">
        <v>1174</v>
      </c>
      <c r="B4440" s="225" t="s">
        <v>11137</v>
      </c>
    </row>
    <row r="4441" spans="1:2">
      <c r="A4441" s="225" t="s">
        <v>11138</v>
      </c>
      <c r="B4441" s="225" t="s">
        <v>11139</v>
      </c>
    </row>
    <row r="4442" spans="1:2">
      <c r="A4442" s="225" t="s">
        <v>1017</v>
      </c>
      <c r="B4442" s="225" t="s">
        <v>11140</v>
      </c>
    </row>
    <row r="4443" spans="1:2">
      <c r="A4443" s="225" t="s">
        <v>1297</v>
      </c>
      <c r="B4443" s="225" t="s">
        <v>5360</v>
      </c>
    </row>
    <row r="4444" spans="1:2">
      <c r="A4444" s="225" t="s">
        <v>1154</v>
      </c>
      <c r="B4444" s="225" t="s">
        <v>5390</v>
      </c>
    </row>
    <row r="4445" spans="1:2">
      <c r="A4445" s="225" t="s">
        <v>11143</v>
      </c>
      <c r="B4445" s="225" t="s">
        <v>9780</v>
      </c>
    </row>
    <row r="4446" spans="1:2">
      <c r="A4446" s="225" t="s">
        <v>1220</v>
      </c>
      <c r="B4446" s="225" t="s">
        <v>11144</v>
      </c>
    </row>
    <row r="4447" spans="1:2">
      <c r="A4447" s="225" t="s">
        <v>1238</v>
      </c>
      <c r="B4447" s="225" t="s">
        <v>11145</v>
      </c>
    </row>
    <row r="4448" spans="1:2">
      <c r="A4448" s="225" t="s">
        <v>1273</v>
      </c>
      <c r="B4448" s="225" t="s">
        <v>11146</v>
      </c>
    </row>
    <row r="4449" spans="1:2">
      <c r="A4449" s="225" t="s">
        <v>11147</v>
      </c>
      <c r="B4449" s="225" t="s">
        <v>11148</v>
      </c>
    </row>
    <row r="4450" spans="1:2">
      <c r="A4450" s="225" t="s">
        <v>11149</v>
      </c>
      <c r="B4450" s="225" t="s">
        <v>11150</v>
      </c>
    </row>
    <row r="4451" spans="1:2">
      <c r="A4451" s="225" t="s">
        <v>11151</v>
      </c>
      <c r="B4451" s="225" t="s">
        <v>9810</v>
      </c>
    </row>
    <row r="4452" spans="1:2">
      <c r="A4452" s="225" t="s">
        <v>11152</v>
      </c>
      <c r="B4452" s="225" t="s">
        <v>11144</v>
      </c>
    </row>
    <row r="4453" spans="1:2">
      <c r="A4453" s="225" t="s">
        <v>11153</v>
      </c>
      <c r="B4453" s="225" t="s">
        <v>11145</v>
      </c>
    </row>
    <row r="4454" spans="1:2">
      <c r="A4454" s="225" t="s">
        <v>11154</v>
      </c>
      <c r="B4454" s="225" t="s">
        <v>11146</v>
      </c>
    </row>
    <row r="4455" spans="1:2">
      <c r="A4455" s="225" t="s">
        <v>11155</v>
      </c>
      <c r="B4455" s="225" t="s">
        <v>11148</v>
      </c>
    </row>
    <row r="4456" spans="1:2">
      <c r="A4456" s="225" t="s">
        <v>11156</v>
      </c>
      <c r="B4456" s="225" t="s">
        <v>11150</v>
      </c>
    </row>
    <row r="4457" spans="1:2">
      <c r="A4457" s="225" t="s">
        <v>10104</v>
      </c>
      <c r="B4457" s="225" t="s">
        <v>10105</v>
      </c>
    </row>
    <row r="4458" spans="1:2">
      <c r="A4458" s="225" t="s">
        <v>903</v>
      </c>
      <c r="B4458" s="225" t="s">
        <v>1617</v>
      </c>
    </row>
    <row r="4459" spans="1:2">
      <c r="A4459" s="225" t="s">
        <v>915</v>
      </c>
      <c r="B4459" s="225" t="s">
        <v>2106</v>
      </c>
    </row>
    <row r="4460" spans="1:2">
      <c r="A4460" s="225" t="s">
        <v>9256</v>
      </c>
      <c r="B4460" s="225" t="s">
        <v>1669</v>
      </c>
    </row>
    <row r="4461" spans="1:2">
      <c r="A4461" s="225" t="s">
        <v>944</v>
      </c>
      <c r="B4461" s="225" t="s">
        <v>1675</v>
      </c>
    </row>
    <row r="4462" spans="1:2">
      <c r="A4462" s="225" t="s">
        <v>9257</v>
      </c>
      <c r="B4462" s="225" t="s">
        <v>2110</v>
      </c>
    </row>
    <row r="4463" spans="1:2">
      <c r="A4463" s="225" t="s">
        <v>1027</v>
      </c>
      <c r="B4463" s="225" t="s">
        <v>1633</v>
      </c>
    </row>
    <row r="4464" spans="1:2">
      <c r="A4464" s="225" t="s">
        <v>941</v>
      </c>
      <c r="B4464" s="225" t="s">
        <v>1774</v>
      </c>
    </row>
    <row r="4465" spans="1:2">
      <c r="A4465" s="225" t="s">
        <v>9260</v>
      </c>
      <c r="B4465" s="225" t="s">
        <v>2116</v>
      </c>
    </row>
    <row r="4466" spans="1:2">
      <c r="A4466" s="225" t="s">
        <v>905</v>
      </c>
      <c r="B4466" s="225" t="s">
        <v>1670</v>
      </c>
    </row>
    <row r="4467" spans="1:2">
      <c r="A4467" s="225" t="s">
        <v>9263</v>
      </c>
      <c r="B4467" s="225" t="s">
        <v>1710</v>
      </c>
    </row>
    <row r="4468" spans="1:2">
      <c r="A4468" s="225" t="s">
        <v>9264</v>
      </c>
      <c r="B4468" s="225" t="s">
        <v>1768</v>
      </c>
    </row>
    <row r="4469" spans="1:2">
      <c r="A4469" s="225" t="s">
        <v>1165</v>
      </c>
      <c r="B4469" s="225" t="s">
        <v>2122</v>
      </c>
    </row>
    <row r="4470" spans="1:2">
      <c r="A4470" s="225" t="s">
        <v>9265</v>
      </c>
      <c r="B4470" s="225" t="s">
        <v>2124</v>
      </c>
    </row>
    <row r="4471" spans="1:2">
      <c r="A4471" s="225" t="s">
        <v>993</v>
      </c>
      <c r="B4471" s="225" t="s">
        <v>2125</v>
      </c>
    </row>
    <row r="4472" spans="1:2">
      <c r="A4472" s="225" t="s">
        <v>9266</v>
      </c>
      <c r="B4472" s="225" t="s">
        <v>1748</v>
      </c>
    </row>
    <row r="4473" spans="1:2">
      <c r="A4473" s="225" t="s">
        <v>1200</v>
      </c>
      <c r="B4473" s="225" t="s">
        <v>2129</v>
      </c>
    </row>
    <row r="4474" spans="1:2">
      <c r="A4474" s="225" t="s">
        <v>9269</v>
      </c>
      <c r="B4474" s="225" t="s">
        <v>2133</v>
      </c>
    </row>
    <row r="4475" spans="1:2">
      <c r="A4475" s="225" t="s">
        <v>9270</v>
      </c>
      <c r="B4475" s="225" t="s">
        <v>1789</v>
      </c>
    </row>
    <row r="4476" spans="1:2">
      <c r="A4476" s="225" t="s">
        <v>9271</v>
      </c>
      <c r="B4476" s="225" t="s">
        <v>2136</v>
      </c>
    </row>
    <row r="4477" spans="1:2">
      <c r="A4477" s="225" t="s">
        <v>1158</v>
      </c>
      <c r="B4477" s="225" t="s">
        <v>1637</v>
      </c>
    </row>
    <row r="4478" spans="1:2">
      <c r="A4478" s="225" t="s">
        <v>1119</v>
      </c>
      <c r="B4478" s="225" t="s">
        <v>1779</v>
      </c>
    </row>
    <row r="4479" spans="1:2">
      <c r="A4479" s="225" t="s">
        <v>975</v>
      </c>
      <c r="B4479" s="225" t="s">
        <v>2149</v>
      </c>
    </row>
    <row r="4480" spans="1:2">
      <c r="A4480" s="225" t="s">
        <v>1136</v>
      </c>
      <c r="B4480" s="225" t="s">
        <v>1903</v>
      </c>
    </row>
    <row r="4481" spans="1:2">
      <c r="A4481" s="225" t="s">
        <v>900</v>
      </c>
      <c r="B4481" s="225" t="s">
        <v>2152</v>
      </c>
    </row>
    <row r="4482" spans="1:2">
      <c r="A4482" s="225" t="s">
        <v>957</v>
      </c>
      <c r="B4482" s="225" t="s">
        <v>1891</v>
      </c>
    </row>
    <row r="4483" spans="1:2">
      <c r="A4483" s="225" t="s">
        <v>1137</v>
      </c>
      <c r="B4483" s="225" t="s">
        <v>1858</v>
      </c>
    </row>
    <row r="4484" spans="1:2">
      <c r="A4484" s="225" t="s">
        <v>9280</v>
      </c>
      <c r="B4484" s="225" t="s">
        <v>1910</v>
      </c>
    </row>
    <row r="4485" spans="1:2">
      <c r="A4485" s="225" t="s">
        <v>9282</v>
      </c>
      <c r="B4485" s="225" t="s">
        <v>2157</v>
      </c>
    </row>
    <row r="4486" spans="1:2">
      <c r="A4486" s="225" t="s">
        <v>1028</v>
      </c>
      <c r="B4486" s="225" t="s">
        <v>1801</v>
      </c>
    </row>
    <row r="4487" spans="1:2">
      <c r="A4487" s="225" t="s">
        <v>9286</v>
      </c>
      <c r="B4487" s="225" t="s">
        <v>2164</v>
      </c>
    </row>
    <row r="4488" spans="1:2">
      <c r="A4488" s="225" t="s">
        <v>1294</v>
      </c>
      <c r="B4488" s="225" t="s">
        <v>1906</v>
      </c>
    </row>
    <row r="4489" spans="1:2">
      <c r="A4489" s="225" t="s">
        <v>1001</v>
      </c>
      <c r="B4489" s="225" t="s">
        <v>2167</v>
      </c>
    </row>
    <row r="4490" spans="1:2">
      <c r="A4490" s="225" t="s">
        <v>980</v>
      </c>
      <c r="B4490" s="225" t="s">
        <v>1912</v>
      </c>
    </row>
    <row r="4491" spans="1:2">
      <c r="A4491" s="225" t="s">
        <v>9288</v>
      </c>
      <c r="B4491" s="225" t="s">
        <v>2170</v>
      </c>
    </row>
    <row r="4492" spans="1:2">
      <c r="A4492" s="225" t="s">
        <v>9289</v>
      </c>
      <c r="B4492" s="225" t="s">
        <v>1919</v>
      </c>
    </row>
    <row r="4493" spans="1:2">
      <c r="A4493" s="225" t="s">
        <v>9290</v>
      </c>
      <c r="B4493" s="225" t="s">
        <v>2173</v>
      </c>
    </row>
    <row r="4494" spans="1:2">
      <c r="A4494" s="225" t="s">
        <v>9291</v>
      </c>
      <c r="B4494" s="225" t="s">
        <v>2175</v>
      </c>
    </row>
    <row r="4495" spans="1:2">
      <c r="A4495" s="225" t="s">
        <v>1234</v>
      </c>
      <c r="B4495" s="225" t="s">
        <v>1956</v>
      </c>
    </row>
    <row r="4496" spans="1:2">
      <c r="A4496" s="225" t="s">
        <v>9295</v>
      </c>
      <c r="B4496" s="225" t="s">
        <v>2183</v>
      </c>
    </row>
    <row r="4497" spans="1:2">
      <c r="A4497" s="225" t="s">
        <v>875</v>
      </c>
      <c r="B4497" s="225" t="s">
        <v>9296</v>
      </c>
    </row>
    <row r="4498" spans="1:2">
      <c r="A4498" s="225" t="s">
        <v>9297</v>
      </c>
      <c r="B4498" s="225" t="s">
        <v>1943</v>
      </c>
    </row>
    <row r="4499" spans="1:2">
      <c r="A4499" s="225" t="s">
        <v>1057</v>
      </c>
      <c r="B4499" s="225" t="s">
        <v>9298</v>
      </c>
    </row>
    <row r="4500" spans="1:2">
      <c r="A4500" s="225" t="s">
        <v>967</v>
      </c>
      <c r="B4500" s="225" t="s">
        <v>2000</v>
      </c>
    </row>
    <row r="4501" spans="1:2">
      <c r="A4501" s="225" t="s">
        <v>9301</v>
      </c>
      <c r="B4501" s="225" t="s">
        <v>1921</v>
      </c>
    </row>
    <row r="4502" spans="1:2">
      <c r="A4502" s="225" t="s">
        <v>1159</v>
      </c>
      <c r="B4502" s="225" t="s">
        <v>9304</v>
      </c>
    </row>
    <row r="4503" spans="1:2">
      <c r="A4503" s="225" t="s">
        <v>9305</v>
      </c>
      <c r="B4503" s="225" t="s">
        <v>9306</v>
      </c>
    </row>
    <row r="4504" spans="1:2">
      <c r="A4504" s="225" t="s">
        <v>9312</v>
      </c>
      <c r="B4504" s="225" t="s">
        <v>9313</v>
      </c>
    </row>
    <row r="4505" spans="1:2">
      <c r="A4505" s="225" t="s">
        <v>8979</v>
      </c>
      <c r="B4505" s="225" t="s">
        <v>8980</v>
      </c>
    </row>
    <row r="4506" spans="1:2">
      <c r="A4506" s="225" t="s">
        <v>8981</v>
      </c>
      <c r="B4506" s="225" t="s">
        <v>8982</v>
      </c>
    </row>
    <row r="4507" spans="1:2">
      <c r="A4507" s="225" t="s">
        <v>8983</v>
      </c>
      <c r="B4507" s="225" t="s">
        <v>8984</v>
      </c>
    </row>
    <row r="4508" spans="1:2">
      <c r="A4508" s="225" t="s">
        <v>8985</v>
      </c>
      <c r="B4508" s="225" t="s">
        <v>8986</v>
      </c>
    </row>
    <row r="4509" spans="1:2">
      <c r="A4509" s="225" t="s">
        <v>8987</v>
      </c>
      <c r="B4509" s="225" t="s">
        <v>8988</v>
      </c>
    </row>
    <row r="4510" spans="1:2">
      <c r="A4510" s="225" t="s">
        <v>8989</v>
      </c>
      <c r="B4510" s="225" t="s">
        <v>4744</v>
      </c>
    </row>
    <row r="4511" spans="1:2">
      <c r="A4511" s="225" t="s">
        <v>8990</v>
      </c>
      <c r="B4511" s="225" t="s">
        <v>8991</v>
      </c>
    </row>
    <row r="4512" spans="1:2">
      <c r="A4512" s="225" t="s">
        <v>9008</v>
      </c>
      <c r="B4512" s="225" t="s">
        <v>9009</v>
      </c>
    </row>
    <row r="4513" spans="1:2">
      <c r="A4513" s="225" t="s">
        <v>9010</v>
      </c>
      <c r="B4513" s="225" t="s">
        <v>9011</v>
      </c>
    </row>
    <row r="4514" spans="1:2">
      <c r="A4514" s="225" t="s">
        <v>9012</v>
      </c>
      <c r="B4514" s="225" t="s">
        <v>9013</v>
      </c>
    </row>
    <row r="4515" spans="1:2">
      <c r="A4515" s="225" t="s">
        <v>9020</v>
      </c>
      <c r="B4515" s="225" t="s">
        <v>9021</v>
      </c>
    </row>
    <row r="4516" spans="1:2">
      <c r="A4516" s="225" t="s">
        <v>9200</v>
      </c>
      <c r="B4516" s="225" t="s">
        <v>9201</v>
      </c>
    </row>
    <row r="4517" spans="1:2">
      <c r="A4517" s="225" t="s">
        <v>9208</v>
      </c>
      <c r="B4517" s="225" t="s">
        <v>9209</v>
      </c>
    </row>
    <row r="4518" spans="1:2">
      <c r="A4518" s="225" t="s">
        <v>9002</v>
      </c>
      <c r="B4518" s="225" t="s">
        <v>9003</v>
      </c>
    </row>
    <row r="4519" spans="1:2">
      <c r="A4519" s="225" t="s">
        <v>9004</v>
      </c>
      <c r="B4519" s="225" t="s">
        <v>9005</v>
      </c>
    </row>
    <row r="4520" spans="1:2">
      <c r="A4520" s="225" t="s">
        <v>9006</v>
      </c>
      <c r="B4520" s="225" t="s">
        <v>9007</v>
      </c>
    </row>
    <row r="4521" spans="1:2">
      <c r="A4521" s="225" t="s">
        <v>9216</v>
      </c>
      <c r="B4521" s="225" t="s">
        <v>9217</v>
      </c>
    </row>
    <row r="4522" spans="1:2">
      <c r="A4522" s="225" t="s">
        <v>10756</v>
      </c>
      <c r="B4522" s="225" t="s">
        <v>10757</v>
      </c>
    </row>
    <row r="4523" spans="1:2">
      <c r="A4523" s="225" t="s">
        <v>10758</v>
      </c>
      <c r="B4523" s="225" t="s">
        <v>10759</v>
      </c>
    </row>
    <row r="4524" spans="1:2">
      <c r="A4524" s="225" t="s">
        <v>926</v>
      </c>
      <c r="B4524" s="225" t="s">
        <v>10760</v>
      </c>
    </row>
    <row r="4525" spans="1:2">
      <c r="A4525" s="225" t="s">
        <v>10761</v>
      </c>
      <c r="B4525" s="225" t="s">
        <v>10762</v>
      </c>
    </row>
    <row r="4526" spans="1:2">
      <c r="A4526" s="225" t="s">
        <v>10763</v>
      </c>
      <c r="B4526" s="225" t="s">
        <v>10764</v>
      </c>
    </row>
    <row r="4527" spans="1:2">
      <c r="A4527" s="225" t="s">
        <v>10765</v>
      </c>
      <c r="B4527" s="225" t="s">
        <v>10766</v>
      </c>
    </row>
    <row r="4528" spans="1:2">
      <c r="A4528" s="225" t="s">
        <v>11583</v>
      </c>
      <c r="B4528" s="225" t="s">
        <v>11584</v>
      </c>
    </row>
    <row r="4529" spans="1:2">
      <c r="A4529" s="225" t="s">
        <v>11579</v>
      </c>
      <c r="B4529" s="225" t="s">
        <v>5366</v>
      </c>
    </row>
    <row r="4530" spans="1:2">
      <c r="A4530" s="225" t="s">
        <v>1107</v>
      </c>
      <c r="B4530" s="225" t="s">
        <v>5367</v>
      </c>
    </row>
    <row r="4531" spans="1:2">
      <c r="A4531" s="225" t="s">
        <v>9319</v>
      </c>
      <c r="B4531" s="225" t="s">
        <v>2215</v>
      </c>
    </row>
    <row r="4532" spans="1:2">
      <c r="A4532" s="225" t="s">
        <v>9321</v>
      </c>
      <c r="B4532" s="225" t="s">
        <v>2219</v>
      </c>
    </row>
    <row r="4533" spans="1:2">
      <c r="A4533" s="225" t="s">
        <v>934</v>
      </c>
      <c r="B4533" s="225" t="s">
        <v>2220</v>
      </c>
    </row>
    <row r="4534" spans="1:2">
      <c r="A4534" s="225" t="s">
        <v>894</v>
      </c>
      <c r="B4534" s="225" t="s">
        <v>2221</v>
      </c>
    </row>
    <row r="4535" spans="1:2">
      <c r="A4535" s="225" t="s">
        <v>1150</v>
      </c>
      <c r="B4535" s="225" t="s">
        <v>2223</v>
      </c>
    </row>
    <row r="4536" spans="1:2">
      <c r="A4536" s="225" t="s">
        <v>9322</v>
      </c>
      <c r="B4536" s="225" t="s">
        <v>2225</v>
      </c>
    </row>
    <row r="4537" spans="1:2">
      <c r="A4537" s="225" t="s">
        <v>1423</v>
      </c>
      <c r="B4537" s="225" t="s">
        <v>9330</v>
      </c>
    </row>
    <row r="4538" spans="1:2">
      <c r="A4538" s="225" t="s">
        <v>9331</v>
      </c>
      <c r="B4538" s="225" t="s">
        <v>9332</v>
      </c>
    </row>
    <row r="4539" spans="1:2">
      <c r="A4539" s="225" t="s">
        <v>10767</v>
      </c>
      <c r="B4539" s="225" t="s">
        <v>10768</v>
      </c>
    </row>
    <row r="4540" spans="1:2">
      <c r="A4540" s="225" t="s">
        <v>10777</v>
      </c>
      <c r="B4540" s="225" t="s">
        <v>10778</v>
      </c>
    </row>
    <row r="4541" spans="1:2">
      <c r="A4541" s="225" t="s">
        <v>10769</v>
      </c>
      <c r="B4541" s="225" t="s">
        <v>10770</v>
      </c>
    </row>
    <row r="4542" spans="1:2">
      <c r="A4542" s="225" t="s">
        <v>10771</v>
      </c>
      <c r="B4542" s="225" t="s">
        <v>10772</v>
      </c>
    </row>
    <row r="4543" spans="1:2">
      <c r="A4543" s="225" t="s">
        <v>10773</v>
      </c>
      <c r="B4543" s="225" t="s">
        <v>10774</v>
      </c>
    </row>
    <row r="4544" spans="1:2">
      <c r="A4544" s="225" t="s">
        <v>10775</v>
      </c>
      <c r="B4544" s="225" t="s">
        <v>10776</v>
      </c>
    </row>
    <row r="4545" spans="1:2">
      <c r="A4545" s="225" t="s">
        <v>8351</v>
      </c>
      <c r="B4545" s="225" t="s">
        <v>8352</v>
      </c>
    </row>
    <row r="4546" spans="1:2">
      <c r="A4546" s="225" t="s">
        <v>8355</v>
      </c>
      <c r="B4546" s="225" t="s">
        <v>8356</v>
      </c>
    </row>
    <row r="4547" spans="1:2">
      <c r="A4547" s="225" t="s">
        <v>8357</v>
      </c>
      <c r="B4547" s="225" t="s">
        <v>8358</v>
      </c>
    </row>
    <row r="4548" spans="1:2">
      <c r="A4548" s="225" t="s">
        <v>8361</v>
      </c>
      <c r="B4548" s="225" t="s">
        <v>8362</v>
      </c>
    </row>
    <row r="4549" spans="1:2">
      <c r="A4549" s="225" t="s">
        <v>8363</v>
      </c>
      <c r="B4549" s="225" t="s">
        <v>8364</v>
      </c>
    </row>
    <row r="4550" spans="1:2">
      <c r="A4550" s="225" t="s">
        <v>8365</v>
      </c>
      <c r="B4550" s="225" t="s">
        <v>8366</v>
      </c>
    </row>
    <row r="4551" spans="1:2">
      <c r="A4551" s="225" t="s">
        <v>8367</v>
      </c>
      <c r="B4551" s="225" t="s">
        <v>8368</v>
      </c>
    </row>
    <row r="4552" spans="1:2">
      <c r="A4552" s="225" t="s">
        <v>8371</v>
      </c>
      <c r="B4552" s="225" t="s">
        <v>8252</v>
      </c>
    </row>
    <row r="4553" spans="1:2">
      <c r="A4553" s="225" t="s">
        <v>8353</v>
      </c>
      <c r="B4553" s="225" t="s">
        <v>8354</v>
      </c>
    </row>
    <row r="4554" spans="1:2">
      <c r="A4554" s="225" t="s">
        <v>5825</v>
      </c>
      <c r="B4554" s="225" t="s">
        <v>2673</v>
      </c>
    </row>
    <row r="4555" spans="1:2">
      <c r="A4555" s="225" t="s">
        <v>6751</v>
      </c>
      <c r="B4555" s="225" t="s">
        <v>6752</v>
      </c>
    </row>
    <row r="4556" spans="1:2">
      <c r="A4556" s="225" t="s">
        <v>6750</v>
      </c>
      <c r="B4556" s="225" t="s">
        <v>4599</v>
      </c>
    </row>
    <row r="4557" spans="1:2">
      <c r="A4557" s="225" t="s">
        <v>1128</v>
      </c>
      <c r="B4557" s="225" t="s">
        <v>9233</v>
      </c>
    </row>
    <row r="4558" spans="1:2">
      <c r="A4558" s="225" t="s">
        <v>9225</v>
      </c>
      <c r="B4558" s="225" t="s">
        <v>9226</v>
      </c>
    </row>
    <row r="4559" spans="1:2">
      <c r="A4559" s="225" t="s">
        <v>2145</v>
      </c>
      <c r="B4559" s="225" t="s">
        <v>2146</v>
      </c>
    </row>
    <row r="4560" spans="1:2">
      <c r="A4560" s="225" t="s">
        <v>791</v>
      </c>
      <c r="B4560" s="225" t="s">
        <v>2149</v>
      </c>
    </row>
    <row r="4561" spans="1:2">
      <c r="A4561" s="225" t="s">
        <v>842</v>
      </c>
      <c r="B4561" s="225" t="s">
        <v>1903</v>
      </c>
    </row>
    <row r="4562" spans="1:2">
      <c r="A4562" s="225" t="s">
        <v>2159</v>
      </c>
      <c r="B4562" s="225" t="s">
        <v>2160</v>
      </c>
    </row>
    <row r="4563" spans="1:2">
      <c r="A4563" s="225" t="s">
        <v>2163</v>
      </c>
      <c r="B4563" s="225" t="s">
        <v>2164</v>
      </c>
    </row>
    <row r="4564" spans="1:2">
      <c r="A4564" s="225" t="s">
        <v>996</v>
      </c>
      <c r="B4564" s="225" t="s">
        <v>1906</v>
      </c>
    </row>
    <row r="4565" spans="1:2">
      <c r="A4565" s="225" t="s">
        <v>8959</v>
      </c>
      <c r="B4565" s="225" t="s">
        <v>2093</v>
      </c>
    </row>
    <row r="4566" spans="1:2">
      <c r="A4566" s="225" t="s">
        <v>8960</v>
      </c>
      <c r="B4566" s="225" t="s">
        <v>8961</v>
      </c>
    </row>
    <row r="4567" spans="1:2">
      <c r="A4567" s="225" t="s">
        <v>8962</v>
      </c>
      <c r="B4567" s="225" t="s">
        <v>8963</v>
      </c>
    </row>
    <row r="4568" spans="1:2">
      <c r="A4568" s="225" t="s">
        <v>8964</v>
      </c>
      <c r="B4568" s="225" t="s">
        <v>8965</v>
      </c>
    </row>
    <row r="4569" spans="1:2">
      <c r="A4569" s="225" t="s">
        <v>8966</v>
      </c>
      <c r="B4569" s="225" t="s">
        <v>8967</v>
      </c>
    </row>
    <row r="4570" spans="1:2">
      <c r="A4570" s="225" t="s">
        <v>8968</v>
      </c>
      <c r="B4570" s="225" t="s">
        <v>8969</v>
      </c>
    </row>
    <row r="4571" spans="1:2">
      <c r="A4571" s="225" t="s">
        <v>1348</v>
      </c>
      <c r="B4571" s="225" t="s">
        <v>8971</v>
      </c>
    </row>
    <row r="4572" spans="1:2">
      <c r="A4572" s="225" t="s">
        <v>1185</v>
      </c>
      <c r="B4572" s="225" t="s">
        <v>3816</v>
      </c>
    </row>
    <row r="4573" spans="1:2">
      <c r="A4573" s="225" t="s">
        <v>8972</v>
      </c>
      <c r="B4573" s="225" t="s">
        <v>8973</v>
      </c>
    </row>
    <row r="4574" spans="1:2">
      <c r="A4574" s="225" t="s">
        <v>1416</v>
      </c>
      <c r="B4574" s="225" t="s">
        <v>8974</v>
      </c>
    </row>
    <row r="4575" spans="1:2">
      <c r="A4575" s="225" t="s">
        <v>1419</v>
      </c>
      <c r="B4575" s="225" t="s">
        <v>8975</v>
      </c>
    </row>
    <row r="4576" spans="1:2">
      <c r="A4576" s="225" t="s">
        <v>1086</v>
      </c>
      <c r="B4576" s="225" t="s">
        <v>9231</v>
      </c>
    </row>
    <row r="4577" spans="1:2">
      <c r="A4577" s="225" t="s">
        <v>1187</v>
      </c>
      <c r="B4577" s="225" t="s">
        <v>9232</v>
      </c>
    </row>
    <row r="4578" spans="1:2">
      <c r="A4578" s="225" t="s">
        <v>1012</v>
      </c>
      <c r="B4578" s="225" t="s">
        <v>9227</v>
      </c>
    </row>
    <row r="4579" spans="1:2">
      <c r="A4579" s="225" t="s">
        <v>1392</v>
      </c>
      <c r="B4579" s="225" t="s">
        <v>9228</v>
      </c>
    </row>
    <row r="4580" spans="1:2">
      <c r="A4580" s="225" t="s">
        <v>722</v>
      </c>
      <c r="B4580" s="225" t="s">
        <v>5743</v>
      </c>
    </row>
    <row r="4581" spans="1:2">
      <c r="A4581" s="225" t="s">
        <v>2522</v>
      </c>
      <c r="B4581" s="225" t="s">
        <v>2384</v>
      </c>
    </row>
    <row r="4582" spans="1:2">
      <c r="A4582" s="225" t="s">
        <v>1149</v>
      </c>
      <c r="B4582" s="225" t="s">
        <v>2386</v>
      </c>
    </row>
    <row r="4583" spans="1:2">
      <c r="A4583" s="225" t="s">
        <v>2523</v>
      </c>
      <c r="B4583" s="225" t="s">
        <v>2388</v>
      </c>
    </row>
    <row r="4584" spans="1:2">
      <c r="A4584" s="225" t="s">
        <v>2524</v>
      </c>
      <c r="B4584" s="225" t="s">
        <v>2390</v>
      </c>
    </row>
    <row r="4585" spans="1:2">
      <c r="A4585" s="225" t="s">
        <v>1135</v>
      </c>
      <c r="B4585" s="225" t="s">
        <v>2392</v>
      </c>
    </row>
    <row r="4586" spans="1:2">
      <c r="A4586" s="225" t="s">
        <v>835</v>
      </c>
      <c r="B4586" s="225" t="s">
        <v>2394</v>
      </c>
    </row>
    <row r="4587" spans="1:2">
      <c r="A4587" s="225" t="s">
        <v>1432</v>
      </c>
      <c r="B4587" s="225" t="s">
        <v>2400</v>
      </c>
    </row>
    <row r="4588" spans="1:2">
      <c r="A4588" s="225" t="s">
        <v>2527</v>
      </c>
      <c r="B4588" s="225" t="s">
        <v>2402</v>
      </c>
    </row>
    <row r="4589" spans="1:2">
      <c r="A4589" s="225" t="s">
        <v>1424</v>
      </c>
      <c r="B4589" s="225" t="s">
        <v>2404</v>
      </c>
    </row>
    <row r="4590" spans="1:2">
      <c r="A4590" s="225" t="s">
        <v>2528</v>
      </c>
      <c r="B4590" s="225" t="s">
        <v>2406</v>
      </c>
    </row>
    <row r="4591" spans="1:2">
      <c r="A4591" s="225" t="s">
        <v>2529</v>
      </c>
      <c r="B4591" s="225" t="s">
        <v>2408</v>
      </c>
    </row>
    <row r="4592" spans="1:2">
      <c r="A4592" s="225" t="s">
        <v>2530</v>
      </c>
      <c r="B4592" s="225" t="s">
        <v>2410</v>
      </c>
    </row>
    <row r="4593" spans="1:2">
      <c r="A4593" s="225" t="s">
        <v>949</v>
      </c>
      <c r="B4593" s="225" t="s">
        <v>2412</v>
      </c>
    </row>
    <row r="4594" spans="1:2">
      <c r="A4594" s="225" t="s">
        <v>825</v>
      </c>
      <c r="B4594" s="225" t="s">
        <v>2414</v>
      </c>
    </row>
    <row r="4595" spans="1:2">
      <c r="A4595" s="225" t="s">
        <v>2555</v>
      </c>
      <c r="B4595" s="225" t="s">
        <v>2556</v>
      </c>
    </row>
    <row r="4596" spans="1:2">
      <c r="A4596" s="225" t="s">
        <v>2531</v>
      </c>
      <c r="B4596" s="225" t="s">
        <v>2416</v>
      </c>
    </row>
    <row r="4597" spans="1:2">
      <c r="A4597" s="225" t="s">
        <v>913</v>
      </c>
      <c r="B4597" s="225" t="s">
        <v>2418</v>
      </c>
    </row>
    <row r="4598" spans="1:2">
      <c r="A4598" s="225" t="s">
        <v>2532</v>
      </c>
      <c r="B4598" s="225" t="s">
        <v>2420</v>
      </c>
    </row>
    <row r="4599" spans="1:2">
      <c r="A4599" s="225" t="s">
        <v>2533</v>
      </c>
      <c r="B4599" s="225" t="s">
        <v>2422</v>
      </c>
    </row>
    <row r="4600" spans="1:2">
      <c r="A4600" s="225" t="s">
        <v>2534</v>
      </c>
      <c r="B4600" s="225" t="s">
        <v>2424</v>
      </c>
    </row>
    <row r="4601" spans="1:2">
      <c r="A4601" s="225" t="s">
        <v>2535</v>
      </c>
      <c r="B4601" s="225" t="s">
        <v>2426</v>
      </c>
    </row>
    <row r="4602" spans="1:2">
      <c r="A4602" s="225" t="s">
        <v>2536</v>
      </c>
      <c r="B4602" s="225" t="s">
        <v>2428</v>
      </c>
    </row>
    <row r="4603" spans="1:2">
      <c r="A4603" s="225" t="s">
        <v>5715</v>
      </c>
      <c r="B4603" s="225" t="s">
        <v>5716</v>
      </c>
    </row>
    <row r="4604" spans="1:2">
      <c r="A4604" s="225" t="s">
        <v>1168</v>
      </c>
      <c r="B4604" s="225" t="s">
        <v>2537</v>
      </c>
    </row>
    <row r="4605" spans="1:2">
      <c r="A4605" s="225" t="s">
        <v>1300</v>
      </c>
      <c r="B4605" s="225" t="s">
        <v>2538</v>
      </c>
    </row>
    <row r="4606" spans="1:2">
      <c r="A4606" s="225" t="s">
        <v>2539</v>
      </c>
      <c r="B4606" s="225" t="s">
        <v>2386</v>
      </c>
    </row>
    <row r="4607" spans="1:2">
      <c r="A4607" s="225" t="s">
        <v>2540</v>
      </c>
      <c r="B4607" s="225" t="s">
        <v>2388</v>
      </c>
    </row>
    <row r="4608" spans="1:2">
      <c r="A4608" s="225" t="s">
        <v>2541</v>
      </c>
      <c r="B4608" s="225" t="s">
        <v>2390</v>
      </c>
    </row>
    <row r="4609" spans="1:2">
      <c r="A4609" s="225" t="s">
        <v>2542</v>
      </c>
      <c r="B4609" s="225" t="s">
        <v>2392</v>
      </c>
    </row>
    <row r="4610" spans="1:2">
      <c r="A4610" s="225" t="s">
        <v>1388</v>
      </c>
      <c r="B4610" s="225" t="s">
        <v>2394</v>
      </c>
    </row>
    <row r="4611" spans="1:2">
      <c r="A4611" s="225" t="s">
        <v>1445</v>
      </c>
      <c r="B4611" s="225" t="s">
        <v>2443</v>
      </c>
    </row>
    <row r="4612" spans="1:2">
      <c r="A4612" s="225" t="s">
        <v>1192</v>
      </c>
      <c r="B4612" s="225" t="s">
        <v>2445</v>
      </c>
    </row>
    <row r="4613" spans="1:2">
      <c r="A4613" s="225" t="s">
        <v>959</v>
      </c>
      <c r="B4613" s="225" t="s">
        <v>2447</v>
      </c>
    </row>
    <row r="4614" spans="1:2">
      <c r="A4614" s="225" t="s">
        <v>2545</v>
      </c>
      <c r="B4614" s="225" t="s">
        <v>2449</v>
      </c>
    </row>
    <row r="4615" spans="1:2">
      <c r="A4615" s="225" t="s">
        <v>1145</v>
      </c>
      <c r="B4615" s="225" t="s">
        <v>2451</v>
      </c>
    </row>
    <row r="4616" spans="1:2">
      <c r="A4616" s="225" t="s">
        <v>2546</v>
      </c>
      <c r="B4616" s="225" t="s">
        <v>2453</v>
      </c>
    </row>
    <row r="4617" spans="1:2">
      <c r="A4617" s="225" t="s">
        <v>939</v>
      </c>
      <c r="B4617" s="225" t="s">
        <v>2455</v>
      </c>
    </row>
    <row r="4618" spans="1:2">
      <c r="A4618" s="225" t="s">
        <v>923</v>
      </c>
      <c r="B4618" s="225" t="s">
        <v>2457</v>
      </c>
    </row>
    <row r="4619" spans="1:2">
      <c r="A4619" s="225" t="s">
        <v>936</v>
      </c>
      <c r="B4619" s="225" t="s">
        <v>2459</v>
      </c>
    </row>
    <row r="4620" spans="1:2">
      <c r="A4620" s="225" t="s">
        <v>2547</v>
      </c>
      <c r="B4620" s="225" t="s">
        <v>2424</v>
      </c>
    </row>
    <row r="4621" spans="1:2">
      <c r="A4621" s="225" t="s">
        <v>1116</v>
      </c>
      <c r="B4621" s="225" t="s">
        <v>2384</v>
      </c>
    </row>
    <row r="4622" spans="1:2">
      <c r="A4622" s="225" t="s">
        <v>879</v>
      </c>
      <c r="B4622" s="225" t="s">
        <v>2388</v>
      </c>
    </row>
    <row r="4623" spans="1:2">
      <c r="A4623" s="225" t="s">
        <v>2548</v>
      </c>
      <c r="B4623" s="225" t="s">
        <v>2392</v>
      </c>
    </row>
    <row r="4624" spans="1:2">
      <c r="A4624" s="225" t="s">
        <v>1155</v>
      </c>
      <c r="B4624" s="225" t="s">
        <v>2394</v>
      </c>
    </row>
    <row r="4625" spans="1:2">
      <c r="A4625" s="225" t="s">
        <v>882</v>
      </c>
      <c r="B4625" s="225" t="s">
        <v>2472</v>
      </c>
    </row>
    <row r="4626" spans="1:2">
      <c r="A4626" s="225" t="s">
        <v>1064</v>
      </c>
      <c r="B4626" s="225" t="s">
        <v>10714</v>
      </c>
    </row>
    <row r="4627" spans="1:2">
      <c r="A4627" s="225" t="s">
        <v>9238</v>
      </c>
      <c r="B4627" s="225" t="s">
        <v>9239</v>
      </c>
    </row>
    <row r="4628" spans="1:2">
      <c r="A4628" s="225" t="s">
        <v>3085</v>
      </c>
      <c r="B4628" s="225" t="s">
        <v>3084</v>
      </c>
    </row>
    <row r="4629" spans="1:2">
      <c r="A4629" s="225" t="s">
        <v>3086</v>
      </c>
      <c r="B4629" s="225" t="s">
        <v>3084</v>
      </c>
    </row>
    <row r="4630" spans="1:2">
      <c r="A4630" s="225" t="s">
        <v>9240</v>
      </c>
      <c r="B4630" s="225" t="s">
        <v>9241</v>
      </c>
    </row>
    <row r="4631" spans="1:2">
      <c r="A4631" s="225" t="s">
        <v>1047</v>
      </c>
      <c r="B4631" s="225" t="s">
        <v>9242</v>
      </c>
    </row>
    <row r="4632" spans="1:2">
      <c r="A4632" s="225" t="s">
        <v>9245</v>
      </c>
      <c r="B4632" s="225" t="s">
        <v>9246</v>
      </c>
    </row>
    <row r="4633" spans="1:2">
      <c r="A4633" s="225" t="s">
        <v>9247</v>
      </c>
      <c r="B4633" s="225" t="s">
        <v>9248</v>
      </c>
    </row>
    <row r="4634" spans="1:2">
      <c r="A4634" s="225" t="s">
        <v>1194</v>
      </c>
      <c r="B4634" s="225" t="s">
        <v>9249</v>
      </c>
    </row>
    <row r="4635" spans="1:2">
      <c r="A4635" s="225" t="s">
        <v>3019</v>
      </c>
      <c r="B4635" s="225" t="s">
        <v>3020</v>
      </c>
    </row>
    <row r="4636" spans="1:2">
      <c r="A4636" s="225" t="s">
        <v>3026</v>
      </c>
      <c r="B4636" s="225" t="s">
        <v>3027</v>
      </c>
    </row>
    <row r="4637" spans="1:2">
      <c r="A4637" s="225" t="s">
        <v>3028</v>
      </c>
      <c r="B4637" s="225" t="s">
        <v>3029</v>
      </c>
    </row>
    <row r="4638" spans="1:2">
      <c r="A4638" s="225" t="s">
        <v>3030</v>
      </c>
      <c r="B4638" s="225" t="s">
        <v>3031</v>
      </c>
    </row>
    <row r="4639" spans="1:2">
      <c r="A4639" s="225" t="s">
        <v>3034</v>
      </c>
      <c r="B4639" s="225" t="s">
        <v>3035</v>
      </c>
    </row>
    <row r="4640" spans="1:2">
      <c r="A4640" s="225" t="s">
        <v>3036</v>
      </c>
      <c r="B4640" s="225" t="s">
        <v>3037</v>
      </c>
    </row>
    <row r="4641" spans="1:2">
      <c r="A4641" s="225" t="s">
        <v>3039</v>
      </c>
      <c r="B4641" s="225" t="s">
        <v>3040</v>
      </c>
    </row>
    <row r="4642" spans="1:2">
      <c r="A4642" s="225" t="s">
        <v>3041</v>
      </c>
      <c r="B4642" s="225" t="s">
        <v>3042</v>
      </c>
    </row>
    <row r="4643" spans="1:2">
      <c r="A4643" s="225" t="s">
        <v>3043</v>
      </c>
      <c r="B4643" s="225" t="s">
        <v>3044</v>
      </c>
    </row>
    <row r="4644" spans="1:2">
      <c r="A4644" s="225" t="s">
        <v>3046</v>
      </c>
      <c r="B4644" s="225" t="s">
        <v>3047</v>
      </c>
    </row>
    <row r="4645" spans="1:2">
      <c r="A4645" s="225" t="s">
        <v>3048</v>
      </c>
      <c r="B4645" s="225" t="s">
        <v>3049</v>
      </c>
    </row>
    <row r="4646" spans="1:2">
      <c r="A4646" s="225" t="s">
        <v>3050</v>
      </c>
      <c r="B4646" s="225" t="s">
        <v>3051</v>
      </c>
    </row>
    <row r="4647" spans="1:2">
      <c r="A4647" s="225" t="s">
        <v>3052</v>
      </c>
      <c r="B4647" s="225" t="s">
        <v>3053</v>
      </c>
    </row>
    <row r="4648" spans="1:2">
      <c r="A4648" s="225" t="s">
        <v>3055</v>
      </c>
      <c r="B4648" s="225" t="s">
        <v>3056</v>
      </c>
    </row>
    <row r="4649" spans="1:2">
      <c r="A4649" s="225" t="s">
        <v>3057</v>
      </c>
      <c r="B4649" s="225" t="s">
        <v>3058</v>
      </c>
    </row>
    <row r="4650" spans="1:2">
      <c r="A4650" s="225" t="s">
        <v>3059</v>
      </c>
      <c r="B4650" s="225" t="s">
        <v>3060</v>
      </c>
    </row>
    <row r="4651" spans="1:2">
      <c r="A4651" s="225" t="s">
        <v>834</v>
      </c>
      <c r="B4651" s="225" t="s">
        <v>3070</v>
      </c>
    </row>
    <row r="4652" spans="1:2">
      <c r="A4652" s="225" t="s">
        <v>3073</v>
      </c>
      <c r="B4652" s="225" t="s">
        <v>3074</v>
      </c>
    </row>
    <row r="4653" spans="1:2">
      <c r="A4653" s="225" t="s">
        <v>3075</v>
      </c>
      <c r="B4653" s="225" t="s">
        <v>3076</v>
      </c>
    </row>
    <row r="4654" spans="1:2">
      <c r="A4654" s="225" t="s">
        <v>3081</v>
      </c>
      <c r="B4654" s="225" t="s">
        <v>3082</v>
      </c>
    </row>
    <row r="4655" spans="1:2">
      <c r="A4655" s="225" t="s">
        <v>3083</v>
      </c>
      <c r="B4655" s="225" t="s">
        <v>3084</v>
      </c>
    </row>
    <row r="4656" spans="1:2">
      <c r="A4656" s="225" t="s">
        <v>3087</v>
      </c>
      <c r="B4656" s="225" t="s">
        <v>3088</v>
      </c>
    </row>
    <row r="4657" spans="1:2">
      <c r="A4657" s="225" t="s">
        <v>3089</v>
      </c>
      <c r="B4657" s="225" t="s">
        <v>3090</v>
      </c>
    </row>
    <row r="4658" spans="1:2">
      <c r="A4658" s="225" t="s">
        <v>3091</v>
      </c>
      <c r="B4658" s="225" t="s">
        <v>3092</v>
      </c>
    </row>
    <row r="4659" spans="1:2">
      <c r="A4659" s="225" t="s">
        <v>3096</v>
      </c>
      <c r="B4659" s="225" t="s">
        <v>2328</v>
      </c>
    </row>
    <row r="4660" spans="1:2">
      <c r="A4660" s="225" t="s">
        <v>3097</v>
      </c>
      <c r="B4660" s="225" t="s">
        <v>2330</v>
      </c>
    </row>
    <row r="4661" spans="1:2">
      <c r="A4661" s="225" t="s">
        <v>7349</v>
      </c>
      <c r="B4661" s="225" t="s">
        <v>7350</v>
      </c>
    </row>
    <row r="4662" spans="1:2">
      <c r="A4662" s="225" t="s">
        <v>889</v>
      </c>
      <c r="B4662" s="225" t="s">
        <v>7351</v>
      </c>
    </row>
    <row r="4663" spans="1:2">
      <c r="A4663" s="225" t="s">
        <v>839</v>
      </c>
      <c r="B4663" s="225" t="s">
        <v>3268</v>
      </c>
    </row>
    <row r="4664" spans="1:2">
      <c r="A4664" s="225" t="s">
        <v>8141</v>
      </c>
      <c r="B4664" s="225" t="s">
        <v>8142</v>
      </c>
    </row>
    <row r="4665" spans="1:2">
      <c r="A4665" s="225" t="s">
        <v>8143</v>
      </c>
      <c r="B4665" s="225" t="s">
        <v>8144</v>
      </c>
    </row>
    <row r="4666" spans="1:2">
      <c r="A4666" s="225" t="s">
        <v>8149</v>
      </c>
      <c r="B4666" s="225" t="s">
        <v>8150</v>
      </c>
    </row>
    <row r="4667" spans="1:2">
      <c r="A4667" s="225" t="s">
        <v>8151</v>
      </c>
      <c r="B4667" s="225" t="s">
        <v>8152</v>
      </c>
    </row>
    <row r="4668" spans="1:2">
      <c r="A4668" s="225" t="s">
        <v>8171</v>
      </c>
      <c r="B4668" s="225" t="s">
        <v>8172</v>
      </c>
    </row>
    <row r="4669" spans="1:2">
      <c r="A4669" s="225" t="s">
        <v>8173</v>
      </c>
      <c r="B4669" s="225" t="s">
        <v>8174</v>
      </c>
    </row>
    <row r="4670" spans="1:2">
      <c r="A4670" s="225" t="s">
        <v>8175</v>
      </c>
      <c r="B4670" s="225" t="s">
        <v>8176</v>
      </c>
    </row>
    <row r="4671" spans="1:2">
      <c r="A4671" s="225" t="s">
        <v>8182</v>
      </c>
      <c r="B4671" s="225" t="s">
        <v>8183</v>
      </c>
    </row>
    <row r="4672" spans="1:2">
      <c r="A4672" s="225" t="s">
        <v>8184</v>
      </c>
      <c r="B4672" s="225" t="s">
        <v>8185</v>
      </c>
    </row>
    <row r="4673" spans="1:2">
      <c r="A4673" s="225" t="s">
        <v>8186</v>
      </c>
      <c r="B4673" s="225" t="s">
        <v>8187</v>
      </c>
    </row>
    <row r="4674" spans="1:2">
      <c r="A4674" s="225" t="s">
        <v>8188</v>
      </c>
      <c r="B4674" s="225" t="s">
        <v>8189</v>
      </c>
    </row>
    <row r="4675" spans="1:2">
      <c r="A4675" s="225" t="s">
        <v>8196</v>
      </c>
      <c r="B4675" s="225" t="s">
        <v>8197</v>
      </c>
    </row>
    <row r="4676" spans="1:2">
      <c r="A4676" s="225" t="s">
        <v>8198</v>
      </c>
      <c r="B4676" s="225" t="s">
        <v>8199</v>
      </c>
    </row>
    <row r="4677" spans="1:2">
      <c r="A4677" s="225" t="s">
        <v>8200</v>
      </c>
      <c r="B4677" s="225" t="s">
        <v>8201</v>
      </c>
    </row>
    <row r="4678" spans="1:2">
      <c r="A4678" s="225" t="s">
        <v>8202</v>
      </c>
      <c r="B4678" s="225" t="s">
        <v>8203</v>
      </c>
    </row>
    <row r="4679" spans="1:2">
      <c r="A4679" s="225" t="s">
        <v>8210</v>
      </c>
      <c r="B4679" s="225" t="s">
        <v>8211</v>
      </c>
    </row>
    <row r="4680" spans="1:2">
      <c r="A4680" s="225" t="s">
        <v>8212</v>
      </c>
      <c r="B4680" s="225" t="s">
        <v>8213</v>
      </c>
    </row>
    <row r="4681" spans="1:2">
      <c r="A4681" s="225" t="s">
        <v>8218</v>
      </c>
      <c r="B4681" s="225" t="s">
        <v>8219</v>
      </c>
    </row>
    <row r="4682" spans="1:2">
      <c r="A4682" s="225" t="s">
        <v>888</v>
      </c>
      <c r="B4682" s="225" t="s">
        <v>9314</v>
      </c>
    </row>
    <row r="4683" spans="1:2">
      <c r="A4683" s="225" t="s">
        <v>2041</v>
      </c>
      <c r="B4683" s="225" t="s">
        <v>2040</v>
      </c>
    </row>
    <row r="4684" spans="1:2">
      <c r="A4684" s="225" t="s">
        <v>2042</v>
      </c>
      <c r="B4684" s="225" t="s">
        <v>2043</v>
      </c>
    </row>
    <row r="4685" spans="1:2">
      <c r="A4685" s="225" t="s">
        <v>2044</v>
      </c>
      <c r="B4685" s="225" t="s">
        <v>2045</v>
      </c>
    </row>
    <row r="4686" spans="1:2">
      <c r="A4686" s="225" t="s">
        <v>2046</v>
      </c>
      <c r="B4686" s="225" t="s">
        <v>2047</v>
      </c>
    </row>
    <row r="4687" spans="1:2">
      <c r="A4687" s="225" t="s">
        <v>2048</v>
      </c>
      <c r="B4687" s="225" t="s">
        <v>2049</v>
      </c>
    </row>
    <row r="4688" spans="1:2">
      <c r="A4688" s="225" t="s">
        <v>2050</v>
      </c>
      <c r="B4688" s="225" t="s">
        <v>2051</v>
      </c>
    </row>
    <row r="4689" spans="1:2">
      <c r="A4689" s="225" t="s">
        <v>2058</v>
      </c>
      <c r="B4689" s="225" t="s">
        <v>2059</v>
      </c>
    </row>
    <row r="4690" spans="1:2">
      <c r="A4690" s="225" t="s">
        <v>2060</v>
      </c>
      <c r="B4690" s="225" t="s">
        <v>2061</v>
      </c>
    </row>
    <row r="4691" spans="1:2">
      <c r="A4691" s="225" t="s">
        <v>2062</v>
      </c>
      <c r="B4691" s="225" t="s">
        <v>2063</v>
      </c>
    </row>
    <row r="4692" spans="1:2">
      <c r="A4692" s="225" t="s">
        <v>2074</v>
      </c>
      <c r="B4692" s="225" t="s">
        <v>2075</v>
      </c>
    </row>
    <row r="4693" spans="1:2">
      <c r="A4693" s="225" t="s">
        <v>2076</v>
      </c>
      <c r="B4693" s="225" t="s">
        <v>2077</v>
      </c>
    </row>
    <row r="4694" spans="1:2">
      <c r="A4694" s="225" t="s">
        <v>2078</v>
      </c>
      <c r="B4694" s="225" t="s">
        <v>2079</v>
      </c>
    </row>
    <row r="4695" spans="1:2">
      <c r="A4695" s="225" t="s">
        <v>2080</v>
      </c>
      <c r="B4695" s="225" t="s">
        <v>2081</v>
      </c>
    </row>
    <row r="4696" spans="1:2">
      <c r="A4696" s="225" t="s">
        <v>2082</v>
      </c>
      <c r="B4696" s="225" t="s">
        <v>2083</v>
      </c>
    </row>
    <row r="4697" spans="1:2">
      <c r="A4697" s="225" t="s">
        <v>2084</v>
      </c>
      <c r="B4697" s="225" t="s">
        <v>2085</v>
      </c>
    </row>
    <row r="4698" spans="1:2">
      <c r="A4698" s="225" t="s">
        <v>2086</v>
      </c>
      <c r="B4698" s="225" t="s">
        <v>2087</v>
      </c>
    </row>
    <row r="4699" spans="1:2">
      <c r="A4699" s="225" t="s">
        <v>2088</v>
      </c>
      <c r="B4699" s="225" t="s">
        <v>2089</v>
      </c>
    </row>
    <row r="4700" spans="1:2">
      <c r="A4700" s="225" t="s">
        <v>2090</v>
      </c>
      <c r="B4700" s="225" t="s">
        <v>2091</v>
      </c>
    </row>
    <row r="4701" spans="1:2">
      <c r="A4701" s="225" t="s">
        <v>2092</v>
      </c>
      <c r="B4701" s="225" t="s">
        <v>2093</v>
      </c>
    </row>
    <row r="4702" spans="1:2">
      <c r="A4702" s="225" t="s">
        <v>2094</v>
      </c>
      <c r="B4702" s="225" t="s">
        <v>2095</v>
      </c>
    </row>
    <row r="4703" spans="1:2">
      <c r="A4703" s="225" t="s">
        <v>942</v>
      </c>
      <c r="B4703" s="225" t="s">
        <v>2230</v>
      </c>
    </row>
    <row r="4704" spans="1:2">
      <c r="A4704" s="225" t="s">
        <v>9324</v>
      </c>
      <c r="B4704" s="225" t="s">
        <v>2232</v>
      </c>
    </row>
    <row r="4705" spans="1:2">
      <c r="A4705" s="225" t="s">
        <v>9325</v>
      </c>
      <c r="B4705" s="225" t="s">
        <v>2234</v>
      </c>
    </row>
    <row r="4706" spans="1:2">
      <c r="A4706" s="225" t="s">
        <v>361</v>
      </c>
      <c r="B4706" s="225" t="s">
        <v>453</v>
      </c>
    </row>
    <row r="4707" spans="1:2">
      <c r="A4707" s="225" t="s">
        <v>2244</v>
      </c>
      <c r="B4707" s="225" t="s">
        <v>2245</v>
      </c>
    </row>
    <row r="4708" spans="1:2">
      <c r="A4708" s="225" t="s">
        <v>2251</v>
      </c>
      <c r="B4708" s="225" t="s">
        <v>2252</v>
      </c>
    </row>
    <row r="4709" spans="1:2">
      <c r="A4709" s="225" t="s">
        <v>8461</v>
      </c>
      <c r="B4709" s="225" t="s">
        <v>4589</v>
      </c>
    </row>
    <row r="4710" spans="1:2">
      <c r="A4710" s="225" t="s">
        <v>8978</v>
      </c>
      <c r="B4710" s="225" t="s">
        <v>4493</v>
      </c>
    </row>
    <row r="4711" spans="1:2">
      <c r="A4711" s="225" t="s">
        <v>1156</v>
      </c>
      <c r="B4711" s="225" t="s">
        <v>3072</v>
      </c>
    </row>
    <row r="4712" spans="1:2">
      <c r="A4712" s="225" t="s">
        <v>906</v>
      </c>
      <c r="B4712" s="225" t="s">
        <v>2277</v>
      </c>
    </row>
    <row r="4713" spans="1:2">
      <c r="A4713" s="225" t="s">
        <v>8626</v>
      </c>
      <c r="B4713" s="225" t="s">
        <v>8625</v>
      </c>
    </row>
    <row r="4714" spans="1:2">
      <c r="A4714" s="225" t="s">
        <v>1354</v>
      </c>
      <c r="B4714" s="225" t="s">
        <v>5475</v>
      </c>
    </row>
    <row r="4715" spans="1:2">
      <c r="A4715" s="225" t="s">
        <v>8627</v>
      </c>
      <c r="B4715" s="225" t="s">
        <v>8628</v>
      </c>
    </row>
    <row r="4716" spans="1:2">
      <c r="A4716" s="225" t="s">
        <v>8629</v>
      </c>
      <c r="B4716" s="225" t="s">
        <v>8630</v>
      </c>
    </row>
    <row r="4717" spans="1:2">
      <c r="A4717" s="225" t="s">
        <v>7036</v>
      </c>
      <c r="B4717" s="225" t="s">
        <v>7037</v>
      </c>
    </row>
    <row r="4718" spans="1:2">
      <c r="A4718" s="225" t="s">
        <v>5717</v>
      </c>
      <c r="B4718" s="225" t="s">
        <v>5718</v>
      </c>
    </row>
    <row r="4719" spans="1:2">
      <c r="A4719" s="225" t="s">
        <v>5719</v>
      </c>
      <c r="B4719" s="225" t="s">
        <v>5720</v>
      </c>
    </row>
    <row r="4720" spans="1:2">
      <c r="A4720" s="225" t="s">
        <v>5721</v>
      </c>
      <c r="B4720" s="225" t="s">
        <v>5722</v>
      </c>
    </row>
    <row r="4721" spans="1:2">
      <c r="A4721" s="225" t="s">
        <v>5723</v>
      </c>
      <c r="B4721" s="225" t="s">
        <v>5724</v>
      </c>
    </row>
    <row r="4722" spans="1:2">
      <c r="A4722" s="225" t="s">
        <v>7988</v>
      </c>
      <c r="B4722" s="225" t="s">
        <v>7989</v>
      </c>
    </row>
    <row r="4723" spans="1:2">
      <c r="A4723" s="225" t="s">
        <v>7990</v>
      </c>
      <c r="B4723" s="225" t="s">
        <v>7991</v>
      </c>
    </row>
    <row r="4724" spans="1:2">
      <c r="A4724" s="225" t="s">
        <v>7994</v>
      </c>
      <c r="B4724" s="225" t="s">
        <v>7995</v>
      </c>
    </row>
    <row r="4725" spans="1:2">
      <c r="A4725" s="225" t="s">
        <v>7996</v>
      </c>
      <c r="B4725" s="225" t="s">
        <v>7997</v>
      </c>
    </row>
    <row r="4726" spans="1:2">
      <c r="A4726" s="225" t="s">
        <v>6933</v>
      </c>
      <c r="B4726" s="225" t="s">
        <v>6934</v>
      </c>
    </row>
    <row r="4727" spans="1:2">
      <c r="A4727" s="225" t="s">
        <v>5709</v>
      </c>
      <c r="B4727" s="225" t="s">
        <v>5710</v>
      </c>
    </row>
    <row r="4728" spans="1:2">
      <c r="A4728" s="225" t="s">
        <v>5727</v>
      </c>
      <c r="B4728" s="225" t="s">
        <v>5728</v>
      </c>
    </row>
    <row r="4729" spans="1:2">
      <c r="A4729" s="225" t="s">
        <v>5736</v>
      </c>
      <c r="B4729" s="225" t="s">
        <v>5737</v>
      </c>
    </row>
    <row r="4730" spans="1:2">
      <c r="A4730" s="225" t="s">
        <v>5742</v>
      </c>
      <c r="B4730" s="225" t="s">
        <v>5743</v>
      </c>
    </row>
    <row r="4731" spans="1:2">
      <c r="A4731" s="225" t="s">
        <v>5801</v>
      </c>
      <c r="B4731" s="225" t="s">
        <v>5802</v>
      </c>
    </row>
    <row r="4732" spans="1:2">
      <c r="A4732" s="225" t="s">
        <v>5809</v>
      </c>
      <c r="B4732" s="225" t="s">
        <v>5808</v>
      </c>
    </row>
    <row r="4733" spans="1:2">
      <c r="A4733" s="225" t="s">
        <v>5810</v>
      </c>
      <c r="B4733" s="225" t="s">
        <v>5811</v>
      </c>
    </row>
    <row r="4734" spans="1:2">
      <c r="A4734" s="225" t="s">
        <v>5820</v>
      </c>
      <c r="B4734" s="225" t="s">
        <v>5821</v>
      </c>
    </row>
    <row r="4735" spans="1:2">
      <c r="A4735" s="225" t="s">
        <v>5822</v>
      </c>
      <c r="B4735" s="225" t="s">
        <v>5821</v>
      </c>
    </row>
    <row r="4736" spans="1:2">
      <c r="A4736" s="225" t="s">
        <v>5826</v>
      </c>
      <c r="B4736" s="225" t="s">
        <v>5827</v>
      </c>
    </row>
    <row r="4737" spans="1:2">
      <c r="A4737" s="225" t="s">
        <v>5828</v>
      </c>
      <c r="B4737" s="225" t="s">
        <v>5829</v>
      </c>
    </row>
    <row r="4738" spans="1:2">
      <c r="A4738" s="225" t="s">
        <v>6686</v>
      </c>
      <c r="B4738" s="225" t="s">
        <v>6687</v>
      </c>
    </row>
    <row r="4739" spans="1:2">
      <c r="A4739" s="225" t="s">
        <v>6692</v>
      </c>
      <c r="B4739" s="225" t="s">
        <v>6693</v>
      </c>
    </row>
    <row r="4740" spans="1:2">
      <c r="A4740" s="225" t="s">
        <v>6694</v>
      </c>
      <c r="B4740" s="225" t="s">
        <v>6695</v>
      </c>
    </row>
    <row r="4741" spans="1:2">
      <c r="A4741" s="225" t="s">
        <v>6696</v>
      </c>
      <c r="B4741" s="225" t="s">
        <v>6697</v>
      </c>
    </row>
    <row r="4742" spans="1:2">
      <c r="A4742" s="225" t="s">
        <v>6698</v>
      </c>
      <c r="B4742" s="225" t="s">
        <v>6699</v>
      </c>
    </row>
    <row r="4743" spans="1:2">
      <c r="A4743" s="225" t="s">
        <v>6700</v>
      </c>
      <c r="B4743" s="225" t="s">
        <v>6701</v>
      </c>
    </row>
    <row r="4744" spans="1:2">
      <c r="A4744" s="225" t="s">
        <v>6702</v>
      </c>
      <c r="B4744" s="225" t="s">
        <v>6703</v>
      </c>
    </row>
    <row r="4745" spans="1:2">
      <c r="A4745" s="225" t="s">
        <v>6704</v>
      </c>
      <c r="B4745" s="225" t="s">
        <v>6705</v>
      </c>
    </row>
    <row r="4746" spans="1:2">
      <c r="A4746" s="225" t="s">
        <v>6706</v>
      </c>
      <c r="B4746" s="225" t="s">
        <v>6707</v>
      </c>
    </row>
    <row r="4747" spans="1:2">
      <c r="A4747" s="225" t="s">
        <v>6708</v>
      </c>
      <c r="B4747" s="225" t="s">
        <v>6709</v>
      </c>
    </row>
    <row r="4748" spans="1:2">
      <c r="A4748" s="225" t="s">
        <v>6710</v>
      </c>
      <c r="B4748" s="225" t="s">
        <v>6711</v>
      </c>
    </row>
    <row r="4749" spans="1:2">
      <c r="A4749" s="225" t="s">
        <v>6712</v>
      </c>
      <c r="B4749" s="225" t="s">
        <v>6713</v>
      </c>
    </row>
    <row r="4750" spans="1:2">
      <c r="A4750" s="225" t="s">
        <v>6718</v>
      </c>
      <c r="B4750" s="225" t="s">
        <v>6719</v>
      </c>
    </row>
    <row r="4751" spans="1:2">
      <c r="A4751" s="225" t="s">
        <v>6720</v>
      </c>
      <c r="B4751" s="225" t="s">
        <v>6721</v>
      </c>
    </row>
    <row r="4752" spans="1:2">
      <c r="A4752" s="225" t="s">
        <v>6722</v>
      </c>
      <c r="B4752" s="225" t="s">
        <v>6723</v>
      </c>
    </row>
    <row r="4753" spans="1:2">
      <c r="A4753" s="225" t="s">
        <v>6724</v>
      </c>
      <c r="B4753" s="225" t="s">
        <v>6725</v>
      </c>
    </row>
    <row r="4754" spans="1:2">
      <c r="A4754" s="225" t="s">
        <v>6726</v>
      </c>
      <c r="B4754" s="225" t="s">
        <v>6727</v>
      </c>
    </row>
    <row r="4755" spans="1:2">
      <c r="A4755" s="225" t="s">
        <v>6728</v>
      </c>
      <c r="B4755" s="225" t="s">
        <v>6729</v>
      </c>
    </row>
    <row r="4756" spans="1:2">
      <c r="A4756" s="225" t="s">
        <v>6730</v>
      </c>
      <c r="B4756" s="225" t="s">
        <v>6731</v>
      </c>
    </row>
    <row r="4757" spans="1:2">
      <c r="A4757" s="225" t="s">
        <v>6732</v>
      </c>
      <c r="B4757" s="225" t="s">
        <v>6733</v>
      </c>
    </row>
    <row r="4758" spans="1:2">
      <c r="A4758" s="225" t="s">
        <v>6734</v>
      </c>
      <c r="B4758" s="225" t="s">
        <v>6735</v>
      </c>
    </row>
    <row r="4759" spans="1:2">
      <c r="A4759" s="225" t="s">
        <v>6736</v>
      </c>
      <c r="B4759" s="225" t="s">
        <v>6737</v>
      </c>
    </row>
    <row r="4760" spans="1:2">
      <c r="A4760" s="225" t="s">
        <v>6738</v>
      </c>
      <c r="B4760" s="225" t="s">
        <v>6739</v>
      </c>
    </row>
    <row r="4761" spans="1:2">
      <c r="A4761" s="225" t="s">
        <v>6744</v>
      </c>
      <c r="B4761" s="225" t="s">
        <v>6745</v>
      </c>
    </row>
    <row r="4762" spans="1:2">
      <c r="A4762" s="225" t="s">
        <v>6746</v>
      </c>
      <c r="B4762" s="225" t="s">
        <v>6747</v>
      </c>
    </row>
    <row r="4763" spans="1:2">
      <c r="A4763" s="225" t="s">
        <v>8024</v>
      </c>
      <c r="B4763" s="225" t="s">
        <v>8025</v>
      </c>
    </row>
    <row r="4764" spans="1:2">
      <c r="A4764" s="225" t="s">
        <v>8026</v>
      </c>
      <c r="B4764" s="225" t="s">
        <v>8027</v>
      </c>
    </row>
    <row r="4765" spans="1:2">
      <c r="A4765" s="225" t="s">
        <v>8032</v>
      </c>
      <c r="B4765" s="225" t="s">
        <v>8033</v>
      </c>
    </row>
    <row r="4766" spans="1:2">
      <c r="A4766" s="225" t="s">
        <v>1326</v>
      </c>
      <c r="B4766" s="225" t="s">
        <v>5733</v>
      </c>
    </row>
    <row r="4767" spans="1:2">
      <c r="A4767" s="225" t="s">
        <v>1349</v>
      </c>
      <c r="B4767" s="225" t="s">
        <v>5518</v>
      </c>
    </row>
    <row r="4768" spans="1:2">
      <c r="A4768" s="225" t="s">
        <v>6906</v>
      </c>
      <c r="B4768" s="225" t="s">
        <v>4483</v>
      </c>
    </row>
    <row r="4769" spans="1:2">
      <c r="A4769" s="225" t="s">
        <v>6969</v>
      </c>
      <c r="B4769" s="225" t="s">
        <v>6970</v>
      </c>
    </row>
    <row r="4770" spans="1:2">
      <c r="A4770" s="225" t="s">
        <v>768</v>
      </c>
      <c r="B4770" s="225" t="s">
        <v>2235</v>
      </c>
    </row>
    <row r="4771" spans="1:2">
      <c r="A4771" s="225" t="s">
        <v>8339</v>
      </c>
      <c r="B4771" s="225" t="s">
        <v>8340</v>
      </c>
    </row>
    <row r="4772" spans="1:2">
      <c r="A4772" s="225" t="s">
        <v>8345</v>
      </c>
      <c r="B4772" s="225" t="s">
        <v>8346</v>
      </c>
    </row>
    <row r="4773" spans="1:2">
      <c r="A4773" s="225" t="s">
        <v>8347</v>
      </c>
      <c r="B4773" s="225" t="s">
        <v>8348</v>
      </c>
    </row>
    <row r="4774" spans="1:2">
      <c r="A4774" s="225" t="s">
        <v>8327</v>
      </c>
      <c r="B4774" s="225" t="s">
        <v>8328</v>
      </c>
    </row>
    <row r="4775" spans="1:2">
      <c r="A4775" s="225" t="s">
        <v>8329</v>
      </c>
      <c r="B4775" s="225" t="s">
        <v>8330</v>
      </c>
    </row>
    <row r="4776" spans="1:2">
      <c r="A4776" s="225" t="s">
        <v>8333</v>
      </c>
      <c r="B4776" s="225" t="s">
        <v>8334</v>
      </c>
    </row>
    <row r="4777" spans="1:2">
      <c r="A4777" s="225" t="s">
        <v>8335</v>
      </c>
      <c r="B4777" s="225" t="s">
        <v>8336</v>
      </c>
    </row>
    <row r="4778" spans="1:2">
      <c r="A4778" s="225" t="s">
        <v>8337</v>
      </c>
      <c r="B4778" s="225" t="s">
        <v>8338</v>
      </c>
    </row>
    <row r="4779" spans="1:2">
      <c r="A4779" s="225" t="s">
        <v>8040</v>
      </c>
      <c r="B4779" s="225" t="s">
        <v>4693</v>
      </c>
    </row>
    <row r="4780" spans="1:2">
      <c r="A4780" s="225" t="s">
        <v>8043</v>
      </c>
      <c r="B4780" s="225" t="s">
        <v>8044</v>
      </c>
    </row>
    <row r="4781" spans="1:2">
      <c r="A4781" s="225" t="s">
        <v>8049</v>
      </c>
      <c r="B4781" s="225" t="s">
        <v>8050</v>
      </c>
    </row>
    <row r="4782" spans="1:2">
      <c r="A4782" s="225" t="s">
        <v>8051</v>
      </c>
      <c r="B4782" s="225" t="s">
        <v>8052</v>
      </c>
    </row>
    <row r="4783" spans="1:2">
      <c r="A4783" s="225" t="s">
        <v>8053</v>
      </c>
      <c r="B4783" s="225" t="s">
        <v>8054</v>
      </c>
    </row>
    <row r="4784" spans="1:2">
      <c r="A4784" s="225" t="s">
        <v>8055</v>
      </c>
      <c r="B4784" s="225" t="s">
        <v>8056</v>
      </c>
    </row>
    <row r="4785" spans="1:2">
      <c r="A4785" s="225" t="s">
        <v>8057</v>
      </c>
      <c r="B4785" s="225" t="s">
        <v>8058</v>
      </c>
    </row>
    <row r="4786" spans="1:2">
      <c r="A4786" s="225" t="s">
        <v>8059</v>
      </c>
      <c r="B4786" s="225" t="s">
        <v>8060</v>
      </c>
    </row>
    <row r="4787" spans="1:2">
      <c r="A4787" s="225" t="s">
        <v>8061</v>
      </c>
      <c r="B4787" s="225" t="s">
        <v>8062</v>
      </c>
    </row>
    <row r="4788" spans="1:2">
      <c r="A4788" s="225" t="s">
        <v>8063</v>
      </c>
      <c r="B4788" s="225" t="s">
        <v>8064</v>
      </c>
    </row>
    <row r="4789" spans="1:2">
      <c r="A4789" s="225" t="s">
        <v>8065</v>
      </c>
      <c r="B4789" s="225" t="s">
        <v>8066</v>
      </c>
    </row>
    <row r="4790" spans="1:2">
      <c r="A4790" s="225" t="s">
        <v>8067</v>
      </c>
      <c r="B4790" s="225" t="s">
        <v>8068</v>
      </c>
    </row>
    <row r="4791" spans="1:2">
      <c r="A4791" s="225" t="s">
        <v>8069</v>
      </c>
      <c r="B4791" s="225" t="s">
        <v>8070</v>
      </c>
    </row>
    <row r="4792" spans="1:2">
      <c r="A4792" s="225" t="s">
        <v>8071</v>
      </c>
      <c r="B4792" s="225" t="s">
        <v>8072</v>
      </c>
    </row>
    <row r="4793" spans="1:2">
      <c r="A4793" s="225" t="s">
        <v>8073</v>
      </c>
      <c r="B4793" s="225" t="s">
        <v>8074</v>
      </c>
    </row>
    <row r="4794" spans="1:2">
      <c r="A4794" s="225" t="s">
        <v>8075</v>
      </c>
      <c r="B4794" s="225" t="s">
        <v>8076</v>
      </c>
    </row>
    <row r="4795" spans="1:2">
      <c r="A4795" s="225" t="s">
        <v>8077</v>
      </c>
      <c r="B4795" s="225" t="s">
        <v>8078</v>
      </c>
    </row>
    <row r="4796" spans="1:2">
      <c r="A4796" s="225" t="s">
        <v>8079</v>
      </c>
      <c r="B4796" s="225" t="s">
        <v>8080</v>
      </c>
    </row>
    <row r="4797" spans="1:2">
      <c r="A4797" s="225" t="s">
        <v>8081</v>
      </c>
      <c r="B4797" s="225" t="s">
        <v>8082</v>
      </c>
    </row>
    <row r="4798" spans="1:2">
      <c r="A4798" s="225" t="s">
        <v>8083</v>
      </c>
      <c r="B4798" s="225" t="s">
        <v>8084</v>
      </c>
    </row>
    <row r="4799" spans="1:2">
      <c r="A4799" s="225" t="s">
        <v>8085</v>
      </c>
      <c r="B4799" s="225" t="s">
        <v>8086</v>
      </c>
    </row>
    <row r="4800" spans="1:2">
      <c r="A4800" s="225" t="s">
        <v>8087</v>
      </c>
      <c r="B4800" s="225" t="s">
        <v>8088</v>
      </c>
    </row>
    <row r="4801" spans="1:2">
      <c r="A4801" s="225" t="s">
        <v>8095</v>
      </c>
      <c r="B4801" s="225" t="s">
        <v>8096</v>
      </c>
    </row>
    <row r="4802" spans="1:2">
      <c r="A4802" s="225" t="s">
        <v>8099</v>
      </c>
      <c r="B4802" s="225" t="s">
        <v>8100</v>
      </c>
    </row>
    <row r="4803" spans="1:2">
      <c r="A4803" s="225" t="s">
        <v>8101</v>
      </c>
      <c r="B4803" s="225" t="s">
        <v>8102</v>
      </c>
    </row>
    <row r="4804" spans="1:2">
      <c r="A4804" s="225" t="s">
        <v>8103</v>
      </c>
      <c r="B4804" s="225" t="s">
        <v>8104</v>
      </c>
    </row>
    <row r="4805" spans="1:2">
      <c r="A4805" s="225" t="s">
        <v>8105</v>
      </c>
      <c r="B4805" s="225" t="s">
        <v>8106</v>
      </c>
    </row>
    <row r="4806" spans="1:2">
      <c r="A4806" s="225" t="s">
        <v>8109</v>
      </c>
      <c r="B4806" s="225" t="s">
        <v>8110</v>
      </c>
    </row>
    <row r="4807" spans="1:2">
      <c r="A4807" s="225" t="s">
        <v>8111</v>
      </c>
      <c r="B4807" s="225" t="s">
        <v>8112</v>
      </c>
    </row>
    <row r="4808" spans="1:2">
      <c r="A4808" s="225" t="s">
        <v>3071</v>
      </c>
      <c r="B4808" s="225" t="s">
        <v>3070</v>
      </c>
    </row>
    <row r="4809" spans="1:2">
      <c r="A4809" s="225" t="s">
        <v>991</v>
      </c>
      <c r="B4809" s="225" t="s">
        <v>3069</v>
      </c>
    </row>
    <row r="4810" spans="1:2">
      <c r="A4810" s="225" t="s">
        <v>1002</v>
      </c>
      <c r="B4810" s="225" t="s">
        <v>3033</v>
      </c>
    </row>
    <row r="4811" spans="1:2">
      <c r="A4811" s="225" t="s">
        <v>7038</v>
      </c>
      <c r="B4811" s="225" t="s">
        <v>7039</v>
      </c>
    </row>
    <row r="4812" spans="1:2">
      <c r="A4812" s="225" t="s">
        <v>7218</v>
      </c>
      <c r="B4812" s="225" t="s">
        <v>7219</v>
      </c>
    </row>
    <row r="4813" spans="1:2">
      <c r="A4813" s="225" t="s">
        <v>7222</v>
      </c>
      <c r="B4813" s="225" t="s">
        <v>7223</v>
      </c>
    </row>
    <row r="4814" spans="1:2">
      <c r="A4814" s="225" t="s">
        <v>7224</v>
      </c>
      <c r="B4814" s="225" t="s">
        <v>7225</v>
      </c>
    </row>
    <row r="4815" spans="1:2">
      <c r="A4815" s="225" t="s">
        <v>7226</v>
      </c>
      <c r="B4815" s="225" t="s">
        <v>7227</v>
      </c>
    </row>
    <row r="4816" spans="1:2">
      <c r="A4816" s="225" t="s">
        <v>7228</v>
      </c>
      <c r="B4816" s="225" t="s">
        <v>7229</v>
      </c>
    </row>
    <row r="4817" spans="1:2">
      <c r="A4817" s="225" t="s">
        <v>7230</v>
      </c>
      <c r="B4817" s="225" t="s">
        <v>7231</v>
      </c>
    </row>
    <row r="4818" spans="1:2">
      <c r="A4818" s="225" t="s">
        <v>7236</v>
      </c>
      <c r="B4818" s="225" t="s">
        <v>7237</v>
      </c>
    </row>
    <row r="4819" spans="1:2">
      <c r="A4819" s="225" t="s">
        <v>7238</v>
      </c>
      <c r="B4819" s="225" t="s">
        <v>7239</v>
      </c>
    </row>
    <row r="4820" spans="1:2">
      <c r="A4820" s="225" t="s">
        <v>7240</v>
      </c>
      <c r="B4820" s="225" t="s">
        <v>7241</v>
      </c>
    </row>
    <row r="4821" spans="1:2">
      <c r="A4821" s="225" t="s">
        <v>7242</v>
      </c>
      <c r="B4821" s="225" t="s">
        <v>7243</v>
      </c>
    </row>
    <row r="4822" spans="1:2">
      <c r="A4822" s="225" t="s">
        <v>7244</v>
      </c>
      <c r="B4822" s="225" t="s">
        <v>7245</v>
      </c>
    </row>
    <row r="4823" spans="1:2">
      <c r="A4823" s="225" t="s">
        <v>7259</v>
      </c>
      <c r="B4823" s="225" t="s">
        <v>7156</v>
      </c>
    </row>
    <row r="4824" spans="1:2">
      <c r="A4824" s="225" t="s">
        <v>7260</v>
      </c>
      <c r="B4824" s="225" t="s">
        <v>7261</v>
      </c>
    </row>
    <row r="4825" spans="1:2">
      <c r="A4825" s="225" t="s">
        <v>7262</v>
      </c>
      <c r="B4825" s="225" t="s">
        <v>7158</v>
      </c>
    </row>
    <row r="4826" spans="1:2">
      <c r="A4826" s="225" t="s">
        <v>7263</v>
      </c>
      <c r="B4826" s="225" t="s">
        <v>7160</v>
      </c>
    </row>
    <row r="4827" spans="1:2">
      <c r="A4827" s="225" t="s">
        <v>7264</v>
      </c>
      <c r="B4827" s="225" t="s">
        <v>7162</v>
      </c>
    </row>
    <row r="4828" spans="1:2">
      <c r="A4828" s="225" t="s">
        <v>7265</v>
      </c>
      <c r="B4828" s="225" t="s">
        <v>7164</v>
      </c>
    </row>
    <row r="4829" spans="1:2">
      <c r="A4829" s="225" t="s">
        <v>7266</v>
      </c>
      <c r="B4829" s="225" t="s">
        <v>7267</v>
      </c>
    </row>
    <row r="4830" spans="1:2">
      <c r="A4830" s="225" t="s">
        <v>7268</v>
      </c>
      <c r="B4830" s="225" t="s">
        <v>7269</v>
      </c>
    </row>
    <row r="4831" spans="1:2">
      <c r="A4831" s="225" t="s">
        <v>7270</v>
      </c>
      <c r="B4831" s="225" t="s">
        <v>2386</v>
      </c>
    </row>
    <row r="4832" spans="1:2">
      <c r="A4832" s="225" t="s">
        <v>7271</v>
      </c>
      <c r="B4832" s="225" t="s">
        <v>3856</v>
      </c>
    </row>
    <row r="4833" spans="1:2">
      <c r="A4833" s="225" t="s">
        <v>7272</v>
      </c>
      <c r="B4833" s="225" t="s">
        <v>7132</v>
      </c>
    </row>
    <row r="4834" spans="1:2">
      <c r="A4834" s="225" t="s">
        <v>7273</v>
      </c>
      <c r="B4834" s="225" t="s">
        <v>3857</v>
      </c>
    </row>
    <row r="4835" spans="1:2">
      <c r="A4835" s="225" t="s">
        <v>7274</v>
      </c>
      <c r="B4835" s="225" t="s">
        <v>7133</v>
      </c>
    </row>
    <row r="4836" spans="1:2">
      <c r="A4836" s="225" t="s">
        <v>7275</v>
      </c>
      <c r="B4836" s="225" t="s">
        <v>2199</v>
      </c>
    </row>
    <row r="4837" spans="1:2">
      <c r="A4837" s="225" t="s">
        <v>7276</v>
      </c>
      <c r="B4837" s="225" t="s">
        <v>2232</v>
      </c>
    </row>
    <row r="4838" spans="1:2">
      <c r="A4838" s="225" t="s">
        <v>7277</v>
      </c>
      <c r="B4838" s="225" t="s">
        <v>2234</v>
      </c>
    </row>
    <row r="4839" spans="1:2">
      <c r="A4839" s="225" t="s">
        <v>7278</v>
      </c>
      <c r="B4839" s="225" t="s">
        <v>2568</v>
      </c>
    </row>
    <row r="4840" spans="1:2">
      <c r="A4840" s="225" t="s">
        <v>7279</v>
      </c>
      <c r="B4840" s="225" t="s">
        <v>2570</v>
      </c>
    </row>
    <row r="4841" spans="1:2">
      <c r="A4841" s="225" t="s">
        <v>7280</v>
      </c>
      <c r="B4841" s="225" t="s">
        <v>1617</v>
      </c>
    </row>
    <row r="4842" spans="1:2">
      <c r="A4842" s="225" t="s">
        <v>7281</v>
      </c>
      <c r="B4842" s="225" t="s">
        <v>1858</v>
      </c>
    </row>
    <row r="4843" spans="1:2">
      <c r="A4843" s="225" t="s">
        <v>7282</v>
      </c>
      <c r="B4843" s="225" t="s">
        <v>1919</v>
      </c>
    </row>
    <row r="4844" spans="1:2">
      <c r="A4844" s="225" t="s">
        <v>7283</v>
      </c>
      <c r="B4844" s="225" t="s">
        <v>7284</v>
      </c>
    </row>
    <row r="4845" spans="1:2">
      <c r="A4845" s="225" t="s">
        <v>7285</v>
      </c>
      <c r="B4845" s="225" t="s">
        <v>3886</v>
      </c>
    </row>
    <row r="4846" spans="1:2">
      <c r="A4846" s="225" t="s">
        <v>7286</v>
      </c>
      <c r="B4846" s="225" t="s">
        <v>4037</v>
      </c>
    </row>
    <row r="4847" spans="1:2">
      <c r="A4847" s="225" t="s">
        <v>7287</v>
      </c>
      <c r="B4847" s="225" t="s">
        <v>7288</v>
      </c>
    </row>
    <row r="4848" spans="1:2">
      <c r="A4848" s="225" t="s">
        <v>7289</v>
      </c>
      <c r="B4848" s="225" t="s">
        <v>7290</v>
      </c>
    </row>
    <row r="4849" spans="1:2">
      <c r="A4849" s="225" t="s">
        <v>7291</v>
      </c>
      <c r="B4849" s="225" t="s">
        <v>2124</v>
      </c>
    </row>
    <row r="4850" spans="1:2">
      <c r="A4850" s="225" t="s">
        <v>7292</v>
      </c>
      <c r="B4850" s="225" t="s">
        <v>7293</v>
      </c>
    </row>
    <row r="4851" spans="1:2">
      <c r="A4851" s="225" t="s">
        <v>7294</v>
      </c>
      <c r="B4851" s="225" t="s">
        <v>7295</v>
      </c>
    </row>
    <row r="4852" spans="1:2">
      <c r="A4852" s="225" t="s">
        <v>7296</v>
      </c>
      <c r="B4852" s="225" t="s">
        <v>7297</v>
      </c>
    </row>
    <row r="4853" spans="1:2">
      <c r="A4853" s="225" t="s">
        <v>7298</v>
      </c>
      <c r="B4853" s="225" t="s">
        <v>7299</v>
      </c>
    </row>
    <row r="4854" spans="1:2">
      <c r="A4854" s="225" t="s">
        <v>7300</v>
      </c>
      <c r="B4854" s="225" t="s">
        <v>7301</v>
      </c>
    </row>
    <row r="4855" spans="1:2">
      <c r="A4855" s="225" t="s">
        <v>7302</v>
      </c>
      <c r="B4855" s="225" t="s">
        <v>7303</v>
      </c>
    </row>
    <row r="4856" spans="1:2">
      <c r="A4856" s="225" t="s">
        <v>1341</v>
      </c>
      <c r="B4856" s="225" t="s">
        <v>7304</v>
      </c>
    </row>
    <row r="4857" spans="1:2">
      <c r="A4857" s="225" t="s">
        <v>7305</v>
      </c>
      <c r="B4857" s="225" t="s">
        <v>7306</v>
      </c>
    </row>
    <row r="4858" spans="1:2">
      <c r="A4858" s="225" t="s">
        <v>7307</v>
      </c>
      <c r="B4858" s="225" t="s">
        <v>7308</v>
      </c>
    </row>
    <row r="4859" spans="1:2">
      <c r="A4859" s="225" t="s">
        <v>7309</v>
      </c>
      <c r="B4859" s="225" t="s">
        <v>7310</v>
      </c>
    </row>
    <row r="4860" spans="1:2">
      <c r="A4860" s="225" t="s">
        <v>7311</v>
      </c>
      <c r="B4860" s="225" t="s">
        <v>7312</v>
      </c>
    </row>
    <row r="4861" spans="1:2">
      <c r="A4861" s="225" t="s">
        <v>7313</v>
      </c>
      <c r="B4861" s="225" t="s">
        <v>7314</v>
      </c>
    </row>
    <row r="4862" spans="1:2">
      <c r="A4862" s="225" t="s">
        <v>7315</v>
      </c>
      <c r="B4862" s="225" t="s">
        <v>7316</v>
      </c>
    </row>
    <row r="4863" spans="1:2">
      <c r="A4863" s="225" t="s">
        <v>7321</v>
      </c>
      <c r="B4863" s="225" t="s">
        <v>7322</v>
      </c>
    </row>
    <row r="4864" spans="1:2">
      <c r="A4864" s="225" t="s">
        <v>7323</v>
      </c>
      <c r="B4864" s="225" t="s">
        <v>7324</v>
      </c>
    </row>
    <row r="4865" spans="1:2">
      <c r="A4865" s="225" t="s">
        <v>7325</v>
      </c>
      <c r="B4865" s="225" t="s">
        <v>7326</v>
      </c>
    </row>
    <row r="4866" spans="1:2">
      <c r="A4866" s="225" t="s">
        <v>1371</v>
      </c>
      <c r="B4866" s="225" t="s">
        <v>3850</v>
      </c>
    </row>
    <row r="4867" spans="1:2">
      <c r="A4867" s="225" t="s">
        <v>1373</v>
      </c>
      <c r="B4867" s="225" t="s">
        <v>3851</v>
      </c>
    </row>
    <row r="4868" spans="1:2">
      <c r="A4868" s="225" t="s">
        <v>1398</v>
      </c>
      <c r="B4868" s="225" t="s">
        <v>2199</v>
      </c>
    </row>
    <row r="4869" spans="1:2">
      <c r="A4869" s="225" t="s">
        <v>1375</v>
      </c>
      <c r="B4869" s="225" t="s">
        <v>2235</v>
      </c>
    </row>
    <row r="4870" spans="1:2">
      <c r="A4870" s="225" t="s">
        <v>7331</v>
      </c>
      <c r="B4870" s="225" t="s">
        <v>7332</v>
      </c>
    </row>
    <row r="4871" spans="1:2">
      <c r="A4871" s="225" t="s">
        <v>7333</v>
      </c>
      <c r="B4871" s="225" t="s">
        <v>7334</v>
      </c>
    </row>
    <row r="4872" spans="1:2">
      <c r="A4872" s="225" t="s">
        <v>1320</v>
      </c>
      <c r="B4872" s="225" t="s">
        <v>7335</v>
      </c>
    </row>
    <row r="4873" spans="1:2">
      <c r="A4873" s="225" t="s">
        <v>7336</v>
      </c>
      <c r="B4873" s="225" t="s">
        <v>7337</v>
      </c>
    </row>
    <row r="4874" spans="1:2">
      <c r="A4874" s="225" t="s">
        <v>7338</v>
      </c>
      <c r="B4874" s="225" t="s">
        <v>7339</v>
      </c>
    </row>
    <row r="4875" spans="1:2">
      <c r="A4875" s="225" t="s">
        <v>7340</v>
      </c>
      <c r="B4875" s="225" t="s">
        <v>7341</v>
      </c>
    </row>
    <row r="4876" spans="1:2">
      <c r="A4876" s="225" t="s">
        <v>7342</v>
      </c>
      <c r="B4876" s="225" t="s">
        <v>7343</v>
      </c>
    </row>
    <row r="4877" spans="1:2">
      <c r="A4877" s="225" t="s">
        <v>7344</v>
      </c>
      <c r="B4877" s="225" t="s">
        <v>7147</v>
      </c>
    </row>
    <row r="4878" spans="1:2">
      <c r="A4878" s="225" t="s">
        <v>7345</v>
      </c>
      <c r="B4878" s="225" t="s">
        <v>7346</v>
      </c>
    </row>
    <row r="4879" spans="1:2">
      <c r="A4879" s="225" t="s">
        <v>7347</v>
      </c>
      <c r="B4879" s="225" t="s">
        <v>7348</v>
      </c>
    </row>
    <row r="4880" spans="1:2">
      <c r="A4880" s="225" t="s">
        <v>8957</v>
      </c>
      <c r="B4880" s="225" t="s">
        <v>8958</v>
      </c>
    </row>
    <row r="4881" spans="1:2">
      <c r="A4881" s="225" t="s">
        <v>9031</v>
      </c>
      <c r="B4881" s="225" t="s">
        <v>9032</v>
      </c>
    </row>
    <row r="4882" spans="1:2">
      <c r="A4882" s="225" t="s">
        <v>9040</v>
      </c>
      <c r="B4882" s="225" t="s">
        <v>2320</v>
      </c>
    </row>
    <row r="4883" spans="1:2">
      <c r="A4883" s="225" t="s">
        <v>9042</v>
      </c>
      <c r="B4883" s="225" t="s">
        <v>7297</v>
      </c>
    </row>
    <row r="4884" spans="1:2">
      <c r="A4884" s="225" t="s">
        <v>960</v>
      </c>
      <c r="B4884" s="225" t="s">
        <v>2199</v>
      </c>
    </row>
    <row r="4885" spans="1:2">
      <c r="A4885" s="225" t="s">
        <v>1376</v>
      </c>
      <c r="B4885" s="225" t="s">
        <v>2200</v>
      </c>
    </row>
    <row r="4886" spans="1:2">
      <c r="A4886" s="225" t="s">
        <v>9311</v>
      </c>
      <c r="B4886" s="225" t="s">
        <v>2202</v>
      </c>
    </row>
    <row r="4887" spans="1:2">
      <c r="A4887" s="225" t="s">
        <v>931</v>
      </c>
      <c r="B4887" s="225" t="s">
        <v>2203</v>
      </c>
    </row>
    <row r="4888" spans="1:2">
      <c r="A4888" s="225" t="s">
        <v>7969</v>
      </c>
      <c r="B4888" s="225" t="s">
        <v>7970</v>
      </c>
    </row>
    <row r="4889" spans="1:2">
      <c r="A4889" s="225" t="s">
        <v>8008</v>
      </c>
      <c r="B4889" s="225" t="s">
        <v>8009</v>
      </c>
    </row>
    <row r="4890" spans="1:2">
      <c r="A4890" s="225" t="s">
        <v>8034</v>
      </c>
      <c r="B4890" s="225" t="s">
        <v>8035</v>
      </c>
    </row>
    <row r="4891" spans="1:2">
      <c r="A4891" s="225" t="s">
        <v>8036</v>
      </c>
      <c r="B4891" s="225" t="s">
        <v>8037</v>
      </c>
    </row>
    <row r="4892" spans="1:2">
      <c r="A4892" s="225" t="s">
        <v>8325</v>
      </c>
      <c r="B4892" s="225" t="s">
        <v>8326</v>
      </c>
    </row>
    <row r="4893" spans="1:2">
      <c r="A4893" s="225" t="s">
        <v>8331</v>
      </c>
      <c r="B4893" s="225" t="s">
        <v>8332</v>
      </c>
    </row>
    <row r="4894" spans="1:2">
      <c r="A4894" s="225" t="s">
        <v>8343</v>
      </c>
      <c r="B4894" s="225" t="s">
        <v>8344</v>
      </c>
    </row>
    <row r="4895" spans="1:2">
      <c r="A4895" s="225" t="s">
        <v>5706</v>
      </c>
      <c r="B4895" s="225" t="s">
        <v>3691</v>
      </c>
    </row>
    <row r="4896" spans="1:2">
      <c r="A4896" s="225" t="s">
        <v>2295</v>
      </c>
      <c r="B4896" s="225" t="s">
        <v>2296</v>
      </c>
    </row>
    <row r="4897" spans="1:2">
      <c r="A4897" s="225" t="s">
        <v>2303</v>
      </c>
      <c r="B4897" s="225" t="s">
        <v>2304</v>
      </c>
    </row>
    <row r="4898" spans="1:2">
      <c r="A4898" s="225" t="s">
        <v>2313</v>
      </c>
      <c r="B4898" s="225" t="s">
        <v>2314</v>
      </c>
    </row>
    <row r="4899" spans="1:2">
      <c r="A4899" s="225" t="s">
        <v>2064</v>
      </c>
      <c r="B4899" s="225" t="s">
        <v>2065</v>
      </c>
    </row>
    <row r="4900" spans="1:2">
      <c r="A4900" s="225" t="s">
        <v>2066</v>
      </c>
      <c r="B4900" s="225" t="s">
        <v>2067</v>
      </c>
    </row>
    <row r="4901" spans="1:2">
      <c r="A4901" s="225" t="s">
        <v>2068</v>
      </c>
      <c r="B4901" s="225" t="s">
        <v>2069</v>
      </c>
    </row>
    <row r="4902" spans="1:2">
      <c r="A4902" s="225" t="s">
        <v>5647</v>
      </c>
      <c r="B4902" s="225" t="s">
        <v>5648</v>
      </c>
    </row>
    <row r="4903" spans="1:2">
      <c r="A4903" s="225" t="s">
        <v>2070</v>
      </c>
      <c r="B4903" s="225" t="s">
        <v>2071</v>
      </c>
    </row>
    <row r="4904" spans="1:2">
      <c r="A4904" s="225" t="s">
        <v>5649</v>
      </c>
      <c r="B4904" s="225" t="s">
        <v>5650</v>
      </c>
    </row>
    <row r="4905" spans="1:2">
      <c r="A4905" s="225" t="s">
        <v>2072</v>
      </c>
      <c r="B4905" s="225" t="s">
        <v>2073</v>
      </c>
    </row>
    <row r="4906" spans="1:2">
      <c r="A4906" s="225" t="s">
        <v>5651</v>
      </c>
      <c r="B4906" s="225" t="s">
        <v>5652</v>
      </c>
    </row>
    <row r="4907" spans="1:2">
      <c r="A4907" s="225" t="s">
        <v>5653</v>
      </c>
      <c r="B4907" s="225" t="s">
        <v>5654</v>
      </c>
    </row>
    <row r="4908" spans="1:2">
      <c r="A4908" s="225" t="s">
        <v>5655</v>
      </c>
      <c r="B4908" s="225" t="s">
        <v>5656</v>
      </c>
    </row>
    <row r="4909" spans="1:2">
      <c r="A4909" s="225" t="s">
        <v>5657</v>
      </c>
      <c r="B4909" s="225" t="s">
        <v>5658</v>
      </c>
    </row>
    <row r="4910" spans="1:2">
      <c r="A4910" s="225" t="s">
        <v>5659</v>
      </c>
      <c r="B4910" s="225" t="s">
        <v>5660</v>
      </c>
    </row>
    <row r="4911" spans="1:2">
      <c r="A4911" s="225" t="s">
        <v>5661</v>
      </c>
      <c r="B4911" s="225" t="s">
        <v>5662</v>
      </c>
    </row>
    <row r="4912" spans="1:2">
      <c r="A4912" s="225" t="s">
        <v>5663</v>
      </c>
      <c r="B4912" s="225" t="s">
        <v>5664</v>
      </c>
    </row>
    <row r="4913" spans="1:2">
      <c r="A4913" s="225" t="s">
        <v>5665</v>
      </c>
      <c r="B4913" s="225" t="s">
        <v>5666</v>
      </c>
    </row>
    <row r="4914" spans="1:2">
      <c r="A4914" s="225" t="s">
        <v>5667</v>
      </c>
      <c r="B4914" s="225" t="s">
        <v>5668</v>
      </c>
    </row>
    <row r="4915" spans="1:2">
      <c r="A4915" s="225" t="s">
        <v>5669</v>
      </c>
      <c r="B4915" s="225" t="s">
        <v>5670</v>
      </c>
    </row>
    <row r="4916" spans="1:2">
      <c r="A4916" s="225" t="s">
        <v>5671</v>
      </c>
      <c r="B4916" s="225" t="s">
        <v>5672</v>
      </c>
    </row>
    <row r="4917" spans="1:2">
      <c r="A4917" s="225" t="s">
        <v>5673</v>
      </c>
      <c r="B4917" s="225" t="s">
        <v>5674</v>
      </c>
    </row>
    <row r="4918" spans="1:2">
      <c r="A4918" s="225" t="s">
        <v>5675</v>
      </c>
      <c r="B4918" s="225" t="s">
        <v>5676</v>
      </c>
    </row>
    <row r="4919" spans="1:2">
      <c r="A4919" s="225" t="s">
        <v>5677</v>
      </c>
      <c r="B4919" s="225" t="s">
        <v>5678</v>
      </c>
    </row>
    <row r="4920" spans="1:2">
      <c r="A4920" s="225" t="s">
        <v>5679</v>
      </c>
      <c r="B4920" s="225" t="s">
        <v>5680</v>
      </c>
    </row>
    <row r="4921" spans="1:2">
      <c r="A4921" s="225" t="s">
        <v>5681</v>
      </c>
      <c r="B4921" s="225" t="s">
        <v>5682</v>
      </c>
    </row>
    <row r="4922" spans="1:2">
      <c r="A4922" s="225" t="s">
        <v>5683</v>
      </c>
      <c r="B4922" s="225" t="s">
        <v>5684</v>
      </c>
    </row>
    <row r="4923" spans="1:2">
      <c r="A4923" s="225" t="s">
        <v>5685</v>
      </c>
      <c r="B4923" s="225" t="s">
        <v>5686</v>
      </c>
    </row>
    <row r="4924" spans="1:2">
      <c r="A4924" s="225" t="s">
        <v>5687</v>
      </c>
      <c r="B4924" s="225" t="s">
        <v>5688</v>
      </c>
    </row>
    <row r="4925" spans="1:2">
      <c r="A4925" s="225" t="s">
        <v>6685</v>
      </c>
      <c r="B4925" s="225" t="s">
        <v>4549</v>
      </c>
    </row>
    <row r="4926" spans="1:2">
      <c r="A4926" s="225" t="s">
        <v>738</v>
      </c>
      <c r="B4926" s="225" t="s">
        <v>2235</v>
      </c>
    </row>
    <row r="4927" spans="1:2">
      <c r="A4927" s="225" t="s">
        <v>764</v>
      </c>
      <c r="B4927" s="225" t="s">
        <v>2278</v>
      </c>
    </row>
    <row r="4928" spans="1:2">
      <c r="A4928" s="225" t="s">
        <v>983</v>
      </c>
      <c r="B4928" s="225" t="s">
        <v>2279</v>
      </c>
    </row>
    <row r="4929" spans="1:2">
      <c r="A4929" s="225" t="s">
        <v>2280</v>
      </c>
      <c r="B4929" s="225" t="s">
        <v>2281</v>
      </c>
    </row>
    <row r="4930" spans="1:2">
      <c r="A4930" s="225" t="s">
        <v>2288</v>
      </c>
      <c r="B4930" s="225" t="s">
        <v>2289</v>
      </c>
    </row>
    <row r="4931" spans="1:2">
      <c r="A4931" s="225" t="s">
        <v>838</v>
      </c>
      <c r="B4931" s="225" t="s">
        <v>8970</v>
      </c>
    </row>
    <row r="4932" spans="1:2">
      <c r="A4932" s="225" t="s">
        <v>8460</v>
      </c>
      <c r="B4932" s="225" t="s">
        <v>4589</v>
      </c>
    </row>
    <row r="4933" spans="1:2">
      <c r="A4933" s="225" t="s">
        <v>8462</v>
      </c>
      <c r="B4933" s="225" t="s">
        <v>8463</v>
      </c>
    </row>
    <row r="4934" spans="1:2">
      <c r="A4934" s="225" t="s">
        <v>1362</v>
      </c>
      <c r="B4934" s="225" t="s">
        <v>8466</v>
      </c>
    </row>
    <row r="4935" spans="1:2">
      <c r="A4935" s="225" t="s">
        <v>8467</v>
      </c>
      <c r="B4935" s="225" t="s">
        <v>8468</v>
      </c>
    </row>
    <row r="4936" spans="1:2">
      <c r="A4936" s="225" t="s">
        <v>8493</v>
      </c>
      <c r="B4936" s="225" t="s">
        <v>8494</v>
      </c>
    </row>
    <row r="4937" spans="1:2">
      <c r="A4937" s="225" t="s">
        <v>8501</v>
      </c>
      <c r="B4937" s="225" t="s">
        <v>4224</v>
      </c>
    </row>
    <row r="4938" spans="1:2">
      <c r="A4938" s="225" t="s">
        <v>8510</v>
      </c>
      <c r="B4938" s="225" t="s">
        <v>8511</v>
      </c>
    </row>
    <row r="4939" spans="1:2">
      <c r="A4939" s="225" t="s">
        <v>8512</v>
      </c>
      <c r="B4939" s="225" t="s">
        <v>8513</v>
      </c>
    </row>
    <row r="4940" spans="1:2">
      <c r="A4940" s="225" t="s">
        <v>8516</v>
      </c>
      <c r="B4940" s="225" t="s">
        <v>8517</v>
      </c>
    </row>
    <row r="4941" spans="1:2">
      <c r="A4941" s="225" t="s">
        <v>8518</v>
      </c>
      <c r="B4941" s="225" t="s">
        <v>8519</v>
      </c>
    </row>
    <row r="4942" spans="1:2">
      <c r="A4942" s="225" t="s">
        <v>8520</v>
      </c>
      <c r="B4942" s="225" t="s">
        <v>8521</v>
      </c>
    </row>
    <row r="4943" spans="1:2">
      <c r="A4943" s="225" t="s">
        <v>8522</v>
      </c>
      <c r="B4943" s="225" t="s">
        <v>8523</v>
      </c>
    </row>
    <row r="4944" spans="1:2">
      <c r="A4944" s="225" t="s">
        <v>8524</v>
      </c>
      <c r="B4944" s="225" t="s">
        <v>8525</v>
      </c>
    </row>
    <row r="4945" spans="1:2">
      <c r="A4945" s="225" t="s">
        <v>8526</v>
      </c>
      <c r="B4945" s="225" t="s">
        <v>8527</v>
      </c>
    </row>
    <row r="4946" spans="1:2">
      <c r="A4946" s="225" t="s">
        <v>8528</v>
      </c>
      <c r="B4946" s="225" t="s">
        <v>8529</v>
      </c>
    </row>
    <row r="4947" spans="1:2">
      <c r="A4947" s="225" t="s">
        <v>8534</v>
      </c>
      <c r="B4947" s="225" t="s">
        <v>8535</v>
      </c>
    </row>
    <row r="4948" spans="1:2">
      <c r="A4948" s="225" t="s">
        <v>8539</v>
      </c>
      <c r="B4948" s="225" t="s">
        <v>8540</v>
      </c>
    </row>
    <row r="4949" spans="1:2">
      <c r="A4949" s="225" t="s">
        <v>8545</v>
      </c>
      <c r="B4949" s="225" t="s">
        <v>8546</v>
      </c>
    </row>
    <row r="4950" spans="1:2">
      <c r="A4950" s="225" t="s">
        <v>8551</v>
      </c>
      <c r="B4950" s="225" t="s">
        <v>8552</v>
      </c>
    </row>
    <row r="4951" spans="1:2">
      <c r="A4951" s="225" t="s">
        <v>8569</v>
      </c>
      <c r="B4951" s="225" t="s">
        <v>8570</v>
      </c>
    </row>
    <row r="4952" spans="1:2">
      <c r="A4952" s="225" t="s">
        <v>864</v>
      </c>
      <c r="B4952" s="225" t="s">
        <v>2294</v>
      </c>
    </row>
    <row r="4953" spans="1:2">
      <c r="A4953" s="225" t="s">
        <v>9037</v>
      </c>
      <c r="B4953" s="225" t="s">
        <v>9038</v>
      </c>
    </row>
    <row r="4954" spans="1:2">
      <c r="A4954" s="225" t="s">
        <v>733</v>
      </c>
      <c r="B4954" s="225" t="s">
        <v>8583</v>
      </c>
    </row>
    <row r="4955" spans="1:2">
      <c r="A4955" s="225" t="s">
        <v>1369</v>
      </c>
      <c r="B4955" s="225" t="s">
        <v>8584</v>
      </c>
    </row>
    <row r="4956" spans="1:2">
      <c r="A4956" s="225" t="s">
        <v>9039</v>
      </c>
      <c r="B4956" s="225" t="s">
        <v>2312</v>
      </c>
    </row>
    <row r="4957" spans="1:2">
      <c r="A4957" s="225" t="s">
        <v>8585</v>
      </c>
      <c r="B4957" s="225" t="s">
        <v>8586</v>
      </c>
    </row>
    <row r="4958" spans="1:2">
      <c r="A4958" s="225" t="s">
        <v>837</v>
      </c>
      <c r="B4958" s="225" t="s">
        <v>2277</v>
      </c>
    </row>
    <row r="4959" spans="1:2">
      <c r="A4959" s="225" t="s">
        <v>8587</v>
      </c>
      <c r="B4959" s="225" t="s">
        <v>8588</v>
      </c>
    </row>
    <row r="4960" spans="1:2">
      <c r="A4960" s="225" t="s">
        <v>729</v>
      </c>
      <c r="B4960" s="225" t="s">
        <v>2278</v>
      </c>
    </row>
    <row r="4961" spans="1:2">
      <c r="A4961" s="225" t="s">
        <v>8589</v>
      </c>
      <c r="B4961" s="225" t="s">
        <v>8590</v>
      </c>
    </row>
    <row r="4962" spans="1:2">
      <c r="A4962" s="225" t="s">
        <v>901</v>
      </c>
      <c r="B4962" s="225" t="s">
        <v>2279</v>
      </c>
    </row>
    <row r="4963" spans="1:2">
      <c r="A4963" s="225" t="s">
        <v>8591</v>
      </c>
      <c r="B4963" s="225" t="s">
        <v>8592</v>
      </c>
    </row>
    <row r="4964" spans="1:2">
      <c r="A4964" s="225" t="s">
        <v>9041</v>
      </c>
      <c r="B4964" s="225" t="s">
        <v>2281</v>
      </c>
    </row>
    <row r="4965" spans="1:2">
      <c r="A4965" s="225" t="s">
        <v>8593</v>
      </c>
      <c r="B4965" s="225" t="s">
        <v>8594</v>
      </c>
    </row>
    <row r="4966" spans="1:2">
      <c r="A4966" s="225" t="s">
        <v>8595</v>
      </c>
      <c r="B4966" s="225" t="s">
        <v>8596</v>
      </c>
    </row>
    <row r="4967" spans="1:2">
      <c r="A4967" s="225" t="s">
        <v>8597</v>
      </c>
      <c r="B4967" s="225" t="s">
        <v>8598</v>
      </c>
    </row>
    <row r="4968" spans="1:2">
      <c r="A4968" s="225" t="s">
        <v>8600</v>
      </c>
      <c r="B4968" s="225" t="s">
        <v>8601</v>
      </c>
    </row>
    <row r="4969" spans="1:2">
      <c r="A4969" s="225" t="s">
        <v>732</v>
      </c>
      <c r="B4969" s="225" t="s">
        <v>8583</v>
      </c>
    </row>
    <row r="4970" spans="1:2">
      <c r="A4970" s="225" t="s">
        <v>8602</v>
      </c>
      <c r="B4970" s="225" t="s">
        <v>8603</v>
      </c>
    </row>
    <row r="4971" spans="1:2">
      <c r="A4971" s="225" t="s">
        <v>8604</v>
      </c>
      <c r="B4971" s="225" t="s">
        <v>8605</v>
      </c>
    </row>
    <row r="4972" spans="1:2">
      <c r="A4972" s="225" t="s">
        <v>8606</v>
      </c>
      <c r="B4972" s="225" t="s">
        <v>8607</v>
      </c>
    </row>
    <row r="4973" spans="1:2">
      <c r="A4973" s="225" t="s">
        <v>8608</v>
      </c>
      <c r="B4973" s="225" t="s">
        <v>8609</v>
      </c>
    </row>
    <row r="4974" spans="1:2">
      <c r="A4974" s="225" t="s">
        <v>8610</v>
      </c>
      <c r="B4974" s="225" t="s">
        <v>8611</v>
      </c>
    </row>
    <row r="4975" spans="1:2">
      <c r="A4975" s="225" t="s">
        <v>8612</v>
      </c>
      <c r="B4975" s="225" t="s">
        <v>8613</v>
      </c>
    </row>
    <row r="4976" spans="1:2">
      <c r="A4976" s="225" t="s">
        <v>8614</v>
      </c>
      <c r="B4976" s="225" t="s">
        <v>8615</v>
      </c>
    </row>
    <row r="4977" spans="1:2">
      <c r="A4977" s="225" t="s">
        <v>8616</v>
      </c>
      <c r="B4977" s="225" t="s">
        <v>8617</v>
      </c>
    </row>
    <row r="4978" spans="1:2">
      <c r="A4978" s="225" t="s">
        <v>8618</v>
      </c>
      <c r="B4978" s="225" t="s">
        <v>8619</v>
      </c>
    </row>
    <row r="4979" spans="1:2">
      <c r="A4979" s="225" t="s">
        <v>734</v>
      </c>
      <c r="B4979" s="225" t="s">
        <v>1617</v>
      </c>
    </row>
    <row r="4980" spans="1:2">
      <c r="A4980" s="225" t="s">
        <v>9014</v>
      </c>
      <c r="B4980" s="225" t="s">
        <v>9015</v>
      </c>
    </row>
    <row r="4981" spans="1:2">
      <c r="A4981" s="225" t="s">
        <v>9016</v>
      </c>
      <c r="B4981" s="225" t="s">
        <v>9017</v>
      </c>
    </row>
    <row r="4982" spans="1:2">
      <c r="A4982" s="225" t="s">
        <v>9018</v>
      </c>
      <c r="B4982" s="225" t="s">
        <v>9019</v>
      </c>
    </row>
    <row r="4983" spans="1:2">
      <c r="A4983" s="225" t="s">
        <v>1010</v>
      </c>
      <c r="B4983" s="225" t="s">
        <v>9022</v>
      </c>
    </row>
    <row r="4984" spans="1:2">
      <c r="A4984" s="225" t="s">
        <v>9023</v>
      </c>
      <c r="B4984" s="225" t="s">
        <v>9024</v>
      </c>
    </row>
    <row r="4985" spans="1:2">
      <c r="A4985" s="225" t="s">
        <v>8992</v>
      </c>
      <c r="B4985" s="225" t="s">
        <v>8993</v>
      </c>
    </row>
    <row r="4986" spans="1:2">
      <c r="A4986" s="225" t="s">
        <v>8994</v>
      </c>
      <c r="B4986" s="225" t="s">
        <v>8995</v>
      </c>
    </row>
    <row r="4987" spans="1:2">
      <c r="A4987" s="225" t="s">
        <v>9025</v>
      </c>
      <c r="B4987" s="225" t="s">
        <v>9026</v>
      </c>
    </row>
    <row r="4988" spans="1:2">
      <c r="A4988" s="225" t="s">
        <v>9197</v>
      </c>
      <c r="B4988" s="225" t="s">
        <v>9198</v>
      </c>
    </row>
    <row r="4989" spans="1:2">
      <c r="A4989" s="225" t="s">
        <v>9199</v>
      </c>
      <c r="B4989" s="225" t="s">
        <v>9198</v>
      </c>
    </row>
    <row r="4990" spans="1:2">
      <c r="A4990" s="225" t="s">
        <v>9202</v>
      </c>
      <c r="B4990" s="225" t="s">
        <v>9203</v>
      </c>
    </row>
    <row r="4991" spans="1:2">
      <c r="A4991" s="225" t="s">
        <v>9204</v>
      </c>
      <c r="B4991" s="225" t="s">
        <v>9205</v>
      </c>
    </row>
    <row r="4992" spans="1:2">
      <c r="A4992" s="225" t="s">
        <v>998</v>
      </c>
      <c r="B4992" s="225" t="s">
        <v>9210</v>
      </c>
    </row>
    <row r="4993" spans="1:2">
      <c r="A4993" s="225" t="s">
        <v>9211</v>
      </c>
      <c r="B4993" s="225" t="s">
        <v>9212</v>
      </c>
    </row>
    <row r="4994" spans="1:2">
      <c r="A4994" s="225" t="s">
        <v>8996</v>
      </c>
      <c r="B4994" s="225" t="s">
        <v>8997</v>
      </c>
    </row>
    <row r="4995" spans="1:2">
      <c r="A4995" s="225" t="s">
        <v>1188</v>
      </c>
      <c r="B4995" s="225" t="s">
        <v>9213</v>
      </c>
    </row>
    <row r="4996" spans="1:2">
      <c r="A4996" s="225" t="s">
        <v>9000</v>
      </c>
      <c r="B4996" s="225" t="s">
        <v>9001</v>
      </c>
    </row>
    <row r="4997" spans="1:2">
      <c r="A4997" s="225" t="s">
        <v>2056</v>
      </c>
      <c r="B4997" s="225" t="s">
        <v>2057</v>
      </c>
    </row>
    <row r="4998" spans="1:2">
      <c r="A4998" s="225" t="s">
        <v>5523</v>
      </c>
      <c r="B4998" s="225" t="s">
        <v>5524</v>
      </c>
    </row>
    <row r="4999" spans="1:2">
      <c r="A4999" s="225" t="s">
        <v>5529</v>
      </c>
      <c r="B4999" s="225" t="s">
        <v>5530</v>
      </c>
    </row>
    <row r="5000" spans="1:2">
      <c r="A5000" s="225" t="s">
        <v>5531</v>
      </c>
      <c r="B5000" s="225" t="s">
        <v>5532</v>
      </c>
    </row>
    <row r="5001" spans="1:2">
      <c r="A5001" s="225" t="s">
        <v>5533</v>
      </c>
      <c r="B5001" s="225" t="s">
        <v>5534</v>
      </c>
    </row>
    <row r="5002" spans="1:2">
      <c r="A5002" s="225" t="s">
        <v>5535</v>
      </c>
      <c r="B5002" s="225" t="s">
        <v>5536</v>
      </c>
    </row>
    <row r="5003" spans="1:2">
      <c r="A5003" s="225" t="s">
        <v>5537</v>
      </c>
      <c r="B5003" s="225" t="s">
        <v>5538</v>
      </c>
    </row>
    <row r="5004" spans="1:2">
      <c r="A5004" s="225" t="s">
        <v>5539</v>
      </c>
      <c r="B5004" s="225" t="s">
        <v>5540</v>
      </c>
    </row>
    <row r="5005" spans="1:2">
      <c r="A5005" s="225" t="s">
        <v>5543</v>
      </c>
      <c r="B5005" s="225" t="s">
        <v>5544</v>
      </c>
    </row>
    <row r="5006" spans="1:2">
      <c r="A5006" s="225" t="s">
        <v>5545</v>
      </c>
      <c r="B5006" s="225" t="s">
        <v>5546</v>
      </c>
    </row>
    <row r="5007" spans="1:2">
      <c r="A5007" s="225" t="s">
        <v>5547</v>
      </c>
      <c r="B5007" s="225" t="s">
        <v>5548</v>
      </c>
    </row>
    <row r="5008" spans="1:2">
      <c r="A5008" s="225" t="s">
        <v>5549</v>
      </c>
      <c r="B5008" s="225" t="s">
        <v>5550</v>
      </c>
    </row>
    <row r="5009" spans="1:2">
      <c r="A5009" s="225" t="s">
        <v>5551</v>
      </c>
      <c r="B5009" s="225" t="s">
        <v>5552</v>
      </c>
    </row>
    <row r="5010" spans="1:2">
      <c r="A5010" s="225" t="s">
        <v>713</v>
      </c>
      <c r="B5010" s="225" t="s">
        <v>5475</v>
      </c>
    </row>
    <row r="5011" spans="1:2">
      <c r="A5011" s="225" t="s">
        <v>5559</v>
      </c>
      <c r="B5011" s="225" t="s">
        <v>5560</v>
      </c>
    </row>
    <row r="5012" spans="1:2">
      <c r="A5012" s="225" t="s">
        <v>5561</v>
      </c>
      <c r="B5012" s="225" t="s">
        <v>5562</v>
      </c>
    </row>
    <row r="5013" spans="1:2">
      <c r="A5013" s="225" t="s">
        <v>5569</v>
      </c>
      <c r="B5013" s="225" t="s">
        <v>5475</v>
      </c>
    </row>
    <row r="5014" spans="1:2">
      <c r="A5014" s="225" t="s">
        <v>5570</v>
      </c>
      <c r="B5014" s="225" t="s">
        <v>5560</v>
      </c>
    </row>
    <row r="5015" spans="1:2">
      <c r="A5015" s="225" t="s">
        <v>5571</v>
      </c>
      <c r="B5015" s="225" t="s">
        <v>5562</v>
      </c>
    </row>
    <row r="5016" spans="1:2">
      <c r="A5016" s="225" t="s">
        <v>5576</v>
      </c>
      <c r="B5016" s="225" t="s">
        <v>5475</v>
      </c>
    </row>
    <row r="5017" spans="1:2">
      <c r="A5017" s="225" t="s">
        <v>5577</v>
      </c>
      <c r="B5017" s="225" t="s">
        <v>5560</v>
      </c>
    </row>
    <row r="5018" spans="1:2">
      <c r="A5018" s="225" t="s">
        <v>5578</v>
      </c>
      <c r="B5018" s="225" t="s">
        <v>5562</v>
      </c>
    </row>
    <row r="5019" spans="1:2">
      <c r="A5019" s="225" t="s">
        <v>5583</v>
      </c>
      <c r="B5019" s="225" t="s">
        <v>5475</v>
      </c>
    </row>
    <row r="5020" spans="1:2">
      <c r="A5020" s="225" t="s">
        <v>5584</v>
      </c>
      <c r="B5020" s="225" t="s">
        <v>5560</v>
      </c>
    </row>
    <row r="5021" spans="1:2">
      <c r="A5021" s="225" t="s">
        <v>5585</v>
      </c>
      <c r="B5021" s="225" t="s">
        <v>5562</v>
      </c>
    </row>
    <row r="5022" spans="1:2">
      <c r="A5022" s="225" t="s">
        <v>5590</v>
      </c>
      <c r="B5022" s="225" t="s">
        <v>5475</v>
      </c>
    </row>
    <row r="5023" spans="1:2">
      <c r="A5023" s="225" t="s">
        <v>5591</v>
      </c>
      <c r="B5023" s="225" t="s">
        <v>5560</v>
      </c>
    </row>
    <row r="5024" spans="1:2">
      <c r="A5024" s="225" t="s">
        <v>5592</v>
      </c>
      <c r="B5024" s="225" t="s">
        <v>5562</v>
      </c>
    </row>
    <row r="5025" spans="1:2">
      <c r="A5025" s="225" t="s">
        <v>5691</v>
      </c>
      <c r="B5025" s="225" t="s">
        <v>5692</v>
      </c>
    </row>
    <row r="5026" spans="1:2">
      <c r="A5026" s="225" t="s">
        <v>5697</v>
      </c>
      <c r="B5026" s="225" t="s">
        <v>5698</v>
      </c>
    </row>
    <row r="5027" spans="1:2">
      <c r="A5027" s="225" t="s">
        <v>5699</v>
      </c>
      <c r="B5027" s="225" t="s">
        <v>5700</v>
      </c>
    </row>
    <row r="5028" spans="1:2">
      <c r="A5028" s="225" t="s">
        <v>5701</v>
      </c>
      <c r="B5028" s="225" t="s">
        <v>5702</v>
      </c>
    </row>
    <row r="5029" spans="1:2">
      <c r="A5029" s="225" t="s">
        <v>5703</v>
      </c>
      <c r="B5029" s="225" t="s">
        <v>5704</v>
      </c>
    </row>
    <row r="5030" spans="1:2">
      <c r="A5030" s="225" t="s">
        <v>719</v>
      </c>
      <c r="B5030" s="225" t="s">
        <v>5705</v>
      </c>
    </row>
    <row r="5031" spans="1:2">
      <c r="A5031" s="225" t="s">
        <v>950</v>
      </c>
      <c r="B5031" s="225" t="s">
        <v>2609</v>
      </c>
    </row>
    <row r="5032" spans="1:2">
      <c r="A5032" s="225" t="s">
        <v>997</v>
      </c>
      <c r="B5032" s="225" t="s">
        <v>9218</v>
      </c>
    </row>
    <row r="5033" spans="1:2">
      <c r="A5033" s="225" t="s">
        <v>7004</v>
      </c>
      <c r="B5033" s="225" t="s">
        <v>7005</v>
      </c>
    </row>
    <row r="5034" spans="1:2">
      <c r="A5034" s="225" t="s">
        <v>7008</v>
      </c>
      <c r="B5034" s="225" t="s">
        <v>7009</v>
      </c>
    </row>
    <row r="5035" spans="1:2">
      <c r="A5035" s="225" t="s">
        <v>7010</v>
      </c>
      <c r="B5035" s="225" t="s">
        <v>7011</v>
      </c>
    </row>
    <row r="5036" spans="1:2">
      <c r="A5036" s="225" t="s">
        <v>1196</v>
      </c>
      <c r="B5036" s="225" t="s">
        <v>1796</v>
      </c>
    </row>
    <row r="5037" spans="1:2">
      <c r="A5037" s="225" t="s">
        <v>9881</v>
      </c>
      <c r="B5037" s="225" t="s">
        <v>9882</v>
      </c>
    </row>
    <row r="5038" spans="1:2">
      <c r="A5038" s="225" t="s">
        <v>9883</v>
      </c>
      <c r="B5038" s="225" t="s">
        <v>9884</v>
      </c>
    </row>
    <row r="5039" spans="1:2">
      <c r="A5039" s="225" t="s">
        <v>9888</v>
      </c>
      <c r="B5039" s="225" t="s">
        <v>9882</v>
      </c>
    </row>
    <row r="5040" spans="1:2">
      <c r="A5040" s="225" t="s">
        <v>9889</v>
      </c>
      <c r="B5040" s="225" t="s">
        <v>9884</v>
      </c>
    </row>
    <row r="5041" spans="1:2">
      <c r="A5041" s="225" t="s">
        <v>1120</v>
      </c>
      <c r="B5041" s="225" t="s">
        <v>1801</v>
      </c>
    </row>
    <row r="5042" spans="1:2">
      <c r="A5042" s="225" t="s">
        <v>1032</v>
      </c>
      <c r="B5042" s="225" t="s">
        <v>1796</v>
      </c>
    </row>
    <row r="5043" spans="1:2">
      <c r="A5043" s="225" t="s">
        <v>1109</v>
      </c>
      <c r="B5043" s="225" t="s">
        <v>1801</v>
      </c>
    </row>
    <row r="5044" spans="1:2">
      <c r="A5044" s="225" t="s">
        <v>11303</v>
      </c>
      <c r="B5044" s="225" t="s">
        <v>11304</v>
      </c>
    </row>
    <row r="5045" spans="1:2">
      <c r="A5045" s="225" t="s">
        <v>9912</v>
      </c>
      <c r="B5045" s="225" t="s">
        <v>9913</v>
      </c>
    </row>
    <row r="5046" spans="1:2">
      <c r="A5046" s="225" t="s">
        <v>11307</v>
      </c>
      <c r="B5046" s="225" t="s">
        <v>11308</v>
      </c>
    </row>
    <row r="5047" spans="1:2">
      <c r="A5047" s="225" t="s">
        <v>1093</v>
      </c>
      <c r="B5047" s="225" t="s">
        <v>11310</v>
      </c>
    </row>
    <row r="5048" spans="1:2">
      <c r="A5048" s="225" t="s">
        <v>1044</v>
      </c>
      <c r="B5048" s="225" t="s">
        <v>11311</v>
      </c>
    </row>
    <row r="5049" spans="1:2">
      <c r="A5049" s="225" t="s">
        <v>9914</v>
      </c>
      <c r="B5049" s="225" t="s">
        <v>9895</v>
      </c>
    </row>
    <row r="5050" spans="1:2">
      <c r="A5050" s="225" t="s">
        <v>9892</v>
      </c>
      <c r="B5050" s="225" t="s">
        <v>9893</v>
      </c>
    </row>
    <row r="5051" spans="1:2">
      <c r="A5051" s="225" t="s">
        <v>1312</v>
      </c>
      <c r="B5051" s="225" t="s">
        <v>11313</v>
      </c>
    </row>
    <row r="5052" spans="1:2">
      <c r="A5052" s="225" t="s">
        <v>1191</v>
      </c>
      <c r="B5052" s="225" t="s">
        <v>11314</v>
      </c>
    </row>
    <row r="5053" spans="1:2">
      <c r="A5053" s="225" t="s">
        <v>902</v>
      </c>
      <c r="B5053" s="225" t="s">
        <v>2235</v>
      </c>
    </row>
    <row r="5054" spans="1:2">
      <c r="A5054" s="225" t="s">
        <v>9898</v>
      </c>
      <c r="B5054" s="225" t="s">
        <v>9899</v>
      </c>
    </row>
    <row r="5055" spans="1:2">
      <c r="A5055" s="225" t="s">
        <v>1132</v>
      </c>
      <c r="B5055" s="225" t="s">
        <v>9438</v>
      </c>
    </row>
    <row r="5056" spans="1:2">
      <c r="A5056" s="225" t="s">
        <v>1288</v>
      </c>
      <c r="B5056" s="225" t="s">
        <v>9439</v>
      </c>
    </row>
    <row r="5057" spans="1:2">
      <c r="A5057" s="225" t="s">
        <v>9904</v>
      </c>
      <c r="B5057" s="225" t="s">
        <v>184</v>
      </c>
    </row>
    <row r="5058" spans="1:2">
      <c r="A5058" s="225" t="s">
        <v>9919</v>
      </c>
      <c r="B5058" s="225" t="s">
        <v>9440</v>
      </c>
    </row>
    <row r="5059" spans="1:2">
      <c r="A5059" s="225" t="s">
        <v>9920</v>
      </c>
      <c r="B5059" s="225" t="s">
        <v>9441</v>
      </c>
    </row>
    <row r="5060" spans="1:2">
      <c r="A5060" s="225" t="s">
        <v>9921</v>
      </c>
      <c r="B5060" s="225" t="s">
        <v>9442</v>
      </c>
    </row>
    <row r="5061" spans="1:2">
      <c r="A5061" s="225" t="s">
        <v>9922</v>
      </c>
      <c r="B5061" s="225" t="s">
        <v>9443</v>
      </c>
    </row>
    <row r="5062" spans="1:2">
      <c r="A5062" s="225" t="s">
        <v>9923</v>
      </c>
      <c r="B5062" s="225" t="s">
        <v>9444</v>
      </c>
    </row>
    <row r="5063" spans="1:2">
      <c r="A5063" s="225" t="s">
        <v>9924</v>
      </c>
      <c r="B5063" s="225" t="s">
        <v>9445</v>
      </c>
    </row>
    <row r="5064" spans="1:2">
      <c r="A5064" s="225" t="s">
        <v>9925</v>
      </c>
      <c r="B5064" s="225" t="s">
        <v>9446</v>
      </c>
    </row>
    <row r="5065" spans="1:2">
      <c r="A5065" s="225" t="s">
        <v>9937</v>
      </c>
      <c r="B5065" s="225" t="s">
        <v>9444</v>
      </c>
    </row>
    <row r="5066" spans="1:2">
      <c r="A5066" s="225" t="s">
        <v>9938</v>
      </c>
      <c r="B5066" s="225" t="s">
        <v>9445</v>
      </c>
    </row>
    <row r="5067" spans="1:2">
      <c r="A5067" s="225" t="s">
        <v>9939</v>
      </c>
      <c r="B5067" s="225" t="s">
        <v>9446</v>
      </c>
    </row>
    <row r="5068" spans="1:2">
      <c r="A5068" s="225" t="s">
        <v>9944</v>
      </c>
      <c r="B5068" s="225" t="s">
        <v>184</v>
      </c>
    </row>
    <row r="5069" spans="1:2">
      <c r="A5069" s="225" t="s">
        <v>9945</v>
      </c>
      <c r="B5069" s="225" t="s">
        <v>9438</v>
      </c>
    </row>
    <row r="5070" spans="1:2">
      <c r="A5070" s="225" t="s">
        <v>9946</v>
      </c>
      <c r="B5070" s="225" t="s">
        <v>9439</v>
      </c>
    </row>
    <row r="5071" spans="1:2">
      <c r="A5071" s="225" t="s">
        <v>9947</v>
      </c>
      <c r="B5071" s="225" t="s">
        <v>9440</v>
      </c>
    </row>
    <row r="5072" spans="1:2">
      <c r="A5072" s="225" t="s">
        <v>9948</v>
      </c>
      <c r="B5072" s="225" t="s">
        <v>9441</v>
      </c>
    </row>
    <row r="5073" spans="1:2">
      <c r="A5073" s="225" t="s">
        <v>9949</v>
      </c>
      <c r="B5073" s="225" t="s">
        <v>9442</v>
      </c>
    </row>
    <row r="5074" spans="1:2">
      <c r="A5074" s="225" t="s">
        <v>9950</v>
      </c>
      <c r="B5074" s="225" t="s">
        <v>9443</v>
      </c>
    </row>
    <row r="5075" spans="1:2">
      <c r="A5075" s="225" t="s">
        <v>9931</v>
      </c>
      <c r="B5075" s="225" t="s">
        <v>9438</v>
      </c>
    </row>
    <row r="5076" spans="1:2">
      <c r="A5076" s="225" t="s">
        <v>9932</v>
      </c>
      <c r="B5076" s="225" t="s">
        <v>9439</v>
      </c>
    </row>
    <row r="5077" spans="1:2">
      <c r="A5077" s="225" t="s">
        <v>9933</v>
      </c>
      <c r="B5077" s="225" t="s">
        <v>9440</v>
      </c>
    </row>
    <row r="5078" spans="1:2">
      <c r="A5078" s="225" t="s">
        <v>9934</v>
      </c>
      <c r="B5078" s="225" t="s">
        <v>9441</v>
      </c>
    </row>
    <row r="5079" spans="1:2">
      <c r="A5079" s="225" t="s">
        <v>9935</v>
      </c>
      <c r="B5079" s="225" t="s">
        <v>9442</v>
      </c>
    </row>
    <row r="5080" spans="1:2">
      <c r="A5080" s="225" t="s">
        <v>9936</v>
      </c>
      <c r="B5080" s="225" t="s">
        <v>9443</v>
      </c>
    </row>
    <row r="5081" spans="1:2">
      <c r="A5081" s="225" t="s">
        <v>9951</v>
      </c>
      <c r="B5081" s="225" t="s">
        <v>9444</v>
      </c>
    </row>
    <row r="5082" spans="1:2">
      <c r="A5082" s="225" t="s">
        <v>9952</v>
      </c>
      <c r="B5082" s="225" t="s">
        <v>9445</v>
      </c>
    </row>
    <row r="5083" spans="1:2">
      <c r="A5083" s="225" t="s">
        <v>9953</v>
      </c>
      <c r="B5083" s="225" t="s">
        <v>9446</v>
      </c>
    </row>
    <row r="5084" spans="1:2">
      <c r="A5084" s="225" t="s">
        <v>10730</v>
      </c>
      <c r="B5084" s="225" t="s">
        <v>10731</v>
      </c>
    </row>
    <row r="5085" spans="1:2">
      <c r="A5085" s="225" t="s">
        <v>1076</v>
      </c>
      <c r="B5085" s="225" t="s">
        <v>5344</v>
      </c>
    </row>
    <row r="5086" spans="1:2">
      <c r="A5086" s="225" t="s">
        <v>1026</v>
      </c>
      <c r="B5086" s="225" t="s">
        <v>5340</v>
      </c>
    </row>
    <row r="5087" spans="1:2">
      <c r="A5087" s="225" t="s">
        <v>11278</v>
      </c>
      <c r="B5087" s="225" t="s">
        <v>11279</v>
      </c>
    </row>
    <row r="5088" spans="1:2">
      <c r="A5088" s="225" t="s">
        <v>11271</v>
      </c>
      <c r="B5088" s="225" t="s">
        <v>11272</v>
      </c>
    </row>
    <row r="5089" spans="1:2">
      <c r="A5089" s="225" t="s">
        <v>9894</v>
      </c>
      <c r="B5089" s="225" t="s">
        <v>9895</v>
      </c>
    </row>
    <row r="5090" spans="1:2">
      <c r="A5090" s="225" t="s">
        <v>9896</v>
      </c>
      <c r="B5090" s="225" t="s">
        <v>9897</v>
      </c>
    </row>
    <row r="5091" spans="1:2">
      <c r="A5091" s="225" t="s">
        <v>11274</v>
      </c>
      <c r="B5091" s="225" t="s">
        <v>11275</v>
      </c>
    </row>
    <row r="5092" spans="1:2">
      <c r="A5092" s="225" t="s">
        <v>992</v>
      </c>
      <c r="B5092" s="225" t="s">
        <v>11281</v>
      </c>
    </row>
    <row r="5093" spans="1:2">
      <c r="A5093" s="225" t="s">
        <v>1115</v>
      </c>
      <c r="B5093" s="225" t="s">
        <v>11284</v>
      </c>
    </row>
    <row r="5094" spans="1:2">
      <c r="A5094" s="225" t="s">
        <v>11287</v>
      </c>
      <c r="B5094" s="225" t="s">
        <v>11288</v>
      </c>
    </row>
    <row r="5095" spans="1:2">
      <c r="A5095" s="225" t="s">
        <v>1299</v>
      </c>
      <c r="B5095" s="225" t="s">
        <v>11291</v>
      </c>
    </row>
    <row r="5096" spans="1:2">
      <c r="A5096" s="225" t="s">
        <v>1230</v>
      </c>
      <c r="B5096" s="225" t="s">
        <v>11300</v>
      </c>
    </row>
    <row r="5097" spans="1:2">
      <c r="A5097" s="225" t="s">
        <v>1279</v>
      </c>
      <c r="B5097" s="225" t="s">
        <v>11302</v>
      </c>
    </row>
    <row r="5098" spans="1:2">
      <c r="A5098" s="225" t="s">
        <v>1151</v>
      </c>
      <c r="B5098" s="225" t="s">
        <v>2277</v>
      </c>
    </row>
    <row r="5099" spans="1:2">
      <c r="A5099" s="225" t="s">
        <v>932</v>
      </c>
      <c r="B5099" s="225" t="s">
        <v>2278</v>
      </c>
    </row>
    <row r="5100" spans="1:2">
      <c r="A5100" s="225" t="s">
        <v>9338</v>
      </c>
      <c r="B5100" s="225" t="s">
        <v>2279</v>
      </c>
    </row>
    <row r="5101" spans="1:2">
      <c r="A5101" s="225" t="s">
        <v>9339</v>
      </c>
      <c r="B5101" s="225" t="s">
        <v>2281</v>
      </c>
    </row>
    <row r="5102" spans="1:2">
      <c r="A5102" s="225" t="s">
        <v>9341</v>
      </c>
      <c r="B5102" s="225" t="s">
        <v>2287</v>
      </c>
    </row>
    <row r="5103" spans="1:2">
      <c r="A5103" s="225" t="s">
        <v>9343</v>
      </c>
      <c r="B5103" s="225" t="s">
        <v>2290</v>
      </c>
    </row>
    <row r="5104" spans="1:2">
      <c r="A5104" s="225" t="s">
        <v>9344</v>
      </c>
      <c r="B5104" s="225" t="s">
        <v>2292</v>
      </c>
    </row>
    <row r="5105" spans="1:2">
      <c r="A5105" s="225" t="s">
        <v>9345</v>
      </c>
      <c r="B5105" s="225" t="s">
        <v>2294</v>
      </c>
    </row>
    <row r="5106" spans="1:2">
      <c r="A5106" s="225" t="s">
        <v>9347</v>
      </c>
      <c r="B5106" s="225" t="s">
        <v>2298</v>
      </c>
    </row>
    <row r="5107" spans="1:2">
      <c r="A5107" s="225" t="s">
        <v>9348</v>
      </c>
      <c r="B5107" s="225" t="s">
        <v>2300</v>
      </c>
    </row>
    <row r="5108" spans="1:2">
      <c r="A5108" s="225" t="s">
        <v>9349</v>
      </c>
      <c r="B5108" s="225" t="s">
        <v>2302</v>
      </c>
    </row>
    <row r="5109" spans="1:2">
      <c r="A5109" s="225" t="s">
        <v>9351</v>
      </c>
      <c r="B5109" s="225" t="s">
        <v>2306</v>
      </c>
    </row>
    <row r="5110" spans="1:2">
      <c r="A5110" s="225" t="s">
        <v>9352</v>
      </c>
      <c r="B5110" s="225" t="s">
        <v>2308</v>
      </c>
    </row>
    <row r="5111" spans="1:2">
      <c r="A5111" s="225" t="s">
        <v>9353</v>
      </c>
      <c r="B5111" s="225" t="s">
        <v>2310</v>
      </c>
    </row>
    <row r="5112" spans="1:2">
      <c r="A5112" s="225" t="s">
        <v>9354</v>
      </c>
      <c r="B5112" s="225" t="s">
        <v>2312</v>
      </c>
    </row>
    <row r="5113" spans="1:2">
      <c r="A5113" s="225" t="s">
        <v>9356</v>
      </c>
      <c r="B5113" s="225" t="s">
        <v>2316</v>
      </c>
    </row>
    <row r="5114" spans="1:2">
      <c r="A5114" s="225" t="s">
        <v>9357</v>
      </c>
      <c r="B5114" s="225" t="s">
        <v>2318</v>
      </c>
    </row>
    <row r="5115" spans="1:2">
      <c r="A5115" s="225" t="s">
        <v>9358</v>
      </c>
      <c r="B5115" s="225" t="s">
        <v>2320</v>
      </c>
    </row>
    <row r="5116" spans="1:2">
      <c r="A5116" s="225" t="s">
        <v>9363</v>
      </c>
      <c r="B5116" s="225" t="s">
        <v>2330</v>
      </c>
    </row>
    <row r="5117" spans="1:2">
      <c r="A5117" s="225" t="s">
        <v>9366</v>
      </c>
      <c r="B5117" s="225" t="s">
        <v>9367</v>
      </c>
    </row>
    <row r="5118" spans="1:2">
      <c r="A5118" s="225" t="s">
        <v>9370</v>
      </c>
      <c r="B5118" s="225" t="s">
        <v>9371</v>
      </c>
    </row>
    <row r="5119" spans="1:2">
      <c r="A5119" s="225" t="s">
        <v>9372</v>
      </c>
      <c r="B5119" s="225" t="s">
        <v>9373</v>
      </c>
    </row>
    <row r="5120" spans="1:2">
      <c r="A5120" s="225" t="s">
        <v>9374</v>
      </c>
      <c r="B5120" s="225" t="s">
        <v>9375</v>
      </c>
    </row>
    <row r="5121" spans="1:2">
      <c r="A5121" s="225" t="s">
        <v>9378</v>
      </c>
      <c r="B5121" s="225" t="s">
        <v>9379</v>
      </c>
    </row>
    <row r="5122" spans="1:2">
      <c r="A5122" s="225" t="s">
        <v>9380</v>
      </c>
      <c r="B5122" s="225" t="s">
        <v>9381</v>
      </c>
    </row>
    <row r="5123" spans="1:2">
      <c r="A5123" s="225" t="s">
        <v>9382</v>
      </c>
      <c r="B5123" s="225" t="s">
        <v>9383</v>
      </c>
    </row>
    <row r="5124" spans="1:2">
      <c r="A5124" s="225" t="s">
        <v>9386</v>
      </c>
      <c r="B5124" s="225" t="s">
        <v>9387</v>
      </c>
    </row>
    <row r="5125" spans="1:2">
      <c r="A5125" s="225" t="s">
        <v>9388</v>
      </c>
      <c r="B5125" s="225" t="s">
        <v>9389</v>
      </c>
    </row>
    <row r="5126" spans="1:2">
      <c r="A5126" s="225" t="s">
        <v>9390</v>
      </c>
      <c r="B5126" s="225" t="s">
        <v>9391</v>
      </c>
    </row>
    <row r="5127" spans="1:2">
      <c r="A5127" s="225" t="s">
        <v>9394</v>
      </c>
      <c r="B5127" s="225" t="s">
        <v>9395</v>
      </c>
    </row>
    <row r="5128" spans="1:2">
      <c r="A5128" s="225" t="s">
        <v>9396</v>
      </c>
      <c r="B5128" s="225" t="s">
        <v>9397</v>
      </c>
    </row>
    <row r="5129" spans="1:2">
      <c r="A5129" s="225" t="s">
        <v>9398</v>
      </c>
      <c r="B5129" s="225" t="s">
        <v>9399</v>
      </c>
    </row>
    <row r="5130" spans="1:2">
      <c r="A5130" s="225" t="s">
        <v>9400</v>
      </c>
      <c r="B5130" s="225" t="s">
        <v>9401</v>
      </c>
    </row>
    <row r="5131" spans="1:2">
      <c r="A5131" s="225" t="s">
        <v>9328</v>
      </c>
      <c r="B5131" s="225" t="s">
        <v>2239</v>
      </c>
    </row>
    <row r="5132" spans="1:2">
      <c r="A5132" s="225" t="s">
        <v>9329</v>
      </c>
      <c r="B5132" s="225" t="s">
        <v>2241</v>
      </c>
    </row>
    <row r="5133" spans="1:2">
      <c r="A5133" s="225" t="s">
        <v>9509</v>
      </c>
      <c r="B5133" s="225" t="s">
        <v>9510</v>
      </c>
    </row>
    <row r="5134" spans="1:2">
      <c r="A5134" s="225" t="s">
        <v>1050</v>
      </c>
      <c r="B5134" s="225" t="s">
        <v>10717</v>
      </c>
    </row>
    <row r="5135" spans="1:2">
      <c r="A5135" s="225" t="s">
        <v>1430</v>
      </c>
      <c r="B5135" s="225" t="s">
        <v>10736</v>
      </c>
    </row>
    <row r="5136" spans="1:2">
      <c r="A5136" s="225" t="s">
        <v>10737</v>
      </c>
      <c r="B5136" s="225" t="s">
        <v>10738</v>
      </c>
    </row>
    <row r="5137" spans="1:2">
      <c r="A5137" s="225" t="s">
        <v>10739</v>
      </c>
      <c r="B5137" s="225" t="s">
        <v>10740</v>
      </c>
    </row>
    <row r="5138" spans="1:2">
      <c r="A5138" s="225" t="s">
        <v>10741</v>
      </c>
      <c r="B5138" s="225" t="s">
        <v>10742</v>
      </c>
    </row>
    <row r="5139" spans="1:2">
      <c r="A5139" s="225" t="s">
        <v>9604</v>
      </c>
      <c r="B5139" s="225" t="s">
        <v>9605</v>
      </c>
    </row>
    <row r="5140" spans="1:2">
      <c r="A5140" s="225" t="s">
        <v>10680</v>
      </c>
      <c r="B5140" s="225" t="s">
        <v>10681</v>
      </c>
    </row>
    <row r="5141" spans="1:2">
      <c r="A5141" s="225" t="s">
        <v>1180</v>
      </c>
      <c r="B5141" s="225" t="s">
        <v>10671</v>
      </c>
    </row>
    <row r="5142" spans="1:2">
      <c r="A5142" s="225" t="s">
        <v>1167</v>
      </c>
      <c r="B5142" s="225" t="s">
        <v>10672</v>
      </c>
    </row>
    <row r="5143" spans="1:2">
      <c r="A5143" s="225" t="s">
        <v>1285</v>
      </c>
      <c r="B5143" s="225" t="s">
        <v>10673</v>
      </c>
    </row>
    <row r="5144" spans="1:2">
      <c r="A5144" s="225" t="s">
        <v>10674</v>
      </c>
      <c r="B5144" s="225" t="s">
        <v>10675</v>
      </c>
    </row>
    <row r="5145" spans="1:2">
      <c r="A5145" s="225" t="s">
        <v>10743</v>
      </c>
      <c r="B5145" s="225" t="s">
        <v>10744</v>
      </c>
    </row>
    <row r="5146" spans="1:2">
      <c r="A5146" s="225" t="s">
        <v>928</v>
      </c>
      <c r="B5146" s="225" t="s">
        <v>10745</v>
      </c>
    </row>
    <row r="5147" spans="1:2">
      <c r="A5147" s="225" t="s">
        <v>10746</v>
      </c>
      <c r="B5147" s="225" t="s">
        <v>10747</v>
      </c>
    </row>
    <row r="5148" spans="1:2">
      <c r="A5148" s="225" t="s">
        <v>10682</v>
      </c>
      <c r="B5148" s="225" t="s">
        <v>10683</v>
      </c>
    </row>
    <row r="5149" spans="1:2">
      <c r="A5149" s="225" t="s">
        <v>10686</v>
      </c>
      <c r="B5149" s="225" t="s">
        <v>10687</v>
      </c>
    </row>
    <row r="5150" spans="1:2">
      <c r="A5150" s="225" t="s">
        <v>1405</v>
      </c>
      <c r="B5150" s="225" t="s">
        <v>11171</v>
      </c>
    </row>
    <row r="5151" spans="1:2">
      <c r="A5151" s="225" t="s">
        <v>1101</v>
      </c>
      <c r="B5151" s="225" t="s">
        <v>11172</v>
      </c>
    </row>
    <row r="5152" spans="1:2">
      <c r="A5152" s="225" t="s">
        <v>1130</v>
      </c>
      <c r="B5152" s="225" t="s">
        <v>5843</v>
      </c>
    </row>
    <row r="5153" spans="1:2">
      <c r="A5153" s="225" t="s">
        <v>1219</v>
      </c>
      <c r="B5153" s="225" t="s">
        <v>11173</v>
      </c>
    </row>
    <row r="5154" spans="1:2">
      <c r="A5154" s="225" t="s">
        <v>1041</v>
      </c>
      <c r="B5154" s="225" t="s">
        <v>11171</v>
      </c>
    </row>
    <row r="5155" spans="1:2">
      <c r="A5155" s="225" t="s">
        <v>9900</v>
      </c>
      <c r="B5155" s="225" t="s">
        <v>9441</v>
      </c>
    </row>
    <row r="5156" spans="1:2">
      <c r="A5156" s="225" t="s">
        <v>9901</v>
      </c>
      <c r="B5156" s="225" t="s">
        <v>9442</v>
      </c>
    </row>
    <row r="5157" spans="1:2">
      <c r="A5157" s="225" t="s">
        <v>9902</v>
      </c>
      <c r="B5157" s="225" t="s">
        <v>9903</v>
      </c>
    </row>
    <row r="5158" spans="1:2">
      <c r="A5158" s="225" t="s">
        <v>9907</v>
      </c>
      <c r="B5158" s="225" t="s">
        <v>9438</v>
      </c>
    </row>
    <row r="5159" spans="1:2">
      <c r="A5159" s="225" t="s">
        <v>9908</v>
      </c>
      <c r="B5159" s="225" t="s">
        <v>9439</v>
      </c>
    </row>
    <row r="5160" spans="1:2">
      <c r="A5160" s="225" t="s">
        <v>9909</v>
      </c>
      <c r="B5160" s="225" t="s">
        <v>9440</v>
      </c>
    </row>
    <row r="5161" spans="1:2">
      <c r="A5161" s="225" t="s">
        <v>11332</v>
      </c>
      <c r="B5161" s="225" t="s">
        <v>7003</v>
      </c>
    </row>
    <row r="5162" spans="1:2">
      <c r="A5162" s="225" t="s">
        <v>11335</v>
      </c>
      <c r="B5162" s="225" t="s">
        <v>11336</v>
      </c>
    </row>
    <row r="5163" spans="1:2">
      <c r="A5163" s="225" t="s">
        <v>11337</v>
      </c>
      <c r="B5163" s="225" t="s">
        <v>7015</v>
      </c>
    </row>
    <row r="5164" spans="1:2">
      <c r="A5164" s="225" t="s">
        <v>11338</v>
      </c>
      <c r="B5164" s="225" t="s">
        <v>11339</v>
      </c>
    </row>
    <row r="5165" spans="1:2">
      <c r="A5165" s="225" t="s">
        <v>11340</v>
      </c>
      <c r="B5165" s="225" t="s">
        <v>11341</v>
      </c>
    </row>
    <row r="5166" spans="1:2">
      <c r="A5166" s="225" t="s">
        <v>11342</v>
      </c>
      <c r="B5166" s="225" t="s">
        <v>11343</v>
      </c>
    </row>
    <row r="5167" spans="1:2">
      <c r="A5167" s="225" t="s">
        <v>11344</v>
      </c>
      <c r="B5167" s="225" t="s">
        <v>11345</v>
      </c>
    </row>
    <row r="5168" spans="1:2">
      <c r="A5168" s="225" t="s">
        <v>11346</v>
      </c>
      <c r="B5168" s="225" t="s">
        <v>11347</v>
      </c>
    </row>
    <row r="5169" spans="1:2">
      <c r="A5169" s="225" t="s">
        <v>11348</v>
      </c>
      <c r="B5169" s="225" t="s">
        <v>11349</v>
      </c>
    </row>
    <row r="5170" spans="1:2">
      <c r="A5170" s="225" t="s">
        <v>11350</v>
      </c>
      <c r="B5170" s="225" t="s">
        <v>11351</v>
      </c>
    </row>
    <row r="5171" spans="1:2">
      <c r="A5171" s="225" t="s">
        <v>11352</v>
      </c>
      <c r="B5171" s="225" t="s">
        <v>7029</v>
      </c>
    </row>
    <row r="5172" spans="1:2">
      <c r="A5172" s="225" t="s">
        <v>11353</v>
      </c>
      <c r="B5172" s="225" t="s">
        <v>7037</v>
      </c>
    </row>
    <row r="5173" spans="1:2">
      <c r="A5173" s="225" t="s">
        <v>1096</v>
      </c>
      <c r="B5173" s="225" t="s">
        <v>5337</v>
      </c>
    </row>
    <row r="5174" spans="1:2">
      <c r="A5174" s="225" t="s">
        <v>1281</v>
      </c>
      <c r="B5174" s="225" t="s">
        <v>5341</v>
      </c>
    </row>
    <row r="5175" spans="1:2">
      <c r="A5175" s="225" t="s">
        <v>11569</v>
      </c>
      <c r="B5175" s="225" t="s">
        <v>3958</v>
      </c>
    </row>
    <row r="5176" spans="1:2">
      <c r="A5176" s="225" t="s">
        <v>11570</v>
      </c>
      <c r="B5176" s="225" t="s">
        <v>5347</v>
      </c>
    </row>
    <row r="5177" spans="1:2">
      <c r="A5177" s="225" t="s">
        <v>11572</v>
      </c>
      <c r="B5177" s="225" t="s">
        <v>5351</v>
      </c>
    </row>
    <row r="5178" spans="1:2">
      <c r="A5178" s="225" t="s">
        <v>1284</v>
      </c>
      <c r="B5178" s="225" t="s">
        <v>10791</v>
      </c>
    </row>
    <row r="5179" spans="1:2">
      <c r="A5179" s="225" t="s">
        <v>10827</v>
      </c>
      <c r="B5179" s="225" t="s">
        <v>10793</v>
      </c>
    </row>
    <row r="5180" spans="1:2">
      <c r="A5180" s="225" t="s">
        <v>10828</v>
      </c>
      <c r="B5180" s="225" t="s">
        <v>10795</v>
      </c>
    </row>
    <row r="5181" spans="1:2">
      <c r="A5181" s="225" t="s">
        <v>1186</v>
      </c>
      <c r="B5181" s="225" t="s">
        <v>10797</v>
      </c>
    </row>
    <row r="5182" spans="1:2">
      <c r="A5182" s="225" t="s">
        <v>10829</v>
      </c>
      <c r="B5182" s="225" t="s">
        <v>9703</v>
      </c>
    </row>
    <row r="5183" spans="1:2">
      <c r="A5183" s="225" t="s">
        <v>10830</v>
      </c>
      <c r="B5183" s="225" t="s">
        <v>10800</v>
      </c>
    </row>
    <row r="5184" spans="1:2">
      <c r="A5184" s="225" t="s">
        <v>10831</v>
      </c>
      <c r="B5184" s="225" t="s">
        <v>3517</v>
      </c>
    </row>
    <row r="5185" spans="1:2">
      <c r="A5185" s="225" t="s">
        <v>10832</v>
      </c>
      <c r="B5185" s="225" t="s">
        <v>10803</v>
      </c>
    </row>
    <row r="5186" spans="1:2">
      <c r="A5186" s="225" t="s">
        <v>10833</v>
      </c>
      <c r="B5186" s="225" t="s">
        <v>10805</v>
      </c>
    </row>
    <row r="5187" spans="1:2">
      <c r="A5187" s="225" t="s">
        <v>10834</v>
      </c>
      <c r="B5187" s="225" t="s">
        <v>10807</v>
      </c>
    </row>
    <row r="5188" spans="1:2">
      <c r="A5188" s="225" t="s">
        <v>10835</v>
      </c>
      <c r="B5188" s="225" t="s">
        <v>10809</v>
      </c>
    </row>
    <row r="5189" spans="1:2">
      <c r="A5189" s="225" t="s">
        <v>10836</v>
      </c>
      <c r="B5189" s="225" t="s">
        <v>10811</v>
      </c>
    </row>
    <row r="5190" spans="1:2">
      <c r="A5190" s="225" t="s">
        <v>857</v>
      </c>
      <c r="B5190" s="225" t="s">
        <v>11050</v>
      </c>
    </row>
    <row r="5191" spans="1:2">
      <c r="A5191" s="225" t="s">
        <v>994</v>
      </c>
      <c r="B5191" s="225" t="s">
        <v>11051</v>
      </c>
    </row>
    <row r="5192" spans="1:2">
      <c r="A5192" s="225" t="s">
        <v>10837</v>
      </c>
      <c r="B5192" s="225" t="s">
        <v>10813</v>
      </c>
    </row>
    <row r="5193" spans="1:2">
      <c r="A5193" s="225" t="s">
        <v>10838</v>
      </c>
      <c r="B5193" s="225" t="s">
        <v>10815</v>
      </c>
    </row>
    <row r="5194" spans="1:2">
      <c r="A5194" s="225" t="s">
        <v>10839</v>
      </c>
      <c r="B5194" s="225" t="s">
        <v>3801</v>
      </c>
    </row>
    <row r="5195" spans="1:2">
      <c r="A5195" s="225" t="s">
        <v>11215</v>
      </c>
      <c r="B5195" s="225" t="s">
        <v>11216</v>
      </c>
    </row>
    <row r="5196" spans="1:2">
      <c r="A5196" s="225" t="s">
        <v>10840</v>
      </c>
      <c r="B5196" s="225" t="s">
        <v>10822</v>
      </c>
    </row>
    <row r="5197" spans="1:2">
      <c r="A5197" s="225" t="s">
        <v>11217</v>
      </c>
      <c r="B5197" s="225" t="s">
        <v>11218</v>
      </c>
    </row>
    <row r="5198" spans="1:2">
      <c r="A5198" s="225" t="s">
        <v>11223</v>
      </c>
      <c r="B5198" s="225" t="s">
        <v>11224</v>
      </c>
    </row>
    <row r="5199" spans="1:2">
      <c r="A5199" s="225" t="s">
        <v>11225</v>
      </c>
      <c r="B5199" s="225" t="s">
        <v>11226</v>
      </c>
    </row>
    <row r="5200" spans="1:2">
      <c r="A5200" s="225" t="s">
        <v>11231</v>
      </c>
      <c r="B5200" s="225" t="s">
        <v>11232</v>
      </c>
    </row>
    <row r="5201" spans="1:2">
      <c r="A5201" s="225" t="s">
        <v>11233</v>
      </c>
      <c r="B5201" s="225" t="s">
        <v>11234</v>
      </c>
    </row>
    <row r="5202" spans="1:2">
      <c r="A5202" s="225" t="s">
        <v>11235</v>
      </c>
      <c r="B5202" s="225" t="s">
        <v>11236</v>
      </c>
    </row>
    <row r="5203" spans="1:2">
      <c r="A5203" s="225" t="s">
        <v>11237</v>
      </c>
      <c r="B5203" s="225" t="s">
        <v>6908</v>
      </c>
    </row>
    <row r="5204" spans="1:2">
      <c r="A5204" s="225" t="s">
        <v>11238</v>
      </c>
      <c r="B5204" s="225" t="s">
        <v>6910</v>
      </c>
    </row>
    <row r="5205" spans="1:2">
      <c r="A5205" s="225" t="s">
        <v>11240</v>
      </c>
      <c r="B5205" s="225" t="s">
        <v>11241</v>
      </c>
    </row>
    <row r="5206" spans="1:2">
      <c r="A5206" s="225" t="s">
        <v>11261</v>
      </c>
      <c r="B5206" s="225" t="s">
        <v>11262</v>
      </c>
    </row>
    <row r="5207" spans="1:2">
      <c r="A5207" s="225" t="s">
        <v>974</v>
      </c>
      <c r="B5207" s="225" t="s">
        <v>11263</v>
      </c>
    </row>
    <row r="5208" spans="1:2">
      <c r="A5208" s="225" t="s">
        <v>935</v>
      </c>
      <c r="B5208" s="225" t="s">
        <v>11264</v>
      </c>
    </row>
    <row r="5209" spans="1:2">
      <c r="A5209" s="225" t="s">
        <v>940</v>
      </c>
      <c r="B5209" s="225" t="s">
        <v>11265</v>
      </c>
    </row>
    <row r="5210" spans="1:2">
      <c r="A5210" s="225" t="s">
        <v>969</v>
      </c>
      <c r="B5210" s="225" t="s">
        <v>11266</v>
      </c>
    </row>
    <row r="5211" spans="1:2">
      <c r="A5211" s="225" t="s">
        <v>1211</v>
      </c>
      <c r="B5211" s="225" t="s">
        <v>11267</v>
      </c>
    </row>
    <row r="5212" spans="1:2">
      <c r="A5212" s="225" t="s">
        <v>10857</v>
      </c>
      <c r="B5212" s="225" t="s">
        <v>10858</v>
      </c>
    </row>
    <row r="5213" spans="1:2">
      <c r="A5213" s="225" t="s">
        <v>1063</v>
      </c>
      <c r="B5213" s="225" t="s">
        <v>10859</v>
      </c>
    </row>
    <row r="5214" spans="1:2">
      <c r="A5214" s="225" t="s">
        <v>10860</v>
      </c>
      <c r="B5214" s="225" t="s">
        <v>10861</v>
      </c>
    </row>
    <row r="5215" spans="1:2">
      <c r="A5215" s="225" t="s">
        <v>10862</v>
      </c>
      <c r="B5215" s="225" t="s">
        <v>10863</v>
      </c>
    </row>
    <row r="5216" spans="1:2">
      <c r="A5216" s="225" t="s">
        <v>1436</v>
      </c>
      <c r="B5216" s="225" t="s">
        <v>11270</v>
      </c>
    </row>
    <row r="5217" spans="1:2">
      <c r="A5217" s="225" t="s">
        <v>11568</v>
      </c>
      <c r="B5217" s="225" t="s">
        <v>3956</v>
      </c>
    </row>
    <row r="5218" spans="1:2">
      <c r="A5218" s="225" t="s">
        <v>1444</v>
      </c>
      <c r="B5218" s="225" t="s">
        <v>11273</v>
      </c>
    </row>
    <row r="5219" spans="1:2">
      <c r="A5219" s="225" t="s">
        <v>11571</v>
      </c>
      <c r="B5219" s="225" t="s">
        <v>5349</v>
      </c>
    </row>
    <row r="5220" spans="1:2">
      <c r="A5220" s="225" t="s">
        <v>11276</v>
      </c>
      <c r="B5220" s="225" t="s">
        <v>11277</v>
      </c>
    </row>
    <row r="5221" spans="1:2">
      <c r="A5221" s="225" t="s">
        <v>1018</v>
      </c>
      <c r="B5221" s="225" t="s">
        <v>11280</v>
      </c>
    </row>
    <row r="5222" spans="1:2">
      <c r="A5222" s="225" t="s">
        <v>11282</v>
      </c>
      <c r="B5222" s="225" t="s">
        <v>11283</v>
      </c>
    </row>
    <row r="5223" spans="1:2">
      <c r="A5223" s="225" t="s">
        <v>11285</v>
      </c>
      <c r="B5223" s="225" t="s">
        <v>11286</v>
      </c>
    </row>
    <row r="5224" spans="1:2">
      <c r="A5224" s="225" t="s">
        <v>11289</v>
      </c>
      <c r="B5224" s="225" t="s">
        <v>11290</v>
      </c>
    </row>
    <row r="5225" spans="1:2">
      <c r="A5225" s="225" t="s">
        <v>1270</v>
      </c>
      <c r="B5225" s="225" t="s">
        <v>11292</v>
      </c>
    </row>
    <row r="5226" spans="1:2">
      <c r="A5226" s="225" t="s">
        <v>11293</v>
      </c>
      <c r="B5226" s="225" t="s">
        <v>11294</v>
      </c>
    </row>
    <row r="5227" spans="1:2">
      <c r="A5227" s="225" t="s">
        <v>11295</v>
      </c>
      <c r="B5227" s="225" t="s">
        <v>11296</v>
      </c>
    </row>
    <row r="5228" spans="1:2">
      <c r="A5228" s="225" t="s">
        <v>1411</v>
      </c>
      <c r="B5228" s="225" t="s">
        <v>11267</v>
      </c>
    </row>
    <row r="5229" spans="1:2">
      <c r="A5229" s="225" t="s">
        <v>1440</v>
      </c>
      <c r="B5229" s="225" t="s">
        <v>11299</v>
      </c>
    </row>
    <row r="5230" spans="1:2">
      <c r="A5230" s="225" t="s">
        <v>1198</v>
      </c>
      <c r="B5230" s="225" t="s">
        <v>11301</v>
      </c>
    </row>
    <row r="5231" spans="1:2">
      <c r="A5231" s="225" t="s">
        <v>11305</v>
      </c>
      <c r="B5231" s="225" t="s">
        <v>11306</v>
      </c>
    </row>
    <row r="5232" spans="1:2">
      <c r="A5232" s="225" t="s">
        <v>1176</v>
      </c>
      <c r="B5232" s="225" t="s">
        <v>11309</v>
      </c>
    </row>
    <row r="5233" spans="1:2">
      <c r="A5233" s="225" t="s">
        <v>11312</v>
      </c>
      <c r="B5233" s="225" t="s">
        <v>11290</v>
      </c>
    </row>
    <row r="5234" spans="1:2">
      <c r="A5234" s="225" t="s">
        <v>1182</v>
      </c>
      <c r="B5234" s="225" t="s">
        <v>11267</v>
      </c>
    </row>
    <row r="5235" spans="1:2">
      <c r="A5235" s="225" t="s">
        <v>1199</v>
      </c>
      <c r="B5235" s="225" t="s">
        <v>11318</v>
      </c>
    </row>
    <row r="5236" spans="1:2">
      <c r="A5236" s="225" t="s">
        <v>1143</v>
      </c>
      <c r="B5236" s="225" t="s">
        <v>11160</v>
      </c>
    </row>
    <row r="5237" spans="1:2">
      <c r="A5237" s="225" t="s">
        <v>1106</v>
      </c>
      <c r="B5237" s="225" t="s">
        <v>11161</v>
      </c>
    </row>
    <row r="5238" spans="1:2">
      <c r="A5238" s="225" t="s">
        <v>986</v>
      </c>
      <c r="B5238" s="225" t="s">
        <v>9463</v>
      </c>
    </row>
    <row r="5239" spans="1:2">
      <c r="A5239" s="225" t="s">
        <v>999</v>
      </c>
      <c r="B5239" s="225" t="s">
        <v>9464</v>
      </c>
    </row>
    <row r="5240" spans="1:2">
      <c r="A5240" s="225" t="s">
        <v>1087</v>
      </c>
      <c r="B5240" s="225" t="s">
        <v>9465</v>
      </c>
    </row>
    <row r="5241" spans="1:2">
      <c r="A5241" s="225" t="s">
        <v>867</v>
      </c>
      <c r="B5241" s="225" t="s">
        <v>9468</v>
      </c>
    </row>
    <row r="5242" spans="1:2">
      <c r="A5242" s="225" t="s">
        <v>1172</v>
      </c>
      <c r="B5242" s="225" t="s">
        <v>9469</v>
      </c>
    </row>
    <row r="5243" spans="1:2">
      <c r="A5243" s="225" t="s">
        <v>1008</v>
      </c>
      <c r="B5243" s="225" t="s">
        <v>9470</v>
      </c>
    </row>
    <row r="5244" spans="1:2">
      <c r="A5244" s="225" t="s">
        <v>976</v>
      </c>
      <c r="B5244" s="225" t="s">
        <v>9471</v>
      </c>
    </row>
    <row r="5245" spans="1:2">
      <c r="A5245" s="225" t="s">
        <v>895</v>
      </c>
      <c r="B5245" s="225" t="s">
        <v>9474</v>
      </c>
    </row>
    <row r="5246" spans="1:2">
      <c r="A5246" s="225" t="s">
        <v>847</v>
      </c>
      <c r="B5246" s="225" t="s">
        <v>9475</v>
      </c>
    </row>
    <row r="5247" spans="1:2">
      <c r="A5247" s="225" t="s">
        <v>9476</v>
      </c>
      <c r="B5247" s="225" t="s">
        <v>9477</v>
      </c>
    </row>
    <row r="5248" spans="1:2">
      <c r="A5248" s="225" t="s">
        <v>979</v>
      </c>
      <c r="B5248" s="225" t="s">
        <v>9478</v>
      </c>
    </row>
    <row r="5249" spans="1:2">
      <c r="A5249" s="225" t="s">
        <v>9479</v>
      </c>
      <c r="B5249" s="225" t="s">
        <v>9480</v>
      </c>
    </row>
    <row r="5250" spans="1:2">
      <c r="A5250" s="225" t="s">
        <v>945</v>
      </c>
      <c r="B5250" s="225" t="s">
        <v>9481</v>
      </c>
    </row>
    <row r="5251" spans="1:2">
      <c r="A5251" s="225" t="s">
        <v>9484</v>
      </c>
      <c r="B5251" s="225" t="s">
        <v>9485</v>
      </c>
    </row>
    <row r="5252" spans="1:2">
      <c r="A5252" s="225" t="s">
        <v>1099</v>
      </c>
      <c r="B5252" s="225" t="s">
        <v>9488</v>
      </c>
    </row>
    <row r="5253" spans="1:2">
      <c r="A5253" s="225" t="s">
        <v>9489</v>
      </c>
      <c r="B5253" s="225" t="s">
        <v>9490</v>
      </c>
    </row>
    <row r="5254" spans="1:2">
      <c r="A5254" s="225" t="s">
        <v>1399</v>
      </c>
      <c r="B5254" s="225" t="s">
        <v>9494</v>
      </c>
    </row>
    <row r="5255" spans="1:2">
      <c r="A5255" s="225" t="s">
        <v>10684</v>
      </c>
      <c r="B5255" s="225" t="s">
        <v>10685</v>
      </c>
    </row>
    <row r="5256" spans="1:2">
      <c r="A5256" s="225" t="s">
        <v>1071</v>
      </c>
      <c r="B5256" s="225" t="s">
        <v>11175</v>
      </c>
    </row>
    <row r="5257" spans="1:2">
      <c r="A5257" s="225" t="s">
        <v>10952</v>
      </c>
      <c r="B5257" s="225" t="s">
        <v>9438</v>
      </c>
    </row>
    <row r="5258" spans="1:2">
      <c r="A5258" s="225" t="s">
        <v>11176</v>
      </c>
      <c r="B5258" s="225" t="s">
        <v>11177</v>
      </c>
    </row>
    <row r="5259" spans="1:2">
      <c r="A5259" s="225" t="s">
        <v>11178</v>
      </c>
      <c r="B5259" s="225" t="s">
        <v>11179</v>
      </c>
    </row>
    <row r="5260" spans="1:2">
      <c r="A5260" s="225" t="s">
        <v>11180</v>
      </c>
      <c r="B5260" s="225" t="s">
        <v>11181</v>
      </c>
    </row>
    <row r="5261" spans="1:2">
      <c r="A5261" s="225" t="s">
        <v>11182</v>
      </c>
      <c r="B5261" s="225" t="s">
        <v>11183</v>
      </c>
    </row>
    <row r="5262" spans="1:2">
      <c r="A5262" s="225" t="s">
        <v>11184</v>
      </c>
      <c r="B5262" s="225" t="s">
        <v>11185</v>
      </c>
    </row>
    <row r="5263" spans="1:2">
      <c r="A5263" s="225" t="s">
        <v>10953</v>
      </c>
      <c r="B5263" s="225" t="s">
        <v>9439</v>
      </c>
    </row>
    <row r="5264" spans="1:2">
      <c r="A5264" s="225" t="s">
        <v>10954</v>
      </c>
      <c r="B5264" s="225" t="s">
        <v>9440</v>
      </c>
    </row>
    <row r="5265" spans="1:2">
      <c r="A5265" s="225" t="s">
        <v>10955</v>
      </c>
      <c r="B5265" s="225" t="s">
        <v>9441</v>
      </c>
    </row>
    <row r="5266" spans="1:2">
      <c r="A5266" s="225" t="s">
        <v>10956</v>
      </c>
      <c r="B5266" s="225" t="s">
        <v>9442</v>
      </c>
    </row>
    <row r="5267" spans="1:2">
      <c r="A5267" s="225" t="s">
        <v>10957</v>
      </c>
      <c r="B5267" s="225" t="s">
        <v>9443</v>
      </c>
    </row>
    <row r="5268" spans="1:2">
      <c r="A5268" s="225" t="s">
        <v>10958</v>
      </c>
      <c r="B5268" s="225" t="s">
        <v>9444</v>
      </c>
    </row>
    <row r="5269" spans="1:2">
      <c r="A5269" s="225" t="s">
        <v>10959</v>
      </c>
      <c r="B5269" s="225" t="s">
        <v>9445</v>
      </c>
    </row>
    <row r="5270" spans="1:2">
      <c r="A5270" s="225" t="s">
        <v>1021</v>
      </c>
      <c r="B5270" s="225" t="s">
        <v>11162</v>
      </c>
    </row>
    <row r="5271" spans="1:2">
      <c r="A5271" s="225" t="s">
        <v>1443</v>
      </c>
      <c r="B5271" s="225" t="s">
        <v>11163</v>
      </c>
    </row>
    <row r="5272" spans="1:2">
      <c r="A5272" s="225" t="s">
        <v>11164</v>
      </c>
      <c r="B5272" s="225" t="s">
        <v>11165</v>
      </c>
    </row>
    <row r="5273" spans="1:2">
      <c r="A5273" s="225" t="s">
        <v>10960</v>
      </c>
      <c r="B5273" s="225" t="s">
        <v>9446</v>
      </c>
    </row>
    <row r="5274" spans="1:2">
      <c r="A5274" s="225" t="s">
        <v>10961</v>
      </c>
      <c r="B5274" s="225" t="s">
        <v>9447</v>
      </c>
    </row>
    <row r="5275" spans="1:2">
      <c r="A5275" s="225" t="s">
        <v>1014</v>
      </c>
      <c r="B5275" s="225" t="s">
        <v>9542</v>
      </c>
    </row>
    <row r="5276" spans="1:2">
      <c r="A5276" s="225" t="s">
        <v>11189</v>
      </c>
      <c r="B5276" s="225" t="s">
        <v>9540</v>
      </c>
    </row>
    <row r="5277" spans="1:2">
      <c r="A5277" s="225" t="s">
        <v>1402</v>
      </c>
      <c r="B5277" s="225" t="s">
        <v>9538</v>
      </c>
    </row>
    <row r="5278" spans="1:2">
      <c r="A5278" s="225" t="s">
        <v>1189</v>
      </c>
      <c r="B5278" s="225" t="s">
        <v>9526</v>
      </c>
    </row>
    <row r="5279" spans="1:2">
      <c r="A5279" s="225" t="s">
        <v>1406</v>
      </c>
      <c r="B5279" s="225" t="s">
        <v>9532</v>
      </c>
    </row>
    <row r="5280" spans="1:2">
      <c r="A5280" s="225" t="s">
        <v>11192</v>
      </c>
      <c r="B5280" s="225" t="s">
        <v>9530</v>
      </c>
    </row>
    <row r="5281" spans="1:2">
      <c r="A5281" s="225" t="s">
        <v>1311</v>
      </c>
      <c r="B5281" s="225" t="s">
        <v>9528</v>
      </c>
    </row>
    <row r="5282" spans="1:2">
      <c r="A5282" s="225" t="s">
        <v>11193</v>
      </c>
      <c r="B5282" s="225" t="s">
        <v>9526</v>
      </c>
    </row>
    <row r="5283" spans="1:2">
      <c r="A5283" s="225" t="s">
        <v>11196</v>
      </c>
      <c r="B5283" s="225" t="s">
        <v>11197</v>
      </c>
    </row>
    <row r="5284" spans="1:2">
      <c r="A5284" s="225" t="s">
        <v>987</v>
      </c>
      <c r="B5284" s="225" t="s">
        <v>3679</v>
      </c>
    </row>
    <row r="5285" spans="1:2">
      <c r="A5285" s="225" t="s">
        <v>1102</v>
      </c>
      <c r="B5285" s="225" t="s">
        <v>3691</v>
      </c>
    </row>
    <row r="5286" spans="1:2">
      <c r="A5286" s="225" t="s">
        <v>1114</v>
      </c>
      <c r="B5286" s="225" t="s">
        <v>11202</v>
      </c>
    </row>
    <row r="5287" spans="1:2">
      <c r="A5287" s="225" t="s">
        <v>11206</v>
      </c>
      <c r="B5287" s="225" t="s">
        <v>11207</v>
      </c>
    </row>
    <row r="5288" spans="1:2">
      <c r="A5288" s="225" t="s">
        <v>989</v>
      </c>
      <c r="B5288" s="225" t="s">
        <v>10692</v>
      </c>
    </row>
    <row r="5289" spans="1:2">
      <c r="A5289" s="225" t="s">
        <v>362</v>
      </c>
      <c r="B5289" s="225" t="s">
        <v>9432</v>
      </c>
    </row>
    <row r="5290" spans="1:2">
      <c r="A5290" s="225" t="s">
        <v>1103</v>
      </c>
      <c r="B5290" s="225" t="s">
        <v>10693</v>
      </c>
    </row>
    <row r="5291" spans="1:2">
      <c r="A5291" s="225" t="s">
        <v>10694</v>
      </c>
      <c r="B5291" s="225" t="s">
        <v>10695</v>
      </c>
    </row>
    <row r="5292" spans="1:2">
      <c r="A5292" s="225" t="s">
        <v>1213</v>
      </c>
      <c r="B5292" s="225" t="s">
        <v>10696</v>
      </c>
    </row>
    <row r="5293" spans="1:2">
      <c r="A5293" s="225" t="s">
        <v>10697</v>
      </c>
      <c r="B5293" s="225" t="s">
        <v>10698</v>
      </c>
    </row>
    <row r="5294" spans="1:2">
      <c r="A5294" s="225" t="s">
        <v>363</v>
      </c>
      <c r="B5294" s="225" t="s">
        <v>9433</v>
      </c>
    </row>
    <row r="5295" spans="1:2">
      <c r="A5295" s="225" t="s">
        <v>1148</v>
      </c>
      <c r="B5295" s="225" t="s">
        <v>10699</v>
      </c>
    </row>
    <row r="5296" spans="1:2">
      <c r="A5296" s="225" t="s">
        <v>10700</v>
      </c>
      <c r="B5296" s="225" t="s">
        <v>10701</v>
      </c>
    </row>
    <row r="5297" spans="1:2">
      <c r="A5297" s="225" t="s">
        <v>1134</v>
      </c>
      <c r="B5297" s="225" t="s">
        <v>10702</v>
      </c>
    </row>
    <row r="5298" spans="1:2">
      <c r="A5298" s="225" t="s">
        <v>10703</v>
      </c>
      <c r="B5298" s="225" t="s">
        <v>10704</v>
      </c>
    </row>
    <row r="5299" spans="1:2">
      <c r="A5299" s="225" t="s">
        <v>1152</v>
      </c>
      <c r="B5299" s="225" t="s">
        <v>10705</v>
      </c>
    </row>
    <row r="5300" spans="1:2">
      <c r="A5300" s="225" t="s">
        <v>10706</v>
      </c>
      <c r="B5300" s="225" t="s">
        <v>10707</v>
      </c>
    </row>
    <row r="5301" spans="1:2">
      <c r="A5301" s="225" t="s">
        <v>10708</v>
      </c>
      <c r="B5301" s="225" t="s">
        <v>10709</v>
      </c>
    </row>
    <row r="5302" spans="1:2">
      <c r="A5302" s="225" t="s">
        <v>1070</v>
      </c>
      <c r="B5302" s="225" t="s">
        <v>10710</v>
      </c>
    </row>
    <row r="5303" spans="1:2">
      <c r="A5303" s="225" t="s">
        <v>1181</v>
      </c>
      <c r="B5303" s="225" t="s">
        <v>10711</v>
      </c>
    </row>
    <row r="5304" spans="1:2">
      <c r="A5304" s="225" t="s">
        <v>10712</v>
      </c>
      <c r="B5304" s="225" t="s">
        <v>10713</v>
      </c>
    </row>
    <row r="5305" spans="1:2">
      <c r="A5305" s="225" t="s">
        <v>984</v>
      </c>
      <c r="B5305" s="225" t="s">
        <v>10716</v>
      </c>
    </row>
    <row r="5306" spans="1:2">
      <c r="A5306" s="225" t="s">
        <v>10804</v>
      </c>
      <c r="B5306" s="225" t="s">
        <v>10805</v>
      </c>
    </row>
    <row r="5307" spans="1:2">
      <c r="A5307" s="225" t="s">
        <v>10806</v>
      </c>
      <c r="B5307" s="225" t="s">
        <v>10807</v>
      </c>
    </row>
    <row r="5308" spans="1:2">
      <c r="A5308" s="225" t="s">
        <v>10808</v>
      </c>
      <c r="B5308" s="225" t="s">
        <v>10809</v>
      </c>
    </row>
    <row r="5309" spans="1:2">
      <c r="A5309" s="225" t="s">
        <v>10810</v>
      </c>
      <c r="B5309" s="225" t="s">
        <v>10811</v>
      </c>
    </row>
    <row r="5310" spans="1:2">
      <c r="A5310" s="225" t="s">
        <v>10812</v>
      </c>
      <c r="B5310" s="225" t="s">
        <v>10813</v>
      </c>
    </row>
    <row r="5311" spans="1:2">
      <c r="A5311" s="225" t="s">
        <v>10814</v>
      </c>
      <c r="B5311" s="225" t="s">
        <v>10815</v>
      </c>
    </row>
    <row r="5312" spans="1:2">
      <c r="A5312" s="225" t="s">
        <v>10816</v>
      </c>
      <c r="B5312" s="225" t="s">
        <v>3801</v>
      </c>
    </row>
    <row r="5313" spans="1:2">
      <c r="A5313" s="225" t="s">
        <v>10817</v>
      </c>
      <c r="B5313" s="225" t="s">
        <v>10818</v>
      </c>
    </row>
    <row r="5314" spans="1:2">
      <c r="A5314" s="225" t="s">
        <v>10819</v>
      </c>
      <c r="B5314" s="225" t="s">
        <v>10820</v>
      </c>
    </row>
    <row r="5315" spans="1:2">
      <c r="A5315" s="225" t="s">
        <v>10821</v>
      </c>
      <c r="B5315" s="225" t="s">
        <v>10822</v>
      </c>
    </row>
    <row r="5316" spans="1:2">
      <c r="A5316" s="225" t="s">
        <v>10826</v>
      </c>
      <c r="B5316" s="225" t="s">
        <v>10789</v>
      </c>
    </row>
    <row r="5317" spans="1:2">
      <c r="A5317" s="225" t="s">
        <v>10087</v>
      </c>
      <c r="B5317" s="225" t="s">
        <v>10055</v>
      </c>
    </row>
    <row r="5318" spans="1:2">
      <c r="A5318" s="225" t="s">
        <v>10088</v>
      </c>
      <c r="B5318" s="225" t="s">
        <v>10057</v>
      </c>
    </row>
    <row r="5319" spans="1:2">
      <c r="A5319" s="225" t="s">
        <v>10089</v>
      </c>
      <c r="B5319" s="225" t="s">
        <v>10059</v>
      </c>
    </row>
    <row r="5320" spans="1:2">
      <c r="A5320" s="225" t="s">
        <v>10090</v>
      </c>
      <c r="B5320" s="225" t="s">
        <v>10061</v>
      </c>
    </row>
    <row r="5321" spans="1:2">
      <c r="A5321" s="225" t="s">
        <v>10091</v>
      </c>
      <c r="B5321" s="225" t="s">
        <v>10063</v>
      </c>
    </row>
    <row r="5322" spans="1:2">
      <c r="A5322" s="225" t="s">
        <v>10092</v>
      </c>
      <c r="B5322" s="225" t="s">
        <v>10093</v>
      </c>
    </row>
    <row r="5323" spans="1:2">
      <c r="A5323" s="225" t="s">
        <v>10094</v>
      </c>
      <c r="B5323" s="225" t="s">
        <v>10055</v>
      </c>
    </row>
    <row r="5324" spans="1:2">
      <c r="A5324" s="225" t="s">
        <v>10095</v>
      </c>
      <c r="B5324" s="225" t="s">
        <v>10057</v>
      </c>
    </row>
    <row r="5325" spans="1:2">
      <c r="A5325" s="225" t="s">
        <v>10096</v>
      </c>
      <c r="B5325" s="225" t="s">
        <v>10059</v>
      </c>
    </row>
    <row r="5326" spans="1:2">
      <c r="A5326" s="225" t="s">
        <v>10097</v>
      </c>
      <c r="B5326" s="225" t="s">
        <v>10061</v>
      </c>
    </row>
    <row r="5327" spans="1:2">
      <c r="A5327" s="225" t="s">
        <v>1439</v>
      </c>
      <c r="B5327" s="225" t="s">
        <v>10098</v>
      </c>
    </row>
    <row r="5328" spans="1:2">
      <c r="A5328" s="225" t="s">
        <v>1262</v>
      </c>
      <c r="B5328" s="225" t="s">
        <v>10055</v>
      </c>
    </row>
    <row r="5329" spans="1:2">
      <c r="A5329" s="225" t="s">
        <v>10101</v>
      </c>
      <c r="B5329" s="225" t="s">
        <v>10057</v>
      </c>
    </row>
    <row r="5330" spans="1:2">
      <c r="A5330" s="225" t="s">
        <v>10102</v>
      </c>
      <c r="B5330" s="225" t="s">
        <v>10059</v>
      </c>
    </row>
    <row r="5331" spans="1:2">
      <c r="A5331" s="225" t="s">
        <v>10103</v>
      </c>
      <c r="B5331" s="225" t="s">
        <v>10061</v>
      </c>
    </row>
    <row r="5332" spans="1:2">
      <c r="A5332" s="225" t="s">
        <v>10106</v>
      </c>
      <c r="B5332" s="225" t="s">
        <v>10045</v>
      </c>
    </row>
    <row r="5333" spans="1:2">
      <c r="A5333" s="225" t="s">
        <v>10107</v>
      </c>
      <c r="B5333" s="225" t="s">
        <v>10047</v>
      </c>
    </row>
    <row r="5334" spans="1:2">
      <c r="A5334" s="225" t="s">
        <v>10108</v>
      </c>
      <c r="B5334" s="225" t="s">
        <v>9724</v>
      </c>
    </row>
    <row r="5335" spans="1:2">
      <c r="A5335" s="225" t="s">
        <v>10109</v>
      </c>
      <c r="B5335" s="225" t="s">
        <v>9740</v>
      </c>
    </row>
    <row r="5336" spans="1:2">
      <c r="A5336" s="225" t="s">
        <v>1121</v>
      </c>
      <c r="B5336" s="225" t="s">
        <v>10110</v>
      </c>
    </row>
    <row r="5337" spans="1:2">
      <c r="A5337" s="225" t="s">
        <v>1160</v>
      </c>
      <c r="B5337" s="225" t="s">
        <v>10111</v>
      </c>
    </row>
    <row r="5338" spans="1:2">
      <c r="A5338" s="225" t="s">
        <v>10788</v>
      </c>
      <c r="B5338" s="225" t="s">
        <v>10789</v>
      </c>
    </row>
    <row r="5339" spans="1:2">
      <c r="A5339" s="225" t="s">
        <v>10790</v>
      </c>
      <c r="B5339" s="225" t="s">
        <v>10791</v>
      </c>
    </row>
    <row r="5340" spans="1:2">
      <c r="A5340" s="225" t="s">
        <v>10792</v>
      </c>
      <c r="B5340" s="225" t="s">
        <v>10793</v>
      </c>
    </row>
    <row r="5341" spans="1:2">
      <c r="A5341" s="225" t="s">
        <v>10794</v>
      </c>
      <c r="B5341" s="225" t="s">
        <v>10795</v>
      </c>
    </row>
    <row r="5342" spans="1:2">
      <c r="A5342" s="225" t="s">
        <v>10796</v>
      </c>
      <c r="B5342" s="225" t="s">
        <v>10797</v>
      </c>
    </row>
    <row r="5343" spans="1:2">
      <c r="A5343" s="225" t="s">
        <v>10798</v>
      </c>
      <c r="B5343" s="225" t="s">
        <v>9703</v>
      </c>
    </row>
    <row r="5344" spans="1:2">
      <c r="A5344" s="225" t="s">
        <v>10799</v>
      </c>
      <c r="B5344" s="225" t="s">
        <v>10800</v>
      </c>
    </row>
    <row r="5345" spans="1:2">
      <c r="A5345" s="225" t="s">
        <v>10801</v>
      </c>
      <c r="B5345" s="225" t="s">
        <v>3517</v>
      </c>
    </row>
    <row r="5346" spans="1:2">
      <c r="A5346" s="225" t="s">
        <v>10802</v>
      </c>
      <c r="B5346" s="225" t="s">
        <v>10803</v>
      </c>
    </row>
    <row r="5347" spans="1:2">
      <c r="A5347" s="225" t="s">
        <v>908</v>
      </c>
      <c r="B5347" s="225" t="s">
        <v>2209</v>
      </c>
    </row>
    <row r="5348" spans="1:2">
      <c r="A5348" s="225" t="s">
        <v>9317</v>
      </c>
      <c r="B5348" s="225" t="s">
        <v>2211</v>
      </c>
    </row>
    <row r="5349" spans="1:2">
      <c r="A5349" s="225" t="s">
        <v>9637</v>
      </c>
      <c r="B5349" s="225" t="s">
        <v>188</v>
      </c>
    </row>
    <row r="5350" spans="1:2">
      <c r="A5350" s="225" t="s">
        <v>9638</v>
      </c>
      <c r="B5350" s="225" t="s">
        <v>189</v>
      </c>
    </row>
    <row r="5351" spans="1:2">
      <c r="A5351" s="225" t="s">
        <v>961</v>
      </c>
      <c r="B5351" s="225" t="s">
        <v>411</v>
      </c>
    </row>
    <row r="5352" spans="1:2">
      <c r="A5352" s="225" t="s">
        <v>9512</v>
      </c>
      <c r="B5352" s="225" t="s">
        <v>412</v>
      </c>
    </row>
    <row r="5353" spans="1:2">
      <c r="A5353" s="225" t="s">
        <v>9513</v>
      </c>
      <c r="B5353" s="225" t="s">
        <v>413</v>
      </c>
    </row>
    <row r="5354" spans="1:2">
      <c r="A5354" s="225" t="s">
        <v>9514</v>
      </c>
      <c r="B5354" s="225" t="s">
        <v>414</v>
      </c>
    </row>
    <row r="5355" spans="1:2">
      <c r="A5355" s="225" t="s">
        <v>10748</v>
      </c>
      <c r="B5355" s="225" t="s">
        <v>10749</v>
      </c>
    </row>
    <row r="5356" spans="1:2">
      <c r="A5356" s="225" t="s">
        <v>9930</v>
      </c>
      <c r="B5356" s="225" t="s">
        <v>184</v>
      </c>
    </row>
    <row r="5357" spans="1:2">
      <c r="A5357" s="225" t="s">
        <v>10750</v>
      </c>
      <c r="B5357" s="225" t="s">
        <v>10751</v>
      </c>
    </row>
    <row r="5358" spans="1:2">
      <c r="A5358" s="225" t="s">
        <v>10779</v>
      </c>
      <c r="B5358" s="225" t="s">
        <v>10780</v>
      </c>
    </row>
    <row r="5359" spans="1:2">
      <c r="A5359" s="225" t="s">
        <v>6993</v>
      </c>
      <c r="B5359" s="225" t="s">
        <v>4613</v>
      </c>
    </row>
    <row r="5360" spans="1:2">
      <c r="A5360" s="225" t="s">
        <v>8956</v>
      </c>
      <c r="B5360" s="225" t="s">
        <v>4535</v>
      </c>
    </row>
    <row r="5361" spans="1:2">
      <c r="A5361" s="225" t="s">
        <v>405</v>
      </c>
      <c r="B5361" s="225" t="s">
        <v>9507</v>
      </c>
    </row>
    <row r="5362" spans="1:2">
      <c r="A5362" s="225" t="s">
        <v>9409</v>
      </c>
      <c r="B5362" s="225" t="s">
        <v>2567</v>
      </c>
    </row>
    <row r="5363" spans="1:2">
      <c r="A5363" s="225" t="s">
        <v>9410</v>
      </c>
      <c r="B5363" s="225" t="s">
        <v>2235</v>
      </c>
    </row>
    <row r="5364" spans="1:2">
      <c r="A5364" s="225" t="s">
        <v>9411</v>
      </c>
      <c r="B5364" s="225" t="s">
        <v>2568</v>
      </c>
    </row>
    <row r="5365" spans="1:2">
      <c r="A5365" s="225" t="s">
        <v>9413</v>
      </c>
      <c r="B5365" s="225" t="s">
        <v>2572</v>
      </c>
    </row>
    <row r="5366" spans="1:2">
      <c r="A5366" s="225" t="s">
        <v>9414</v>
      </c>
      <c r="B5366" s="225" t="s">
        <v>2573</v>
      </c>
    </row>
    <row r="5367" spans="1:2">
      <c r="A5367" s="225" t="s">
        <v>9415</v>
      </c>
      <c r="B5367" s="225" t="s">
        <v>2575</v>
      </c>
    </row>
    <row r="5368" spans="1:2">
      <c r="A5368" s="225" t="s">
        <v>9416</v>
      </c>
      <c r="B5368" s="225" t="s">
        <v>2577</v>
      </c>
    </row>
    <row r="5369" spans="1:2">
      <c r="A5369" s="225" t="s">
        <v>9417</v>
      </c>
      <c r="B5369" s="225" t="s">
        <v>2578</v>
      </c>
    </row>
    <row r="5370" spans="1:2">
      <c r="A5370" s="225" t="s">
        <v>9418</v>
      </c>
      <c r="B5370" s="225" t="s">
        <v>2579</v>
      </c>
    </row>
    <row r="5371" spans="1:2">
      <c r="A5371" s="225" t="s">
        <v>9419</v>
      </c>
      <c r="B5371" s="225" t="s">
        <v>2581</v>
      </c>
    </row>
    <row r="5372" spans="1:2">
      <c r="A5372" s="225" t="s">
        <v>9420</v>
      </c>
      <c r="B5372" s="225" t="s">
        <v>2583</v>
      </c>
    </row>
    <row r="5373" spans="1:2">
      <c r="A5373" s="225" t="s">
        <v>402</v>
      </c>
      <c r="B5373" s="225" t="s">
        <v>9504</v>
      </c>
    </row>
    <row r="5374" spans="1:2">
      <c r="A5374" s="225" t="s">
        <v>403</v>
      </c>
      <c r="B5374" s="225" t="s">
        <v>9505</v>
      </c>
    </row>
    <row r="5375" spans="1:2">
      <c r="A5375" s="225" t="s">
        <v>404</v>
      </c>
      <c r="B5375" s="225" t="s">
        <v>9506</v>
      </c>
    </row>
    <row r="5376" spans="1:2">
      <c r="A5376" s="225" t="s">
        <v>9511</v>
      </c>
      <c r="B5376" s="225" t="s">
        <v>32</v>
      </c>
    </row>
    <row r="5377" spans="1:2">
      <c r="A5377" s="225" t="s">
        <v>9277</v>
      </c>
      <c r="B5377" s="225" t="s">
        <v>9278</v>
      </c>
    </row>
    <row r="5378" spans="1:2">
      <c r="A5378" s="225" t="s">
        <v>9285</v>
      </c>
      <c r="B5378" s="225" t="s">
        <v>2162</v>
      </c>
    </row>
    <row r="5379" spans="1:2">
      <c r="A5379" s="225" t="s">
        <v>843</v>
      </c>
      <c r="B5379" s="225" t="s">
        <v>9475</v>
      </c>
    </row>
    <row r="5380" spans="1:2">
      <c r="A5380" s="225" t="s">
        <v>868</v>
      </c>
      <c r="B5380" s="225" t="s">
        <v>9474</v>
      </c>
    </row>
    <row r="5381" spans="1:2">
      <c r="A5381" s="225" t="s">
        <v>872</v>
      </c>
      <c r="B5381" s="225" t="s">
        <v>9959</v>
      </c>
    </row>
    <row r="5382" spans="1:2">
      <c r="A5382" s="225" t="s">
        <v>9960</v>
      </c>
      <c r="B5382" s="225" t="s">
        <v>9961</v>
      </c>
    </row>
    <row r="5383" spans="1:2">
      <c r="A5383" s="225" t="s">
        <v>10081</v>
      </c>
      <c r="B5383" s="225" t="s">
        <v>10059</v>
      </c>
    </row>
    <row r="5384" spans="1:2">
      <c r="A5384" s="225" t="s">
        <v>10082</v>
      </c>
      <c r="B5384" s="225" t="s">
        <v>10061</v>
      </c>
    </row>
    <row r="5385" spans="1:2">
      <c r="A5385" s="225" t="s">
        <v>10083</v>
      </c>
      <c r="B5385" s="225" t="s">
        <v>10084</v>
      </c>
    </row>
    <row r="5386" spans="1:2">
      <c r="A5386" s="225" t="s">
        <v>10049</v>
      </c>
      <c r="B5386" s="225" t="s">
        <v>10050</v>
      </c>
    </row>
    <row r="5387" spans="1:2">
      <c r="A5387" s="225" t="s">
        <v>10051</v>
      </c>
      <c r="B5387" s="225" t="s">
        <v>10052</v>
      </c>
    </row>
    <row r="5388" spans="1:2">
      <c r="A5388" s="225" t="s">
        <v>1202</v>
      </c>
      <c r="B5388" s="225" t="s">
        <v>10055</v>
      </c>
    </row>
    <row r="5389" spans="1:2">
      <c r="A5389" s="225" t="s">
        <v>10056</v>
      </c>
      <c r="B5389" s="225" t="s">
        <v>10057</v>
      </c>
    </row>
    <row r="5390" spans="1:2">
      <c r="A5390" s="225" t="s">
        <v>10058</v>
      </c>
      <c r="B5390" s="225" t="s">
        <v>10059</v>
      </c>
    </row>
    <row r="5391" spans="1:2">
      <c r="A5391" s="225" t="s">
        <v>10060</v>
      </c>
      <c r="B5391" s="225" t="s">
        <v>10061</v>
      </c>
    </row>
    <row r="5392" spans="1:2">
      <c r="A5392" s="225" t="s">
        <v>10062</v>
      </c>
      <c r="B5392" s="225" t="s">
        <v>10063</v>
      </c>
    </row>
    <row r="5393" spans="1:2">
      <c r="A5393" s="225" t="s">
        <v>10064</v>
      </c>
      <c r="B5393" s="225" t="s">
        <v>10065</v>
      </c>
    </row>
    <row r="5394" spans="1:2">
      <c r="A5394" s="225" t="s">
        <v>1218</v>
      </c>
      <c r="B5394" s="225" t="s">
        <v>10055</v>
      </c>
    </row>
    <row r="5395" spans="1:2">
      <c r="A5395" s="225" t="s">
        <v>1437</v>
      </c>
      <c r="B5395" s="225" t="s">
        <v>10057</v>
      </c>
    </row>
    <row r="5396" spans="1:2">
      <c r="A5396" s="225" t="s">
        <v>10066</v>
      </c>
      <c r="B5396" s="225" t="s">
        <v>10059</v>
      </c>
    </row>
    <row r="5397" spans="1:2">
      <c r="A5397" s="225" t="s">
        <v>10067</v>
      </c>
      <c r="B5397" s="225" t="s">
        <v>10061</v>
      </c>
    </row>
    <row r="5398" spans="1:2">
      <c r="A5398" s="225" t="s">
        <v>10070</v>
      </c>
      <c r="B5398" s="225" t="s">
        <v>10071</v>
      </c>
    </row>
    <row r="5399" spans="1:2">
      <c r="A5399" s="225" t="s">
        <v>10072</v>
      </c>
      <c r="B5399" s="225" t="s">
        <v>10073</v>
      </c>
    </row>
    <row r="5400" spans="1:2">
      <c r="A5400" s="225" t="s">
        <v>1244</v>
      </c>
      <c r="B5400" s="225" t="s">
        <v>10055</v>
      </c>
    </row>
    <row r="5401" spans="1:2">
      <c r="A5401" s="225" t="s">
        <v>10074</v>
      </c>
      <c r="B5401" s="225" t="s">
        <v>10057</v>
      </c>
    </row>
    <row r="5402" spans="1:2">
      <c r="A5402" s="225" t="s">
        <v>10075</v>
      </c>
      <c r="B5402" s="225" t="s">
        <v>10059</v>
      </c>
    </row>
    <row r="5403" spans="1:2">
      <c r="A5403" s="225" t="s">
        <v>10076</v>
      </c>
      <c r="B5403" s="225" t="s">
        <v>10061</v>
      </c>
    </row>
    <row r="5404" spans="1:2">
      <c r="A5404" s="225" t="s">
        <v>10077</v>
      </c>
      <c r="B5404" s="225" t="s">
        <v>10063</v>
      </c>
    </row>
    <row r="5405" spans="1:2">
      <c r="A5405" s="225" t="s">
        <v>10078</v>
      </c>
      <c r="B5405" s="225" t="s">
        <v>10079</v>
      </c>
    </row>
    <row r="5406" spans="1:2">
      <c r="A5406" s="225" t="s">
        <v>1283</v>
      </c>
      <c r="B5406" s="225" t="s">
        <v>10055</v>
      </c>
    </row>
    <row r="5407" spans="1:2">
      <c r="A5407" s="225" t="s">
        <v>10080</v>
      </c>
      <c r="B5407" s="225" t="s">
        <v>10057</v>
      </c>
    </row>
    <row r="5408" spans="1:2">
      <c r="A5408" s="225" t="s">
        <v>2143</v>
      </c>
      <c r="B5408" s="225" t="s">
        <v>2144</v>
      </c>
    </row>
    <row r="5409" spans="1:2">
      <c r="A5409" s="225" t="s">
        <v>2180</v>
      </c>
      <c r="B5409" s="225" t="s">
        <v>2181</v>
      </c>
    </row>
    <row r="5410" spans="1:2">
      <c r="A5410" s="225" t="s">
        <v>11213</v>
      </c>
      <c r="B5410" s="225" t="s">
        <v>11214</v>
      </c>
    </row>
    <row r="5411" spans="1:2">
      <c r="A5411" s="225" t="s">
        <v>774</v>
      </c>
      <c r="B5411" s="225" t="s">
        <v>2235</v>
      </c>
    </row>
    <row r="5412" spans="1:2">
      <c r="A5412" s="225" t="s">
        <v>3018</v>
      </c>
      <c r="B5412" s="225" t="s">
        <v>2274</v>
      </c>
    </row>
    <row r="5413" spans="1:2">
      <c r="A5413" s="225" t="s">
        <v>2333</v>
      </c>
      <c r="B5413" s="225" t="s">
        <v>2334</v>
      </c>
    </row>
    <row r="5414" spans="1:2">
      <c r="A5414" s="225" t="s">
        <v>2102</v>
      </c>
      <c r="B5414" s="225" t="s">
        <v>2103</v>
      </c>
    </row>
    <row r="5415" spans="1:2">
      <c r="A5415" s="225" t="s">
        <v>2118</v>
      </c>
      <c r="B5415" s="225" t="s">
        <v>2119</v>
      </c>
    </row>
    <row r="5416" spans="1:2">
      <c r="A5416" s="225" t="s">
        <v>5816</v>
      </c>
      <c r="B5416" s="225" t="s">
        <v>5817</v>
      </c>
    </row>
    <row r="5417" spans="1:2">
      <c r="A5417" s="225" t="s">
        <v>5818</v>
      </c>
      <c r="B5417" s="225" t="s">
        <v>5819</v>
      </c>
    </row>
    <row r="5418" spans="1:2">
      <c r="A5418" s="225" t="s">
        <v>5812</v>
      </c>
      <c r="B5418" s="225" t="s">
        <v>5813</v>
      </c>
    </row>
    <row r="5419" spans="1:2">
      <c r="A5419" s="225" t="s">
        <v>5814</v>
      </c>
      <c r="B5419" s="225" t="s">
        <v>5815</v>
      </c>
    </row>
    <row r="5420" spans="1:2">
      <c r="A5420" s="225" t="s">
        <v>6742</v>
      </c>
      <c r="B5420" s="225" t="s">
        <v>6743</v>
      </c>
    </row>
    <row r="5421" spans="1:2">
      <c r="A5421" s="225" t="s">
        <v>5746</v>
      </c>
      <c r="B5421" s="225" t="s">
        <v>5741</v>
      </c>
    </row>
    <row r="5422" spans="1:2">
      <c r="A5422" s="225" t="s">
        <v>9035</v>
      </c>
      <c r="B5422" s="225" t="s">
        <v>9036</v>
      </c>
    </row>
    <row r="5423" spans="1:2">
      <c r="A5423" s="225" t="s">
        <v>7965</v>
      </c>
      <c r="B5423" s="225" t="s">
        <v>7966</v>
      </c>
    </row>
    <row r="5424" spans="1:2">
      <c r="A5424" s="225" t="s">
        <v>7973</v>
      </c>
      <c r="B5424" s="225" t="s">
        <v>7974</v>
      </c>
    </row>
    <row r="5425" spans="1:2">
      <c r="A5425" s="225" t="s">
        <v>8012</v>
      </c>
      <c r="B5425" s="225" t="s">
        <v>8013</v>
      </c>
    </row>
    <row r="5426" spans="1:2">
      <c r="A5426" s="225" t="s">
        <v>8323</v>
      </c>
      <c r="B5426" s="225" t="s">
        <v>8324</v>
      </c>
    </row>
    <row r="5427" spans="1:2">
      <c r="A5427" s="225" t="s">
        <v>2321</v>
      </c>
      <c r="B5427" s="225" t="s">
        <v>2322</v>
      </c>
    </row>
    <row r="5428" spans="1:2">
      <c r="A5428" s="225" t="s">
        <v>2331</v>
      </c>
      <c r="B5428" s="225" t="s">
        <v>2332</v>
      </c>
    </row>
    <row r="5429" spans="1:2">
      <c r="A5429" s="225" t="s">
        <v>2275</v>
      </c>
      <c r="B5429" s="225" t="s">
        <v>2276</v>
      </c>
    </row>
    <row r="5430" spans="1:2">
      <c r="A5430" s="225" t="s">
        <v>2282</v>
      </c>
      <c r="B5430" s="225" t="s">
        <v>2283</v>
      </c>
    </row>
    <row r="5431" spans="1:2">
      <c r="A5431" s="225" t="s">
        <v>2286</v>
      </c>
      <c r="B5431" s="225" t="s">
        <v>2287</v>
      </c>
    </row>
    <row r="5432" spans="1:2">
      <c r="A5432" s="225" t="s">
        <v>8532</v>
      </c>
      <c r="B5432" s="225" t="s">
        <v>8533</v>
      </c>
    </row>
    <row r="5433" spans="1:2">
      <c r="A5433" s="225" t="s">
        <v>5527</v>
      </c>
      <c r="B5433" s="225" t="s">
        <v>5528</v>
      </c>
    </row>
    <row r="5434" spans="1:2">
      <c r="A5434" s="225" t="s">
        <v>5557</v>
      </c>
      <c r="B5434" s="225" t="s">
        <v>5558</v>
      </c>
    </row>
    <row r="5435" spans="1:2">
      <c r="A5435" s="225" t="s">
        <v>5568</v>
      </c>
      <c r="B5435" s="225" t="s">
        <v>5558</v>
      </c>
    </row>
    <row r="5436" spans="1:2">
      <c r="A5436" s="225" t="s">
        <v>5575</v>
      </c>
      <c r="B5436" s="225" t="s">
        <v>5558</v>
      </c>
    </row>
    <row r="5437" spans="1:2">
      <c r="A5437" s="225" t="s">
        <v>5582</v>
      </c>
      <c r="B5437" s="225" t="s">
        <v>5558</v>
      </c>
    </row>
    <row r="5438" spans="1:2">
      <c r="A5438" s="225" t="s">
        <v>5589</v>
      </c>
      <c r="B5438" s="225" t="s">
        <v>5558</v>
      </c>
    </row>
    <row r="5439" spans="1:2">
      <c r="A5439" s="225" t="s">
        <v>7000</v>
      </c>
      <c r="B5439" s="225" t="s">
        <v>7001</v>
      </c>
    </row>
    <row r="5440" spans="1:2">
      <c r="A5440" s="225" t="s">
        <v>2341</v>
      </c>
      <c r="B5440" s="225" t="s">
        <v>2342</v>
      </c>
    </row>
    <row r="5441" spans="1:2">
      <c r="A5441" s="225" t="s">
        <v>2361</v>
      </c>
      <c r="B5441" s="225" t="s">
        <v>2362</v>
      </c>
    </row>
    <row r="5442" spans="1:2">
      <c r="A5442" s="225" t="s">
        <v>2471</v>
      </c>
      <c r="B5442" s="225" t="s">
        <v>2472</v>
      </c>
    </row>
    <row r="5443" spans="1:2">
      <c r="A5443" s="225" t="s">
        <v>9880</v>
      </c>
      <c r="B5443" s="225" t="s">
        <v>3850</v>
      </c>
    </row>
    <row r="5444" spans="1:2">
      <c r="A5444" s="225" t="s">
        <v>9887</v>
      </c>
      <c r="B5444" s="225" t="s">
        <v>3851</v>
      </c>
    </row>
    <row r="5445" spans="1:2">
      <c r="A5445" s="225" t="s">
        <v>9878</v>
      </c>
      <c r="B5445" s="225" t="s">
        <v>9879</v>
      </c>
    </row>
    <row r="5446" spans="1:2">
      <c r="A5446" s="225" t="s">
        <v>9885</v>
      </c>
      <c r="B5446" s="225" t="s">
        <v>9886</v>
      </c>
    </row>
    <row r="5447" spans="1:2">
      <c r="A5447" s="225" t="s">
        <v>11169</v>
      </c>
      <c r="B5447" s="225" t="s">
        <v>11170</v>
      </c>
    </row>
    <row r="5448" spans="1:2">
      <c r="A5448" s="225" t="s">
        <v>11499</v>
      </c>
      <c r="B5448" s="225" t="s">
        <v>11500</v>
      </c>
    </row>
    <row r="5449" spans="1:2">
      <c r="A5449" s="225" t="s">
        <v>9906</v>
      </c>
      <c r="B5449" s="225" t="s">
        <v>35</v>
      </c>
    </row>
    <row r="5450" spans="1:2">
      <c r="A5450" s="225" t="s">
        <v>1228</v>
      </c>
      <c r="B5450" s="225" t="s">
        <v>11473</v>
      </c>
    </row>
    <row r="5451" spans="1:2">
      <c r="A5451" s="225" t="s">
        <v>9954</v>
      </c>
      <c r="B5451" s="225" t="s">
        <v>9955</v>
      </c>
    </row>
    <row r="5452" spans="1:2">
      <c r="A5452" s="225" t="s">
        <v>1233</v>
      </c>
      <c r="B5452" s="225" t="s">
        <v>11474</v>
      </c>
    </row>
    <row r="5453" spans="1:2">
      <c r="A5453" s="225" t="s">
        <v>1227</v>
      </c>
      <c r="B5453" s="225" t="s">
        <v>11475</v>
      </c>
    </row>
    <row r="5454" spans="1:2">
      <c r="A5454" s="225" t="s">
        <v>1232</v>
      </c>
      <c r="B5454" s="225" t="s">
        <v>11476</v>
      </c>
    </row>
    <row r="5455" spans="1:2">
      <c r="A5455" s="225" t="s">
        <v>1433</v>
      </c>
      <c r="B5455" s="225" t="s">
        <v>11477</v>
      </c>
    </row>
    <row r="5456" spans="1:2">
      <c r="A5456" s="225" t="s">
        <v>11478</v>
      </c>
      <c r="B5456" s="225" t="s">
        <v>11479</v>
      </c>
    </row>
    <row r="5457" spans="1:2">
      <c r="A5457" s="225" t="s">
        <v>11480</v>
      </c>
      <c r="B5457" s="225" t="s">
        <v>11481</v>
      </c>
    </row>
    <row r="5458" spans="1:2">
      <c r="A5458" s="225" t="s">
        <v>11482</v>
      </c>
      <c r="B5458" s="225" t="s">
        <v>11483</v>
      </c>
    </row>
    <row r="5459" spans="1:2">
      <c r="A5459" s="225" t="s">
        <v>11484</v>
      </c>
      <c r="B5459" s="225" t="s">
        <v>11485</v>
      </c>
    </row>
    <row r="5460" spans="1:2">
      <c r="A5460" s="225" t="s">
        <v>11486</v>
      </c>
      <c r="B5460" s="225" t="s">
        <v>11487</v>
      </c>
    </row>
    <row r="5461" spans="1:2">
      <c r="A5461" s="225" t="s">
        <v>11488</v>
      </c>
      <c r="B5461" s="225" t="s">
        <v>11489</v>
      </c>
    </row>
    <row r="5462" spans="1:2">
      <c r="A5462" s="225" t="s">
        <v>11490</v>
      </c>
      <c r="B5462" s="225" t="s">
        <v>11491</v>
      </c>
    </row>
    <row r="5463" spans="1:2">
      <c r="A5463" s="225" t="s">
        <v>11501</v>
      </c>
      <c r="B5463" s="225" t="s">
        <v>11502</v>
      </c>
    </row>
    <row r="5464" spans="1:2">
      <c r="A5464" s="225" t="s">
        <v>11503</v>
      </c>
      <c r="B5464" s="225" t="s">
        <v>11504</v>
      </c>
    </row>
    <row r="5465" spans="1:2">
      <c r="A5465" s="225" t="s">
        <v>11505</v>
      </c>
      <c r="B5465" s="225" t="s">
        <v>11506</v>
      </c>
    </row>
    <row r="5466" spans="1:2">
      <c r="A5466" s="225" t="s">
        <v>11507</v>
      </c>
      <c r="B5466" s="225" t="s">
        <v>11508</v>
      </c>
    </row>
    <row r="5467" spans="1:2">
      <c r="A5467" s="225" t="s">
        <v>11509</v>
      </c>
      <c r="B5467" s="225" t="s">
        <v>11510</v>
      </c>
    </row>
    <row r="5468" spans="1:2">
      <c r="A5468" s="225" t="s">
        <v>11511</v>
      </c>
      <c r="B5468" s="225" t="s">
        <v>11512</v>
      </c>
    </row>
    <row r="5469" spans="1:2">
      <c r="A5469" s="225" t="s">
        <v>11513</v>
      </c>
      <c r="B5469" s="225" t="s">
        <v>11514</v>
      </c>
    </row>
    <row r="5470" spans="1:2">
      <c r="A5470" s="225" t="s">
        <v>11515</v>
      </c>
      <c r="B5470" s="225" t="s">
        <v>11516</v>
      </c>
    </row>
    <row r="5471" spans="1:2">
      <c r="A5471" s="225" t="s">
        <v>11517</v>
      </c>
      <c r="B5471" s="225" t="s">
        <v>11518</v>
      </c>
    </row>
    <row r="5472" spans="1:2">
      <c r="A5472" s="225" t="s">
        <v>11519</v>
      </c>
      <c r="B5472" s="225" t="s">
        <v>11520</v>
      </c>
    </row>
    <row r="5473" spans="1:2">
      <c r="A5473" s="225" t="s">
        <v>11521</v>
      </c>
      <c r="B5473" s="225" t="s">
        <v>11522</v>
      </c>
    </row>
    <row r="5474" spans="1:2">
      <c r="A5474" s="225" t="s">
        <v>11523</v>
      </c>
      <c r="B5474" s="225" t="s">
        <v>11524</v>
      </c>
    </row>
    <row r="5475" spans="1:2">
      <c r="A5475" s="225" t="s">
        <v>11525</v>
      </c>
      <c r="B5475" s="225" t="s">
        <v>11526</v>
      </c>
    </row>
    <row r="5476" spans="1:2">
      <c r="A5476" s="225" t="s">
        <v>11527</v>
      </c>
      <c r="B5476" s="225" t="s">
        <v>11528</v>
      </c>
    </row>
    <row r="5477" spans="1:2">
      <c r="A5477" s="225" t="s">
        <v>11529</v>
      </c>
      <c r="B5477" s="225" t="s">
        <v>11530</v>
      </c>
    </row>
    <row r="5478" spans="1:2">
      <c r="A5478" s="225" t="s">
        <v>11531</v>
      </c>
      <c r="B5478" s="225" t="s">
        <v>11532</v>
      </c>
    </row>
    <row r="5479" spans="1:2">
      <c r="A5479" s="225" t="s">
        <v>11533</v>
      </c>
      <c r="B5479" s="225" t="s">
        <v>11534</v>
      </c>
    </row>
    <row r="5480" spans="1:2">
      <c r="A5480" s="225" t="s">
        <v>11535</v>
      </c>
      <c r="B5480" s="225" t="s">
        <v>11536</v>
      </c>
    </row>
    <row r="5481" spans="1:2">
      <c r="A5481" s="225" t="s">
        <v>11537</v>
      </c>
      <c r="B5481" s="225" t="s">
        <v>11538</v>
      </c>
    </row>
    <row r="5482" spans="1:2">
      <c r="A5482" s="225" t="s">
        <v>11399</v>
      </c>
      <c r="B5482" s="225" t="s">
        <v>11400</v>
      </c>
    </row>
    <row r="5483" spans="1:2">
      <c r="A5483" s="225" t="s">
        <v>11557</v>
      </c>
      <c r="B5483" s="225" t="s">
        <v>5325</v>
      </c>
    </row>
    <row r="5484" spans="1:2">
      <c r="A5484" s="225" t="s">
        <v>11558</v>
      </c>
      <c r="B5484" s="225" t="s">
        <v>5327</v>
      </c>
    </row>
    <row r="5485" spans="1:2">
      <c r="A5485" s="225" t="s">
        <v>11559</v>
      </c>
      <c r="B5485" s="225" t="s">
        <v>5329</v>
      </c>
    </row>
    <row r="5486" spans="1:2">
      <c r="A5486" s="225" t="s">
        <v>11560</v>
      </c>
      <c r="B5486" s="225" t="s">
        <v>11561</v>
      </c>
    </row>
    <row r="5487" spans="1:2">
      <c r="A5487" s="225" t="s">
        <v>11562</v>
      </c>
      <c r="B5487" s="225" t="s">
        <v>11563</v>
      </c>
    </row>
    <row r="5488" spans="1:2">
      <c r="A5488" s="225" t="s">
        <v>11564</v>
      </c>
      <c r="B5488" s="225" t="s">
        <v>11565</v>
      </c>
    </row>
    <row r="5489" spans="1:2">
      <c r="A5489" s="225" t="s">
        <v>11219</v>
      </c>
      <c r="B5489" s="225" t="s">
        <v>11220</v>
      </c>
    </row>
    <row r="5490" spans="1:2">
      <c r="A5490" s="225" t="s">
        <v>11221</v>
      </c>
      <c r="B5490" s="225" t="s">
        <v>11222</v>
      </c>
    </row>
    <row r="5491" spans="1:2">
      <c r="A5491" s="225" t="s">
        <v>11227</v>
      </c>
      <c r="B5491" s="225" t="s">
        <v>11228</v>
      </c>
    </row>
    <row r="5492" spans="1:2">
      <c r="A5492" s="225" t="s">
        <v>11229</v>
      </c>
      <c r="B5492" s="225" t="s">
        <v>11230</v>
      </c>
    </row>
    <row r="5493" spans="1:2">
      <c r="A5493" s="225" t="s">
        <v>11325</v>
      </c>
      <c r="B5493" s="225" t="s">
        <v>11216</v>
      </c>
    </row>
    <row r="5494" spans="1:2">
      <c r="A5494" s="225" t="s">
        <v>11326</v>
      </c>
      <c r="B5494" s="225" t="s">
        <v>11327</v>
      </c>
    </row>
    <row r="5495" spans="1:2">
      <c r="A5495" s="225" t="s">
        <v>11328</v>
      </c>
      <c r="B5495" s="225" t="s">
        <v>11329</v>
      </c>
    </row>
    <row r="5496" spans="1:2">
      <c r="A5496" s="225" t="s">
        <v>11418</v>
      </c>
      <c r="B5496" s="225" t="s">
        <v>11419</v>
      </c>
    </row>
    <row r="5497" spans="1:2">
      <c r="A5497" s="225" t="s">
        <v>1271</v>
      </c>
      <c r="B5497" s="225" t="s">
        <v>11361</v>
      </c>
    </row>
    <row r="5498" spans="1:2">
      <c r="A5498" s="225" t="s">
        <v>1274</v>
      </c>
      <c r="B5498" s="225" t="s">
        <v>11362</v>
      </c>
    </row>
    <row r="5499" spans="1:2">
      <c r="A5499" s="225" t="s">
        <v>1245</v>
      </c>
      <c r="B5499" s="225" t="s">
        <v>11363</v>
      </c>
    </row>
    <row r="5500" spans="1:2">
      <c r="A5500" s="225" t="s">
        <v>1316</v>
      </c>
      <c r="B5500" s="225" t="s">
        <v>11364</v>
      </c>
    </row>
    <row r="5501" spans="1:2">
      <c r="A5501" s="225" t="s">
        <v>1068</v>
      </c>
      <c r="B5501" s="225" t="s">
        <v>4156</v>
      </c>
    </row>
    <row r="5502" spans="1:2">
      <c r="A5502" s="225" t="s">
        <v>1215</v>
      </c>
      <c r="B5502" s="225" t="s">
        <v>4157</v>
      </c>
    </row>
    <row r="5503" spans="1:2">
      <c r="A5503" s="225" t="s">
        <v>1144</v>
      </c>
      <c r="B5503" s="225" t="s">
        <v>4158</v>
      </c>
    </row>
    <row r="5504" spans="1:2">
      <c r="A5504" s="225" t="s">
        <v>11420</v>
      </c>
      <c r="B5504" s="225" t="s">
        <v>11421</v>
      </c>
    </row>
    <row r="5505" spans="1:2">
      <c r="A5505" s="225" t="s">
        <v>11422</v>
      </c>
      <c r="B5505" s="225" t="s">
        <v>11423</v>
      </c>
    </row>
    <row r="5506" spans="1:2">
      <c r="A5506" s="225" t="s">
        <v>11424</v>
      </c>
      <c r="B5506" s="225" t="s">
        <v>11425</v>
      </c>
    </row>
    <row r="5507" spans="1:2">
      <c r="A5507" s="225" t="s">
        <v>11426</v>
      </c>
      <c r="B5507" s="225" t="s">
        <v>11427</v>
      </c>
    </row>
    <row r="5508" spans="1:2">
      <c r="A5508" s="225" t="s">
        <v>11368</v>
      </c>
      <c r="B5508" s="225" t="s">
        <v>4162</v>
      </c>
    </row>
    <row r="5509" spans="1:2">
      <c r="A5509" s="225" t="s">
        <v>11428</v>
      </c>
      <c r="B5509" s="225" t="s">
        <v>11429</v>
      </c>
    </row>
    <row r="5510" spans="1:2">
      <c r="A5510" s="225" t="s">
        <v>1260</v>
      </c>
      <c r="B5510" s="225" t="s">
        <v>11385</v>
      </c>
    </row>
    <row r="5511" spans="1:2">
      <c r="A5511" s="225" t="s">
        <v>11430</v>
      </c>
      <c r="B5511" s="225" t="s">
        <v>11431</v>
      </c>
    </row>
    <row r="5512" spans="1:2">
      <c r="A5512" s="225" t="s">
        <v>11432</v>
      </c>
      <c r="B5512" s="225" t="s">
        <v>11433</v>
      </c>
    </row>
    <row r="5513" spans="1:2">
      <c r="A5513" s="225" t="s">
        <v>1276</v>
      </c>
      <c r="B5513" s="225" t="s">
        <v>11390</v>
      </c>
    </row>
    <row r="5514" spans="1:2">
      <c r="A5514" s="225" t="s">
        <v>11391</v>
      </c>
      <c r="B5514" s="225" t="s">
        <v>11392</v>
      </c>
    </row>
    <row r="5515" spans="1:2">
      <c r="A5515" s="225" t="s">
        <v>11434</v>
      </c>
      <c r="B5515" s="225" t="s">
        <v>11435</v>
      </c>
    </row>
    <row r="5516" spans="1:2">
      <c r="A5516" s="225" t="s">
        <v>11436</v>
      </c>
      <c r="B5516" s="225" t="s">
        <v>11437</v>
      </c>
    </row>
    <row r="5517" spans="1:2">
      <c r="A5517" s="225" t="s">
        <v>1237</v>
      </c>
      <c r="B5517" s="225" t="s">
        <v>11470</v>
      </c>
    </row>
    <row r="5518" spans="1:2">
      <c r="A5518" s="225" t="s">
        <v>1287</v>
      </c>
      <c r="B5518" s="225" t="s">
        <v>11403</v>
      </c>
    </row>
    <row r="5519" spans="1:2">
      <c r="A5519" s="225" t="s">
        <v>1221</v>
      </c>
      <c r="B5519" s="225" t="s">
        <v>11471</v>
      </c>
    </row>
    <row r="5520" spans="1:2">
      <c r="A5520" s="225" t="s">
        <v>11408</v>
      </c>
      <c r="B5520" s="225" t="s">
        <v>11409</v>
      </c>
    </row>
    <row r="5521" spans="1:2">
      <c r="A5521" s="225" t="s">
        <v>1246</v>
      </c>
      <c r="B5521" s="225" t="s">
        <v>11410</v>
      </c>
    </row>
    <row r="5522" spans="1:2">
      <c r="A5522" s="225" t="s">
        <v>1226</v>
      </c>
      <c r="B5522" s="225" t="s">
        <v>11472</v>
      </c>
    </row>
    <row r="5523" spans="1:2">
      <c r="A5523" s="225" t="s">
        <v>11438</v>
      </c>
      <c r="B5523" s="225" t="s">
        <v>11439</v>
      </c>
    </row>
    <row r="5524" spans="1:2">
      <c r="A5524" s="225" t="s">
        <v>11440</v>
      </c>
      <c r="B5524" s="225" t="s">
        <v>11441</v>
      </c>
    </row>
    <row r="5525" spans="1:2">
      <c r="A5525" s="225" t="s">
        <v>11442</v>
      </c>
      <c r="B5525" s="225" t="s">
        <v>11443</v>
      </c>
    </row>
    <row r="5526" spans="1:2">
      <c r="A5526" s="225" t="s">
        <v>11444</v>
      </c>
      <c r="B5526" s="225" t="s">
        <v>11445</v>
      </c>
    </row>
    <row r="5527" spans="1:2">
      <c r="A5527" s="225" t="s">
        <v>11446</v>
      </c>
      <c r="B5527" s="225" t="s">
        <v>11447</v>
      </c>
    </row>
    <row r="5528" spans="1:2">
      <c r="A5528" s="225" t="s">
        <v>11448</v>
      </c>
      <c r="B5528" s="225" t="s">
        <v>11449</v>
      </c>
    </row>
    <row r="5529" spans="1:2">
      <c r="A5529" s="225" t="s">
        <v>11450</v>
      </c>
      <c r="B5529" s="225" t="s">
        <v>11451</v>
      </c>
    </row>
    <row r="5530" spans="1:2">
      <c r="A5530" s="225" t="s">
        <v>11452</v>
      </c>
      <c r="B5530" s="225" t="s">
        <v>11453</v>
      </c>
    </row>
    <row r="5531" spans="1:2">
      <c r="A5531" s="225" t="s">
        <v>11454</v>
      </c>
      <c r="B5531" s="225" t="s">
        <v>11455</v>
      </c>
    </row>
    <row r="5532" spans="1:2">
      <c r="A5532" s="225" t="s">
        <v>11456</v>
      </c>
      <c r="B5532" s="225" t="s">
        <v>11457</v>
      </c>
    </row>
    <row r="5533" spans="1:2">
      <c r="A5533" s="225" t="s">
        <v>1046</v>
      </c>
      <c r="B5533" s="225" t="s">
        <v>11465</v>
      </c>
    </row>
    <row r="5534" spans="1:2">
      <c r="A5534" s="225" t="s">
        <v>1030</v>
      </c>
      <c r="B5534" s="225" t="s">
        <v>11466</v>
      </c>
    </row>
    <row r="5535" spans="1:2">
      <c r="A5535" s="225" t="s">
        <v>1024</v>
      </c>
      <c r="B5535" s="225" t="s">
        <v>11467</v>
      </c>
    </row>
    <row r="5536" spans="1:2">
      <c r="A5536" s="225" t="s">
        <v>1055</v>
      </c>
      <c r="B5536" s="225" t="s">
        <v>11468</v>
      </c>
    </row>
    <row r="5537" spans="1:2">
      <c r="A5537" s="225" t="s">
        <v>11369</v>
      </c>
      <c r="B5537" s="225" t="s">
        <v>4164</v>
      </c>
    </row>
    <row r="5538" spans="1:2">
      <c r="A5538" s="225" t="s">
        <v>1075</v>
      </c>
      <c r="B5538" s="225" t="s">
        <v>4165</v>
      </c>
    </row>
    <row r="5539" spans="1:2">
      <c r="A5539" s="225" t="s">
        <v>11370</v>
      </c>
      <c r="B5539" s="225" t="s">
        <v>422</v>
      </c>
    </row>
    <row r="5540" spans="1:2">
      <c r="A5540" s="225" t="s">
        <v>11371</v>
      </c>
      <c r="B5540" s="225" t="s">
        <v>4168</v>
      </c>
    </row>
    <row r="5541" spans="1:2">
      <c r="A5541" s="225" t="s">
        <v>1038</v>
      </c>
      <c r="B5541" s="225" t="s">
        <v>11469</v>
      </c>
    </row>
    <row r="5542" spans="1:2">
      <c r="A5542" s="225" t="s">
        <v>11393</v>
      </c>
      <c r="B5542" s="225" t="s">
        <v>11394</v>
      </c>
    </row>
    <row r="5543" spans="1:2">
      <c r="A5543" s="225" t="s">
        <v>11375</v>
      </c>
      <c r="B5543" s="225" t="s">
        <v>11376</v>
      </c>
    </row>
    <row r="5544" spans="1:2">
      <c r="A5544" s="225" t="s">
        <v>1272</v>
      </c>
      <c r="B5544" s="225" t="s">
        <v>11377</v>
      </c>
    </row>
    <row r="5545" spans="1:2">
      <c r="A5545" s="225" t="s">
        <v>1313</v>
      </c>
      <c r="B5545" s="225" t="s">
        <v>11378</v>
      </c>
    </row>
    <row r="5546" spans="1:2">
      <c r="A5546" s="225" t="s">
        <v>11190</v>
      </c>
      <c r="B5546" s="225" t="s">
        <v>9535</v>
      </c>
    </row>
    <row r="5547" spans="1:2">
      <c r="A5547" s="225" t="s">
        <v>11191</v>
      </c>
      <c r="B5547" s="225" t="s">
        <v>3306</v>
      </c>
    </row>
    <row r="5548" spans="1:2">
      <c r="A5548" s="225" t="s">
        <v>11194</v>
      </c>
      <c r="B5548" s="225" t="s">
        <v>9524</v>
      </c>
    </row>
    <row r="5549" spans="1:2">
      <c r="A5549" s="225" t="s">
        <v>9926</v>
      </c>
      <c r="B5549" s="225" t="s">
        <v>9927</v>
      </c>
    </row>
    <row r="5550" spans="1:2">
      <c r="A5550" s="225" t="s">
        <v>9940</v>
      </c>
      <c r="B5550" s="225" t="s">
        <v>9941</v>
      </c>
    </row>
    <row r="5551" spans="1:2">
      <c r="A5551" s="225" t="s">
        <v>9422</v>
      </c>
      <c r="B5551" s="225" t="s">
        <v>2587</v>
      </c>
    </row>
    <row r="5552" spans="1:2">
      <c r="A5552" s="225" t="s">
        <v>1195</v>
      </c>
      <c r="B5552" s="225" t="s">
        <v>416</v>
      </c>
    </row>
    <row r="5553" spans="1:2">
      <c r="A5553" s="225" t="s">
        <v>9406</v>
      </c>
      <c r="B5553" s="225" t="s">
        <v>9407</v>
      </c>
    </row>
    <row r="5554" spans="1:2">
      <c r="A5554" s="225" t="s">
        <v>9408</v>
      </c>
      <c r="B5554" s="225" t="s">
        <v>2565</v>
      </c>
    </row>
    <row r="5555" spans="1:2">
      <c r="A5555" s="225" t="s">
        <v>9412</v>
      </c>
      <c r="B5555" s="225" t="s">
        <v>2328</v>
      </c>
    </row>
    <row r="5556" spans="1:2">
      <c r="A5556" s="225" t="s">
        <v>9423</v>
      </c>
      <c r="B5556" s="225" t="s">
        <v>9424</v>
      </c>
    </row>
    <row r="5557" spans="1:2">
      <c r="A5557" s="225" t="s">
        <v>9254</v>
      </c>
      <c r="B5557" s="225" t="s">
        <v>2103</v>
      </c>
    </row>
    <row r="5558" spans="1:2">
      <c r="A5558" s="225" t="s">
        <v>9262</v>
      </c>
      <c r="B5558" s="225" t="s">
        <v>2119</v>
      </c>
    </row>
    <row r="5559" spans="1:2">
      <c r="A5559" s="225" t="s">
        <v>9276</v>
      </c>
      <c r="B5559" s="225" t="s">
        <v>2146</v>
      </c>
    </row>
    <row r="5560" spans="1:2">
      <c r="A5560" s="225" t="s">
        <v>9284</v>
      </c>
      <c r="B5560" s="225" t="s">
        <v>2160</v>
      </c>
    </row>
    <row r="5561" spans="1:2">
      <c r="A5561" s="225" t="s">
        <v>9294</v>
      </c>
      <c r="B5561" s="225" t="s">
        <v>2181</v>
      </c>
    </row>
    <row r="5562" spans="1:2">
      <c r="A5562" s="225" t="s">
        <v>1483</v>
      </c>
      <c r="B5562" s="225" t="s">
        <v>9628</v>
      </c>
    </row>
    <row r="5563" spans="1:2">
      <c r="A5563" s="225" t="s">
        <v>9546</v>
      </c>
      <c r="B5563" s="225" t="s">
        <v>9547</v>
      </c>
    </row>
    <row r="5564" spans="1:2">
      <c r="A5564" s="225" t="s">
        <v>9548</v>
      </c>
      <c r="B5564" s="225" t="s">
        <v>9549</v>
      </c>
    </row>
    <row r="5565" spans="1:2">
      <c r="A5565" s="225" t="s">
        <v>9550</v>
      </c>
      <c r="B5565" s="225" t="s">
        <v>9551</v>
      </c>
    </row>
    <row r="5566" spans="1:2">
      <c r="A5566" s="225" t="s">
        <v>9552</v>
      </c>
      <c r="B5566" s="225" t="s">
        <v>9553</v>
      </c>
    </row>
    <row r="5567" spans="1:2">
      <c r="A5567" s="225" t="s">
        <v>978</v>
      </c>
      <c r="B5567" s="225" t="s">
        <v>9554</v>
      </c>
    </row>
    <row r="5568" spans="1:2">
      <c r="A5568" s="225" t="s">
        <v>9555</v>
      </c>
      <c r="B5568" s="225" t="s">
        <v>9556</v>
      </c>
    </row>
    <row r="5569" spans="1:2">
      <c r="A5569" s="225" t="s">
        <v>1048</v>
      </c>
      <c r="B5569" s="225" t="s">
        <v>9557</v>
      </c>
    </row>
    <row r="5570" spans="1:2">
      <c r="A5570" s="225" t="s">
        <v>1129</v>
      </c>
      <c r="B5570" s="225" t="s">
        <v>9558</v>
      </c>
    </row>
    <row r="5571" spans="1:2">
      <c r="A5571" s="225" t="s">
        <v>1396</v>
      </c>
      <c r="B5571" s="225" t="s">
        <v>9559</v>
      </c>
    </row>
    <row r="5572" spans="1:2">
      <c r="A5572" s="225" t="s">
        <v>1264</v>
      </c>
      <c r="B5572" s="225" t="s">
        <v>9560</v>
      </c>
    </row>
    <row r="5573" spans="1:2">
      <c r="A5573" s="225" t="s">
        <v>1473</v>
      </c>
      <c r="B5573" s="225" t="s">
        <v>9561</v>
      </c>
    </row>
    <row r="5574" spans="1:2">
      <c r="A5574" s="225" t="s">
        <v>1474</v>
      </c>
      <c r="B5574" s="225" t="s">
        <v>9562</v>
      </c>
    </row>
    <row r="5575" spans="1:2">
      <c r="A5575" s="225" t="s">
        <v>1475</v>
      </c>
      <c r="B5575" s="225" t="s">
        <v>9563</v>
      </c>
    </row>
    <row r="5576" spans="1:2">
      <c r="A5576" s="225" t="s">
        <v>1476</v>
      </c>
      <c r="B5576" s="225" t="s">
        <v>9564</v>
      </c>
    </row>
    <row r="5577" spans="1:2">
      <c r="A5577" s="225" t="s">
        <v>1477</v>
      </c>
      <c r="B5577" s="225" t="s">
        <v>9565</v>
      </c>
    </row>
    <row r="5578" spans="1:2">
      <c r="A5578" s="225" t="s">
        <v>1478</v>
      </c>
      <c r="B5578" s="225" t="s">
        <v>9566</v>
      </c>
    </row>
    <row r="5579" spans="1:2">
      <c r="A5579" s="225" t="s">
        <v>1479</v>
      </c>
      <c r="B5579" s="225" t="s">
        <v>9567</v>
      </c>
    </row>
    <row r="5580" spans="1:2">
      <c r="A5580" s="225" t="s">
        <v>1146</v>
      </c>
      <c r="B5580" s="225" t="s">
        <v>9568</v>
      </c>
    </row>
    <row r="5581" spans="1:2">
      <c r="A5581" s="225" t="s">
        <v>1078</v>
      </c>
      <c r="B5581" s="225" t="s">
        <v>9569</v>
      </c>
    </row>
    <row r="5582" spans="1:2">
      <c r="A5582" s="225" t="s">
        <v>1480</v>
      </c>
      <c r="B5582" s="225" t="s">
        <v>9570</v>
      </c>
    </row>
    <row r="5583" spans="1:2">
      <c r="A5583" s="225" t="s">
        <v>1481</v>
      </c>
      <c r="B5583" s="225" t="s">
        <v>9571</v>
      </c>
    </row>
    <row r="5584" spans="1:2">
      <c r="A5584" s="225" t="s">
        <v>1451</v>
      </c>
      <c r="B5584" s="225" t="s">
        <v>9572</v>
      </c>
    </row>
    <row r="5585" spans="1:2">
      <c r="A5585" s="225" t="s">
        <v>1307</v>
      </c>
      <c r="B5585" s="225" t="s">
        <v>9573</v>
      </c>
    </row>
    <row r="5586" spans="1:2">
      <c r="A5586" s="225" t="s">
        <v>1256</v>
      </c>
      <c r="B5586" s="225" t="s">
        <v>9574</v>
      </c>
    </row>
    <row r="5587" spans="1:2">
      <c r="A5587" s="225" t="s">
        <v>1309</v>
      </c>
      <c r="B5587" s="225" t="s">
        <v>9575</v>
      </c>
    </row>
    <row r="5588" spans="1:2">
      <c r="A5588" s="225" t="s">
        <v>1482</v>
      </c>
      <c r="B5588" s="225" t="s">
        <v>9576</v>
      </c>
    </row>
    <row r="5589" spans="1:2">
      <c r="A5589" s="225" t="s">
        <v>1040</v>
      </c>
      <c r="B5589" s="225" t="s">
        <v>9577</v>
      </c>
    </row>
    <row r="5590" spans="1:2">
      <c r="A5590" s="225" t="s">
        <v>1293</v>
      </c>
      <c r="B5590" s="225" t="s">
        <v>9578</v>
      </c>
    </row>
    <row r="5591" spans="1:2">
      <c r="A5591" s="225" t="s">
        <v>1484</v>
      </c>
      <c r="B5591" s="225" t="s">
        <v>9579</v>
      </c>
    </row>
    <row r="5592" spans="1:2">
      <c r="A5592" s="225" t="s">
        <v>1485</v>
      </c>
      <c r="B5592" s="225" t="s">
        <v>9580</v>
      </c>
    </row>
    <row r="5593" spans="1:2">
      <c r="A5593" s="225" t="s">
        <v>1486</v>
      </c>
      <c r="B5593" s="225" t="s">
        <v>9581</v>
      </c>
    </row>
    <row r="5594" spans="1:2">
      <c r="A5594" s="225" t="s">
        <v>1487</v>
      </c>
      <c r="B5594" s="225" t="s">
        <v>9582</v>
      </c>
    </row>
    <row r="5595" spans="1:2">
      <c r="A5595" s="225" t="s">
        <v>1488</v>
      </c>
      <c r="B5595" s="225" t="s">
        <v>9583</v>
      </c>
    </row>
    <row r="5596" spans="1:2">
      <c r="A5596" s="225" t="s">
        <v>1489</v>
      </c>
      <c r="B5596" s="225" t="s">
        <v>9584</v>
      </c>
    </row>
    <row r="5597" spans="1:2">
      <c r="A5597" s="225" t="s">
        <v>1490</v>
      </c>
      <c r="B5597" s="225" t="s">
        <v>9585</v>
      </c>
    </row>
    <row r="5598" spans="1:2">
      <c r="A5598" s="225" t="s">
        <v>1491</v>
      </c>
      <c r="B5598" s="225" t="s">
        <v>9586</v>
      </c>
    </row>
    <row r="5599" spans="1:2">
      <c r="A5599" s="225" t="s">
        <v>1453</v>
      </c>
      <c r="B5599" s="225" t="s">
        <v>9587</v>
      </c>
    </row>
    <row r="5600" spans="1:2">
      <c r="A5600" s="225" t="s">
        <v>1429</v>
      </c>
      <c r="B5600" s="225" t="s">
        <v>9588</v>
      </c>
    </row>
    <row r="5601" spans="1:2">
      <c r="A5601" s="225" t="s">
        <v>1448</v>
      </c>
      <c r="B5601" s="225" t="s">
        <v>9589</v>
      </c>
    </row>
    <row r="5602" spans="1:2">
      <c r="A5602" s="225" t="s">
        <v>1492</v>
      </c>
      <c r="B5602" s="225" t="s">
        <v>9590</v>
      </c>
    </row>
    <row r="5603" spans="1:2">
      <c r="A5603" s="225" t="s">
        <v>1449</v>
      </c>
      <c r="B5603" s="225" t="s">
        <v>9591</v>
      </c>
    </row>
    <row r="5604" spans="1:2">
      <c r="A5604" s="225" t="s">
        <v>1493</v>
      </c>
      <c r="B5604" s="225" t="s">
        <v>9592</v>
      </c>
    </row>
    <row r="5605" spans="1:2">
      <c r="A5605" s="225" t="s">
        <v>1494</v>
      </c>
      <c r="B5605" s="225" t="s">
        <v>9593</v>
      </c>
    </row>
    <row r="5606" spans="1:2">
      <c r="A5606" s="225" t="s">
        <v>1249</v>
      </c>
      <c r="B5606" s="225" t="s">
        <v>9594</v>
      </c>
    </row>
    <row r="5607" spans="1:2">
      <c r="A5607" s="225" t="s">
        <v>1495</v>
      </c>
      <c r="B5607" s="225" t="s">
        <v>9595</v>
      </c>
    </row>
    <row r="5608" spans="1:2">
      <c r="A5608" s="225" t="s">
        <v>1496</v>
      </c>
      <c r="B5608" s="225" t="s">
        <v>9596</v>
      </c>
    </row>
    <row r="5609" spans="1:2">
      <c r="A5609" s="225" t="s">
        <v>1450</v>
      </c>
      <c r="B5609" s="225" t="s">
        <v>9597</v>
      </c>
    </row>
    <row r="5610" spans="1:2">
      <c r="A5610" s="225" t="s">
        <v>1497</v>
      </c>
      <c r="B5610" s="225" t="s">
        <v>9598</v>
      </c>
    </row>
    <row r="5611" spans="1:2">
      <c r="A5611" s="225" t="s">
        <v>1504</v>
      </c>
      <c r="B5611" s="225" t="s">
        <v>9629</v>
      </c>
    </row>
    <row r="5612" spans="1:2">
      <c r="A5612" s="225" t="s">
        <v>1498</v>
      </c>
      <c r="B5612" s="225" t="s">
        <v>9599</v>
      </c>
    </row>
    <row r="5613" spans="1:2">
      <c r="A5613" s="225" t="s">
        <v>1499</v>
      </c>
      <c r="B5613" s="225" t="s">
        <v>9600</v>
      </c>
    </row>
    <row r="5614" spans="1:2">
      <c r="A5614" s="225" t="s">
        <v>1500</v>
      </c>
      <c r="B5614" s="225" t="s">
        <v>9601</v>
      </c>
    </row>
    <row r="5615" spans="1:2">
      <c r="A5615" s="225" t="s">
        <v>1501</v>
      </c>
      <c r="B5615" s="225" t="s">
        <v>9602</v>
      </c>
    </row>
    <row r="5616" spans="1:2">
      <c r="A5616" s="225" t="s">
        <v>1502</v>
      </c>
      <c r="B5616" s="225" t="s">
        <v>9603</v>
      </c>
    </row>
    <row r="5617" spans="1:2">
      <c r="A5617" s="225" t="s">
        <v>1503</v>
      </c>
      <c r="B5617" s="225" t="s">
        <v>9606</v>
      </c>
    </row>
    <row r="5618" spans="1:2">
      <c r="A5618" s="225" t="s">
        <v>1505</v>
      </c>
      <c r="B5618" s="225" t="s">
        <v>9607</v>
      </c>
    </row>
    <row r="5619" spans="1:2">
      <c r="A5619" s="225" t="s">
        <v>1506</v>
      </c>
      <c r="B5619" s="225" t="s">
        <v>9608</v>
      </c>
    </row>
    <row r="5620" spans="1:2">
      <c r="A5620" s="225" t="s">
        <v>1507</v>
      </c>
      <c r="B5620" s="225" t="s">
        <v>9609</v>
      </c>
    </row>
    <row r="5621" spans="1:2">
      <c r="A5621" s="225" t="s">
        <v>1508</v>
      </c>
      <c r="B5621" s="225" t="s">
        <v>9610</v>
      </c>
    </row>
    <row r="5622" spans="1:2">
      <c r="A5622" s="225" t="s">
        <v>1509</v>
      </c>
      <c r="B5622" s="225" t="s">
        <v>9611</v>
      </c>
    </row>
    <row r="5623" spans="1:2">
      <c r="A5623" s="225" t="s">
        <v>1510</v>
      </c>
      <c r="B5623" s="225" t="s">
        <v>9612</v>
      </c>
    </row>
    <row r="5624" spans="1:2">
      <c r="A5624" s="225" t="s">
        <v>1511</v>
      </c>
      <c r="B5624" s="225" t="s">
        <v>9605</v>
      </c>
    </row>
    <row r="5625" spans="1:2">
      <c r="A5625" s="225" t="s">
        <v>1512</v>
      </c>
      <c r="B5625" s="225" t="s">
        <v>9613</v>
      </c>
    </row>
    <row r="5626" spans="1:2">
      <c r="A5626" s="225" t="s">
        <v>1247</v>
      </c>
      <c r="B5626" s="225" t="s">
        <v>9614</v>
      </c>
    </row>
    <row r="5627" spans="1:2">
      <c r="A5627" s="225" t="s">
        <v>1513</v>
      </c>
      <c r="B5627" s="225" t="s">
        <v>9615</v>
      </c>
    </row>
    <row r="5628" spans="1:2">
      <c r="A5628" s="225" t="s">
        <v>1514</v>
      </c>
      <c r="B5628" s="225" t="s">
        <v>9616</v>
      </c>
    </row>
    <row r="5629" spans="1:2">
      <c r="A5629" s="225" t="s">
        <v>1515</v>
      </c>
      <c r="B5629" s="225" t="s">
        <v>9617</v>
      </c>
    </row>
    <row r="5630" spans="1:2">
      <c r="A5630" s="225" t="s">
        <v>1516</v>
      </c>
      <c r="B5630" s="225" t="s">
        <v>9618</v>
      </c>
    </row>
    <row r="5631" spans="1:2">
      <c r="A5631" s="225" t="s">
        <v>1517</v>
      </c>
      <c r="B5631" s="225" t="s">
        <v>9619</v>
      </c>
    </row>
    <row r="5632" spans="1:2">
      <c r="A5632" s="225" t="s">
        <v>1518</v>
      </c>
      <c r="B5632" s="225" t="s">
        <v>9620</v>
      </c>
    </row>
    <row r="5633" spans="1:2">
      <c r="A5633" s="225" t="s">
        <v>1519</v>
      </c>
      <c r="B5633" s="225" t="s">
        <v>9621</v>
      </c>
    </row>
    <row r="5634" spans="1:2">
      <c r="A5634" s="225" t="s">
        <v>1520</v>
      </c>
      <c r="B5634" s="225" t="s">
        <v>9622</v>
      </c>
    </row>
    <row r="5635" spans="1:2">
      <c r="A5635" s="225" t="s">
        <v>1521</v>
      </c>
      <c r="B5635" s="225" t="s">
        <v>9623</v>
      </c>
    </row>
    <row r="5636" spans="1:2">
      <c r="A5636" s="225" t="s">
        <v>1522</v>
      </c>
      <c r="B5636" s="225" t="s">
        <v>9624</v>
      </c>
    </row>
    <row r="5637" spans="1:2">
      <c r="A5637" s="225" t="s">
        <v>1523</v>
      </c>
      <c r="B5637" s="225" t="s">
        <v>9625</v>
      </c>
    </row>
    <row r="5638" spans="1:2">
      <c r="A5638" s="225" t="s">
        <v>1524</v>
      </c>
      <c r="B5638" s="225" t="s">
        <v>9626</v>
      </c>
    </row>
    <row r="5639" spans="1:2">
      <c r="A5639" s="225" t="s">
        <v>1525</v>
      </c>
      <c r="B5639" s="225" t="s">
        <v>9627</v>
      </c>
    </row>
    <row r="5640" spans="1:2">
      <c r="A5640" s="225" t="s">
        <v>10034</v>
      </c>
      <c r="B5640" s="225" t="s">
        <v>696</v>
      </c>
    </row>
    <row r="5641" spans="1:2">
      <c r="A5641" s="225" t="s">
        <v>1303</v>
      </c>
      <c r="B5641" s="225" t="s">
        <v>9969</v>
      </c>
    </row>
    <row r="5642" spans="1:2">
      <c r="A5642" s="225" t="s">
        <v>9970</v>
      </c>
      <c r="B5642" s="225" t="s">
        <v>389</v>
      </c>
    </row>
    <row r="5643" spans="1:2">
      <c r="A5643" s="225" t="s">
        <v>1257</v>
      </c>
      <c r="B5643" s="225" t="s">
        <v>9971</v>
      </c>
    </row>
    <row r="5644" spans="1:2">
      <c r="A5644" s="225" t="s">
        <v>1277</v>
      </c>
      <c r="B5644" s="225" t="s">
        <v>9972</v>
      </c>
    </row>
    <row r="5645" spans="1:2">
      <c r="A5645" s="225" t="s">
        <v>9973</v>
      </c>
      <c r="B5645" s="225" t="s">
        <v>9974</v>
      </c>
    </row>
    <row r="5646" spans="1:2">
      <c r="A5646" s="225" t="s">
        <v>1267</v>
      </c>
      <c r="B5646" s="225" t="s">
        <v>9975</v>
      </c>
    </row>
    <row r="5647" spans="1:2">
      <c r="A5647" s="225" t="s">
        <v>9976</v>
      </c>
      <c r="B5647" s="225" t="s">
        <v>9977</v>
      </c>
    </row>
    <row r="5648" spans="1:2">
      <c r="A5648" s="225" t="s">
        <v>9978</v>
      </c>
      <c r="B5648" s="225" t="s">
        <v>9979</v>
      </c>
    </row>
    <row r="5649" spans="1:2">
      <c r="A5649" s="225" t="s">
        <v>9980</v>
      </c>
      <c r="B5649" s="225" t="s">
        <v>9981</v>
      </c>
    </row>
    <row r="5650" spans="1:2">
      <c r="A5650" s="225" t="s">
        <v>1304</v>
      </c>
      <c r="B5650" s="225" t="s">
        <v>9982</v>
      </c>
    </row>
    <row r="5651" spans="1:2">
      <c r="A5651" s="225" t="s">
        <v>9983</v>
      </c>
      <c r="B5651" s="225" t="s">
        <v>9984</v>
      </c>
    </row>
    <row r="5652" spans="1:2">
      <c r="A5652" s="225" t="s">
        <v>9985</v>
      </c>
      <c r="B5652" s="225" t="s">
        <v>9986</v>
      </c>
    </row>
    <row r="5653" spans="1:2">
      <c r="A5653" s="225" t="s">
        <v>1250</v>
      </c>
      <c r="B5653" s="225" t="s">
        <v>9987</v>
      </c>
    </row>
    <row r="5654" spans="1:2">
      <c r="A5654" s="225" t="s">
        <v>9988</v>
      </c>
      <c r="B5654" s="225" t="s">
        <v>9989</v>
      </c>
    </row>
    <row r="5655" spans="1:2">
      <c r="A5655" s="225" t="s">
        <v>9990</v>
      </c>
      <c r="B5655" s="225" t="s">
        <v>9991</v>
      </c>
    </row>
    <row r="5656" spans="1:2">
      <c r="A5656" s="225" t="s">
        <v>1251</v>
      </c>
      <c r="B5656" s="225" t="s">
        <v>9992</v>
      </c>
    </row>
    <row r="5657" spans="1:2">
      <c r="A5657" s="225" t="s">
        <v>1265</v>
      </c>
      <c r="B5657" s="225" t="s">
        <v>9993</v>
      </c>
    </row>
    <row r="5658" spans="1:2">
      <c r="A5658" s="225" t="s">
        <v>1268</v>
      </c>
      <c r="B5658" s="225" t="s">
        <v>9994</v>
      </c>
    </row>
    <row r="5659" spans="1:2">
      <c r="A5659" s="225" t="s">
        <v>1252</v>
      </c>
      <c r="B5659" s="225" t="s">
        <v>9995</v>
      </c>
    </row>
    <row r="5660" spans="1:2">
      <c r="A5660" s="225" t="s">
        <v>9996</v>
      </c>
      <c r="B5660" s="225" t="s">
        <v>9997</v>
      </c>
    </row>
    <row r="5661" spans="1:2">
      <c r="A5661" s="225" t="s">
        <v>1242</v>
      </c>
      <c r="B5661" s="225" t="s">
        <v>9998</v>
      </c>
    </row>
    <row r="5662" spans="1:2">
      <c r="A5662" s="225" t="s">
        <v>9999</v>
      </c>
      <c r="B5662" s="225" t="s">
        <v>10000</v>
      </c>
    </row>
    <row r="5663" spans="1:2">
      <c r="A5663" s="225" t="s">
        <v>1289</v>
      </c>
      <c r="B5663" s="225" t="s">
        <v>10001</v>
      </c>
    </row>
    <row r="5664" spans="1:2">
      <c r="A5664" s="225" t="s">
        <v>10002</v>
      </c>
      <c r="B5664" s="225" t="s">
        <v>10003</v>
      </c>
    </row>
    <row r="5665" spans="1:2">
      <c r="A5665" s="225" t="s">
        <v>1305</v>
      </c>
      <c r="B5665" s="225" t="s">
        <v>10004</v>
      </c>
    </row>
    <row r="5666" spans="1:2">
      <c r="A5666" s="225" t="s">
        <v>1301</v>
      </c>
      <c r="B5666" s="225" t="s">
        <v>10005</v>
      </c>
    </row>
    <row r="5667" spans="1:2">
      <c r="A5667" s="225" t="s">
        <v>1253</v>
      </c>
      <c r="B5667" s="225" t="s">
        <v>10006</v>
      </c>
    </row>
    <row r="5668" spans="1:2">
      <c r="A5668" s="225" t="s">
        <v>1302</v>
      </c>
      <c r="B5668" s="225" t="s">
        <v>10007</v>
      </c>
    </row>
    <row r="5669" spans="1:2">
      <c r="A5669" s="225" t="s">
        <v>1269</v>
      </c>
      <c r="B5669" s="225" t="s">
        <v>10008</v>
      </c>
    </row>
    <row r="5670" spans="1:2">
      <c r="A5670" s="225" t="s">
        <v>10009</v>
      </c>
      <c r="B5670" s="225" t="s">
        <v>10010</v>
      </c>
    </row>
    <row r="5671" spans="1:2">
      <c r="A5671" s="225" t="s">
        <v>10022</v>
      </c>
      <c r="B5671" s="225" t="s">
        <v>10023</v>
      </c>
    </row>
    <row r="5672" spans="1:2">
      <c r="A5672" s="225" t="s">
        <v>10024</v>
      </c>
      <c r="B5672" s="225" t="s">
        <v>10025</v>
      </c>
    </row>
    <row r="5673" spans="1:2">
      <c r="A5673" s="225" t="s">
        <v>10026</v>
      </c>
      <c r="B5673" s="225" t="s">
        <v>10027</v>
      </c>
    </row>
    <row r="5674" spans="1:2">
      <c r="A5674" s="225" t="s">
        <v>10028</v>
      </c>
      <c r="B5674" s="225" t="s">
        <v>10029</v>
      </c>
    </row>
    <row r="5675" spans="1:2">
      <c r="A5675" s="225" t="s">
        <v>9967</v>
      </c>
      <c r="B5675" s="225" t="s">
        <v>9968</v>
      </c>
    </row>
    <row r="5676" spans="1:2">
      <c r="A5676" s="225" t="s">
        <v>1254</v>
      </c>
      <c r="B5676" s="225" t="s">
        <v>10013</v>
      </c>
    </row>
    <row r="5677" spans="1:2">
      <c r="A5677" s="225" t="s">
        <v>1282</v>
      </c>
      <c r="B5677" s="225" t="s">
        <v>10014</v>
      </c>
    </row>
    <row r="5678" spans="1:2">
      <c r="A5678" s="225" t="s">
        <v>1248</v>
      </c>
      <c r="B5678" s="225" t="s">
        <v>10015</v>
      </c>
    </row>
    <row r="5679" spans="1:2">
      <c r="A5679" s="225" t="s">
        <v>10016</v>
      </c>
      <c r="B5679" s="225" t="s">
        <v>10017</v>
      </c>
    </row>
    <row r="5680" spans="1:2">
      <c r="A5680" s="225" t="s">
        <v>10018</v>
      </c>
      <c r="B5680" s="225" t="s">
        <v>10019</v>
      </c>
    </row>
    <row r="5681" spans="1:2">
      <c r="A5681" s="225" t="s">
        <v>10020</v>
      </c>
      <c r="B5681" s="225" t="s">
        <v>10021</v>
      </c>
    </row>
    <row r="5682" spans="1:2">
      <c r="A5682" s="225" t="s">
        <v>10030</v>
      </c>
      <c r="B5682" s="225" t="s">
        <v>10031</v>
      </c>
    </row>
    <row r="5683" spans="1:2">
      <c r="A5683" s="225" t="s">
        <v>10032</v>
      </c>
      <c r="B5683" s="225" t="s">
        <v>10033</v>
      </c>
    </row>
    <row r="5684" spans="1:2">
      <c r="A5684" s="225" t="s">
        <v>9965</v>
      </c>
      <c r="B5684" s="225" t="s">
        <v>9966</v>
      </c>
    </row>
    <row r="5685" spans="1:2">
      <c r="A5685" s="225" t="s">
        <v>10011</v>
      </c>
      <c r="B5685" s="225" t="s">
        <v>10012</v>
      </c>
    </row>
    <row r="5686" spans="1:2">
      <c r="A5686" s="225" t="s">
        <v>10986</v>
      </c>
      <c r="B5686" s="225" t="s">
        <v>10987</v>
      </c>
    </row>
    <row r="5687" spans="1:2">
      <c r="A5687" s="225" t="s">
        <v>10998</v>
      </c>
      <c r="B5687" s="225" t="s">
        <v>10999</v>
      </c>
    </row>
    <row r="5688" spans="1:2">
      <c r="A5688" s="225" t="s">
        <v>1177</v>
      </c>
      <c r="B5688" s="225" t="s">
        <v>11000</v>
      </c>
    </row>
    <row r="5689" spans="1:2">
      <c r="A5689" s="225" t="s">
        <v>1225</v>
      </c>
      <c r="B5689" s="225" t="s">
        <v>10988</v>
      </c>
    </row>
    <row r="5690" spans="1:2">
      <c r="A5690" s="225" t="s">
        <v>1275</v>
      </c>
      <c r="B5690" s="225" t="s">
        <v>10989</v>
      </c>
    </row>
    <row r="5691" spans="1:2">
      <c r="A5691" s="225" t="s">
        <v>1023</v>
      </c>
      <c r="B5691" s="225" t="s">
        <v>11001</v>
      </c>
    </row>
    <row r="5692" spans="1:2">
      <c r="A5692" s="225" t="s">
        <v>11002</v>
      </c>
      <c r="B5692" s="225" t="s">
        <v>11003</v>
      </c>
    </row>
    <row r="5693" spans="1:2">
      <c r="A5693" s="225" t="s">
        <v>11004</v>
      </c>
      <c r="B5693" s="225" t="s">
        <v>11005</v>
      </c>
    </row>
    <row r="5694" spans="1:2">
      <c r="A5694" s="225" t="s">
        <v>10990</v>
      </c>
      <c r="B5694" s="225" t="s">
        <v>10991</v>
      </c>
    </row>
    <row r="5695" spans="1:2">
      <c r="A5695" s="225" t="s">
        <v>10992</v>
      </c>
      <c r="B5695" s="225" t="s">
        <v>10993</v>
      </c>
    </row>
    <row r="5696" spans="1:2">
      <c r="A5696" s="225" t="s">
        <v>1266</v>
      </c>
      <c r="B5696" s="225" t="s">
        <v>10994</v>
      </c>
    </row>
    <row r="5697" spans="1:2">
      <c r="A5697" s="225" t="s">
        <v>1037</v>
      </c>
      <c r="B5697" s="225" t="s">
        <v>10995</v>
      </c>
    </row>
    <row r="5698" spans="1:2">
      <c r="A5698" s="225" t="s">
        <v>1042</v>
      </c>
      <c r="B5698" s="225" t="s">
        <v>10996</v>
      </c>
    </row>
    <row r="5699" spans="1:2">
      <c r="A5699" s="225" t="s">
        <v>1033</v>
      </c>
      <c r="B5699" s="225" t="s">
        <v>10997</v>
      </c>
    </row>
    <row r="5700" spans="1:2">
      <c r="A5700" s="225" t="s">
        <v>11006</v>
      </c>
      <c r="B5700" s="225" t="s">
        <v>11007</v>
      </c>
    </row>
    <row r="5701" spans="1:2">
      <c r="A5701" s="225" t="s">
        <v>11008</v>
      </c>
      <c r="B5701" s="225" t="s">
        <v>11009</v>
      </c>
    </row>
    <row r="5702" spans="1:2">
      <c r="A5702" s="225" t="s">
        <v>1059</v>
      </c>
      <c r="B5702" s="225" t="s">
        <v>10972</v>
      </c>
    </row>
    <row r="5703" spans="1:2">
      <c r="A5703" s="225" t="s">
        <v>10973</v>
      </c>
      <c r="B5703" s="225" t="s">
        <v>10974</v>
      </c>
    </row>
    <row r="5704" spans="1:2">
      <c r="A5704" s="225" t="s">
        <v>1013</v>
      </c>
      <c r="B5704" s="225" t="s">
        <v>10975</v>
      </c>
    </row>
    <row r="5705" spans="1:2">
      <c r="A5705" s="225" t="s">
        <v>1241</v>
      </c>
      <c r="B5705" s="225" t="s">
        <v>10976</v>
      </c>
    </row>
    <row r="5706" spans="1:2">
      <c r="A5706" s="225" t="s">
        <v>1022</v>
      </c>
      <c r="B5706" s="225" t="s">
        <v>10977</v>
      </c>
    </row>
    <row r="5707" spans="1:2">
      <c r="A5707" s="225" t="s">
        <v>10978</v>
      </c>
      <c r="B5707" s="225" t="s">
        <v>10979</v>
      </c>
    </row>
    <row r="5708" spans="1:2">
      <c r="A5708" s="225" t="s">
        <v>10980</v>
      </c>
      <c r="B5708" s="225" t="s">
        <v>10981</v>
      </c>
    </row>
    <row r="5709" spans="1:2">
      <c r="A5709" s="225" t="s">
        <v>10982</v>
      </c>
      <c r="B5709" s="225" t="s">
        <v>10983</v>
      </c>
    </row>
    <row r="5710" spans="1:2">
      <c r="A5710" s="225" t="s">
        <v>10984</v>
      </c>
      <c r="B5710" s="225" t="s">
        <v>10985</v>
      </c>
    </row>
    <row r="5711" spans="1:2">
      <c r="A5711" s="225" t="s">
        <v>1259</v>
      </c>
      <c r="B5711" s="225" t="s">
        <v>10967</v>
      </c>
    </row>
    <row r="5712" spans="1:2">
      <c r="A5712" s="225" t="s">
        <v>10968</v>
      </c>
      <c r="B5712" s="225" t="s">
        <v>10969</v>
      </c>
    </row>
    <row r="5713" spans="1:2">
      <c r="A5713" s="225" t="s">
        <v>10970</v>
      </c>
      <c r="B5713" s="225" t="s">
        <v>10971</v>
      </c>
    </row>
    <row r="5714" spans="1:2">
      <c r="A5714" s="225" t="s">
        <v>11010</v>
      </c>
      <c r="B5714" s="225" t="s">
        <v>415</v>
      </c>
    </row>
    <row r="5715" spans="1:2">
      <c r="A5715" s="225" t="s">
        <v>1452</v>
      </c>
      <c r="B5715" s="225" t="s">
        <v>10966</v>
      </c>
    </row>
    <row r="5716" spans="1:2">
      <c r="A5716" s="225" t="s">
        <v>8359</v>
      </c>
      <c r="B5716" s="225" t="s">
        <v>8360</v>
      </c>
    </row>
    <row r="5717" spans="1:2">
      <c r="A5717" s="225" t="s">
        <v>8369</v>
      </c>
      <c r="B5717" s="225" t="s">
        <v>8370</v>
      </c>
    </row>
    <row r="5718" spans="1:2">
      <c r="A5718" s="225" t="s">
        <v>735</v>
      </c>
      <c r="B5718" s="225" t="s">
        <v>7752</v>
      </c>
    </row>
    <row r="5719" spans="1:2">
      <c r="A5719" s="225" t="s">
        <v>5595</v>
      </c>
      <c r="B5719" s="225" t="s">
        <v>5596</v>
      </c>
    </row>
    <row r="5720" spans="1:2">
      <c r="A5720" s="225" t="s">
        <v>708</v>
      </c>
      <c r="B5720" s="225" t="s">
        <v>6867</v>
      </c>
    </row>
    <row r="5721" spans="1:2">
      <c r="A5721" s="225" t="s">
        <v>9299</v>
      </c>
      <c r="B5721" s="225" t="s">
        <v>9300</v>
      </c>
    </row>
    <row r="5722" spans="1:2">
      <c r="A5722" s="225" t="s">
        <v>9234</v>
      </c>
      <c r="B5722" s="225" t="s">
        <v>9235</v>
      </c>
    </row>
    <row r="5723" spans="1:2">
      <c r="A5723" s="225" t="s">
        <v>9219</v>
      </c>
      <c r="B5723" s="225" t="s">
        <v>9220</v>
      </c>
    </row>
    <row r="5724" spans="1:2">
      <c r="A5724" s="225" t="s">
        <v>9221</v>
      </c>
      <c r="B5724" s="225" t="s">
        <v>9222</v>
      </c>
    </row>
    <row r="5725" spans="1:2">
      <c r="A5725" s="225" t="s">
        <v>2137</v>
      </c>
      <c r="B5725" s="225" t="s">
        <v>2138</v>
      </c>
    </row>
    <row r="5726" spans="1:2">
      <c r="A5726" s="225" t="s">
        <v>2139</v>
      </c>
      <c r="B5726" s="225" t="s">
        <v>2140</v>
      </c>
    </row>
    <row r="5727" spans="1:2">
      <c r="A5727" s="225" t="s">
        <v>2141</v>
      </c>
      <c r="B5727" s="225" t="s">
        <v>2142</v>
      </c>
    </row>
    <row r="5728" spans="1:2">
      <c r="A5728" s="225" t="s">
        <v>2150</v>
      </c>
      <c r="B5728" s="225" t="s">
        <v>2151</v>
      </c>
    </row>
    <row r="5729" spans="1:2">
      <c r="A5729" s="225" t="s">
        <v>2154</v>
      </c>
      <c r="B5729" s="225" t="s">
        <v>2155</v>
      </c>
    </row>
    <row r="5730" spans="1:2">
      <c r="A5730" s="225" t="s">
        <v>2158</v>
      </c>
      <c r="B5730" s="225" t="s">
        <v>1795</v>
      </c>
    </row>
    <row r="5731" spans="1:2">
      <c r="A5731" s="225" t="s">
        <v>2165</v>
      </c>
      <c r="B5731" s="225" t="s">
        <v>2166</v>
      </c>
    </row>
    <row r="5732" spans="1:2">
      <c r="A5732" s="225" t="s">
        <v>9223</v>
      </c>
      <c r="B5732" s="225" t="s">
        <v>9224</v>
      </c>
    </row>
    <row r="5733" spans="1:2">
      <c r="A5733" s="225" t="s">
        <v>9229</v>
      </c>
      <c r="B5733" s="225" t="s">
        <v>9230</v>
      </c>
    </row>
    <row r="5734" spans="1:2">
      <c r="A5734" s="225" t="s">
        <v>9236</v>
      </c>
      <c r="B5734" s="225" t="s">
        <v>9237</v>
      </c>
    </row>
    <row r="5735" spans="1:2">
      <c r="A5735" s="225" t="s">
        <v>9243</v>
      </c>
      <c r="B5735" s="225" t="s">
        <v>9244</v>
      </c>
    </row>
    <row r="5736" spans="1:2">
      <c r="A5736" s="225" t="s">
        <v>2176</v>
      </c>
      <c r="B5736" s="225" t="s">
        <v>2177</v>
      </c>
    </row>
    <row r="5737" spans="1:2">
      <c r="A5737" s="225" t="s">
        <v>2178</v>
      </c>
      <c r="B5737" s="225" t="s">
        <v>2179</v>
      </c>
    </row>
    <row r="5738" spans="1:2">
      <c r="A5738" s="225" t="s">
        <v>2185</v>
      </c>
      <c r="B5738" s="225" t="s">
        <v>1928</v>
      </c>
    </row>
    <row r="5739" spans="1:2">
      <c r="A5739" s="225" t="s">
        <v>2187</v>
      </c>
      <c r="B5739" s="225" t="s">
        <v>1920</v>
      </c>
    </row>
    <row r="5740" spans="1:2">
      <c r="A5740" s="225" t="s">
        <v>2188</v>
      </c>
      <c r="B5740" s="225" t="s">
        <v>2189</v>
      </c>
    </row>
    <row r="5741" spans="1:2">
      <c r="A5741" s="225" t="s">
        <v>2519</v>
      </c>
      <c r="B5741" s="225" t="s">
        <v>2520</v>
      </c>
    </row>
    <row r="5742" spans="1:2">
      <c r="A5742" s="225" t="s">
        <v>2521</v>
      </c>
      <c r="B5742" s="225" t="s">
        <v>2382</v>
      </c>
    </row>
    <row r="5743" spans="1:2">
      <c r="A5743" s="225" t="s">
        <v>2525</v>
      </c>
      <c r="B5743" s="225" t="s">
        <v>2396</v>
      </c>
    </row>
    <row r="5744" spans="1:2">
      <c r="A5744" s="225" t="s">
        <v>2526</v>
      </c>
      <c r="B5744" s="225" t="s">
        <v>2398</v>
      </c>
    </row>
    <row r="5745" spans="1:2">
      <c r="A5745" s="225" t="s">
        <v>2543</v>
      </c>
      <c r="B5745" s="225" t="s">
        <v>2439</v>
      </c>
    </row>
    <row r="5746" spans="1:2">
      <c r="A5746" s="225" t="s">
        <v>2544</v>
      </c>
      <c r="B5746" s="225" t="s">
        <v>2441</v>
      </c>
    </row>
    <row r="5747" spans="1:2">
      <c r="A5747" s="225" t="s">
        <v>2549</v>
      </c>
      <c r="B5747" s="225" t="s">
        <v>2466</v>
      </c>
    </row>
    <row r="5748" spans="1:2">
      <c r="A5748" s="225" t="s">
        <v>2550</v>
      </c>
      <c r="B5748" s="225" t="s">
        <v>2468</v>
      </c>
    </row>
    <row r="5749" spans="1:2">
      <c r="A5749" s="225" t="s">
        <v>2551</v>
      </c>
      <c r="B5749" s="225" t="s">
        <v>2470</v>
      </c>
    </row>
    <row r="5750" spans="1:2">
      <c r="A5750" s="225" t="s">
        <v>2552</v>
      </c>
      <c r="B5750" s="225" t="s">
        <v>2474</v>
      </c>
    </row>
    <row r="5751" spans="1:2">
      <c r="A5751" s="225" t="s">
        <v>784</v>
      </c>
      <c r="B5751" s="225" t="s">
        <v>2475</v>
      </c>
    </row>
    <row r="5752" spans="1:2">
      <c r="A5752" s="225" t="s">
        <v>2553</v>
      </c>
      <c r="B5752" s="225" t="s">
        <v>2477</v>
      </c>
    </row>
    <row r="5753" spans="1:2">
      <c r="A5753" s="225" t="s">
        <v>11211</v>
      </c>
      <c r="B5753" s="225" t="s">
        <v>11212</v>
      </c>
    </row>
    <row r="5754" spans="1:2">
      <c r="A5754" s="225" t="s">
        <v>10752</v>
      </c>
      <c r="B5754" s="225" t="s">
        <v>10753</v>
      </c>
    </row>
    <row r="5755" spans="1:2">
      <c r="A5755" s="225" t="s">
        <v>1201</v>
      </c>
      <c r="B5755" s="225" t="s">
        <v>9503</v>
      </c>
    </row>
    <row r="5756" spans="1:2">
      <c r="A5756" s="225" t="s">
        <v>11013</v>
      </c>
      <c r="B5756" s="225" t="s">
        <v>11014</v>
      </c>
    </row>
    <row r="5757" spans="1:2">
      <c r="A5757" s="225" t="s">
        <v>11015</v>
      </c>
      <c r="B5757" s="225" t="s">
        <v>11016</v>
      </c>
    </row>
    <row r="5758" spans="1:2">
      <c r="A5758" s="225" t="s">
        <v>9250</v>
      </c>
      <c r="B5758" s="225" t="s">
        <v>9251</v>
      </c>
    </row>
    <row r="5759" spans="1:2">
      <c r="A5759" s="225" t="s">
        <v>3017</v>
      </c>
      <c r="B5759" s="225" t="s">
        <v>2272</v>
      </c>
    </row>
    <row r="5760" spans="1:2">
      <c r="A5760" s="225" t="s">
        <v>2269</v>
      </c>
      <c r="B5760" s="225" t="s">
        <v>2270</v>
      </c>
    </row>
    <row r="5761" spans="1:2">
      <c r="A5761" s="225" t="s">
        <v>2329</v>
      </c>
      <c r="B5761" s="225" t="s">
        <v>2330</v>
      </c>
    </row>
    <row r="5762" spans="1:2">
      <c r="A5762" s="225" t="s">
        <v>2335</v>
      </c>
      <c r="B5762" s="225" t="s">
        <v>2336</v>
      </c>
    </row>
    <row r="5763" spans="1:2">
      <c r="A5763" s="225" t="s">
        <v>8153</v>
      </c>
      <c r="B5763" s="225" t="s">
        <v>8154</v>
      </c>
    </row>
    <row r="5764" spans="1:2">
      <c r="A5764" s="225" t="s">
        <v>8155</v>
      </c>
      <c r="B5764" s="225" t="s">
        <v>8156</v>
      </c>
    </row>
    <row r="5765" spans="1:2">
      <c r="A5765" s="225" t="s">
        <v>8157</v>
      </c>
      <c r="B5765" s="225" t="s">
        <v>8158</v>
      </c>
    </row>
    <row r="5766" spans="1:2">
      <c r="A5766" s="225" t="s">
        <v>8159</v>
      </c>
      <c r="B5766" s="225" t="s">
        <v>8160</v>
      </c>
    </row>
    <row r="5767" spans="1:2">
      <c r="A5767" s="225" t="s">
        <v>8161</v>
      </c>
      <c r="B5767" s="225" t="s">
        <v>8162</v>
      </c>
    </row>
    <row r="5768" spans="1:2">
      <c r="A5768" s="225" t="s">
        <v>8163</v>
      </c>
      <c r="B5768" s="225" t="s">
        <v>8164</v>
      </c>
    </row>
    <row r="5769" spans="1:2">
      <c r="A5769" s="225" t="s">
        <v>8165</v>
      </c>
      <c r="B5769" s="225" t="s">
        <v>8166</v>
      </c>
    </row>
    <row r="5770" spans="1:2">
      <c r="A5770" s="225" t="s">
        <v>8167</v>
      </c>
      <c r="B5770" s="225" t="s">
        <v>8168</v>
      </c>
    </row>
    <row r="5771" spans="1:2">
      <c r="A5771" s="225" t="s">
        <v>8169</v>
      </c>
      <c r="B5771" s="225" t="s">
        <v>8170</v>
      </c>
    </row>
    <row r="5772" spans="1:2">
      <c r="A5772" s="225" t="s">
        <v>2478</v>
      </c>
      <c r="B5772" s="225" t="s">
        <v>2479</v>
      </c>
    </row>
    <row r="5773" spans="1:2">
      <c r="A5773" s="225" t="s">
        <v>2037</v>
      </c>
      <c r="B5773" s="225" t="s">
        <v>2038</v>
      </c>
    </row>
    <row r="5774" spans="1:2">
      <c r="A5774" s="225" t="s">
        <v>2039</v>
      </c>
      <c r="B5774" s="225" t="s">
        <v>2040</v>
      </c>
    </row>
    <row r="5775" spans="1:2">
      <c r="A5775" s="225" t="s">
        <v>2054</v>
      </c>
      <c r="B5775" s="225" t="s">
        <v>2055</v>
      </c>
    </row>
    <row r="5776" spans="1:2">
      <c r="A5776" s="225" t="s">
        <v>2096</v>
      </c>
      <c r="B5776" s="225" t="s">
        <v>2097</v>
      </c>
    </row>
    <row r="5777" spans="1:2">
      <c r="A5777" s="225" t="s">
        <v>2098</v>
      </c>
      <c r="B5777" s="225" t="s">
        <v>2099</v>
      </c>
    </row>
    <row r="5778" spans="1:2">
      <c r="A5778" s="225" t="s">
        <v>2100</v>
      </c>
      <c r="B5778" s="225" t="s">
        <v>2101</v>
      </c>
    </row>
    <row r="5779" spans="1:2">
      <c r="A5779" s="225" t="s">
        <v>2113</v>
      </c>
      <c r="B5779" s="225" t="s">
        <v>2114</v>
      </c>
    </row>
    <row r="5780" spans="1:2">
      <c r="A5780" s="225" t="s">
        <v>2117</v>
      </c>
      <c r="B5780" s="225" t="s">
        <v>1616</v>
      </c>
    </row>
    <row r="5781" spans="1:2">
      <c r="A5781" s="225" t="s">
        <v>9323</v>
      </c>
      <c r="B5781" s="225" t="s">
        <v>2229</v>
      </c>
    </row>
    <row r="5782" spans="1:2">
      <c r="A5782" s="225" t="s">
        <v>9326</v>
      </c>
      <c r="B5782" s="225" t="s">
        <v>2235</v>
      </c>
    </row>
    <row r="5783" spans="1:2">
      <c r="A5783" s="225" t="s">
        <v>364</v>
      </c>
      <c r="B5783" s="225" t="s">
        <v>454</v>
      </c>
    </row>
    <row r="5784" spans="1:2">
      <c r="A5784" s="225" t="s">
        <v>2195</v>
      </c>
      <c r="B5784" s="225" t="s">
        <v>2196</v>
      </c>
    </row>
    <row r="5785" spans="1:2">
      <c r="A5785" s="225" t="s">
        <v>2197</v>
      </c>
      <c r="B5785" s="225" t="s">
        <v>2198</v>
      </c>
    </row>
    <row r="5786" spans="1:2">
      <c r="A5786" s="225" t="s">
        <v>1334</v>
      </c>
      <c r="B5786" s="225" t="s">
        <v>2200</v>
      </c>
    </row>
    <row r="5787" spans="1:2">
      <c r="A5787" s="225" t="s">
        <v>2212</v>
      </c>
      <c r="B5787" s="225" t="s">
        <v>2213</v>
      </c>
    </row>
    <row r="5788" spans="1:2">
      <c r="A5788" s="225" t="s">
        <v>2228</v>
      </c>
      <c r="B5788" s="225" t="s">
        <v>2229</v>
      </c>
    </row>
    <row r="5789" spans="1:2">
      <c r="A5789" s="225" t="s">
        <v>2236</v>
      </c>
      <c r="B5789" s="225" t="s">
        <v>2237</v>
      </c>
    </row>
    <row r="5790" spans="1:2">
      <c r="A5790" s="225" t="s">
        <v>2242</v>
      </c>
      <c r="B5790" s="225" t="s">
        <v>2243</v>
      </c>
    </row>
    <row r="5791" spans="1:2">
      <c r="A5791" s="225" t="s">
        <v>2249</v>
      </c>
      <c r="B5791" s="225" t="s">
        <v>2250</v>
      </c>
    </row>
    <row r="5792" spans="1:2">
      <c r="A5792" s="225" t="s">
        <v>2257</v>
      </c>
      <c r="B5792" s="225" t="s">
        <v>2258</v>
      </c>
    </row>
    <row r="5793" spans="1:2">
      <c r="A5793" s="225" t="s">
        <v>2259</v>
      </c>
      <c r="B5793" s="225" t="s">
        <v>2260</v>
      </c>
    </row>
    <row r="5794" spans="1:2">
      <c r="A5794" s="225" t="s">
        <v>814</v>
      </c>
      <c r="B5794" s="225" t="s">
        <v>2235</v>
      </c>
    </row>
    <row r="5795" spans="1:2">
      <c r="A5795" s="225" t="s">
        <v>3015</v>
      </c>
      <c r="B5795" s="225" t="s">
        <v>3016</v>
      </c>
    </row>
    <row r="5796" spans="1:2">
      <c r="A5796" s="225" t="s">
        <v>8624</v>
      </c>
      <c r="B5796" s="225" t="s">
        <v>8625</v>
      </c>
    </row>
    <row r="5797" spans="1:2">
      <c r="A5797" s="225" t="s">
        <v>7034</v>
      </c>
      <c r="B5797" s="225" t="s">
        <v>7035</v>
      </c>
    </row>
    <row r="5798" spans="1:2">
      <c r="A5798" s="225" t="s">
        <v>7992</v>
      </c>
      <c r="B5798" s="225" t="s">
        <v>7993</v>
      </c>
    </row>
    <row r="5799" spans="1:2">
      <c r="A5799" s="225" t="s">
        <v>7998</v>
      </c>
      <c r="B5799" s="225" t="s">
        <v>7999</v>
      </c>
    </row>
    <row r="5800" spans="1:2">
      <c r="A5800" s="225" t="s">
        <v>6927</v>
      </c>
      <c r="B5800" s="225" t="s">
        <v>6928</v>
      </c>
    </row>
    <row r="5801" spans="1:2">
      <c r="A5801" s="225" t="s">
        <v>6929</v>
      </c>
      <c r="B5801" s="225" t="s">
        <v>6930</v>
      </c>
    </row>
    <row r="5802" spans="1:2">
      <c r="A5802" s="225" t="s">
        <v>6931</v>
      </c>
      <c r="B5802" s="225" t="s">
        <v>6932</v>
      </c>
    </row>
    <row r="5803" spans="1:2">
      <c r="A5803" s="225" t="s">
        <v>5707</v>
      </c>
      <c r="B5803" s="225" t="s">
        <v>5708</v>
      </c>
    </row>
    <row r="5804" spans="1:2">
      <c r="A5804" s="225" t="s">
        <v>5725</v>
      </c>
      <c r="B5804" s="225" t="s">
        <v>5726</v>
      </c>
    </row>
    <row r="5805" spans="1:2">
      <c r="A5805" s="225" t="s">
        <v>5734</v>
      </c>
      <c r="B5805" s="225" t="s">
        <v>5735</v>
      </c>
    </row>
    <row r="5806" spans="1:2">
      <c r="A5806" s="225" t="s">
        <v>5799</v>
      </c>
      <c r="B5806" s="225" t="s">
        <v>5800</v>
      </c>
    </row>
    <row r="5807" spans="1:2">
      <c r="A5807" s="225" t="s">
        <v>5805</v>
      </c>
      <c r="B5807" s="225" t="s">
        <v>5806</v>
      </c>
    </row>
    <row r="5808" spans="1:2">
      <c r="A5808" s="225" t="s">
        <v>5807</v>
      </c>
      <c r="B5808" s="225" t="s">
        <v>5808</v>
      </c>
    </row>
    <row r="5809" spans="1:2">
      <c r="A5809" s="225" t="s">
        <v>5823</v>
      </c>
      <c r="B5809" s="225" t="s">
        <v>5824</v>
      </c>
    </row>
    <row r="5810" spans="1:2">
      <c r="A5810" s="225" t="s">
        <v>6683</v>
      </c>
      <c r="B5810" s="225" t="s">
        <v>6684</v>
      </c>
    </row>
    <row r="5811" spans="1:2">
      <c r="A5811" s="225" t="s">
        <v>6690</v>
      </c>
      <c r="B5811" s="225" t="s">
        <v>6691</v>
      </c>
    </row>
    <row r="5812" spans="1:2">
      <c r="A5812" s="225" t="s">
        <v>6716</v>
      </c>
      <c r="B5812" s="225" t="s">
        <v>6717</v>
      </c>
    </row>
    <row r="5813" spans="1:2">
      <c r="A5813" s="225" t="s">
        <v>3618</v>
      </c>
      <c r="B5813" s="225" t="s">
        <v>3619</v>
      </c>
    </row>
    <row r="5814" spans="1:2">
      <c r="A5814" s="225" t="s">
        <v>8028</v>
      </c>
      <c r="B5814" s="225" t="s">
        <v>8029</v>
      </c>
    </row>
    <row r="5815" spans="1:2">
      <c r="A5815" s="225" t="s">
        <v>5711</v>
      </c>
      <c r="B5815" s="225" t="s">
        <v>5712</v>
      </c>
    </row>
    <row r="5816" spans="1:2">
      <c r="A5816" s="225" t="s">
        <v>5713</v>
      </c>
      <c r="B5816" s="225" t="s">
        <v>5714</v>
      </c>
    </row>
    <row r="5817" spans="1:2">
      <c r="A5817" s="225" t="s">
        <v>5729</v>
      </c>
      <c r="B5817" s="225" t="s">
        <v>5730</v>
      </c>
    </row>
    <row r="5818" spans="1:2">
      <c r="A5818" s="225" t="s">
        <v>5731</v>
      </c>
      <c r="B5818" s="225" t="s">
        <v>5732</v>
      </c>
    </row>
    <row r="5819" spans="1:2">
      <c r="A5819" s="225" t="s">
        <v>5738</v>
      </c>
      <c r="B5819" s="225" t="s">
        <v>5739</v>
      </c>
    </row>
    <row r="5820" spans="1:2">
      <c r="A5820" s="225" t="s">
        <v>5740</v>
      </c>
      <c r="B5820" s="225" t="s">
        <v>5741</v>
      </c>
    </row>
    <row r="5821" spans="1:2">
      <c r="A5821" s="225" t="s">
        <v>5744</v>
      </c>
      <c r="B5821" s="225" t="s">
        <v>5745</v>
      </c>
    </row>
    <row r="5822" spans="1:2">
      <c r="A5822" s="225" t="s">
        <v>5803</v>
      </c>
      <c r="B5822" s="225" t="s">
        <v>5804</v>
      </c>
    </row>
    <row r="5823" spans="1:2">
      <c r="A5823" s="225" t="s">
        <v>6688</v>
      </c>
      <c r="B5823" s="225" t="s">
        <v>6689</v>
      </c>
    </row>
    <row r="5824" spans="1:2">
      <c r="A5824" s="225" t="s">
        <v>6714</v>
      </c>
      <c r="B5824" s="225" t="s">
        <v>6715</v>
      </c>
    </row>
    <row r="5825" spans="1:2">
      <c r="A5825" s="225" t="s">
        <v>6740</v>
      </c>
      <c r="B5825" s="225" t="s">
        <v>6741</v>
      </c>
    </row>
    <row r="5826" spans="1:2">
      <c r="A5826" s="225" t="s">
        <v>2481</v>
      </c>
      <c r="B5826" s="225" t="s">
        <v>2340</v>
      </c>
    </row>
    <row r="5827" spans="1:2">
      <c r="A5827" s="225" t="s">
        <v>2484</v>
      </c>
      <c r="B5827" s="225" t="s">
        <v>2485</v>
      </c>
    </row>
    <row r="5828" spans="1:2">
      <c r="A5828" s="225" t="s">
        <v>8341</v>
      </c>
      <c r="B5828" s="225" t="s">
        <v>8342</v>
      </c>
    </row>
    <row r="5829" spans="1:2">
      <c r="A5829" s="225" t="s">
        <v>8349</v>
      </c>
      <c r="B5829" s="225" t="s">
        <v>8350</v>
      </c>
    </row>
    <row r="5830" spans="1:2">
      <c r="A5830" s="225" t="s">
        <v>8319</v>
      </c>
      <c r="B5830" s="225" t="s">
        <v>8320</v>
      </c>
    </row>
    <row r="5831" spans="1:2">
      <c r="A5831" s="225" t="s">
        <v>2480</v>
      </c>
      <c r="B5831" s="225" t="s">
        <v>2338</v>
      </c>
    </row>
    <row r="5832" spans="1:2">
      <c r="A5832" s="225" t="s">
        <v>6904</v>
      </c>
      <c r="B5832" s="225" t="s">
        <v>6905</v>
      </c>
    </row>
    <row r="5833" spans="1:2">
      <c r="A5833" s="225" t="s">
        <v>2231</v>
      </c>
      <c r="B5833" s="225" t="s">
        <v>2232</v>
      </c>
    </row>
    <row r="5834" spans="1:2">
      <c r="A5834" s="225" t="s">
        <v>6991</v>
      </c>
      <c r="B5834" s="225" t="s">
        <v>6992</v>
      </c>
    </row>
    <row r="5835" spans="1:2">
      <c r="A5835" s="225" t="s">
        <v>7216</v>
      </c>
      <c r="B5835" s="225" t="s">
        <v>7217</v>
      </c>
    </row>
    <row r="5836" spans="1:2">
      <c r="A5836" s="225" t="s">
        <v>7232</v>
      </c>
      <c r="B5836" s="225" t="s">
        <v>7233</v>
      </c>
    </row>
    <row r="5837" spans="1:2">
      <c r="A5837" s="225" t="s">
        <v>7246</v>
      </c>
      <c r="B5837" s="225" t="s">
        <v>7247</v>
      </c>
    </row>
    <row r="5838" spans="1:2">
      <c r="A5838" s="225" t="s">
        <v>7256</v>
      </c>
      <c r="B5838" s="225" t="s">
        <v>7257</v>
      </c>
    </row>
    <row r="5839" spans="1:2">
      <c r="A5839" s="225" t="s">
        <v>7258</v>
      </c>
      <c r="B5839" s="225" t="s">
        <v>7154</v>
      </c>
    </row>
    <row r="5840" spans="1:2">
      <c r="A5840" s="225" t="s">
        <v>7319</v>
      </c>
      <c r="B5840" s="225" t="s">
        <v>7320</v>
      </c>
    </row>
    <row r="5841" spans="1:2">
      <c r="A5841" s="225" t="s">
        <v>7327</v>
      </c>
      <c r="B5841" s="225" t="s">
        <v>7328</v>
      </c>
    </row>
    <row r="5842" spans="1:2">
      <c r="A5842" s="225" t="s">
        <v>7329</v>
      </c>
      <c r="B5842" s="225" t="s">
        <v>7330</v>
      </c>
    </row>
    <row r="5843" spans="1:2">
      <c r="A5843" s="225" t="s">
        <v>8953</v>
      </c>
      <c r="B5843" s="225" t="s">
        <v>8954</v>
      </c>
    </row>
    <row r="5844" spans="1:2">
      <c r="A5844" s="225" t="s">
        <v>8955</v>
      </c>
      <c r="B5844" s="225" t="s">
        <v>4535</v>
      </c>
    </row>
    <row r="5845" spans="1:2">
      <c r="A5845" s="225" t="s">
        <v>9029</v>
      </c>
      <c r="B5845" s="225" t="s">
        <v>9030</v>
      </c>
    </row>
    <row r="5846" spans="1:2">
      <c r="A5846" s="225" t="s">
        <v>9033</v>
      </c>
      <c r="B5846" s="225" t="s">
        <v>9034</v>
      </c>
    </row>
    <row r="5847" spans="1:2">
      <c r="A5847" s="225" t="s">
        <v>9310</v>
      </c>
      <c r="B5847" s="225" t="s">
        <v>2198</v>
      </c>
    </row>
    <row r="5848" spans="1:2">
      <c r="A5848" s="225" t="s">
        <v>7958</v>
      </c>
      <c r="B5848" s="225" t="s">
        <v>7959</v>
      </c>
    </row>
    <row r="5849" spans="1:2">
      <c r="A5849" s="225" t="s">
        <v>7963</v>
      </c>
      <c r="B5849" s="225" t="s">
        <v>7964</v>
      </c>
    </row>
    <row r="5850" spans="1:2">
      <c r="A5850" s="225" t="s">
        <v>7971</v>
      </c>
      <c r="B5850" s="225" t="s">
        <v>7972</v>
      </c>
    </row>
    <row r="5851" spans="1:2">
      <c r="A5851" s="225" t="s">
        <v>8010</v>
      </c>
      <c r="B5851" s="225" t="s">
        <v>8011</v>
      </c>
    </row>
    <row r="5852" spans="1:2">
      <c r="A5852" s="225" t="s">
        <v>8321</v>
      </c>
      <c r="B5852" s="225" t="s">
        <v>8322</v>
      </c>
    </row>
    <row r="5853" spans="1:2">
      <c r="A5853" s="225" t="s">
        <v>2323</v>
      </c>
      <c r="B5853" s="225" t="s">
        <v>2324</v>
      </c>
    </row>
    <row r="5854" spans="1:2">
      <c r="A5854" s="225" t="s">
        <v>2325</v>
      </c>
      <c r="B5854" s="225" t="s">
        <v>2326</v>
      </c>
    </row>
    <row r="5855" spans="1:2">
      <c r="A5855" s="225" t="s">
        <v>2327</v>
      </c>
      <c r="B5855" s="225" t="s">
        <v>2328</v>
      </c>
    </row>
    <row r="5856" spans="1:2">
      <c r="A5856" s="225" t="s">
        <v>2271</v>
      </c>
      <c r="B5856" s="225" t="s">
        <v>2272</v>
      </c>
    </row>
    <row r="5857" spans="1:2">
      <c r="A5857" s="225" t="s">
        <v>2273</v>
      </c>
      <c r="B5857" s="225" t="s">
        <v>2274</v>
      </c>
    </row>
    <row r="5858" spans="1:2">
      <c r="A5858" s="225" t="s">
        <v>2284</v>
      </c>
      <c r="B5858" s="225" t="s">
        <v>2285</v>
      </c>
    </row>
    <row r="5859" spans="1:2">
      <c r="A5859" s="225" t="s">
        <v>8458</v>
      </c>
      <c r="B5859" s="225" t="s">
        <v>8459</v>
      </c>
    </row>
    <row r="5860" spans="1:2">
      <c r="A5860" s="225" t="s">
        <v>8469</v>
      </c>
      <c r="B5860" s="225" t="s">
        <v>8470</v>
      </c>
    </row>
    <row r="5861" spans="1:2">
      <c r="A5861" s="225" t="s">
        <v>8491</v>
      </c>
      <c r="B5861" s="225" t="s">
        <v>8492</v>
      </c>
    </row>
    <row r="5862" spans="1:2">
      <c r="A5862" s="225" t="s">
        <v>8499</v>
      </c>
      <c r="B5862" s="225" t="s">
        <v>8500</v>
      </c>
    </row>
    <row r="5863" spans="1:2">
      <c r="A5863" s="225" t="s">
        <v>8509</v>
      </c>
      <c r="B5863" s="225" t="s">
        <v>4230</v>
      </c>
    </row>
    <row r="5864" spans="1:2">
      <c r="A5864" s="225" t="s">
        <v>8530</v>
      </c>
      <c r="B5864" s="225" t="s">
        <v>8531</v>
      </c>
    </row>
    <row r="5865" spans="1:2">
      <c r="A5865" s="225" t="s">
        <v>8537</v>
      </c>
      <c r="B5865" s="225" t="s">
        <v>8538</v>
      </c>
    </row>
    <row r="5866" spans="1:2">
      <c r="A5866" s="225" t="s">
        <v>8565</v>
      </c>
      <c r="B5866" s="225" t="s">
        <v>8566</v>
      </c>
    </row>
    <row r="5867" spans="1:2">
      <c r="A5867" s="225" t="s">
        <v>11598</v>
      </c>
      <c r="B5867" s="225" t="s">
        <v>11599</v>
      </c>
    </row>
    <row r="5868" spans="1:2">
      <c r="A5868" s="225" t="s">
        <v>11600</v>
      </c>
      <c r="B5868" s="225" t="s">
        <v>20103</v>
      </c>
    </row>
    <row r="5869" spans="1:2">
      <c r="A5869" s="225" t="s">
        <v>8599</v>
      </c>
      <c r="B5869" s="225" t="s">
        <v>8492</v>
      </c>
    </row>
    <row r="5870" spans="1:2">
      <c r="A5870" s="225" t="s">
        <v>8620</v>
      </c>
      <c r="B5870" s="225" t="s">
        <v>8621</v>
      </c>
    </row>
    <row r="5871" spans="1:2">
      <c r="A5871" s="225" t="s">
        <v>8976</v>
      </c>
      <c r="B5871" s="225" t="s">
        <v>8977</v>
      </c>
    </row>
    <row r="5872" spans="1:2">
      <c r="A5872" s="225" t="s">
        <v>9027</v>
      </c>
      <c r="B5872" s="225" t="s">
        <v>9028</v>
      </c>
    </row>
    <row r="5873" spans="1:2">
      <c r="A5873" s="225" t="s">
        <v>9195</v>
      </c>
      <c r="B5873" s="225" t="s">
        <v>9196</v>
      </c>
    </row>
    <row r="5874" spans="1:2">
      <c r="A5874" s="225" t="s">
        <v>9206</v>
      </c>
      <c r="B5874" s="225" t="s">
        <v>9207</v>
      </c>
    </row>
    <row r="5875" spans="1:2">
      <c r="A5875" s="225" t="s">
        <v>8998</v>
      </c>
      <c r="B5875" s="225" t="s">
        <v>8999</v>
      </c>
    </row>
    <row r="5876" spans="1:2">
      <c r="A5876" s="225" t="s">
        <v>9214</v>
      </c>
      <c r="B5876" s="225" t="s">
        <v>9215</v>
      </c>
    </row>
    <row r="5877" spans="1:2">
      <c r="A5877" s="225" t="s">
        <v>5521</v>
      </c>
      <c r="B5877" s="225" t="s">
        <v>5522</v>
      </c>
    </row>
    <row r="5878" spans="1:2">
      <c r="A5878" s="225" t="s">
        <v>5525</v>
      </c>
      <c r="B5878" s="225" t="s">
        <v>5526</v>
      </c>
    </row>
    <row r="5879" spans="1:2">
      <c r="A5879" s="225" t="s">
        <v>5541</v>
      </c>
      <c r="B5879" s="225" t="s">
        <v>5542</v>
      </c>
    </row>
    <row r="5880" spans="1:2">
      <c r="A5880" s="225" t="s">
        <v>5553</v>
      </c>
      <c r="B5880" s="225" t="s">
        <v>5554</v>
      </c>
    </row>
    <row r="5881" spans="1:2">
      <c r="A5881" s="225" t="s">
        <v>5555</v>
      </c>
      <c r="B5881" s="225" t="s">
        <v>5556</v>
      </c>
    </row>
    <row r="5882" spans="1:2">
      <c r="A5882" s="225" t="s">
        <v>5567</v>
      </c>
      <c r="B5882" s="225" t="s">
        <v>5556</v>
      </c>
    </row>
    <row r="5883" spans="1:2">
      <c r="A5883" s="225" t="s">
        <v>5574</v>
      </c>
      <c r="B5883" s="225" t="s">
        <v>5556</v>
      </c>
    </row>
    <row r="5884" spans="1:2">
      <c r="A5884" s="225" t="s">
        <v>5581</v>
      </c>
      <c r="B5884" s="225" t="s">
        <v>5556</v>
      </c>
    </row>
    <row r="5885" spans="1:2">
      <c r="A5885" s="225" t="s">
        <v>5588</v>
      </c>
      <c r="B5885" s="225" t="s">
        <v>5556</v>
      </c>
    </row>
    <row r="5886" spans="1:2">
      <c r="A5886" s="225" t="s">
        <v>5689</v>
      </c>
      <c r="B5886" s="225" t="s">
        <v>5690</v>
      </c>
    </row>
    <row r="5887" spans="1:2">
      <c r="A5887" s="225" t="s">
        <v>5693</v>
      </c>
      <c r="B5887" s="225" t="s">
        <v>5694</v>
      </c>
    </row>
    <row r="5888" spans="1:2">
      <c r="A5888" s="225" t="s">
        <v>5695</v>
      </c>
      <c r="B5888" s="225" t="s">
        <v>5696</v>
      </c>
    </row>
    <row r="5889" spans="1:2">
      <c r="A5889" s="225" t="s">
        <v>710</v>
      </c>
      <c r="B5889" s="225" t="s">
        <v>6766</v>
      </c>
    </row>
    <row r="5890" spans="1:2">
      <c r="A5890" s="225" t="s">
        <v>8473</v>
      </c>
      <c r="B5890" s="225" t="s">
        <v>8474</v>
      </c>
    </row>
    <row r="5891" spans="1:2">
      <c r="A5891" s="225" t="s">
        <v>8475</v>
      </c>
      <c r="B5891" s="225" t="s">
        <v>8476</v>
      </c>
    </row>
    <row r="5892" spans="1:2">
      <c r="A5892" s="225" t="s">
        <v>6996</v>
      </c>
      <c r="B5892" s="225" t="s">
        <v>6997</v>
      </c>
    </row>
    <row r="5893" spans="1:2">
      <c r="A5893" s="225" t="s">
        <v>6998</v>
      </c>
      <c r="B5893" s="225" t="s">
        <v>6999</v>
      </c>
    </row>
    <row r="5894" spans="1:2">
      <c r="A5894" s="225" t="s">
        <v>7002</v>
      </c>
      <c r="B5894" s="225" t="s">
        <v>7003</v>
      </c>
    </row>
    <row r="5895" spans="1:2">
      <c r="A5895" s="225" t="s">
        <v>7012</v>
      </c>
      <c r="B5895" s="225" t="s">
        <v>7013</v>
      </c>
    </row>
    <row r="5896" spans="1:2">
      <c r="A5896" s="225" t="s">
        <v>2337</v>
      </c>
      <c r="B5896" s="225" t="s">
        <v>2338</v>
      </c>
    </row>
    <row r="5897" spans="1:2">
      <c r="A5897" s="225" t="s">
        <v>2339</v>
      </c>
      <c r="B5897" s="225" t="s">
        <v>2340</v>
      </c>
    </row>
    <row r="5898" spans="1:2">
      <c r="A5898" s="225" t="s">
        <v>2381</v>
      </c>
      <c r="B5898" s="225" t="s">
        <v>2382</v>
      </c>
    </row>
    <row r="5899" spans="1:2">
      <c r="A5899" s="225" t="s">
        <v>2395</v>
      </c>
      <c r="B5899" s="225" t="s">
        <v>2396</v>
      </c>
    </row>
    <row r="5900" spans="1:2">
      <c r="A5900" s="225" t="s">
        <v>2397</v>
      </c>
      <c r="B5900" s="225" t="s">
        <v>2398</v>
      </c>
    </row>
    <row r="5901" spans="1:2">
      <c r="A5901" s="225" t="s">
        <v>2438</v>
      </c>
      <c r="B5901" s="225" t="s">
        <v>2439</v>
      </c>
    </row>
    <row r="5902" spans="1:2">
      <c r="A5902" s="225" t="s">
        <v>2440</v>
      </c>
      <c r="B5902" s="225" t="s">
        <v>2441</v>
      </c>
    </row>
    <row r="5903" spans="1:2">
      <c r="A5903" s="225" t="s">
        <v>2465</v>
      </c>
      <c r="B5903" s="225" t="s">
        <v>2466</v>
      </c>
    </row>
    <row r="5904" spans="1:2">
      <c r="A5904" s="225" t="s">
        <v>2467</v>
      </c>
      <c r="B5904" s="225" t="s">
        <v>2468</v>
      </c>
    </row>
    <row r="5905" spans="1:2">
      <c r="A5905" s="225" t="s">
        <v>2469</v>
      </c>
      <c r="B5905" s="225" t="s">
        <v>2470</v>
      </c>
    </row>
    <row r="5906" spans="1:2">
      <c r="A5906" s="225" t="s">
        <v>2473</v>
      </c>
      <c r="B5906" s="225" t="s">
        <v>2474</v>
      </c>
    </row>
    <row r="5907" spans="1:2">
      <c r="A5907" s="225" t="s">
        <v>730</v>
      </c>
      <c r="B5907" s="225" t="s">
        <v>2475</v>
      </c>
    </row>
    <row r="5908" spans="1:2">
      <c r="A5908" s="225" t="s">
        <v>2476</v>
      </c>
      <c r="B5908" s="225" t="s">
        <v>2477</v>
      </c>
    </row>
    <row r="5909" spans="1:2">
      <c r="A5909" s="225" t="s">
        <v>705</v>
      </c>
      <c r="B5909" s="225" t="s">
        <v>5337</v>
      </c>
    </row>
    <row r="5910" spans="1:2">
      <c r="A5910" s="225" t="s">
        <v>9640</v>
      </c>
      <c r="B5910" s="225" t="s">
        <v>194</v>
      </c>
    </row>
    <row r="5911" spans="1:2">
      <c r="A5911" s="225" t="s">
        <v>9962</v>
      </c>
      <c r="B5911" s="225" t="s">
        <v>35</v>
      </c>
    </row>
    <row r="5912" spans="1:2">
      <c r="A5912" s="225" t="s">
        <v>9876</v>
      </c>
      <c r="B5912" s="225" t="s">
        <v>9877</v>
      </c>
    </row>
    <row r="5913" spans="1:2">
      <c r="A5913" s="225" t="s">
        <v>11244</v>
      </c>
      <c r="B5913" s="225" t="s">
        <v>2338</v>
      </c>
    </row>
    <row r="5914" spans="1:2">
      <c r="A5914" s="225" t="s">
        <v>11245</v>
      </c>
      <c r="B5914" s="225" t="s">
        <v>11246</v>
      </c>
    </row>
    <row r="5915" spans="1:2">
      <c r="A5915" s="225" t="s">
        <v>11248</v>
      </c>
      <c r="B5915" s="225" t="s">
        <v>2485</v>
      </c>
    </row>
    <row r="5916" spans="1:2">
      <c r="A5916" s="225" t="s">
        <v>9517</v>
      </c>
      <c r="B5916" s="225" t="s">
        <v>31</v>
      </c>
    </row>
    <row r="5917" spans="1:2">
      <c r="A5917" s="225" t="s">
        <v>10724</v>
      </c>
      <c r="B5917" s="225" t="s">
        <v>10725</v>
      </c>
    </row>
    <row r="5918" spans="1:2">
      <c r="A5918" s="225" t="s">
        <v>10726</v>
      </c>
      <c r="B5918" s="225" t="s">
        <v>10727</v>
      </c>
    </row>
    <row r="5919" spans="1:2">
      <c r="A5919" s="225" t="s">
        <v>10728</v>
      </c>
      <c r="B5919" s="225" t="s">
        <v>10729</v>
      </c>
    </row>
    <row r="5920" spans="1:2">
      <c r="A5920" s="225" t="s">
        <v>10732</v>
      </c>
      <c r="B5920" s="225" t="s">
        <v>10733</v>
      </c>
    </row>
    <row r="5921" spans="1:2">
      <c r="A5921" s="225" t="s">
        <v>10754</v>
      </c>
      <c r="B5921" s="225" t="s">
        <v>10755</v>
      </c>
    </row>
    <row r="5922" spans="1:2">
      <c r="A5922" s="225" t="s">
        <v>9333</v>
      </c>
      <c r="B5922" s="225" t="s">
        <v>9334</v>
      </c>
    </row>
    <row r="5923" spans="1:2">
      <c r="A5923" s="225" t="s">
        <v>9335</v>
      </c>
      <c r="B5923" s="225" t="s">
        <v>2272</v>
      </c>
    </row>
    <row r="5924" spans="1:2">
      <c r="A5924" s="225" t="s">
        <v>884</v>
      </c>
      <c r="B5924" s="225" t="s">
        <v>2235</v>
      </c>
    </row>
    <row r="5925" spans="1:2">
      <c r="A5925" s="225" t="s">
        <v>9336</v>
      </c>
      <c r="B5925" s="225" t="s">
        <v>2274</v>
      </c>
    </row>
    <row r="5926" spans="1:2">
      <c r="A5926" s="225" t="s">
        <v>9340</v>
      </c>
      <c r="B5926" s="225" t="s">
        <v>2285</v>
      </c>
    </row>
    <row r="5927" spans="1:2">
      <c r="A5927" s="225" t="s">
        <v>9360</v>
      </c>
      <c r="B5927" s="225" t="s">
        <v>2324</v>
      </c>
    </row>
    <row r="5928" spans="1:2">
      <c r="A5928" s="225" t="s">
        <v>9361</v>
      </c>
      <c r="B5928" s="225" t="s">
        <v>2326</v>
      </c>
    </row>
    <row r="5929" spans="1:2">
      <c r="A5929" s="225" t="s">
        <v>9362</v>
      </c>
      <c r="B5929" s="225" t="s">
        <v>2328</v>
      </c>
    </row>
    <row r="5930" spans="1:2">
      <c r="A5930" s="225" t="s">
        <v>1526</v>
      </c>
      <c r="B5930" s="225" t="s">
        <v>9545</v>
      </c>
    </row>
    <row r="5931" spans="1:2">
      <c r="A5931" s="225" t="s">
        <v>9327</v>
      </c>
      <c r="B5931" s="225" t="s">
        <v>2237</v>
      </c>
    </row>
    <row r="5932" spans="1:2">
      <c r="A5932" s="225" t="s">
        <v>10720</v>
      </c>
      <c r="B5932" s="225" t="s">
        <v>10721</v>
      </c>
    </row>
    <row r="5933" spans="1:2">
      <c r="A5933" s="225" t="s">
        <v>10722</v>
      </c>
      <c r="B5933" s="225" t="s">
        <v>10723</v>
      </c>
    </row>
    <row r="5934" spans="1:2">
      <c r="A5934" s="225" t="s">
        <v>10869</v>
      </c>
      <c r="B5934" s="225" t="s">
        <v>35</v>
      </c>
    </row>
    <row r="5935" spans="1:2">
      <c r="A5935" s="225" t="s">
        <v>10734</v>
      </c>
      <c r="B5935" s="225" t="s">
        <v>10735</v>
      </c>
    </row>
    <row r="5936" spans="1:2">
      <c r="A5936" s="225" t="s">
        <v>11017</v>
      </c>
      <c r="B5936" s="225" t="s">
        <v>11018</v>
      </c>
    </row>
    <row r="5937" spans="1:2">
      <c r="A5937" s="225" t="s">
        <v>11019</v>
      </c>
      <c r="B5937" s="225" t="s">
        <v>11020</v>
      </c>
    </row>
    <row r="5938" spans="1:2">
      <c r="A5938" s="225" t="s">
        <v>11021</v>
      </c>
      <c r="B5938" s="225" t="s">
        <v>11022</v>
      </c>
    </row>
    <row r="5939" spans="1:2">
      <c r="A5939" s="225" t="s">
        <v>11023</v>
      </c>
      <c r="B5939" s="225" t="s">
        <v>11024</v>
      </c>
    </row>
    <row r="5940" spans="1:2">
      <c r="A5940" s="225" t="s">
        <v>11011</v>
      </c>
      <c r="B5940" s="225" t="s">
        <v>11012</v>
      </c>
    </row>
    <row r="5941" spans="1:2">
      <c r="A5941" s="225" t="s">
        <v>11025</v>
      </c>
      <c r="B5941" s="225" t="s">
        <v>415</v>
      </c>
    </row>
    <row r="5942" spans="1:2">
      <c r="A5942" s="225" t="s">
        <v>11027</v>
      </c>
      <c r="B5942" s="225" t="s">
        <v>11028</v>
      </c>
    </row>
    <row r="5943" spans="1:2">
      <c r="A5943" s="225" t="s">
        <v>9647</v>
      </c>
      <c r="B5943" s="225" t="s">
        <v>9648</v>
      </c>
    </row>
    <row r="5944" spans="1:2">
      <c r="A5944" s="225" t="s">
        <v>9649</v>
      </c>
      <c r="B5944" s="225" t="s">
        <v>198</v>
      </c>
    </row>
    <row r="5945" spans="1:2">
      <c r="A5945" s="225" t="s">
        <v>10669</v>
      </c>
      <c r="B5945" s="225" t="s">
        <v>10670</v>
      </c>
    </row>
    <row r="5946" spans="1:2">
      <c r="A5946" s="225" t="s">
        <v>10676</v>
      </c>
      <c r="B5946" s="225" t="s">
        <v>10677</v>
      </c>
    </row>
    <row r="5947" spans="1:2">
      <c r="A5947" s="225" t="s">
        <v>10678</v>
      </c>
      <c r="B5947" s="225" t="s">
        <v>10679</v>
      </c>
    </row>
    <row r="5948" spans="1:2">
      <c r="A5948" s="225" t="s">
        <v>10915</v>
      </c>
      <c r="B5948" s="225" t="s">
        <v>35</v>
      </c>
    </row>
    <row r="5949" spans="1:2">
      <c r="A5949" s="225" t="s">
        <v>11029</v>
      </c>
      <c r="B5949" s="225" t="s">
        <v>11030</v>
      </c>
    </row>
    <row r="5950" spans="1:2">
      <c r="A5950" s="225" t="s">
        <v>11031</v>
      </c>
      <c r="B5950" s="225" t="s">
        <v>11032</v>
      </c>
    </row>
    <row r="5951" spans="1:2">
      <c r="A5951" s="225" t="s">
        <v>11026</v>
      </c>
      <c r="B5951" s="225" t="s">
        <v>1656</v>
      </c>
    </row>
    <row r="5952" spans="1:2">
      <c r="A5952" s="225" t="s">
        <v>9910</v>
      </c>
      <c r="B5952" s="225" t="s">
        <v>9911</v>
      </c>
    </row>
    <row r="5953" spans="1:2">
      <c r="A5953" s="225" t="s">
        <v>11539</v>
      </c>
      <c r="B5953" s="225" t="s">
        <v>11540</v>
      </c>
    </row>
    <row r="5954" spans="1:2">
      <c r="A5954" s="225" t="s">
        <v>11543</v>
      </c>
      <c r="B5954" s="225" t="s">
        <v>10137</v>
      </c>
    </row>
    <row r="5955" spans="1:2">
      <c r="A5955" s="225" t="s">
        <v>11544</v>
      </c>
      <c r="B5955" s="225" t="s">
        <v>7854</v>
      </c>
    </row>
    <row r="5956" spans="1:2">
      <c r="A5956" s="225" t="s">
        <v>11545</v>
      </c>
      <c r="B5956" s="225" t="s">
        <v>7857</v>
      </c>
    </row>
    <row r="5957" spans="1:2">
      <c r="A5957" s="225" t="s">
        <v>11546</v>
      </c>
      <c r="B5957" s="225" t="s">
        <v>7859</v>
      </c>
    </row>
    <row r="5958" spans="1:2">
      <c r="A5958" s="225" t="s">
        <v>11547</v>
      </c>
      <c r="B5958" s="225" t="s">
        <v>7861</v>
      </c>
    </row>
    <row r="5959" spans="1:2">
      <c r="A5959" s="225" t="s">
        <v>11548</v>
      </c>
      <c r="B5959" s="225" t="s">
        <v>7863</v>
      </c>
    </row>
    <row r="5960" spans="1:2">
      <c r="A5960" s="225" t="s">
        <v>11549</v>
      </c>
      <c r="B5960" s="225" t="s">
        <v>7865</v>
      </c>
    </row>
    <row r="5961" spans="1:2">
      <c r="A5961" s="225" t="s">
        <v>11550</v>
      </c>
      <c r="B5961" s="225" t="s">
        <v>7869</v>
      </c>
    </row>
    <row r="5962" spans="1:2">
      <c r="A5962" s="225" t="s">
        <v>11323</v>
      </c>
      <c r="B5962" s="225" t="s">
        <v>10137</v>
      </c>
    </row>
    <row r="5963" spans="1:2">
      <c r="A5963" s="225" t="s">
        <v>11553</v>
      </c>
      <c r="B5963" s="225" t="s">
        <v>10137</v>
      </c>
    </row>
    <row r="5964" spans="1:2">
      <c r="A5964" s="225" t="s">
        <v>11554</v>
      </c>
      <c r="B5964" s="225" t="s">
        <v>5321</v>
      </c>
    </row>
    <row r="5965" spans="1:2">
      <c r="A5965" s="225" t="s">
        <v>11406</v>
      </c>
      <c r="B5965" s="225" t="s">
        <v>11407</v>
      </c>
    </row>
    <row r="5966" spans="1:2">
      <c r="A5966" s="225" t="s">
        <v>11411</v>
      </c>
      <c r="B5966" s="225" t="s">
        <v>11412</v>
      </c>
    </row>
    <row r="5967" spans="1:2">
      <c r="A5967" s="225" t="s">
        <v>11555</v>
      </c>
      <c r="B5967" s="225" t="s">
        <v>11556</v>
      </c>
    </row>
    <row r="5968" spans="1:2">
      <c r="A5968" s="225" t="s">
        <v>11566</v>
      </c>
      <c r="B5968" s="225" t="s">
        <v>5336</v>
      </c>
    </row>
    <row r="5969" spans="1:2">
      <c r="A5969" s="225" t="s">
        <v>11567</v>
      </c>
      <c r="B5969" s="225" t="s">
        <v>5339</v>
      </c>
    </row>
    <row r="5970" spans="1:2">
      <c r="A5970" s="225" t="s">
        <v>11573</v>
      </c>
      <c r="B5970" s="225" t="s">
        <v>5353</v>
      </c>
    </row>
    <row r="5971" spans="1:2">
      <c r="A5971" s="225" t="s">
        <v>11578</v>
      </c>
      <c r="B5971" s="225" t="s">
        <v>5364</v>
      </c>
    </row>
    <row r="5972" spans="1:2">
      <c r="A5972" s="225" t="s">
        <v>11585</v>
      </c>
      <c r="B5972" s="225" t="s">
        <v>5377</v>
      </c>
    </row>
    <row r="5973" spans="1:2">
      <c r="A5973" s="225" t="s">
        <v>11054</v>
      </c>
      <c r="B5973" s="225" t="s">
        <v>11055</v>
      </c>
    </row>
    <row r="5974" spans="1:2">
      <c r="A5974" s="225" t="s">
        <v>10841</v>
      </c>
      <c r="B5974" s="225" t="s">
        <v>10842</v>
      </c>
    </row>
    <row r="5975" spans="1:2">
      <c r="A5975" s="225" t="s">
        <v>10845</v>
      </c>
      <c r="B5975" s="225" t="s">
        <v>10846</v>
      </c>
    </row>
    <row r="5976" spans="1:2">
      <c r="A5976" s="225" t="s">
        <v>10847</v>
      </c>
      <c r="B5976" s="225" t="s">
        <v>10848</v>
      </c>
    </row>
    <row r="5977" spans="1:2">
      <c r="A5977" s="225" t="s">
        <v>904</v>
      </c>
      <c r="B5977" s="225" t="s">
        <v>10849</v>
      </c>
    </row>
    <row r="5978" spans="1:2">
      <c r="A5978" s="225" t="s">
        <v>11259</v>
      </c>
      <c r="B5978" s="225" t="s">
        <v>2520</v>
      </c>
    </row>
    <row r="5979" spans="1:2">
      <c r="A5979" s="225" t="s">
        <v>11260</v>
      </c>
      <c r="B5979" s="225" t="s">
        <v>2382</v>
      </c>
    </row>
    <row r="5980" spans="1:2">
      <c r="A5980" s="225" t="s">
        <v>10787</v>
      </c>
      <c r="B5980" s="225" t="s">
        <v>3850</v>
      </c>
    </row>
    <row r="5981" spans="1:2">
      <c r="A5981" s="225" t="s">
        <v>10825</v>
      </c>
      <c r="B5981" s="225" t="s">
        <v>3851</v>
      </c>
    </row>
    <row r="5982" spans="1:2">
      <c r="A5982" s="225" t="s">
        <v>10864</v>
      </c>
      <c r="B5982" s="225" t="s">
        <v>10865</v>
      </c>
    </row>
    <row r="5983" spans="1:2">
      <c r="A5983" s="225" t="s">
        <v>10854</v>
      </c>
      <c r="B5983" s="225" t="s">
        <v>10855</v>
      </c>
    </row>
    <row r="5984" spans="1:2">
      <c r="A5984" s="225" t="s">
        <v>883</v>
      </c>
      <c r="B5984" s="225" t="s">
        <v>10856</v>
      </c>
    </row>
    <row r="5985" spans="1:2">
      <c r="A5985" s="225" t="s">
        <v>11120</v>
      </c>
      <c r="B5985" s="225" t="s">
        <v>11121</v>
      </c>
    </row>
    <row r="5986" spans="1:2">
      <c r="A5986" s="225" t="s">
        <v>1074</v>
      </c>
      <c r="B5986" s="225" t="s">
        <v>11123</v>
      </c>
    </row>
    <row r="5987" spans="1:2">
      <c r="A5987" s="225" t="s">
        <v>1131</v>
      </c>
      <c r="B5987" s="225" t="s">
        <v>11126</v>
      </c>
    </row>
    <row r="5988" spans="1:2">
      <c r="A5988" s="225" t="s">
        <v>1104</v>
      </c>
      <c r="B5988" s="225" t="s">
        <v>11128</v>
      </c>
    </row>
    <row r="5989" spans="1:2">
      <c r="A5989" s="225" t="s">
        <v>1209</v>
      </c>
      <c r="B5989" s="225" t="s">
        <v>11129</v>
      </c>
    </row>
    <row r="5990" spans="1:2">
      <c r="A5990" s="225" t="s">
        <v>11242</v>
      </c>
      <c r="B5990" s="225" t="s">
        <v>11243</v>
      </c>
    </row>
    <row r="5991" spans="1:2">
      <c r="A5991" s="225" t="s">
        <v>11141</v>
      </c>
      <c r="B5991" s="225" t="s">
        <v>11142</v>
      </c>
    </row>
    <row r="5992" spans="1:2">
      <c r="A5992" s="225" t="s">
        <v>11033</v>
      </c>
      <c r="B5992" s="225" t="s">
        <v>415</v>
      </c>
    </row>
    <row r="5993" spans="1:2">
      <c r="A5993" s="225" t="s">
        <v>11036</v>
      </c>
      <c r="B5993" s="225" t="s">
        <v>11037</v>
      </c>
    </row>
    <row r="5994" spans="1:2">
      <c r="A5994" s="225" t="s">
        <v>11038</v>
      </c>
      <c r="B5994" s="225" t="s">
        <v>11039</v>
      </c>
    </row>
    <row r="5995" spans="1:2">
      <c r="A5995" s="225" t="s">
        <v>11040</v>
      </c>
      <c r="B5995" s="225" t="s">
        <v>11041</v>
      </c>
    </row>
    <row r="5996" spans="1:2">
      <c r="A5996" s="225" t="s">
        <v>11268</v>
      </c>
      <c r="B5996" s="225" t="s">
        <v>2396</v>
      </c>
    </row>
    <row r="5997" spans="1:2">
      <c r="A5997" s="225" t="s">
        <v>11269</v>
      </c>
      <c r="B5997" s="225" t="s">
        <v>2398</v>
      </c>
    </row>
    <row r="5998" spans="1:2">
      <c r="A5998" s="225" t="s">
        <v>11586</v>
      </c>
      <c r="B5998" s="225" t="s">
        <v>5389</v>
      </c>
    </row>
    <row r="5999" spans="1:2">
      <c r="A5999" s="225" t="s">
        <v>11297</v>
      </c>
      <c r="B5999" s="225" t="s">
        <v>2439</v>
      </c>
    </row>
    <row r="6000" spans="1:2">
      <c r="A6000" s="225" t="s">
        <v>11298</v>
      </c>
      <c r="B6000" s="225" t="s">
        <v>2441</v>
      </c>
    </row>
    <row r="6001" spans="1:2">
      <c r="A6001" s="225" t="s">
        <v>11315</v>
      </c>
      <c r="B6001" s="225" t="s">
        <v>2466</v>
      </c>
    </row>
    <row r="6002" spans="1:2">
      <c r="A6002" s="225" t="s">
        <v>11316</v>
      </c>
      <c r="B6002" s="225" t="s">
        <v>2468</v>
      </c>
    </row>
    <row r="6003" spans="1:2">
      <c r="A6003" s="225" t="s">
        <v>11317</v>
      </c>
      <c r="B6003" s="225" t="s">
        <v>2470</v>
      </c>
    </row>
    <row r="6004" spans="1:2">
      <c r="A6004" s="225" t="s">
        <v>11319</v>
      </c>
      <c r="B6004" s="225" t="s">
        <v>2474</v>
      </c>
    </row>
    <row r="6005" spans="1:2">
      <c r="A6005" s="225" t="s">
        <v>938</v>
      </c>
      <c r="B6005" s="225" t="s">
        <v>2475</v>
      </c>
    </row>
    <row r="6006" spans="1:2">
      <c r="A6006" s="225" t="s">
        <v>11320</v>
      </c>
      <c r="B6006" s="225" t="s">
        <v>2477</v>
      </c>
    </row>
    <row r="6007" spans="1:2">
      <c r="A6007" s="225" t="s">
        <v>11324</v>
      </c>
      <c r="B6007" s="225" t="s">
        <v>6997</v>
      </c>
    </row>
    <row r="6008" spans="1:2">
      <c r="A6008" s="225" t="s">
        <v>11330</v>
      </c>
      <c r="B6008" s="225" t="s">
        <v>11331</v>
      </c>
    </row>
    <row r="6009" spans="1:2">
      <c r="A6009" s="225" t="s">
        <v>11333</v>
      </c>
      <c r="B6009" s="225" t="s">
        <v>11334</v>
      </c>
    </row>
    <row r="6010" spans="1:2">
      <c r="A6010" s="225" t="s">
        <v>11356</v>
      </c>
      <c r="B6010" s="225" t="s">
        <v>10137</v>
      </c>
    </row>
    <row r="6011" spans="1:2">
      <c r="A6011" s="225" t="s">
        <v>1061</v>
      </c>
      <c r="B6011" s="225" t="s">
        <v>11166</v>
      </c>
    </row>
    <row r="6012" spans="1:2">
      <c r="A6012" s="225" t="s">
        <v>11365</v>
      </c>
      <c r="B6012" s="225" t="s">
        <v>11366</v>
      </c>
    </row>
    <row r="6013" spans="1:2">
      <c r="A6013" s="225" t="s">
        <v>11357</v>
      </c>
      <c r="B6013" s="225" t="s">
        <v>11358</v>
      </c>
    </row>
    <row r="6014" spans="1:2">
      <c r="A6014" s="225" t="s">
        <v>11359</v>
      </c>
      <c r="B6014" s="225" t="s">
        <v>11360</v>
      </c>
    </row>
    <row r="6015" spans="1:2">
      <c r="A6015" s="225" t="s">
        <v>11367</v>
      </c>
      <c r="B6015" s="225" t="s">
        <v>4153</v>
      </c>
    </row>
    <row r="6016" spans="1:2">
      <c r="A6016" s="225" t="s">
        <v>11383</v>
      </c>
      <c r="B6016" s="225" t="s">
        <v>10137</v>
      </c>
    </row>
    <row r="6017" spans="1:2">
      <c r="A6017" s="225" t="s">
        <v>11397</v>
      </c>
      <c r="B6017" s="225" t="s">
        <v>11398</v>
      </c>
    </row>
    <row r="6018" spans="1:2">
      <c r="A6018" s="225" t="s">
        <v>11401</v>
      </c>
      <c r="B6018" s="225" t="s">
        <v>11402</v>
      </c>
    </row>
    <row r="6019" spans="1:2">
      <c r="A6019" s="225" t="s">
        <v>11404</v>
      </c>
      <c r="B6019" s="225" t="s">
        <v>11405</v>
      </c>
    </row>
    <row r="6020" spans="1:2">
      <c r="A6020" s="225" t="s">
        <v>11384</v>
      </c>
      <c r="B6020" s="225" t="s">
        <v>3867</v>
      </c>
    </row>
    <row r="6021" spans="1:2">
      <c r="A6021" s="225" t="s">
        <v>11386</v>
      </c>
      <c r="B6021" s="225" t="s">
        <v>11387</v>
      </c>
    </row>
    <row r="6022" spans="1:2">
      <c r="A6022" s="225" t="s">
        <v>11388</v>
      </c>
      <c r="B6022" s="225" t="s">
        <v>11389</v>
      </c>
    </row>
    <row r="6023" spans="1:2">
      <c r="A6023" s="225" t="s">
        <v>11395</v>
      </c>
      <c r="B6023" s="225" t="s">
        <v>11396</v>
      </c>
    </row>
    <row r="6024" spans="1:2">
      <c r="A6024" s="225" t="s">
        <v>11415</v>
      </c>
      <c r="B6024" s="225" t="s">
        <v>10137</v>
      </c>
    </row>
    <row r="6025" spans="1:2">
      <c r="A6025" s="225" t="s">
        <v>11416</v>
      </c>
      <c r="B6025" s="225" t="s">
        <v>11417</v>
      </c>
    </row>
    <row r="6026" spans="1:2">
      <c r="A6026" s="225" t="s">
        <v>11372</v>
      </c>
      <c r="B6026" s="225" t="s">
        <v>4170</v>
      </c>
    </row>
    <row r="6027" spans="1:2">
      <c r="A6027" s="225" t="s">
        <v>9461</v>
      </c>
      <c r="B6027" s="225" t="s">
        <v>9462</v>
      </c>
    </row>
    <row r="6028" spans="1:2">
      <c r="A6028" s="225" t="s">
        <v>9466</v>
      </c>
      <c r="B6028" s="225" t="s">
        <v>9467</v>
      </c>
    </row>
    <row r="6029" spans="1:2">
      <c r="A6029" s="225" t="s">
        <v>11373</v>
      </c>
      <c r="B6029" s="225" t="s">
        <v>11374</v>
      </c>
    </row>
    <row r="6030" spans="1:2">
      <c r="A6030" s="225" t="s">
        <v>11048</v>
      </c>
      <c r="B6030" s="225" t="s">
        <v>11049</v>
      </c>
    </row>
    <row r="6031" spans="1:2">
      <c r="A6031" s="225" t="s">
        <v>1125</v>
      </c>
      <c r="B6031" s="225" t="s">
        <v>11052</v>
      </c>
    </row>
    <row r="6032" spans="1:2">
      <c r="A6032" s="225" t="s">
        <v>11379</v>
      </c>
      <c r="B6032" s="225" t="s">
        <v>11380</v>
      </c>
    </row>
    <row r="6033" spans="1:2">
      <c r="A6033" s="225" t="s">
        <v>9472</v>
      </c>
      <c r="B6033" s="225" t="s">
        <v>9473</v>
      </c>
    </row>
    <row r="6034" spans="1:2">
      <c r="A6034" s="225" t="s">
        <v>11458</v>
      </c>
      <c r="B6034" s="225" t="s">
        <v>11459</v>
      </c>
    </row>
    <row r="6035" spans="1:2">
      <c r="A6035" s="225" t="s">
        <v>11462</v>
      </c>
      <c r="B6035" s="225" t="s">
        <v>10137</v>
      </c>
    </row>
    <row r="6036" spans="1:2">
      <c r="A6036" s="225" t="s">
        <v>11463</v>
      </c>
      <c r="B6036" s="225" t="s">
        <v>11464</v>
      </c>
    </row>
    <row r="6037" spans="1:2">
      <c r="A6037" s="225" t="s">
        <v>9486</v>
      </c>
      <c r="B6037" s="225" t="s">
        <v>9487</v>
      </c>
    </row>
    <row r="6038" spans="1:2">
      <c r="A6038" s="225" t="s">
        <v>9491</v>
      </c>
      <c r="B6038" s="225" t="s">
        <v>9492</v>
      </c>
    </row>
    <row r="6039" spans="1:2">
      <c r="A6039" s="225" t="s">
        <v>431</v>
      </c>
      <c r="B6039" s="225" t="s">
        <v>424</v>
      </c>
    </row>
    <row r="6040" spans="1:2">
      <c r="A6040" s="225" t="s">
        <v>427</v>
      </c>
      <c r="B6040" s="225" t="s">
        <v>420</v>
      </c>
    </row>
    <row r="6041" spans="1:2">
      <c r="A6041" s="225" t="s">
        <v>11492</v>
      </c>
      <c r="B6041" s="225" t="s">
        <v>11493</v>
      </c>
    </row>
    <row r="6042" spans="1:2">
      <c r="A6042" s="225" t="s">
        <v>11496</v>
      </c>
      <c r="B6042" s="225" t="s">
        <v>10137</v>
      </c>
    </row>
    <row r="6043" spans="1:2">
      <c r="A6043" s="225" t="s">
        <v>11497</v>
      </c>
      <c r="B6043" s="225" t="s">
        <v>11498</v>
      </c>
    </row>
    <row r="6044" spans="1:2">
      <c r="A6044" s="225" t="s">
        <v>428</v>
      </c>
      <c r="B6044" s="225" t="s">
        <v>421</v>
      </c>
    </row>
    <row r="6045" spans="1:2">
      <c r="A6045" s="225" t="s">
        <v>429</v>
      </c>
      <c r="B6045" s="225" t="s">
        <v>422</v>
      </c>
    </row>
    <row r="6046" spans="1:2">
      <c r="A6046" s="225" t="s">
        <v>430</v>
      </c>
      <c r="B6046" s="225" t="s">
        <v>423</v>
      </c>
    </row>
    <row r="6047" spans="1:2">
      <c r="A6047" s="225" t="s">
        <v>9633</v>
      </c>
      <c r="B6047" s="225" t="s">
        <v>425</v>
      </c>
    </row>
    <row r="6048" spans="1:2">
      <c r="A6048" s="225" t="s">
        <v>10951</v>
      </c>
      <c r="B6048" s="225" t="s">
        <v>9652</v>
      </c>
    </row>
    <row r="6049" spans="1:2">
      <c r="A6049" s="225" t="s">
        <v>10965</v>
      </c>
      <c r="B6049" s="225" t="s">
        <v>35</v>
      </c>
    </row>
    <row r="6050" spans="1:2">
      <c r="A6050" s="225" t="s">
        <v>11042</v>
      </c>
      <c r="B6050" s="225" t="s">
        <v>11043</v>
      </c>
    </row>
    <row r="6051" spans="1:2">
      <c r="A6051" s="225" t="s">
        <v>11195</v>
      </c>
      <c r="B6051" s="225" t="s">
        <v>9522</v>
      </c>
    </row>
    <row r="6052" spans="1:2">
      <c r="A6052" s="225" t="s">
        <v>11201</v>
      </c>
      <c r="B6052" s="225" t="s">
        <v>3693</v>
      </c>
    </row>
    <row r="6053" spans="1:2">
      <c r="A6053" s="225" t="s">
        <v>11203</v>
      </c>
      <c r="B6053" s="225" t="s">
        <v>11204</v>
      </c>
    </row>
    <row r="6054" spans="1:2">
      <c r="A6054" s="225" t="s">
        <v>11205</v>
      </c>
      <c r="B6054" s="225" t="s">
        <v>10163</v>
      </c>
    </row>
    <row r="6055" spans="1:2">
      <c r="A6055" s="225" t="s">
        <v>10690</v>
      </c>
      <c r="B6055" s="225" t="s">
        <v>10691</v>
      </c>
    </row>
    <row r="6056" spans="1:2">
      <c r="A6056" s="225" t="s">
        <v>10823</v>
      </c>
      <c r="B6056" s="225" t="s">
        <v>10824</v>
      </c>
    </row>
    <row r="6057" spans="1:2">
      <c r="A6057" s="225" t="s">
        <v>10085</v>
      </c>
      <c r="B6057" s="225" t="s">
        <v>10086</v>
      </c>
    </row>
    <row r="6058" spans="1:2">
      <c r="A6058" s="225" t="s">
        <v>10099</v>
      </c>
      <c r="B6058" s="225" t="s">
        <v>10100</v>
      </c>
    </row>
    <row r="6059" spans="1:2">
      <c r="A6059" s="225" t="s">
        <v>10785</v>
      </c>
      <c r="B6059" s="225" t="s">
        <v>10786</v>
      </c>
    </row>
    <row r="6060" spans="1:2">
      <c r="A6060" s="225" t="s">
        <v>9421</v>
      </c>
      <c r="B6060" s="225" t="s">
        <v>2585</v>
      </c>
    </row>
    <row r="6061" spans="1:2">
      <c r="A6061" s="225" t="s">
        <v>11604</v>
      </c>
      <c r="B6061" s="225" t="s">
        <v>11605</v>
      </c>
    </row>
    <row r="6062" spans="1:2">
      <c r="A6062" s="225" t="s">
        <v>11606</v>
      </c>
      <c r="B6062" s="225" t="s">
        <v>11607</v>
      </c>
    </row>
    <row r="6063" spans="1:2">
      <c r="A6063" s="225" t="s">
        <v>11608</v>
      </c>
      <c r="B6063" s="225" t="s">
        <v>11609</v>
      </c>
    </row>
    <row r="6064" spans="1:2">
      <c r="A6064" s="225" t="s">
        <v>11610</v>
      </c>
      <c r="B6064" s="225" t="s">
        <v>11611</v>
      </c>
    </row>
    <row r="6065" spans="1:2">
      <c r="A6065" s="225" t="s">
        <v>9318</v>
      </c>
      <c r="B6065" s="225" t="s">
        <v>2213</v>
      </c>
    </row>
    <row r="6066" spans="1:2">
      <c r="A6066" s="225" t="s">
        <v>11602</v>
      </c>
      <c r="B6066" s="225" t="s">
        <v>20104</v>
      </c>
    </row>
    <row r="6067" spans="1:2">
      <c r="A6067" s="225" t="s">
        <v>11603</v>
      </c>
      <c r="B6067" s="225" t="s">
        <v>20105</v>
      </c>
    </row>
    <row r="6068" spans="1:2">
      <c r="A6068" s="225" t="s">
        <v>9636</v>
      </c>
      <c r="B6068" s="225" t="s">
        <v>190</v>
      </c>
    </row>
    <row r="6069" spans="1:2">
      <c r="A6069" s="225" t="s">
        <v>9639</v>
      </c>
      <c r="B6069" s="225" t="s">
        <v>192</v>
      </c>
    </row>
    <row r="6070" spans="1:2">
      <c r="A6070" s="225" t="s">
        <v>9643</v>
      </c>
      <c r="B6070" s="225" t="s">
        <v>195</v>
      </c>
    </row>
    <row r="6071" spans="1:2">
      <c r="A6071" s="225" t="s">
        <v>9646</v>
      </c>
      <c r="B6071" s="225" t="s">
        <v>197</v>
      </c>
    </row>
    <row r="6072" spans="1:2">
      <c r="A6072" s="225" t="s">
        <v>10665</v>
      </c>
      <c r="B6072" s="225" t="s">
        <v>10666</v>
      </c>
    </row>
    <row r="6073" spans="1:2">
      <c r="A6073" s="225" t="s">
        <v>10667</v>
      </c>
      <c r="B6073" s="225" t="s">
        <v>10668</v>
      </c>
    </row>
    <row r="6074" spans="1:2">
      <c r="A6074" s="225" t="s">
        <v>9404</v>
      </c>
      <c r="B6074" s="225" t="s">
        <v>2560</v>
      </c>
    </row>
    <row r="6075" spans="1:2">
      <c r="A6075" s="225" t="s">
        <v>9405</v>
      </c>
      <c r="B6075" s="225" t="s">
        <v>2562</v>
      </c>
    </row>
    <row r="6076" spans="1:2">
      <c r="A6076" s="225" t="s">
        <v>9425</v>
      </c>
      <c r="B6076" s="225" t="s">
        <v>9426</v>
      </c>
    </row>
    <row r="6077" spans="1:2">
      <c r="A6077" s="225" t="s">
        <v>406</v>
      </c>
      <c r="B6077" s="225" t="s">
        <v>9508</v>
      </c>
    </row>
    <row r="6078" spans="1:2">
      <c r="A6078" s="225" t="s">
        <v>9515</v>
      </c>
      <c r="B6078" s="225" t="s">
        <v>415</v>
      </c>
    </row>
    <row r="6079" spans="1:2">
      <c r="A6079" s="225" t="s">
        <v>9516</v>
      </c>
      <c r="B6079" s="225" t="s">
        <v>417</v>
      </c>
    </row>
    <row r="6080" spans="1:2">
      <c r="A6080" s="225" t="s">
        <v>9253</v>
      </c>
      <c r="B6080" s="225" t="s">
        <v>2101</v>
      </c>
    </row>
    <row r="6081" spans="1:2">
      <c r="A6081" s="225" t="s">
        <v>9259</v>
      </c>
      <c r="B6081" s="225" t="s">
        <v>2114</v>
      </c>
    </row>
    <row r="6082" spans="1:2">
      <c r="A6082" s="225" t="s">
        <v>9261</v>
      </c>
      <c r="B6082" s="225" t="s">
        <v>1616</v>
      </c>
    </row>
    <row r="6083" spans="1:2">
      <c r="A6083" s="225" t="s">
        <v>9272</v>
      </c>
      <c r="B6083" s="225" t="s">
        <v>2138</v>
      </c>
    </row>
    <row r="6084" spans="1:2">
      <c r="A6084" s="225" t="s">
        <v>9273</v>
      </c>
      <c r="B6084" s="225" t="s">
        <v>2140</v>
      </c>
    </row>
    <row r="6085" spans="1:2">
      <c r="A6085" s="225" t="s">
        <v>9274</v>
      </c>
      <c r="B6085" s="225" t="s">
        <v>2142</v>
      </c>
    </row>
    <row r="6086" spans="1:2">
      <c r="A6086" s="225" t="s">
        <v>9275</v>
      </c>
      <c r="B6086" s="225" t="s">
        <v>2144</v>
      </c>
    </row>
    <row r="6087" spans="1:2">
      <c r="A6087" s="225" t="s">
        <v>9279</v>
      </c>
      <c r="B6087" s="225" t="s">
        <v>2151</v>
      </c>
    </row>
    <row r="6088" spans="1:2">
      <c r="A6088" s="225" t="s">
        <v>9281</v>
      </c>
      <c r="B6088" s="225" t="s">
        <v>2155</v>
      </c>
    </row>
    <row r="6089" spans="1:2">
      <c r="A6089" s="225" t="s">
        <v>9283</v>
      </c>
      <c r="B6089" s="225" t="s">
        <v>1795</v>
      </c>
    </row>
    <row r="6090" spans="1:2">
      <c r="A6090" s="225" t="s">
        <v>9287</v>
      </c>
      <c r="B6090" s="225" t="s">
        <v>2166</v>
      </c>
    </row>
    <row r="6091" spans="1:2">
      <c r="A6091" s="225" t="s">
        <v>9292</v>
      </c>
      <c r="B6091" s="225" t="s">
        <v>2177</v>
      </c>
    </row>
    <row r="6092" spans="1:2">
      <c r="A6092" s="225" t="s">
        <v>9293</v>
      </c>
      <c r="B6092" s="225" t="s">
        <v>2179</v>
      </c>
    </row>
    <row r="6093" spans="1:2">
      <c r="A6093" s="225" t="s">
        <v>9302</v>
      </c>
      <c r="B6093" s="225" t="s">
        <v>1920</v>
      </c>
    </row>
    <row r="6094" spans="1:2">
      <c r="A6094" s="225" t="s">
        <v>9303</v>
      </c>
      <c r="B6094" s="225" t="s">
        <v>2189</v>
      </c>
    </row>
    <row r="6095" spans="1:2">
      <c r="A6095" s="225" t="s">
        <v>11034</v>
      </c>
      <c r="B6095" s="225" t="s">
        <v>11035</v>
      </c>
    </row>
    <row r="6096" spans="1:2">
      <c r="A6096" s="225" t="s">
        <v>11044</v>
      </c>
      <c r="B6096" s="225" t="s">
        <v>415</v>
      </c>
    </row>
    <row r="6097" spans="1:2">
      <c r="A6097" s="225" t="s">
        <v>10044</v>
      </c>
      <c r="B6097" s="225" t="s">
        <v>10045</v>
      </c>
    </row>
    <row r="6098" spans="1:2">
      <c r="A6098" s="225" t="s">
        <v>10046</v>
      </c>
      <c r="B6098" s="225" t="s">
        <v>10047</v>
      </c>
    </row>
    <row r="6099" spans="1:2">
      <c r="A6099" s="225" t="s">
        <v>16171</v>
      </c>
      <c r="B6099" s="225" t="s">
        <v>16172</v>
      </c>
    </row>
    <row r="6100" spans="1:2">
      <c r="A6100" s="225" t="s">
        <v>16173</v>
      </c>
      <c r="B6100" s="225" t="s">
        <v>16172</v>
      </c>
    </row>
    <row r="6101" spans="1:2">
      <c r="A6101" s="225" t="s">
        <v>16175</v>
      </c>
      <c r="B6101" s="225" t="s">
        <v>16176</v>
      </c>
    </row>
    <row r="6102" spans="1:2">
      <c r="A6102" s="225" t="s">
        <v>1806</v>
      </c>
      <c r="B6102" s="225" t="s">
        <v>16176</v>
      </c>
    </row>
    <row r="6103" spans="1:2">
      <c r="A6103" s="225" t="s">
        <v>16179</v>
      </c>
      <c r="B6103" s="225" t="s">
        <v>16172</v>
      </c>
    </row>
    <row r="6104" spans="1:2">
      <c r="A6104" s="225" t="s">
        <v>16180</v>
      </c>
      <c r="B6104" s="225" t="s">
        <v>16172</v>
      </c>
    </row>
    <row r="6105" spans="1:2">
      <c r="A6105" s="225" t="s">
        <v>16182</v>
      </c>
      <c r="B6105" s="225" t="s">
        <v>16176</v>
      </c>
    </row>
    <row r="6106" spans="1:2">
      <c r="A6106" s="225" t="s">
        <v>16183</v>
      </c>
      <c r="B6106" s="225" t="s">
        <v>16176</v>
      </c>
    </row>
    <row r="6107" spans="1:2">
      <c r="A6107" s="225" t="s">
        <v>16187</v>
      </c>
      <c r="B6107" s="225" t="s">
        <v>16188</v>
      </c>
    </row>
    <row r="6108" spans="1:2">
      <c r="A6108" s="225" t="s">
        <v>16189</v>
      </c>
      <c r="B6108" s="225" t="s">
        <v>16188</v>
      </c>
    </row>
    <row r="6109" spans="1:2">
      <c r="A6109" s="225" t="s">
        <v>15293</v>
      </c>
      <c r="B6109" s="225" t="s">
        <v>16172</v>
      </c>
    </row>
    <row r="6110" spans="1:2">
      <c r="A6110" s="225" t="s">
        <v>16190</v>
      </c>
      <c r="B6110" s="225" t="s">
        <v>16172</v>
      </c>
    </row>
    <row r="6111" spans="1:2">
      <c r="A6111" s="225" t="s">
        <v>15120</v>
      </c>
      <c r="B6111" s="225" t="s">
        <v>16176</v>
      </c>
    </row>
    <row r="6112" spans="1:2">
      <c r="A6112" s="225" t="s">
        <v>1805</v>
      </c>
      <c r="B6112" s="225" t="s">
        <v>16176</v>
      </c>
    </row>
    <row r="6113" spans="1:2">
      <c r="A6113" s="225" t="s">
        <v>16191</v>
      </c>
      <c r="B6113" s="225" t="s">
        <v>16188</v>
      </c>
    </row>
    <row r="6114" spans="1:2">
      <c r="A6114" s="225" t="s">
        <v>1831</v>
      </c>
      <c r="B6114" s="225" t="s">
        <v>16188</v>
      </c>
    </row>
    <row r="6115" spans="1:2">
      <c r="A6115" s="225" t="s">
        <v>16194</v>
      </c>
      <c r="B6115" s="225" t="s">
        <v>16172</v>
      </c>
    </row>
    <row r="6116" spans="1:2">
      <c r="A6116" s="225" t="s">
        <v>16195</v>
      </c>
      <c r="B6116" s="225" t="s">
        <v>15406</v>
      </c>
    </row>
    <row r="6117" spans="1:2">
      <c r="A6117" s="225" t="s">
        <v>16196</v>
      </c>
      <c r="B6117" s="225" t="s">
        <v>15406</v>
      </c>
    </row>
    <row r="6118" spans="1:2">
      <c r="A6118" s="225" t="s">
        <v>16197</v>
      </c>
      <c r="B6118" s="225" t="s">
        <v>115</v>
      </c>
    </row>
    <row r="6119" spans="1:2">
      <c r="A6119" s="225" t="s">
        <v>15279</v>
      </c>
      <c r="B6119" s="225" t="s">
        <v>115</v>
      </c>
    </row>
    <row r="6120" spans="1:2">
      <c r="A6120" s="225" t="s">
        <v>16199</v>
      </c>
      <c r="B6120" s="225" t="s">
        <v>16200</v>
      </c>
    </row>
    <row r="6121" spans="1:2">
      <c r="A6121" s="225" t="s">
        <v>1842</v>
      </c>
      <c r="B6121" s="225" t="s">
        <v>16200</v>
      </c>
    </row>
    <row r="6122" spans="1:2">
      <c r="A6122" s="225" t="s">
        <v>16201</v>
      </c>
      <c r="B6122" s="225" t="s">
        <v>16202</v>
      </c>
    </row>
    <row r="6123" spans="1:2">
      <c r="A6123" s="225" t="s">
        <v>16203</v>
      </c>
      <c r="B6123" s="225" t="s">
        <v>16202</v>
      </c>
    </row>
    <row r="6124" spans="1:2">
      <c r="A6124" s="225" t="s">
        <v>16212</v>
      </c>
      <c r="B6124" s="225" t="s">
        <v>1775</v>
      </c>
    </row>
    <row r="6125" spans="1:2">
      <c r="A6125" s="225" t="s">
        <v>16213</v>
      </c>
      <c r="B6125" s="225" t="s">
        <v>16172</v>
      </c>
    </row>
    <row r="6126" spans="1:2">
      <c r="A6126" s="225" t="s">
        <v>16214</v>
      </c>
      <c r="B6126" s="225" t="s">
        <v>1775</v>
      </c>
    </row>
    <row r="6127" spans="1:2">
      <c r="A6127" s="225" t="s">
        <v>16215</v>
      </c>
      <c r="B6127" s="225" t="s">
        <v>1848</v>
      </c>
    </row>
    <row r="6128" spans="1:2">
      <c r="A6128" s="225" t="s">
        <v>16216</v>
      </c>
      <c r="B6128" s="225" t="s">
        <v>16176</v>
      </c>
    </row>
    <row r="6129" spans="1:2">
      <c r="A6129" s="225" t="s">
        <v>16217</v>
      </c>
      <c r="B6129" s="225" t="s">
        <v>16176</v>
      </c>
    </row>
    <row r="6130" spans="1:2">
      <c r="A6130" s="225" t="s">
        <v>16218</v>
      </c>
      <c r="B6130" s="225" t="s">
        <v>16188</v>
      </c>
    </row>
    <row r="6131" spans="1:2">
      <c r="A6131" s="225" t="s">
        <v>16219</v>
      </c>
      <c r="B6131" s="225" t="s">
        <v>16188</v>
      </c>
    </row>
    <row r="6132" spans="1:2">
      <c r="A6132" s="225" t="s">
        <v>1828</v>
      </c>
      <c r="B6132" s="225" t="s">
        <v>16188</v>
      </c>
    </row>
    <row r="6133" spans="1:2">
      <c r="A6133" s="225" t="s">
        <v>1830</v>
      </c>
      <c r="B6133" s="225" t="s">
        <v>16188</v>
      </c>
    </row>
    <row r="6134" spans="1:2">
      <c r="A6134" s="225" t="s">
        <v>16220</v>
      </c>
      <c r="B6134" s="225" t="s">
        <v>1848</v>
      </c>
    </row>
    <row r="6135" spans="1:2">
      <c r="A6135" s="225" t="s">
        <v>16221</v>
      </c>
      <c r="B6135" s="225" t="s">
        <v>16222</v>
      </c>
    </row>
    <row r="6136" spans="1:2">
      <c r="A6136" s="225" t="s">
        <v>16223</v>
      </c>
      <c r="B6136" s="225" t="s">
        <v>16222</v>
      </c>
    </row>
    <row r="6137" spans="1:2">
      <c r="A6137" s="225" t="s">
        <v>16227</v>
      </c>
      <c r="B6137" s="225" t="s">
        <v>1782</v>
      </c>
    </row>
    <row r="6138" spans="1:2">
      <c r="A6138" s="225" t="s">
        <v>16228</v>
      </c>
      <c r="B6138" s="225" t="s">
        <v>1782</v>
      </c>
    </row>
    <row r="6139" spans="1:2">
      <c r="A6139" s="225" t="s">
        <v>15128</v>
      </c>
      <c r="B6139" s="225" t="s">
        <v>15406</v>
      </c>
    </row>
    <row r="6140" spans="1:2">
      <c r="A6140" s="225" t="s">
        <v>16229</v>
      </c>
      <c r="B6140" s="225" t="s">
        <v>15406</v>
      </c>
    </row>
    <row r="6141" spans="1:2">
      <c r="A6141" s="225" t="s">
        <v>15129</v>
      </c>
      <c r="B6141" s="225" t="s">
        <v>15406</v>
      </c>
    </row>
    <row r="6142" spans="1:2">
      <c r="A6142" s="225" t="s">
        <v>16230</v>
      </c>
      <c r="B6142" s="225" t="s">
        <v>15406</v>
      </c>
    </row>
    <row r="6143" spans="1:2">
      <c r="A6143" s="225" t="s">
        <v>15130</v>
      </c>
      <c r="B6143" s="225" t="s">
        <v>115</v>
      </c>
    </row>
    <row r="6144" spans="1:2">
      <c r="A6144" s="225" t="s">
        <v>15277</v>
      </c>
      <c r="B6144" s="225" t="s">
        <v>115</v>
      </c>
    </row>
    <row r="6145" spans="1:2">
      <c r="A6145" s="225" t="s">
        <v>16234</v>
      </c>
      <c r="B6145" s="225" t="s">
        <v>16235</v>
      </c>
    </row>
    <row r="6146" spans="1:2">
      <c r="A6146" s="225" t="s">
        <v>16236</v>
      </c>
      <c r="B6146" s="225" t="s">
        <v>16235</v>
      </c>
    </row>
    <row r="6147" spans="1:2">
      <c r="A6147" s="225" t="s">
        <v>15131</v>
      </c>
      <c r="B6147" s="225" t="s">
        <v>115</v>
      </c>
    </row>
    <row r="6148" spans="1:2">
      <c r="A6148" s="225" t="s">
        <v>16239</v>
      </c>
      <c r="B6148" s="225" t="s">
        <v>1854</v>
      </c>
    </row>
    <row r="6149" spans="1:2">
      <c r="A6149" s="225" t="s">
        <v>16240</v>
      </c>
      <c r="B6149" s="225" t="s">
        <v>1854</v>
      </c>
    </row>
    <row r="6150" spans="1:2">
      <c r="A6150" s="225" t="s">
        <v>16252</v>
      </c>
      <c r="B6150" s="225" t="s">
        <v>618</v>
      </c>
    </row>
    <row r="6151" spans="1:2">
      <c r="A6151" s="225" t="s">
        <v>15282</v>
      </c>
      <c r="B6151" s="225" t="s">
        <v>618</v>
      </c>
    </row>
    <row r="6152" spans="1:2">
      <c r="A6152" s="225" t="s">
        <v>16253</v>
      </c>
      <c r="B6152" s="225" t="s">
        <v>16254</v>
      </c>
    </row>
    <row r="6153" spans="1:2">
      <c r="A6153" s="225" t="s">
        <v>16255</v>
      </c>
      <c r="B6153" s="225" t="s">
        <v>16254</v>
      </c>
    </row>
    <row r="6154" spans="1:2">
      <c r="A6154" s="225" t="s">
        <v>16264</v>
      </c>
      <c r="B6154" s="225" t="s">
        <v>15453</v>
      </c>
    </row>
    <row r="6155" spans="1:2">
      <c r="A6155" s="225" t="s">
        <v>16265</v>
      </c>
      <c r="B6155" s="225" t="s">
        <v>1848</v>
      </c>
    </row>
    <row r="6156" spans="1:2">
      <c r="A6156" s="225" t="s">
        <v>16266</v>
      </c>
      <c r="B6156" s="225" t="s">
        <v>1775</v>
      </c>
    </row>
    <row r="6157" spans="1:2">
      <c r="A6157" s="225" t="s">
        <v>16267</v>
      </c>
      <c r="B6157" s="225" t="s">
        <v>1674</v>
      </c>
    </row>
    <row r="6158" spans="1:2">
      <c r="A6158" s="225" t="s">
        <v>16268</v>
      </c>
      <c r="B6158" s="225" t="s">
        <v>1782</v>
      </c>
    </row>
    <row r="6159" spans="1:2">
      <c r="A6159" s="225" t="s">
        <v>15278</v>
      </c>
      <c r="B6159" s="225" t="s">
        <v>115</v>
      </c>
    </row>
    <row r="6160" spans="1:2">
      <c r="A6160" s="225" t="s">
        <v>15304</v>
      </c>
      <c r="B6160" s="225" t="s">
        <v>14873</v>
      </c>
    </row>
    <row r="6161" spans="1:2">
      <c r="A6161" s="225" t="s">
        <v>1838</v>
      </c>
      <c r="B6161" s="225" t="s">
        <v>16200</v>
      </c>
    </row>
    <row r="6162" spans="1:2">
      <c r="A6162" s="225" t="s">
        <v>1840</v>
      </c>
      <c r="B6162" s="225" t="s">
        <v>16200</v>
      </c>
    </row>
    <row r="6163" spans="1:2">
      <c r="A6163" s="225" t="s">
        <v>1839</v>
      </c>
      <c r="B6163" s="225" t="s">
        <v>16200</v>
      </c>
    </row>
    <row r="6164" spans="1:2">
      <c r="A6164" s="225" t="s">
        <v>1841</v>
      </c>
      <c r="B6164" s="225" t="s">
        <v>16200</v>
      </c>
    </row>
    <row r="6165" spans="1:2">
      <c r="A6165" s="225" t="s">
        <v>15297</v>
      </c>
      <c r="B6165" s="225" t="s">
        <v>16202</v>
      </c>
    </row>
    <row r="6166" spans="1:2">
      <c r="A6166" s="225" t="s">
        <v>16271</v>
      </c>
      <c r="B6166" s="225" t="s">
        <v>16202</v>
      </c>
    </row>
    <row r="6167" spans="1:2">
      <c r="A6167" s="225" t="s">
        <v>15298</v>
      </c>
      <c r="B6167" s="225" t="s">
        <v>16202</v>
      </c>
    </row>
    <row r="6168" spans="1:2">
      <c r="A6168" s="225" t="s">
        <v>1847</v>
      </c>
      <c r="B6168" s="225" t="s">
        <v>1775</v>
      </c>
    </row>
    <row r="6169" spans="1:2">
      <c r="A6169" s="225" t="s">
        <v>16278</v>
      </c>
      <c r="B6169" s="225" t="s">
        <v>1775</v>
      </c>
    </row>
    <row r="6170" spans="1:2">
      <c r="A6170" s="225" t="s">
        <v>16283</v>
      </c>
      <c r="B6170" s="225" t="s">
        <v>618</v>
      </c>
    </row>
    <row r="6171" spans="1:2">
      <c r="A6171" s="225" t="s">
        <v>1890</v>
      </c>
      <c r="B6171" s="225" t="s">
        <v>618</v>
      </c>
    </row>
    <row r="6172" spans="1:2">
      <c r="A6172" s="225" t="s">
        <v>1849</v>
      </c>
      <c r="B6172" s="225" t="s">
        <v>1848</v>
      </c>
    </row>
    <row r="6173" spans="1:2">
      <c r="A6173" s="225" t="s">
        <v>16284</v>
      </c>
      <c r="B6173" s="225" t="s">
        <v>1848</v>
      </c>
    </row>
    <row r="6174" spans="1:2">
      <c r="A6174" s="225" t="s">
        <v>15132</v>
      </c>
      <c r="B6174" s="225" t="s">
        <v>16222</v>
      </c>
    </row>
    <row r="6175" spans="1:2">
      <c r="A6175" s="225" t="s">
        <v>16285</v>
      </c>
      <c r="B6175" s="225" t="s">
        <v>16222</v>
      </c>
    </row>
    <row r="6176" spans="1:2">
      <c r="A6176" s="225" t="s">
        <v>15133</v>
      </c>
      <c r="B6176" s="225" t="s">
        <v>1782</v>
      </c>
    </row>
    <row r="6177" spans="1:2">
      <c r="A6177" s="225" t="s">
        <v>16287</v>
      </c>
      <c r="B6177" s="225" t="s">
        <v>1782</v>
      </c>
    </row>
    <row r="6178" spans="1:2">
      <c r="A6178" s="225" t="s">
        <v>1851</v>
      </c>
      <c r="B6178" s="225" t="s">
        <v>16235</v>
      </c>
    </row>
    <row r="6179" spans="1:2">
      <c r="A6179" s="225" t="s">
        <v>16291</v>
      </c>
      <c r="B6179" s="225" t="s">
        <v>16235</v>
      </c>
    </row>
    <row r="6180" spans="1:2">
      <c r="A6180" s="225" t="s">
        <v>1855</v>
      </c>
      <c r="B6180" s="225" t="s">
        <v>1854</v>
      </c>
    </row>
    <row r="6181" spans="1:2">
      <c r="A6181" s="225" t="s">
        <v>16314</v>
      </c>
      <c r="B6181" s="225" t="s">
        <v>1854</v>
      </c>
    </row>
    <row r="6182" spans="1:2">
      <c r="A6182" s="225" t="s">
        <v>16321</v>
      </c>
      <c r="B6182" s="225" t="s">
        <v>618</v>
      </c>
    </row>
    <row r="6183" spans="1:2">
      <c r="A6183" s="225" t="s">
        <v>16324</v>
      </c>
      <c r="B6183" s="225" t="s">
        <v>618</v>
      </c>
    </row>
    <row r="6184" spans="1:2">
      <c r="A6184" s="225" t="s">
        <v>1857</v>
      </c>
      <c r="B6184" s="225" t="s">
        <v>618</v>
      </c>
    </row>
    <row r="6185" spans="1:2">
      <c r="A6185" s="225" t="s">
        <v>15281</v>
      </c>
      <c r="B6185" s="225" t="s">
        <v>618</v>
      </c>
    </row>
    <row r="6186" spans="1:2">
      <c r="A6186" s="225" t="s">
        <v>16335</v>
      </c>
      <c r="B6186" s="225" t="s">
        <v>16254</v>
      </c>
    </row>
    <row r="6187" spans="1:2">
      <c r="A6187" s="225" t="s">
        <v>16336</v>
      </c>
      <c r="B6187" s="225" t="s">
        <v>16254</v>
      </c>
    </row>
    <row r="6188" spans="1:2">
      <c r="A6188" s="225" t="s">
        <v>16339</v>
      </c>
      <c r="B6188" s="225" t="s">
        <v>16254</v>
      </c>
    </row>
    <row r="6189" spans="1:2">
      <c r="A6189" s="225" t="s">
        <v>16341</v>
      </c>
      <c r="B6189" s="225" t="s">
        <v>16254</v>
      </c>
    </row>
    <row r="6190" spans="1:2">
      <c r="A6190" s="225" t="s">
        <v>16350</v>
      </c>
      <c r="B6190" s="225" t="s">
        <v>5841</v>
      </c>
    </row>
    <row r="6191" spans="1:2">
      <c r="A6191" s="225" t="s">
        <v>16351</v>
      </c>
      <c r="B6191" s="225" t="s">
        <v>5841</v>
      </c>
    </row>
    <row r="6192" spans="1:2">
      <c r="A6192" s="225" t="s">
        <v>16352</v>
      </c>
      <c r="B6192" s="225" t="s">
        <v>1775</v>
      </c>
    </row>
    <row r="6193" spans="1:2">
      <c r="A6193" s="225" t="s">
        <v>16353</v>
      </c>
      <c r="B6193" s="225" t="s">
        <v>1775</v>
      </c>
    </row>
    <row r="6194" spans="1:2">
      <c r="A6194" s="225" t="s">
        <v>16354</v>
      </c>
      <c r="B6194" s="225" t="s">
        <v>1848</v>
      </c>
    </row>
    <row r="6195" spans="1:2">
      <c r="A6195" s="225" t="s">
        <v>16355</v>
      </c>
      <c r="B6195" s="225" t="s">
        <v>1848</v>
      </c>
    </row>
    <row r="6196" spans="1:2">
      <c r="A6196" s="225" t="s">
        <v>16356</v>
      </c>
      <c r="B6196" s="225" t="s">
        <v>16222</v>
      </c>
    </row>
    <row r="6197" spans="1:2">
      <c r="A6197" s="225" t="s">
        <v>16357</v>
      </c>
      <c r="B6197" s="225" t="s">
        <v>16222</v>
      </c>
    </row>
    <row r="6198" spans="1:2">
      <c r="A6198" s="225" t="s">
        <v>16361</v>
      </c>
      <c r="B6198" s="225" t="s">
        <v>1854</v>
      </c>
    </row>
    <row r="6199" spans="1:2">
      <c r="A6199" s="225" t="s">
        <v>16363</v>
      </c>
      <c r="B6199" s="225" t="s">
        <v>1854</v>
      </c>
    </row>
    <row r="6200" spans="1:2">
      <c r="A6200" s="225" t="s">
        <v>16365</v>
      </c>
      <c r="B6200" s="225" t="s">
        <v>16235</v>
      </c>
    </row>
    <row r="6201" spans="1:2">
      <c r="A6201" s="225" t="s">
        <v>16366</v>
      </c>
      <c r="B6201" s="225" t="s">
        <v>16235</v>
      </c>
    </row>
    <row r="6202" spans="1:2">
      <c r="A6202" s="225" t="s">
        <v>16375</v>
      </c>
      <c r="B6202" s="225" t="s">
        <v>618</v>
      </c>
    </row>
    <row r="6203" spans="1:2">
      <c r="A6203" s="225" t="s">
        <v>16376</v>
      </c>
      <c r="B6203" s="225" t="s">
        <v>618</v>
      </c>
    </row>
    <row r="6204" spans="1:2">
      <c r="A6204" s="225" t="s">
        <v>16387</v>
      </c>
      <c r="B6204" s="225" t="s">
        <v>618</v>
      </c>
    </row>
    <row r="6205" spans="1:2">
      <c r="A6205" s="225" t="s">
        <v>16388</v>
      </c>
      <c r="B6205" s="225" t="s">
        <v>618</v>
      </c>
    </row>
    <row r="6206" spans="1:2">
      <c r="A6206" s="225" t="s">
        <v>16401</v>
      </c>
      <c r="B6206" s="225" t="s">
        <v>14885</v>
      </c>
    </row>
    <row r="6207" spans="1:2">
      <c r="A6207" s="225" t="s">
        <v>16402</v>
      </c>
      <c r="B6207" s="225" t="s">
        <v>15453</v>
      </c>
    </row>
    <row r="6208" spans="1:2">
      <c r="A6208" s="225" t="s">
        <v>1865</v>
      </c>
      <c r="B6208" s="225" t="s">
        <v>1848</v>
      </c>
    </row>
    <row r="6209" spans="1:2">
      <c r="A6209" s="225" t="s">
        <v>1866</v>
      </c>
      <c r="B6209" s="225" t="s">
        <v>1775</v>
      </c>
    </row>
    <row r="6210" spans="1:2">
      <c r="A6210" s="225" t="s">
        <v>1867</v>
      </c>
      <c r="B6210" s="225" t="s">
        <v>1674</v>
      </c>
    </row>
    <row r="6211" spans="1:2">
      <c r="A6211" s="225" t="s">
        <v>1868</v>
      </c>
      <c r="B6211" s="225" t="s">
        <v>1782</v>
      </c>
    </row>
    <row r="6212" spans="1:2">
      <c r="A6212" s="225" t="s">
        <v>16403</v>
      </c>
      <c r="B6212" s="225" t="s">
        <v>14885</v>
      </c>
    </row>
    <row r="6213" spans="1:2">
      <c r="A6213" s="225" t="s">
        <v>16404</v>
      </c>
      <c r="B6213" s="225" t="s">
        <v>16405</v>
      </c>
    </row>
    <row r="6214" spans="1:2">
      <c r="A6214" s="225" t="s">
        <v>16406</v>
      </c>
      <c r="B6214" s="225" t="s">
        <v>16405</v>
      </c>
    </row>
    <row r="6215" spans="1:2">
      <c r="A6215" s="225" t="s">
        <v>16410</v>
      </c>
      <c r="B6215" s="225" t="s">
        <v>14885</v>
      </c>
    </row>
    <row r="6216" spans="1:2">
      <c r="A6216" s="225" t="s">
        <v>16411</v>
      </c>
      <c r="B6216" s="225" t="s">
        <v>14885</v>
      </c>
    </row>
    <row r="6217" spans="1:2">
      <c r="A6217" s="225" t="s">
        <v>16412</v>
      </c>
      <c r="B6217" s="225" t="s">
        <v>1775</v>
      </c>
    </row>
    <row r="6218" spans="1:2">
      <c r="A6218" s="225" t="s">
        <v>16413</v>
      </c>
      <c r="B6218" s="225" t="s">
        <v>1775</v>
      </c>
    </row>
    <row r="6219" spans="1:2">
      <c r="A6219" s="225" t="s">
        <v>16419</v>
      </c>
      <c r="B6219" s="225" t="s">
        <v>618</v>
      </c>
    </row>
    <row r="6220" spans="1:2">
      <c r="A6220" s="225" t="s">
        <v>16420</v>
      </c>
      <c r="B6220" s="225" t="s">
        <v>618</v>
      </c>
    </row>
    <row r="6221" spans="1:2">
      <c r="A6221" s="225" t="s">
        <v>16433</v>
      </c>
      <c r="B6221" s="225" t="s">
        <v>15710</v>
      </c>
    </row>
    <row r="6222" spans="1:2">
      <c r="A6222" s="225" t="s">
        <v>15289</v>
      </c>
      <c r="B6222" s="225" t="s">
        <v>15710</v>
      </c>
    </row>
    <row r="6223" spans="1:2">
      <c r="A6223" s="225" t="s">
        <v>16443</v>
      </c>
      <c r="B6223" s="225" t="s">
        <v>618</v>
      </c>
    </row>
    <row r="6224" spans="1:2">
      <c r="A6224" s="225" t="s">
        <v>16444</v>
      </c>
      <c r="B6224" s="225" t="s">
        <v>618</v>
      </c>
    </row>
    <row r="6225" spans="1:2">
      <c r="A6225" s="225" t="s">
        <v>16457</v>
      </c>
      <c r="B6225" s="225" t="s">
        <v>618</v>
      </c>
    </row>
    <row r="6226" spans="1:2">
      <c r="A6226" s="225" t="s">
        <v>16458</v>
      </c>
      <c r="B6226" s="225" t="s">
        <v>618</v>
      </c>
    </row>
    <row r="6227" spans="1:2">
      <c r="A6227" s="225" t="s">
        <v>16470</v>
      </c>
      <c r="B6227" s="225" t="s">
        <v>1651</v>
      </c>
    </row>
    <row r="6228" spans="1:2">
      <c r="A6228" s="225" t="s">
        <v>16471</v>
      </c>
      <c r="B6228" s="225" t="s">
        <v>1651</v>
      </c>
    </row>
    <row r="6229" spans="1:2">
      <c r="A6229" s="225" t="s">
        <v>16472</v>
      </c>
      <c r="B6229" s="225" t="s">
        <v>15395</v>
      </c>
    </row>
    <row r="6230" spans="1:2">
      <c r="A6230" s="225" t="s">
        <v>16473</v>
      </c>
      <c r="B6230" s="225" t="s">
        <v>15395</v>
      </c>
    </row>
    <row r="6231" spans="1:2">
      <c r="A6231" s="225" t="s">
        <v>16474</v>
      </c>
      <c r="B6231" s="225" t="s">
        <v>15397</v>
      </c>
    </row>
    <row r="6232" spans="1:2">
      <c r="A6232" s="225" t="s">
        <v>16475</v>
      </c>
      <c r="B6232" s="225" t="s">
        <v>15397</v>
      </c>
    </row>
    <row r="6233" spans="1:2">
      <c r="A6233" s="225" t="s">
        <v>16476</v>
      </c>
      <c r="B6233" s="225" t="s">
        <v>15400</v>
      </c>
    </row>
    <row r="6234" spans="1:2">
      <c r="A6234" s="225" t="s">
        <v>16477</v>
      </c>
      <c r="B6234" s="225" t="s">
        <v>15400</v>
      </c>
    </row>
    <row r="6235" spans="1:2">
      <c r="A6235" s="225" t="s">
        <v>16478</v>
      </c>
      <c r="B6235" s="225" t="s">
        <v>15403</v>
      </c>
    </row>
    <row r="6236" spans="1:2">
      <c r="A6236" s="225" t="s">
        <v>16479</v>
      </c>
      <c r="B6236" s="225" t="s">
        <v>15403</v>
      </c>
    </row>
    <row r="6237" spans="1:2">
      <c r="A6237" s="225" t="s">
        <v>16483</v>
      </c>
      <c r="B6237" s="225" t="s">
        <v>16484</v>
      </c>
    </row>
    <row r="6238" spans="1:2">
      <c r="A6238" s="225" t="s">
        <v>16485</v>
      </c>
      <c r="B6238" s="225" t="s">
        <v>16484</v>
      </c>
    </row>
    <row r="6239" spans="1:2">
      <c r="A6239" s="225" t="s">
        <v>15329</v>
      </c>
      <c r="B6239" s="225" t="s">
        <v>14885</v>
      </c>
    </row>
    <row r="6240" spans="1:2">
      <c r="A6240" s="225" t="s">
        <v>16501</v>
      </c>
      <c r="B6240" s="225" t="s">
        <v>14885</v>
      </c>
    </row>
    <row r="6241" spans="1:2">
      <c r="A6241" s="225" t="s">
        <v>15341</v>
      </c>
      <c r="B6241" s="225" t="s">
        <v>14885</v>
      </c>
    </row>
    <row r="6242" spans="1:2">
      <c r="A6242" s="225" t="s">
        <v>15344</v>
      </c>
      <c r="B6242" s="225" t="s">
        <v>1730</v>
      </c>
    </row>
    <row r="6243" spans="1:2">
      <c r="A6243" s="225" t="s">
        <v>15348</v>
      </c>
      <c r="B6243" s="225" t="s">
        <v>1740</v>
      </c>
    </row>
    <row r="6244" spans="1:2">
      <c r="A6244" s="225" t="s">
        <v>15357</v>
      </c>
      <c r="B6244" s="225" t="s">
        <v>618</v>
      </c>
    </row>
    <row r="6245" spans="1:2">
      <c r="A6245" s="225" t="s">
        <v>1887</v>
      </c>
      <c r="B6245" s="225" t="s">
        <v>618</v>
      </c>
    </row>
    <row r="6246" spans="1:2">
      <c r="A6246" s="225" t="s">
        <v>1889</v>
      </c>
      <c r="B6246" s="225" t="s">
        <v>618</v>
      </c>
    </row>
    <row r="6247" spans="1:2">
      <c r="A6247" s="225" t="s">
        <v>15139</v>
      </c>
      <c r="B6247" s="225" t="s">
        <v>618</v>
      </c>
    </row>
    <row r="6248" spans="1:2">
      <c r="A6248" s="225" t="s">
        <v>16522</v>
      </c>
      <c r="B6248" s="225" t="s">
        <v>618</v>
      </c>
    </row>
    <row r="6249" spans="1:2">
      <c r="A6249" s="225" t="s">
        <v>15140</v>
      </c>
      <c r="B6249" s="225" t="s">
        <v>618</v>
      </c>
    </row>
    <row r="6250" spans="1:2">
      <c r="A6250" s="225" t="s">
        <v>16526</v>
      </c>
      <c r="B6250" s="225" t="s">
        <v>618</v>
      </c>
    </row>
    <row r="6251" spans="1:2">
      <c r="A6251" s="225" t="s">
        <v>16539</v>
      </c>
      <c r="B6251" s="225" t="s">
        <v>5841</v>
      </c>
    </row>
    <row r="6252" spans="1:2">
      <c r="A6252" s="225" t="s">
        <v>16540</v>
      </c>
      <c r="B6252" s="225" t="s">
        <v>5841</v>
      </c>
    </row>
    <row r="6253" spans="1:2">
      <c r="A6253" s="225" t="s">
        <v>16541</v>
      </c>
      <c r="B6253" s="225" t="s">
        <v>1775</v>
      </c>
    </row>
    <row r="6254" spans="1:2">
      <c r="A6254" s="225" t="s">
        <v>16542</v>
      </c>
      <c r="B6254" s="225" t="s">
        <v>1775</v>
      </c>
    </row>
    <row r="6255" spans="1:2">
      <c r="A6255" s="225" t="s">
        <v>16543</v>
      </c>
      <c r="B6255" s="225" t="s">
        <v>1848</v>
      </c>
    </row>
    <row r="6256" spans="1:2">
      <c r="A6256" s="225" t="s">
        <v>16544</v>
      </c>
      <c r="B6256" s="225" t="s">
        <v>1848</v>
      </c>
    </row>
    <row r="6257" spans="1:2">
      <c r="A6257" s="225" t="s">
        <v>16545</v>
      </c>
      <c r="B6257" s="225" t="s">
        <v>16222</v>
      </c>
    </row>
    <row r="6258" spans="1:2">
      <c r="A6258" s="225" t="s">
        <v>16546</v>
      </c>
      <c r="B6258" s="225" t="s">
        <v>16222</v>
      </c>
    </row>
    <row r="6259" spans="1:2">
      <c r="A6259" s="225" t="s">
        <v>16549</v>
      </c>
      <c r="B6259" s="225" t="s">
        <v>1854</v>
      </c>
    </row>
    <row r="6260" spans="1:2">
      <c r="A6260" s="225" t="s">
        <v>16550</v>
      </c>
      <c r="B6260" s="225" t="s">
        <v>1854</v>
      </c>
    </row>
    <row r="6261" spans="1:2">
      <c r="A6261" s="225" t="s">
        <v>16551</v>
      </c>
      <c r="B6261" s="225" t="s">
        <v>16235</v>
      </c>
    </row>
    <row r="6262" spans="1:2">
      <c r="A6262" s="225" t="s">
        <v>16552</v>
      </c>
      <c r="B6262" s="225" t="s">
        <v>16235</v>
      </c>
    </row>
    <row r="6263" spans="1:2">
      <c r="A6263" s="225" t="s">
        <v>16557</v>
      </c>
      <c r="B6263" s="225" t="s">
        <v>618</v>
      </c>
    </row>
    <row r="6264" spans="1:2">
      <c r="A6264" s="225" t="s">
        <v>14864</v>
      </c>
      <c r="B6264" s="225" t="s">
        <v>618</v>
      </c>
    </row>
    <row r="6265" spans="1:2">
      <c r="A6265" s="225" t="s">
        <v>16564</v>
      </c>
      <c r="B6265" s="225" t="s">
        <v>618</v>
      </c>
    </row>
    <row r="6266" spans="1:2">
      <c r="A6266" s="225" t="s">
        <v>16565</v>
      </c>
      <c r="B6266" s="225" t="s">
        <v>618</v>
      </c>
    </row>
    <row r="6267" spans="1:2">
      <c r="A6267" s="225" t="s">
        <v>16574</v>
      </c>
      <c r="B6267" s="225" t="s">
        <v>14885</v>
      </c>
    </row>
    <row r="6268" spans="1:2">
      <c r="A6268" s="225" t="s">
        <v>1909</v>
      </c>
      <c r="B6268" s="225" t="s">
        <v>14885</v>
      </c>
    </row>
    <row r="6269" spans="1:2">
      <c r="A6269" s="225" t="s">
        <v>16575</v>
      </c>
      <c r="B6269" s="225" t="s">
        <v>16405</v>
      </c>
    </row>
    <row r="6270" spans="1:2">
      <c r="A6270" s="225" t="s">
        <v>16576</v>
      </c>
      <c r="B6270" s="225" t="s">
        <v>16405</v>
      </c>
    </row>
    <row r="6271" spans="1:2">
      <c r="A6271" s="225" t="s">
        <v>16577</v>
      </c>
      <c r="B6271" s="225" t="s">
        <v>16405</v>
      </c>
    </row>
    <row r="6272" spans="1:2">
      <c r="A6272" s="225" t="s">
        <v>16578</v>
      </c>
      <c r="B6272" s="225" t="s">
        <v>16405</v>
      </c>
    </row>
    <row r="6273" spans="1:2">
      <c r="A6273" s="225" t="s">
        <v>16581</v>
      </c>
      <c r="B6273" s="225" t="s">
        <v>14885</v>
      </c>
    </row>
    <row r="6274" spans="1:2">
      <c r="A6274" s="225" t="s">
        <v>16582</v>
      </c>
      <c r="B6274" s="225" t="s">
        <v>14885</v>
      </c>
    </row>
    <row r="6275" spans="1:2">
      <c r="A6275" s="225" t="s">
        <v>16583</v>
      </c>
      <c r="B6275" s="225" t="s">
        <v>1775</v>
      </c>
    </row>
    <row r="6276" spans="1:2">
      <c r="A6276" s="225" t="s">
        <v>16584</v>
      </c>
      <c r="B6276" s="225" t="s">
        <v>1775</v>
      </c>
    </row>
    <row r="6277" spans="1:2">
      <c r="A6277" s="225" t="s">
        <v>15327</v>
      </c>
      <c r="B6277" s="225" t="s">
        <v>618</v>
      </c>
    </row>
    <row r="6278" spans="1:2">
      <c r="A6278" s="225" t="s">
        <v>16586</v>
      </c>
      <c r="B6278" s="225" t="s">
        <v>618</v>
      </c>
    </row>
    <row r="6279" spans="1:2">
      <c r="A6279" s="225" t="s">
        <v>16602</v>
      </c>
      <c r="B6279" s="225" t="s">
        <v>15710</v>
      </c>
    </row>
    <row r="6280" spans="1:2">
      <c r="A6280" s="225" t="s">
        <v>15288</v>
      </c>
      <c r="B6280" s="225" t="s">
        <v>15710</v>
      </c>
    </row>
    <row r="6281" spans="1:2">
      <c r="A6281" s="225" t="s">
        <v>1918</v>
      </c>
      <c r="B6281" s="225" t="s">
        <v>618</v>
      </c>
    </row>
    <row r="6282" spans="1:2">
      <c r="A6282" s="225" t="s">
        <v>16608</v>
      </c>
      <c r="B6282" s="225" t="s">
        <v>618</v>
      </c>
    </row>
    <row r="6283" spans="1:2">
      <c r="A6283" s="225" t="s">
        <v>15317</v>
      </c>
      <c r="B6283" s="225" t="s">
        <v>618</v>
      </c>
    </row>
    <row r="6284" spans="1:2">
      <c r="A6284" s="225" t="s">
        <v>16616</v>
      </c>
      <c r="B6284" s="225" t="s">
        <v>618</v>
      </c>
    </row>
    <row r="6285" spans="1:2">
      <c r="A6285" s="225" t="s">
        <v>15321</v>
      </c>
      <c r="B6285" s="225" t="s">
        <v>1651</v>
      </c>
    </row>
    <row r="6286" spans="1:2">
      <c r="A6286" s="225" t="s">
        <v>16621</v>
      </c>
      <c r="B6286" s="225" t="s">
        <v>1651</v>
      </c>
    </row>
    <row r="6287" spans="1:2">
      <c r="A6287" s="225" t="s">
        <v>15322</v>
      </c>
      <c r="B6287" s="225" t="s">
        <v>1651</v>
      </c>
    </row>
    <row r="6288" spans="1:2">
      <c r="A6288" s="225" t="s">
        <v>16622</v>
      </c>
      <c r="B6288" s="225" t="s">
        <v>1651</v>
      </c>
    </row>
    <row r="6289" spans="1:2">
      <c r="A6289" s="225" t="s">
        <v>15323</v>
      </c>
      <c r="B6289" s="225" t="s">
        <v>15395</v>
      </c>
    </row>
    <row r="6290" spans="1:2">
      <c r="A6290" s="225" t="s">
        <v>16625</v>
      </c>
      <c r="B6290" s="225" t="s">
        <v>15395</v>
      </c>
    </row>
    <row r="6291" spans="1:2">
      <c r="A6291" s="225" t="s">
        <v>16626</v>
      </c>
      <c r="B6291" s="225" t="s">
        <v>15397</v>
      </c>
    </row>
    <row r="6292" spans="1:2">
      <c r="A6292" s="225" t="s">
        <v>16627</v>
      </c>
      <c r="B6292" s="225" t="s">
        <v>15397</v>
      </c>
    </row>
    <row r="6293" spans="1:2">
      <c r="A6293" s="225" t="s">
        <v>16628</v>
      </c>
      <c r="B6293" s="225" t="s">
        <v>15400</v>
      </c>
    </row>
    <row r="6294" spans="1:2">
      <c r="A6294" s="225" t="s">
        <v>16629</v>
      </c>
      <c r="B6294" s="225" t="s">
        <v>15400</v>
      </c>
    </row>
    <row r="6295" spans="1:2">
      <c r="A6295" s="225" t="s">
        <v>16630</v>
      </c>
      <c r="B6295" s="225" t="s">
        <v>15403</v>
      </c>
    </row>
    <row r="6296" spans="1:2">
      <c r="A6296" s="225" t="s">
        <v>16631</v>
      </c>
      <c r="B6296" s="225" t="s">
        <v>15403</v>
      </c>
    </row>
    <row r="6297" spans="1:2">
      <c r="A6297" s="225" t="s">
        <v>16632</v>
      </c>
      <c r="B6297" s="225" t="s">
        <v>15710</v>
      </c>
    </row>
    <row r="6298" spans="1:2">
      <c r="A6298" s="225" t="s">
        <v>16633</v>
      </c>
      <c r="B6298" s="225" t="s">
        <v>15710</v>
      </c>
    </row>
    <row r="6299" spans="1:2">
      <c r="A6299" s="225" t="s">
        <v>16636</v>
      </c>
      <c r="B6299" s="225" t="s">
        <v>16484</v>
      </c>
    </row>
    <row r="6300" spans="1:2">
      <c r="A6300" s="225" t="s">
        <v>16637</v>
      </c>
      <c r="B6300" s="225" t="s">
        <v>16484</v>
      </c>
    </row>
    <row r="6301" spans="1:2">
      <c r="A6301" s="225" t="s">
        <v>16638</v>
      </c>
      <c r="B6301" s="225" t="s">
        <v>16484</v>
      </c>
    </row>
    <row r="6302" spans="1:2">
      <c r="A6302" s="225" t="s">
        <v>16639</v>
      </c>
      <c r="B6302" s="225" t="s">
        <v>16484</v>
      </c>
    </row>
    <row r="6303" spans="1:2">
      <c r="A6303" s="225" t="s">
        <v>16646</v>
      </c>
      <c r="B6303" s="225" t="s">
        <v>14885</v>
      </c>
    </row>
    <row r="6304" spans="1:2">
      <c r="A6304" s="225" t="s">
        <v>1968</v>
      </c>
      <c r="B6304" s="225" t="s">
        <v>14885</v>
      </c>
    </row>
    <row r="6305" spans="1:2">
      <c r="A6305" s="225" t="s">
        <v>2011</v>
      </c>
      <c r="B6305" s="225" t="s">
        <v>1730</v>
      </c>
    </row>
    <row r="6306" spans="1:2">
      <c r="A6306" s="225" t="s">
        <v>2017</v>
      </c>
      <c r="B6306" s="225" t="s">
        <v>1740</v>
      </c>
    </row>
    <row r="6307" spans="1:2">
      <c r="A6307" s="225" t="s">
        <v>15356</v>
      </c>
      <c r="B6307" s="225" t="s">
        <v>618</v>
      </c>
    </row>
    <row r="6308" spans="1:2">
      <c r="A6308" s="225" t="s">
        <v>19150</v>
      </c>
      <c r="B6308" s="225" t="s">
        <v>19140</v>
      </c>
    </row>
    <row r="6309" spans="1:2">
      <c r="A6309" s="225" t="s">
        <v>19151</v>
      </c>
      <c r="B6309" s="225" t="s">
        <v>19141</v>
      </c>
    </row>
    <row r="6310" spans="1:2">
      <c r="A6310" s="225" t="s">
        <v>19152</v>
      </c>
      <c r="B6310" s="225" t="s">
        <v>19142</v>
      </c>
    </row>
    <row r="6311" spans="1:2">
      <c r="A6311" s="225" t="s">
        <v>19153</v>
      </c>
      <c r="B6311" s="225" t="s">
        <v>19143</v>
      </c>
    </row>
    <row r="6312" spans="1:2">
      <c r="A6312" s="225" t="s">
        <v>19154</v>
      </c>
      <c r="B6312" s="225" t="s">
        <v>19144</v>
      </c>
    </row>
    <row r="6313" spans="1:2">
      <c r="A6313" s="225" t="s">
        <v>19155</v>
      </c>
      <c r="B6313" s="225" t="s">
        <v>19145</v>
      </c>
    </row>
    <row r="6314" spans="1:2">
      <c r="A6314" s="225" t="s">
        <v>19156</v>
      </c>
      <c r="B6314" s="225" t="s">
        <v>19146</v>
      </c>
    </row>
    <row r="6315" spans="1:2">
      <c r="A6315" s="225" t="s">
        <v>19157</v>
      </c>
      <c r="B6315" s="225" t="s">
        <v>19147</v>
      </c>
    </row>
    <row r="6316" spans="1:2">
      <c r="A6316" s="225" t="s">
        <v>19158</v>
      </c>
      <c r="B6316" s="225" t="s">
        <v>9545</v>
      </c>
    </row>
    <row r="6317" spans="1:2">
      <c r="A6317" s="225" t="s">
        <v>19159</v>
      </c>
      <c r="B6317" s="225" t="s">
        <v>19160</v>
      </c>
    </row>
    <row r="6318" spans="1:2">
      <c r="A6318" s="225" t="s">
        <v>19161</v>
      </c>
      <c r="B6318" s="225" t="s">
        <v>19162</v>
      </c>
    </row>
    <row r="6319" spans="1:2">
      <c r="A6319" s="225" t="s">
        <v>19163</v>
      </c>
      <c r="B6319" s="225" t="s">
        <v>19164</v>
      </c>
    </row>
    <row r="6320" spans="1:2">
      <c r="A6320" s="225" t="s">
        <v>19165</v>
      </c>
      <c r="B6320" s="225" t="s">
        <v>19166</v>
      </c>
    </row>
    <row r="6321" spans="1:2">
      <c r="A6321" s="225" t="s">
        <v>19167</v>
      </c>
      <c r="B6321" s="225" t="s">
        <v>19168</v>
      </c>
    </row>
    <row r="6322" spans="1:2">
      <c r="A6322" s="225" t="s">
        <v>19169</v>
      </c>
      <c r="B6322" s="225" t="s">
        <v>19170</v>
      </c>
    </row>
    <row r="6323" spans="1:2">
      <c r="A6323" s="225" t="s">
        <v>19171</v>
      </c>
      <c r="B6323" s="225" t="s">
        <v>19172</v>
      </c>
    </row>
    <row r="6324" spans="1:2">
      <c r="A6324" s="225" t="s">
        <v>19173</v>
      </c>
      <c r="B6324" s="225" t="s">
        <v>19174</v>
      </c>
    </row>
    <row r="6325" spans="1:2">
      <c r="A6325" s="225" t="s">
        <v>19175</v>
      </c>
      <c r="B6325" s="225" t="s">
        <v>19176</v>
      </c>
    </row>
    <row r="6326" spans="1:2">
      <c r="A6326" s="225" t="s">
        <v>19177</v>
      </c>
      <c r="B6326" s="225" t="s">
        <v>19178</v>
      </c>
    </row>
    <row r="6327" spans="1:2">
      <c r="A6327" s="225" t="s">
        <v>19179</v>
      </c>
      <c r="B6327" s="225" t="s">
        <v>19180</v>
      </c>
    </row>
    <row r="6328" spans="1:2">
      <c r="A6328" s="225" t="s">
        <v>19181</v>
      </c>
      <c r="B6328" s="225" t="s">
        <v>19182</v>
      </c>
    </row>
    <row r="6329" spans="1:2">
      <c r="A6329" s="225" t="s">
        <v>19183</v>
      </c>
      <c r="B6329" s="225" t="s">
        <v>19184</v>
      </c>
    </row>
    <row r="6330" spans="1:2">
      <c r="A6330" s="225" t="s">
        <v>19185</v>
      </c>
      <c r="B6330" s="225" t="s">
        <v>19186</v>
      </c>
    </row>
    <row r="6331" spans="1:2">
      <c r="A6331" s="225" t="s">
        <v>19187</v>
      </c>
      <c r="B6331" s="225" t="s">
        <v>19188</v>
      </c>
    </row>
    <row r="6332" spans="1:2">
      <c r="A6332" s="225" t="s">
        <v>19189</v>
      </c>
      <c r="B6332" s="225" t="s">
        <v>19190</v>
      </c>
    </row>
    <row r="6333" spans="1:2">
      <c r="A6333" s="225" t="s">
        <v>19191</v>
      </c>
      <c r="B6333" s="225" t="s">
        <v>19192</v>
      </c>
    </row>
    <row r="6334" spans="1:2">
      <c r="A6334" s="225" t="s">
        <v>19193</v>
      </c>
      <c r="B6334" s="225" t="s">
        <v>19194</v>
      </c>
    </row>
    <row r="6335" spans="1:2">
      <c r="A6335" s="225" t="s">
        <v>19195</v>
      </c>
      <c r="B6335" s="225" t="s">
        <v>19196</v>
      </c>
    </row>
    <row r="6336" spans="1:2">
      <c r="A6336" s="225" t="s">
        <v>19197</v>
      </c>
      <c r="B6336" s="225" t="s">
        <v>19198</v>
      </c>
    </row>
    <row r="6337" spans="1:2">
      <c r="A6337" s="225" t="s">
        <v>19199</v>
      </c>
      <c r="B6337" s="225" t="s">
        <v>19200</v>
      </c>
    </row>
    <row r="6338" spans="1:2">
      <c r="A6338" s="225" t="s">
        <v>19201</v>
      </c>
      <c r="B6338" s="225" t="s">
        <v>19202</v>
      </c>
    </row>
    <row r="6339" spans="1:2">
      <c r="A6339" s="225" t="s">
        <v>19203</v>
      </c>
      <c r="B6339" s="225" t="s">
        <v>19204</v>
      </c>
    </row>
    <row r="6340" spans="1:2">
      <c r="A6340" s="225" t="s">
        <v>19205</v>
      </c>
      <c r="B6340" s="225" t="s">
        <v>19206</v>
      </c>
    </row>
    <row r="6341" spans="1:2">
      <c r="A6341" s="225" t="s">
        <v>19207</v>
      </c>
      <c r="B6341" s="225" t="s">
        <v>19208</v>
      </c>
    </row>
    <row r="6342" spans="1:2">
      <c r="A6342" s="225" t="s">
        <v>19209</v>
      </c>
      <c r="B6342" s="225" t="s">
        <v>19210</v>
      </c>
    </row>
    <row r="6343" spans="1:2">
      <c r="A6343" s="225" t="s">
        <v>19211</v>
      </c>
      <c r="B6343" s="225" t="s">
        <v>19212</v>
      </c>
    </row>
    <row r="6344" spans="1:2">
      <c r="A6344" s="225" t="s">
        <v>19213</v>
      </c>
      <c r="B6344" s="225" t="s">
        <v>19214</v>
      </c>
    </row>
    <row r="6345" spans="1:2">
      <c r="A6345" s="225" t="s">
        <v>19215</v>
      </c>
      <c r="B6345" s="225" t="s">
        <v>19216</v>
      </c>
    </row>
    <row r="6346" spans="1:2">
      <c r="A6346" s="225" t="s">
        <v>19217</v>
      </c>
      <c r="B6346" s="225" t="s">
        <v>19218</v>
      </c>
    </row>
    <row r="6347" spans="1:2">
      <c r="A6347" s="225" t="s">
        <v>19219</v>
      </c>
      <c r="B6347" s="225" t="s">
        <v>19220</v>
      </c>
    </row>
    <row r="6348" spans="1:2">
      <c r="A6348" s="225" t="s">
        <v>19221</v>
      </c>
      <c r="B6348" s="225" t="s">
        <v>19222</v>
      </c>
    </row>
    <row r="6349" spans="1:2">
      <c r="A6349" s="225" t="s">
        <v>19223</v>
      </c>
      <c r="B6349" s="225" t="s">
        <v>19224</v>
      </c>
    </row>
    <row r="6350" spans="1:2">
      <c r="A6350" s="225" t="s">
        <v>19225</v>
      </c>
      <c r="B6350" s="225" t="s">
        <v>19226</v>
      </c>
    </row>
    <row r="6351" spans="1:2">
      <c r="A6351" s="225" t="s">
        <v>19227</v>
      </c>
      <c r="B6351" s="225" t="s">
        <v>19228</v>
      </c>
    </row>
    <row r="6352" spans="1:2">
      <c r="A6352" s="225" t="s">
        <v>19229</v>
      </c>
      <c r="B6352" s="225" t="s">
        <v>19230</v>
      </c>
    </row>
    <row r="6353" spans="1:2">
      <c r="A6353" s="225" t="s">
        <v>19231</v>
      </c>
      <c r="B6353" s="225" t="s">
        <v>19232</v>
      </c>
    </row>
    <row r="6354" spans="1:2">
      <c r="A6354" s="225" t="s">
        <v>19233</v>
      </c>
      <c r="B6354" s="225" t="s">
        <v>19234</v>
      </c>
    </row>
    <row r="6355" spans="1:2">
      <c r="A6355" s="225" t="s">
        <v>19235</v>
      </c>
      <c r="B6355" s="225" t="s">
        <v>19236</v>
      </c>
    </row>
    <row r="6356" spans="1:2">
      <c r="A6356" s="225" t="s">
        <v>19237</v>
      </c>
      <c r="B6356" s="225" t="s">
        <v>19238</v>
      </c>
    </row>
    <row r="6357" spans="1:2">
      <c r="A6357" s="225" t="s">
        <v>19239</v>
      </c>
      <c r="B6357" s="225" t="s">
        <v>19240</v>
      </c>
    </row>
    <row r="6358" spans="1:2">
      <c r="A6358" s="225" t="s">
        <v>19241</v>
      </c>
      <c r="B6358" s="225" t="s">
        <v>19242</v>
      </c>
    </row>
    <row r="6359" spans="1:2">
      <c r="A6359" s="225" t="s">
        <v>19243</v>
      </c>
      <c r="B6359" s="225" t="s">
        <v>19244</v>
      </c>
    </row>
    <row r="6360" spans="1:2">
      <c r="A6360" s="225" t="s">
        <v>19245</v>
      </c>
      <c r="B6360" s="225" t="s">
        <v>19246</v>
      </c>
    </row>
    <row r="6361" spans="1:2">
      <c r="A6361" s="225" t="s">
        <v>19247</v>
      </c>
      <c r="B6361" s="225" t="s">
        <v>19248</v>
      </c>
    </row>
    <row r="6362" spans="1:2">
      <c r="A6362" s="225" t="s">
        <v>19249</v>
      </c>
      <c r="B6362" s="225" t="s">
        <v>19250</v>
      </c>
    </row>
    <row r="6363" spans="1:2">
      <c r="A6363" s="225" t="s">
        <v>19251</v>
      </c>
      <c r="B6363" s="225" t="s">
        <v>19252</v>
      </c>
    </row>
    <row r="6364" spans="1:2">
      <c r="A6364" s="225" t="s">
        <v>19253</v>
      </c>
      <c r="B6364" s="225" t="s">
        <v>19254</v>
      </c>
    </row>
    <row r="6365" spans="1:2">
      <c r="A6365" s="225" t="s">
        <v>19255</v>
      </c>
      <c r="B6365" s="225" t="s">
        <v>19256</v>
      </c>
    </row>
    <row r="6366" spans="1:2">
      <c r="A6366" s="225" t="s">
        <v>19257</v>
      </c>
      <c r="B6366" s="225" t="s">
        <v>19258</v>
      </c>
    </row>
    <row r="6367" spans="1:2">
      <c r="A6367" s="225" t="s">
        <v>19259</v>
      </c>
      <c r="B6367" s="225" t="s">
        <v>19260</v>
      </c>
    </row>
    <row r="6368" spans="1:2">
      <c r="A6368" s="225" t="s">
        <v>19261</v>
      </c>
      <c r="B6368" s="225" t="s">
        <v>19262</v>
      </c>
    </row>
    <row r="6369" spans="1:2">
      <c r="A6369" s="225" t="s">
        <v>19263</v>
      </c>
      <c r="B6369" s="225" t="s">
        <v>19264</v>
      </c>
    </row>
    <row r="6370" spans="1:2">
      <c r="A6370" s="225" t="s">
        <v>19265</v>
      </c>
      <c r="B6370" s="225" t="s">
        <v>19266</v>
      </c>
    </row>
    <row r="6371" spans="1:2">
      <c r="A6371" s="225" t="s">
        <v>19267</v>
      </c>
      <c r="B6371" s="225" t="s">
        <v>19268</v>
      </c>
    </row>
    <row r="6372" spans="1:2">
      <c r="A6372" s="225" t="s">
        <v>19269</v>
      </c>
      <c r="B6372" s="225" t="s">
        <v>19270</v>
      </c>
    </row>
    <row r="6373" spans="1:2">
      <c r="A6373" s="225" t="s">
        <v>19271</v>
      </c>
      <c r="B6373" s="225" t="s">
        <v>19272</v>
      </c>
    </row>
    <row r="6374" spans="1:2">
      <c r="A6374" s="225" t="s">
        <v>19273</v>
      </c>
      <c r="B6374" s="225" t="s">
        <v>19274</v>
      </c>
    </row>
    <row r="6375" spans="1:2">
      <c r="A6375" s="225" t="s">
        <v>19275</v>
      </c>
      <c r="B6375" s="225" t="s">
        <v>19276</v>
      </c>
    </row>
    <row r="6376" spans="1:2">
      <c r="A6376" s="225" t="s">
        <v>19277</v>
      </c>
      <c r="B6376" s="225" t="s">
        <v>19278</v>
      </c>
    </row>
    <row r="6377" spans="1:2">
      <c r="A6377" s="225" t="s">
        <v>19279</v>
      </c>
      <c r="B6377" s="225" t="s">
        <v>19280</v>
      </c>
    </row>
    <row r="6378" spans="1:2">
      <c r="A6378" s="225" t="s">
        <v>19281</v>
      </c>
      <c r="B6378" s="225" t="s">
        <v>19282</v>
      </c>
    </row>
    <row r="6379" spans="1:2">
      <c r="A6379" s="225" t="s">
        <v>19283</v>
      </c>
      <c r="B6379" s="225" t="s">
        <v>19284</v>
      </c>
    </row>
    <row r="6380" spans="1:2">
      <c r="A6380" s="225" t="s">
        <v>19285</v>
      </c>
      <c r="B6380" s="225" t="s">
        <v>19286</v>
      </c>
    </row>
    <row r="6381" spans="1:2">
      <c r="A6381" s="225" t="s">
        <v>19287</v>
      </c>
      <c r="B6381" s="225" t="s">
        <v>19288</v>
      </c>
    </row>
    <row r="6382" spans="1:2">
      <c r="A6382" s="225" t="s">
        <v>19289</v>
      </c>
      <c r="B6382" s="225" t="s">
        <v>19290</v>
      </c>
    </row>
    <row r="6383" spans="1:2">
      <c r="A6383" s="225" t="s">
        <v>19291</v>
      </c>
      <c r="B6383" s="225" t="s">
        <v>19292</v>
      </c>
    </row>
    <row r="6384" spans="1:2">
      <c r="A6384" s="225" t="s">
        <v>19293</v>
      </c>
      <c r="B6384" s="225" t="s">
        <v>19294</v>
      </c>
    </row>
    <row r="6385" spans="1:2">
      <c r="A6385" s="225" t="s">
        <v>19295</v>
      </c>
      <c r="B6385" s="225" t="s">
        <v>19296</v>
      </c>
    </row>
    <row r="6386" spans="1:2">
      <c r="A6386" s="225" t="s">
        <v>19297</v>
      </c>
      <c r="B6386" s="225" t="s">
        <v>19298</v>
      </c>
    </row>
    <row r="6387" spans="1:2">
      <c r="A6387" s="225" t="s">
        <v>19299</v>
      </c>
      <c r="B6387" s="225" t="s">
        <v>19300</v>
      </c>
    </row>
    <row r="6388" spans="1:2">
      <c r="A6388" s="225" t="s">
        <v>19301</v>
      </c>
      <c r="B6388" s="225" t="s">
        <v>19302</v>
      </c>
    </row>
    <row r="6389" spans="1:2">
      <c r="A6389" s="225" t="s">
        <v>19303</v>
      </c>
      <c r="B6389" s="225" t="s">
        <v>19304</v>
      </c>
    </row>
    <row r="6390" spans="1:2">
      <c r="A6390" s="225" t="s">
        <v>19305</v>
      </c>
      <c r="B6390" s="225" t="s">
        <v>9968</v>
      </c>
    </row>
    <row r="6391" spans="1:2">
      <c r="A6391" s="225" t="s">
        <v>19306</v>
      </c>
      <c r="B6391" s="225" t="s">
        <v>10012</v>
      </c>
    </row>
    <row r="6392" spans="1:2">
      <c r="A6392" s="225" t="s">
        <v>19307</v>
      </c>
      <c r="B6392" s="225" t="s">
        <v>9966</v>
      </c>
    </row>
    <row r="6393" spans="1:2">
      <c r="A6393" s="225" t="s">
        <v>19308</v>
      </c>
      <c r="B6393" s="225" t="s">
        <v>19309</v>
      </c>
    </row>
    <row r="6394" spans="1:2">
      <c r="A6394" s="225" t="s">
        <v>19310</v>
      </c>
      <c r="B6394" s="225" t="s">
        <v>19311</v>
      </c>
    </row>
    <row r="6395" spans="1:2">
      <c r="A6395" s="225" t="s">
        <v>19312</v>
      </c>
      <c r="B6395" s="225" t="s">
        <v>19313</v>
      </c>
    </row>
    <row r="6396" spans="1:2">
      <c r="A6396" s="225" t="s">
        <v>19314</v>
      </c>
      <c r="B6396" s="225" t="s">
        <v>19315</v>
      </c>
    </row>
    <row r="6397" spans="1:2">
      <c r="A6397" s="225" t="s">
        <v>19316</v>
      </c>
      <c r="B6397" s="225" t="s">
        <v>19317</v>
      </c>
    </row>
    <row r="6398" spans="1:2">
      <c r="A6398" s="225" t="s">
        <v>19318</v>
      </c>
      <c r="B6398" s="225" t="s">
        <v>19319</v>
      </c>
    </row>
    <row r="6399" spans="1:2">
      <c r="A6399" s="225" t="s">
        <v>19320</v>
      </c>
      <c r="B6399" s="225" t="s">
        <v>19321</v>
      </c>
    </row>
    <row r="6400" spans="1:2">
      <c r="A6400" s="225" t="s">
        <v>19322</v>
      </c>
      <c r="B6400" s="225" t="s">
        <v>19323</v>
      </c>
    </row>
    <row r="6401" spans="1:2">
      <c r="A6401" s="225" t="s">
        <v>19324</v>
      </c>
      <c r="B6401" s="225" t="s">
        <v>19325</v>
      </c>
    </row>
    <row r="6402" spans="1:2">
      <c r="A6402" s="225" t="s">
        <v>19326</v>
      </c>
      <c r="B6402" s="225" t="s">
        <v>19327</v>
      </c>
    </row>
    <row r="6403" spans="1:2">
      <c r="A6403" s="225" t="s">
        <v>19328</v>
      </c>
      <c r="B6403" s="225" t="s">
        <v>19329</v>
      </c>
    </row>
    <row r="6404" spans="1:2">
      <c r="A6404" s="225" t="s">
        <v>19330</v>
      </c>
      <c r="B6404" s="225" t="s">
        <v>19331</v>
      </c>
    </row>
    <row r="6405" spans="1:2">
      <c r="A6405" s="225" t="s">
        <v>19332</v>
      </c>
      <c r="B6405" s="225" t="s">
        <v>19333</v>
      </c>
    </row>
    <row r="6406" spans="1:2">
      <c r="A6406" s="225" t="s">
        <v>19334</v>
      </c>
      <c r="B6406" s="225" t="s">
        <v>19335</v>
      </c>
    </row>
    <row r="6407" spans="1:2">
      <c r="A6407" s="225" t="s">
        <v>19336</v>
      </c>
      <c r="B6407" s="225" t="s">
        <v>19337</v>
      </c>
    </row>
    <row r="6408" spans="1:2">
      <c r="A6408" s="225" t="s">
        <v>19338</v>
      </c>
      <c r="B6408" s="225" t="s">
        <v>19339</v>
      </c>
    </row>
    <row r="6409" spans="1:2">
      <c r="A6409" s="225" t="s">
        <v>19340</v>
      </c>
      <c r="B6409" s="225" t="s">
        <v>19341</v>
      </c>
    </row>
    <row r="6410" spans="1:2">
      <c r="A6410" s="225" t="s">
        <v>19342</v>
      </c>
      <c r="B6410" s="225" t="s">
        <v>19343</v>
      </c>
    </row>
    <row r="6411" spans="1:2">
      <c r="A6411" s="225" t="s">
        <v>19344</v>
      </c>
      <c r="B6411" s="225" t="s">
        <v>19345</v>
      </c>
    </row>
    <row r="6412" spans="1:2">
      <c r="A6412" s="225" t="s">
        <v>19346</v>
      </c>
      <c r="B6412" s="225" t="s">
        <v>19347</v>
      </c>
    </row>
    <row r="6413" spans="1:2">
      <c r="A6413" s="225" t="s">
        <v>19348</v>
      </c>
      <c r="B6413" s="225" t="s">
        <v>19349</v>
      </c>
    </row>
    <row r="6414" spans="1:2">
      <c r="A6414" s="225" t="s">
        <v>19350</v>
      </c>
      <c r="B6414" s="225" t="s">
        <v>19351</v>
      </c>
    </row>
    <row r="6415" spans="1:2">
      <c r="A6415" s="225" t="s">
        <v>19352</v>
      </c>
      <c r="B6415" s="225" t="s">
        <v>19353</v>
      </c>
    </row>
    <row r="6416" spans="1:2">
      <c r="A6416" s="225" t="s">
        <v>19354</v>
      </c>
      <c r="B6416" s="225" t="s">
        <v>19355</v>
      </c>
    </row>
    <row r="6417" spans="1:2">
      <c r="A6417" s="225" t="s">
        <v>19356</v>
      </c>
      <c r="B6417" s="225" t="s">
        <v>19357</v>
      </c>
    </row>
    <row r="6418" spans="1:2">
      <c r="A6418" s="225" t="s">
        <v>19358</v>
      </c>
      <c r="B6418" s="225" t="s">
        <v>19359</v>
      </c>
    </row>
    <row r="6419" spans="1:2">
      <c r="A6419" s="225" t="s">
        <v>19360</v>
      </c>
      <c r="B6419" s="225" t="s">
        <v>19361</v>
      </c>
    </row>
    <row r="6420" spans="1:2">
      <c r="A6420" s="225" t="s">
        <v>19362</v>
      </c>
      <c r="B6420" s="225" t="s">
        <v>19363</v>
      </c>
    </row>
    <row r="6421" spans="1:2">
      <c r="A6421" s="225" t="s">
        <v>19364</v>
      </c>
      <c r="B6421" s="225" t="s">
        <v>19365</v>
      </c>
    </row>
    <row r="6422" spans="1:2">
      <c r="A6422" s="225" t="s">
        <v>19366</v>
      </c>
      <c r="B6422" s="225" t="s">
        <v>19367</v>
      </c>
    </row>
    <row r="6423" spans="1:2">
      <c r="A6423" s="225" t="s">
        <v>19368</v>
      </c>
      <c r="B6423" s="225" t="s">
        <v>19369</v>
      </c>
    </row>
    <row r="6424" spans="1:2">
      <c r="A6424" s="225" t="s">
        <v>19370</v>
      </c>
      <c r="B6424" s="225" t="s">
        <v>19371</v>
      </c>
    </row>
    <row r="6425" spans="1:2">
      <c r="A6425" s="225" t="s">
        <v>19372</v>
      </c>
      <c r="B6425" s="225" t="s">
        <v>19373</v>
      </c>
    </row>
    <row r="6426" spans="1:2">
      <c r="A6426" s="225" t="s">
        <v>19374</v>
      </c>
      <c r="B6426" s="225" t="s">
        <v>19375</v>
      </c>
    </row>
    <row r="6427" spans="1:2">
      <c r="A6427" s="225" t="s">
        <v>19376</v>
      </c>
      <c r="B6427" s="225" t="s">
        <v>19377</v>
      </c>
    </row>
    <row r="6428" spans="1:2">
      <c r="A6428" s="225" t="s">
        <v>19378</v>
      </c>
      <c r="B6428" s="225" t="s">
        <v>19379</v>
      </c>
    </row>
    <row r="6429" spans="1:2">
      <c r="A6429" s="225" t="s">
        <v>19380</v>
      </c>
      <c r="B6429" s="225" t="s">
        <v>19381</v>
      </c>
    </row>
    <row r="6430" spans="1:2">
      <c r="A6430" s="225" t="s">
        <v>19382</v>
      </c>
      <c r="B6430" s="225" t="s">
        <v>19383</v>
      </c>
    </row>
    <row r="6431" spans="1:2">
      <c r="A6431" s="225" t="s">
        <v>19384</v>
      </c>
      <c r="B6431" s="225" t="s">
        <v>19385</v>
      </c>
    </row>
    <row r="6432" spans="1:2">
      <c r="A6432" s="225" t="s">
        <v>19386</v>
      </c>
      <c r="B6432" s="225" t="s">
        <v>19387</v>
      </c>
    </row>
    <row r="6433" spans="1:2">
      <c r="A6433" s="225" t="s">
        <v>19388</v>
      </c>
      <c r="B6433" s="225" t="s">
        <v>19389</v>
      </c>
    </row>
    <row r="6434" spans="1:2">
      <c r="A6434" s="225" t="s">
        <v>19390</v>
      </c>
      <c r="B6434" s="225" t="s">
        <v>19391</v>
      </c>
    </row>
    <row r="6435" spans="1:2">
      <c r="A6435" s="225" t="s">
        <v>19392</v>
      </c>
      <c r="B6435" s="225" t="s">
        <v>19393</v>
      </c>
    </row>
    <row r="6436" spans="1:2">
      <c r="A6436" s="225" t="s">
        <v>19394</v>
      </c>
      <c r="B6436" s="225" t="s">
        <v>10966</v>
      </c>
    </row>
    <row r="6437" spans="1:2">
      <c r="A6437" s="225" t="s">
        <v>19395</v>
      </c>
      <c r="B6437" s="225" t="s">
        <v>415</v>
      </c>
    </row>
    <row r="6438" spans="1:2">
      <c r="A6438" s="225" t="s">
        <v>19396</v>
      </c>
      <c r="B6438" s="225" t="s">
        <v>11012</v>
      </c>
    </row>
    <row r="6439" spans="1:2">
      <c r="A6439" s="225" t="s">
        <v>19397</v>
      </c>
      <c r="B6439" s="225" t="s">
        <v>415</v>
      </c>
    </row>
    <row r="6440" spans="1:2">
      <c r="A6440" s="225" t="s">
        <v>19398</v>
      </c>
      <c r="B6440" s="225" t="s">
        <v>1656</v>
      </c>
    </row>
    <row r="6441" spans="1:2">
      <c r="A6441" s="225" t="s">
        <v>19399</v>
      </c>
      <c r="B6441" s="225" t="s">
        <v>415</v>
      </c>
    </row>
    <row r="6442" spans="1:2">
      <c r="A6442" s="225" t="s">
        <v>19400</v>
      </c>
      <c r="B6442" s="225" t="s">
        <v>11035</v>
      </c>
    </row>
    <row r="6443" spans="1:2">
      <c r="A6443" s="225" t="s">
        <v>19401</v>
      </c>
      <c r="B6443" s="225" t="s">
        <v>415</v>
      </c>
    </row>
    <row r="6444" spans="1:2">
      <c r="A6444" s="225" t="s">
        <v>19402</v>
      </c>
      <c r="B6444" s="225" t="s">
        <v>35</v>
      </c>
    </row>
    <row r="6445" spans="1:2">
      <c r="A6445" s="225" t="s">
        <v>19403</v>
      </c>
      <c r="B6445" s="225" t="s">
        <v>19404</v>
      </c>
    </row>
    <row r="6446" spans="1:2">
      <c r="A6446" s="225" t="s">
        <v>19405</v>
      </c>
      <c r="B6446" s="225" t="s">
        <v>19406</v>
      </c>
    </row>
    <row r="6447" spans="1:2">
      <c r="A6447" s="225" t="s">
        <v>19407</v>
      </c>
      <c r="B6447" s="225" t="s">
        <v>19408</v>
      </c>
    </row>
    <row r="6448" spans="1:2">
      <c r="A6448" s="225" t="s">
        <v>19409</v>
      </c>
      <c r="B6448" s="225" t="s">
        <v>19410</v>
      </c>
    </row>
    <row r="6449" spans="1:2">
      <c r="A6449" s="225" t="s">
        <v>19411</v>
      </c>
      <c r="B6449" s="225" t="s">
        <v>19412</v>
      </c>
    </row>
    <row r="6450" spans="1:2">
      <c r="A6450" s="225" t="s">
        <v>19413</v>
      </c>
      <c r="B6450" s="225" t="s">
        <v>19414</v>
      </c>
    </row>
    <row r="6451" spans="1:2">
      <c r="A6451" s="225" t="s">
        <v>19415</v>
      </c>
      <c r="B6451" s="225" t="s">
        <v>19416</v>
      </c>
    </row>
    <row r="6452" spans="1:2">
      <c r="A6452" s="225" t="s">
        <v>19417</v>
      </c>
      <c r="B6452" s="225" t="s">
        <v>19418</v>
      </c>
    </row>
    <row r="6453" spans="1:2">
      <c r="A6453" s="225" t="s">
        <v>19419</v>
      </c>
      <c r="B6453" s="225" t="s">
        <v>19420</v>
      </c>
    </row>
    <row r="6454" spans="1:2">
      <c r="A6454" s="225" t="s">
        <v>19421</v>
      </c>
      <c r="B6454" s="225" t="s">
        <v>19422</v>
      </c>
    </row>
    <row r="6455" spans="1:2">
      <c r="A6455" s="225" t="s">
        <v>19423</v>
      </c>
      <c r="B6455" s="225" t="s">
        <v>19424</v>
      </c>
    </row>
    <row r="6456" spans="1:2">
      <c r="A6456" s="225" t="s">
        <v>19425</v>
      </c>
      <c r="B6456" s="225" t="s">
        <v>19426</v>
      </c>
    </row>
    <row r="6457" spans="1:2">
      <c r="A6457" s="225" t="s">
        <v>19427</v>
      </c>
      <c r="B6457" s="225" t="s">
        <v>19428</v>
      </c>
    </row>
    <row r="6458" spans="1:2">
      <c r="A6458" s="225" t="s">
        <v>19429</v>
      </c>
      <c r="B6458" s="225" t="s">
        <v>19430</v>
      </c>
    </row>
    <row r="6459" spans="1:2">
      <c r="A6459" s="225" t="s">
        <v>19431</v>
      </c>
      <c r="B6459" s="225" t="s">
        <v>19432</v>
      </c>
    </row>
    <row r="6460" spans="1:2">
      <c r="A6460" s="225" t="s">
        <v>19433</v>
      </c>
      <c r="B6460" s="225" t="s">
        <v>19434</v>
      </c>
    </row>
    <row r="6461" spans="1:2">
      <c r="A6461" s="225" t="s">
        <v>19435</v>
      </c>
      <c r="B6461" s="225" t="s">
        <v>19436</v>
      </c>
    </row>
    <row r="6462" spans="1:2">
      <c r="A6462" s="225" t="s">
        <v>19437</v>
      </c>
      <c r="B6462" s="225" t="s">
        <v>19438</v>
      </c>
    </row>
    <row r="6463" spans="1:2">
      <c r="A6463" s="225" t="s">
        <v>19439</v>
      </c>
      <c r="B6463" s="225" t="s">
        <v>19440</v>
      </c>
    </row>
    <row r="6464" spans="1:2">
      <c r="A6464" s="225" t="s">
        <v>19441</v>
      </c>
      <c r="B6464" s="225" t="s">
        <v>19442</v>
      </c>
    </row>
    <row r="6465" spans="1:2">
      <c r="A6465" s="225" t="s">
        <v>19443</v>
      </c>
      <c r="B6465" s="225" t="s">
        <v>19444</v>
      </c>
    </row>
    <row r="6466" spans="1:2">
      <c r="A6466" s="225" t="s">
        <v>19445</v>
      </c>
      <c r="B6466" s="225" t="s">
        <v>19446</v>
      </c>
    </row>
    <row r="6467" spans="1:2">
      <c r="A6467" s="225" t="s">
        <v>19447</v>
      </c>
      <c r="B6467" s="225" t="s">
        <v>19448</v>
      </c>
    </row>
    <row r="6468" spans="1:2">
      <c r="A6468" s="225" t="s">
        <v>19449</v>
      </c>
      <c r="B6468" s="225" t="s">
        <v>19450</v>
      </c>
    </row>
    <row r="6469" spans="1:2">
      <c r="A6469" s="225" t="s">
        <v>19451</v>
      </c>
      <c r="B6469" s="225" t="s">
        <v>19452</v>
      </c>
    </row>
    <row r="6470" spans="1:2">
      <c r="A6470" s="225" t="s">
        <v>19453</v>
      </c>
      <c r="B6470" s="225" t="s">
        <v>19454</v>
      </c>
    </row>
    <row r="6471" spans="1:2">
      <c r="A6471" s="225" t="s">
        <v>19455</v>
      </c>
      <c r="B6471" s="225" t="s">
        <v>19456</v>
      </c>
    </row>
    <row r="6472" spans="1:2">
      <c r="A6472" s="225" t="s">
        <v>19457</v>
      </c>
      <c r="B6472" s="225" t="s">
        <v>19458</v>
      </c>
    </row>
    <row r="6473" spans="1:2">
      <c r="A6473" s="225" t="s">
        <v>19459</v>
      </c>
      <c r="B6473" s="225" t="s">
        <v>19460</v>
      </c>
    </row>
    <row r="6474" spans="1:2">
      <c r="A6474" s="225" t="s">
        <v>19461</v>
      </c>
      <c r="B6474" s="225" t="s">
        <v>19462</v>
      </c>
    </row>
    <row r="6475" spans="1:2">
      <c r="A6475" s="225" t="s">
        <v>19463</v>
      </c>
      <c r="B6475" s="225" t="s">
        <v>19464</v>
      </c>
    </row>
    <row r="6476" spans="1:2">
      <c r="A6476" s="225" t="s">
        <v>19465</v>
      </c>
      <c r="B6476" s="225" t="s">
        <v>19466</v>
      </c>
    </row>
    <row r="6477" spans="1:2">
      <c r="A6477" s="225" t="s">
        <v>19467</v>
      </c>
      <c r="B6477" s="225" t="s">
        <v>19468</v>
      </c>
    </row>
    <row r="6478" spans="1:2">
      <c r="A6478" s="225" t="s">
        <v>19469</v>
      </c>
      <c r="B6478" s="225" t="s">
        <v>19470</v>
      </c>
    </row>
    <row r="6479" spans="1:2">
      <c r="A6479" s="225" t="s">
        <v>19471</v>
      </c>
      <c r="B6479" s="225" t="s">
        <v>19472</v>
      </c>
    </row>
    <row r="6480" spans="1:2">
      <c r="A6480" s="225" t="s">
        <v>19473</v>
      </c>
      <c r="B6480" s="225" t="s">
        <v>19474</v>
      </c>
    </row>
    <row r="6481" spans="1:2">
      <c r="A6481" s="225" t="s">
        <v>19475</v>
      </c>
      <c r="B6481" s="225" t="s">
        <v>19476</v>
      </c>
    </row>
    <row r="6482" spans="1:2">
      <c r="A6482" s="225" t="s">
        <v>19477</v>
      </c>
      <c r="B6482" s="225" t="s">
        <v>19478</v>
      </c>
    </row>
    <row r="6483" spans="1:2">
      <c r="A6483" s="225" t="s">
        <v>19479</v>
      </c>
      <c r="B6483" s="225" t="s">
        <v>19480</v>
      </c>
    </row>
    <row r="6484" spans="1:2">
      <c r="A6484" s="225" t="s">
        <v>19481</v>
      </c>
      <c r="B6484" s="225" t="s">
        <v>19482</v>
      </c>
    </row>
    <row r="6485" spans="1:2">
      <c r="A6485" s="225" t="s">
        <v>19483</v>
      </c>
      <c r="B6485" s="225" t="s">
        <v>19484</v>
      </c>
    </row>
    <row r="6486" spans="1:2">
      <c r="A6486" s="225" t="s">
        <v>15380</v>
      </c>
      <c r="B6486" s="225" t="s">
        <v>15381</v>
      </c>
    </row>
    <row r="6487" spans="1:2">
      <c r="A6487" s="225" t="s">
        <v>15382</v>
      </c>
      <c r="B6487" s="225" t="s">
        <v>15383</v>
      </c>
    </row>
    <row r="6488" spans="1:2">
      <c r="A6488" s="225" t="s">
        <v>15384</v>
      </c>
      <c r="B6488" s="225" t="s">
        <v>15381</v>
      </c>
    </row>
    <row r="6489" spans="1:2">
      <c r="A6489" s="225" t="s">
        <v>15385</v>
      </c>
      <c r="B6489" s="225" t="s">
        <v>15383</v>
      </c>
    </row>
    <row r="6490" spans="1:2">
      <c r="A6490" s="225" t="s">
        <v>15386</v>
      </c>
      <c r="B6490" s="225" t="s">
        <v>15381</v>
      </c>
    </row>
    <row r="6491" spans="1:2">
      <c r="A6491" s="225" t="s">
        <v>15387</v>
      </c>
      <c r="B6491" s="225" t="s">
        <v>15388</v>
      </c>
    </row>
    <row r="6492" spans="1:2">
      <c r="A6492" s="225" t="s">
        <v>15389</v>
      </c>
      <c r="B6492" s="225" t="s">
        <v>15388</v>
      </c>
    </row>
    <row r="6493" spans="1:2">
      <c r="A6493" s="225" t="s">
        <v>15390</v>
      </c>
      <c r="B6493" s="225" t="s">
        <v>15391</v>
      </c>
    </row>
    <row r="6494" spans="1:2">
      <c r="A6494" s="225" t="s">
        <v>15392</v>
      </c>
      <c r="B6494" s="225" t="s">
        <v>15391</v>
      </c>
    </row>
    <row r="6495" spans="1:2">
      <c r="A6495" s="225" t="s">
        <v>1650</v>
      </c>
      <c r="B6495" s="225" t="s">
        <v>14885</v>
      </c>
    </row>
    <row r="6496" spans="1:2">
      <c r="A6496" s="225" t="s">
        <v>15393</v>
      </c>
      <c r="B6496" s="225" t="s">
        <v>1651</v>
      </c>
    </row>
    <row r="6497" spans="1:2">
      <c r="A6497" s="225" t="s">
        <v>15394</v>
      </c>
      <c r="B6497" s="225" t="s">
        <v>15395</v>
      </c>
    </row>
    <row r="6498" spans="1:2">
      <c r="A6498" s="225" t="s">
        <v>15263</v>
      </c>
      <c r="B6498" s="225" t="s">
        <v>15395</v>
      </c>
    </row>
    <row r="6499" spans="1:2">
      <c r="A6499" s="225" t="s">
        <v>15396</v>
      </c>
      <c r="B6499" s="225" t="s">
        <v>15397</v>
      </c>
    </row>
    <row r="6500" spans="1:2">
      <c r="A6500" s="225" t="s">
        <v>15398</v>
      </c>
      <c r="B6500" s="225" t="s">
        <v>15397</v>
      </c>
    </row>
    <row r="6501" spans="1:2">
      <c r="A6501" s="225" t="s">
        <v>15399</v>
      </c>
      <c r="B6501" s="225" t="s">
        <v>15400</v>
      </c>
    </row>
    <row r="6502" spans="1:2">
      <c r="A6502" s="225" t="s">
        <v>15401</v>
      </c>
      <c r="B6502" s="225" t="s">
        <v>15400</v>
      </c>
    </row>
    <row r="6503" spans="1:2">
      <c r="A6503" s="225" t="s">
        <v>15402</v>
      </c>
      <c r="B6503" s="225" t="s">
        <v>15403</v>
      </c>
    </row>
    <row r="6504" spans="1:2">
      <c r="A6504" s="225" t="s">
        <v>15404</v>
      </c>
      <c r="B6504" s="225" t="s">
        <v>15403</v>
      </c>
    </row>
    <row r="6505" spans="1:2">
      <c r="A6505" s="225" t="s">
        <v>15405</v>
      </c>
      <c r="B6505" s="225" t="s">
        <v>15406</v>
      </c>
    </row>
    <row r="6506" spans="1:2">
      <c r="A6506" s="225" t="s">
        <v>15407</v>
      </c>
      <c r="B6506" s="225" t="s">
        <v>15406</v>
      </c>
    </row>
    <row r="6507" spans="1:2">
      <c r="A6507" s="225" t="s">
        <v>15408</v>
      </c>
      <c r="B6507" s="225" t="s">
        <v>115</v>
      </c>
    </row>
    <row r="6508" spans="1:2">
      <c r="A6508" s="225" t="s">
        <v>15409</v>
      </c>
      <c r="B6508" s="225" t="s">
        <v>115</v>
      </c>
    </row>
    <row r="6509" spans="1:2">
      <c r="A6509" s="225" t="s">
        <v>1625</v>
      </c>
      <c r="B6509" s="225" t="s">
        <v>15381</v>
      </c>
    </row>
    <row r="6510" spans="1:2">
      <c r="A6510" s="225" t="s">
        <v>1627</v>
      </c>
      <c r="B6510" s="225" t="s">
        <v>15383</v>
      </c>
    </row>
    <row r="6511" spans="1:2">
      <c r="A6511" s="225" t="s">
        <v>1628</v>
      </c>
      <c r="B6511" s="225" t="s">
        <v>15381</v>
      </c>
    </row>
    <row r="6512" spans="1:2">
      <c r="A6512" s="225" t="s">
        <v>15410</v>
      </c>
      <c r="B6512" s="225" t="s">
        <v>15383</v>
      </c>
    </row>
    <row r="6513" spans="1:2">
      <c r="A6513" s="225" t="s">
        <v>15146</v>
      </c>
      <c r="B6513" s="225" t="s">
        <v>15381</v>
      </c>
    </row>
    <row r="6514" spans="1:2">
      <c r="A6514" s="225" t="s">
        <v>1645</v>
      </c>
      <c r="B6514" s="225" t="s">
        <v>15388</v>
      </c>
    </row>
    <row r="6515" spans="1:2">
      <c r="A6515" s="225" t="s">
        <v>15411</v>
      </c>
      <c r="B6515" s="225" t="s">
        <v>15388</v>
      </c>
    </row>
    <row r="6516" spans="1:2">
      <c r="A6516" s="225" t="s">
        <v>1647</v>
      </c>
      <c r="B6516" s="225" t="s">
        <v>15391</v>
      </c>
    </row>
    <row r="6517" spans="1:2">
      <c r="A6517" s="225" t="s">
        <v>15412</v>
      </c>
      <c r="B6517" s="225" t="s">
        <v>15391</v>
      </c>
    </row>
    <row r="6518" spans="1:2">
      <c r="A6518" s="225" t="s">
        <v>1649</v>
      </c>
      <c r="B6518" s="225" t="s">
        <v>14885</v>
      </c>
    </row>
    <row r="6519" spans="1:2">
      <c r="A6519" s="225" t="s">
        <v>15176</v>
      </c>
      <c r="B6519" s="225" t="s">
        <v>1651</v>
      </c>
    </row>
    <row r="6520" spans="1:2">
      <c r="A6520" s="225" t="s">
        <v>15177</v>
      </c>
      <c r="B6520" s="225" t="s">
        <v>1651</v>
      </c>
    </row>
    <row r="6521" spans="1:2">
      <c r="A6521" s="225" t="s">
        <v>15093</v>
      </c>
      <c r="B6521" s="225" t="s">
        <v>15395</v>
      </c>
    </row>
    <row r="6522" spans="1:2">
      <c r="A6522" s="225" t="s">
        <v>15262</v>
      </c>
      <c r="B6522" s="225" t="s">
        <v>15395</v>
      </c>
    </row>
    <row r="6523" spans="1:2">
      <c r="A6523" s="225" t="s">
        <v>15413</v>
      </c>
      <c r="B6523" s="225" t="s">
        <v>15397</v>
      </c>
    </row>
    <row r="6524" spans="1:2">
      <c r="A6524" s="225" t="s">
        <v>15414</v>
      </c>
      <c r="B6524" s="225" t="s">
        <v>15397</v>
      </c>
    </row>
    <row r="6525" spans="1:2">
      <c r="A6525" s="225" t="s">
        <v>15415</v>
      </c>
      <c r="B6525" s="225" t="s">
        <v>15400</v>
      </c>
    </row>
    <row r="6526" spans="1:2">
      <c r="A6526" s="225" t="s">
        <v>15416</v>
      </c>
      <c r="B6526" s="225" t="s">
        <v>15400</v>
      </c>
    </row>
    <row r="6527" spans="1:2">
      <c r="A6527" s="225" t="s">
        <v>15417</v>
      </c>
      <c r="B6527" s="225" t="s">
        <v>15403</v>
      </c>
    </row>
    <row r="6528" spans="1:2">
      <c r="A6528" s="225" t="s">
        <v>15418</v>
      </c>
      <c r="B6528" s="225" t="s">
        <v>15403</v>
      </c>
    </row>
    <row r="6529" spans="1:2">
      <c r="A6529" s="225" t="s">
        <v>15072</v>
      </c>
      <c r="B6529" s="225" t="s">
        <v>15419</v>
      </c>
    </row>
    <row r="6530" spans="1:2">
      <c r="A6530" s="225" t="s">
        <v>15420</v>
      </c>
      <c r="B6530" s="225" t="s">
        <v>15419</v>
      </c>
    </row>
    <row r="6531" spans="1:2">
      <c r="A6531" s="225" t="s">
        <v>15073</v>
      </c>
      <c r="B6531" s="225" t="s">
        <v>15406</v>
      </c>
    </row>
    <row r="6532" spans="1:2">
      <c r="A6532" s="225" t="s">
        <v>15421</v>
      </c>
      <c r="B6532" s="225" t="s">
        <v>15406</v>
      </c>
    </row>
    <row r="6533" spans="1:2">
      <c r="A6533" s="225" t="s">
        <v>15074</v>
      </c>
      <c r="B6533" s="225" t="s">
        <v>115</v>
      </c>
    </row>
    <row r="6534" spans="1:2">
      <c r="A6534" s="225" t="s">
        <v>15422</v>
      </c>
      <c r="B6534" s="225" t="s">
        <v>115</v>
      </c>
    </row>
    <row r="6535" spans="1:2">
      <c r="A6535" s="225" t="s">
        <v>15162</v>
      </c>
      <c r="B6535" s="225" t="s">
        <v>15423</v>
      </c>
    </row>
    <row r="6536" spans="1:2">
      <c r="A6536" s="225" t="s">
        <v>15147</v>
      </c>
      <c r="B6536" s="225" t="s">
        <v>15424</v>
      </c>
    </row>
    <row r="6537" spans="1:2">
      <c r="A6537" s="225" t="s">
        <v>15425</v>
      </c>
      <c r="B6537" s="225" t="s">
        <v>15424</v>
      </c>
    </row>
    <row r="6538" spans="1:2">
      <c r="A6538" s="225" t="s">
        <v>15148</v>
      </c>
      <c r="B6538" s="225" t="s">
        <v>15426</v>
      </c>
    </row>
    <row r="6539" spans="1:2">
      <c r="A6539" s="225" t="s">
        <v>15427</v>
      </c>
      <c r="B6539" s="225" t="s">
        <v>15426</v>
      </c>
    </row>
    <row r="6540" spans="1:2">
      <c r="A6540" s="225" t="s">
        <v>15428</v>
      </c>
      <c r="B6540" s="225" t="s">
        <v>15429</v>
      </c>
    </row>
    <row r="6541" spans="1:2">
      <c r="A6541" s="225" t="s">
        <v>15430</v>
      </c>
      <c r="B6541" s="225" t="s">
        <v>15429</v>
      </c>
    </row>
    <row r="6542" spans="1:2">
      <c r="A6542" s="225" t="s">
        <v>15149</v>
      </c>
      <c r="B6542" s="225" t="s">
        <v>15431</v>
      </c>
    </row>
    <row r="6543" spans="1:2">
      <c r="A6543" s="225" t="s">
        <v>15432</v>
      </c>
      <c r="B6543" s="225" t="s">
        <v>15431</v>
      </c>
    </row>
    <row r="6544" spans="1:2">
      <c r="A6544" s="225" t="s">
        <v>15150</v>
      </c>
      <c r="B6544" s="225" t="s">
        <v>15433</v>
      </c>
    </row>
    <row r="6545" spans="1:2">
      <c r="A6545" s="225" t="s">
        <v>15434</v>
      </c>
      <c r="B6545" s="225" t="s">
        <v>15433</v>
      </c>
    </row>
    <row r="6546" spans="1:2">
      <c r="A6546" s="225" t="s">
        <v>15084</v>
      </c>
      <c r="B6546" s="225" t="s">
        <v>15435</v>
      </c>
    </row>
    <row r="6547" spans="1:2">
      <c r="A6547" s="225" t="s">
        <v>15436</v>
      </c>
      <c r="B6547" s="225" t="s">
        <v>15435</v>
      </c>
    </row>
    <row r="6548" spans="1:2">
      <c r="A6548" s="225" t="s">
        <v>15097</v>
      </c>
      <c r="B6548" s="225" t="s">
        <v>15437</v>
      </c>
    </row>
    <row r="6549" spans="1:2">
      <c r="A6549" s="225" t="s">
        <v>15438</v>
      </c>
      <c r="B6549" s="225" t="s">
        <v>15437</v>
      </c>
    </row>
    <row r="6550" spans="1:2">
      <c r="A6550" s="225" t="s">
        <v>15075</v>
      </c>
      <c r="B6550" s="225" t="s">
        <v>15439</v>
      </c>
    </row>
    <row r="6551" spans="1:2">
      <c r="A6551" s="225" t="s">
        <v>15246</v>
      </c>
      <c r="B6551" s="225" t="s">
        <v>15439</v>
      </c>
    </row>
    <row r="6552" spans="1:2">
      <c r="A6552" s="225" t="s">
        <v>15440</v>
      </c>
      <c r="B6552" s="225" t="s">
        <v>15441</v>
      </c>
    </row>
    <row r="6553" spans="1:2">
      <c r="A6553" s="225" t="s">
        <v>15442</v>
      </c>
      <c r="B6553" s="225" t="s">
        <v>15441</v>
      </c>
    </row>
    <row r="6554" spans="1:2">
      <c r="A6554" s="225" t="s">
        <v>15076</v>
      </c>
      <c r="B6554" s="225" t="s">
        <v>15443</v>
      </c>
    </row>
    <row r="6555" spans="1:2">
      <c r="A6555" s="225" t="s">
        <v>15444</v>
      </c>
      <c r="B6555" s="225" t="s">
        <v>15443</v>
      </c>
    </row>
    <row r="6556" spans="1:2">
      <c r="A6556" s="225" t="s">
        <v>15445</v>
      </c>
      <c r="B6556" s="225" t="s">
        <v>15446</v>
      </c>
    </row>
    <row r="6557" spans="1:2">
      <c r="A6557" s="225" t="s">
        <v>15447</v>
      </c>
      <c r="B6557" s="225" t="s">
        <v>15446</v>
      </c>
    </row>
    <row r="6558" spans="1:2">
      <c r="A6558" s="225" t="s">
        <v>15448</v>
      </c>
      <c r="B6558" s="225" t="s">
        <v>15449</v>
      </c>
    </row>
    <row r="6559" spans="1:2">
      <c r="A6559" s="225" t="s">
        <v>15247</v>
      </c>
      <c r="B6559" s="225" t="s">
        <v>15449</v>
      </c>
    </row>
    <row r="6560" spans="1:2">
      <c r="A6560" s="225" t="s">
        <v>15151</v>
      </c>
      <c r="B6560" s="225" t="s">
        <v>15450</v>
      </c>
    </row>
    <row r="6561" spans="1:2">
      <c r="A6561" s="225" t="s">
        <v>15451</v>
      </c>
      <c r="B6561" s="225" t="s">
        <v>15450</v>
      </c>
    </row>
    <row r="6562" spans="1:2">
      <c r="A6562" s="225" t="s">
        <v>15452</v>
      </c>
      <c r="B6562" s="225" t="s">
        <v>15453</v>
      </c>
    </row>
    <row r="6563" spans="1:2">
      <c r="A6563" s="225" t="s">
        <v>15454</v>
      </c>
      <c r="B6563" s="225" t="s">
        <v>15453</v>
      </c>
    </row>
    <row r="6564" spans="1:2">
      <c r="A6564" s="225" t="s">
        <v>15455</v>
      </c>
      <c r="B6564" s="225" t="s">
        <v>5841</v>
      </c>
    </row>
    <row r="6565" spans="1:2">
      <c r="A6565" s="225" t="s">
        <v>15456</v>
      </c>
      <c r="B6565" s="225" t="s">
        <v>5841</v>
      </c>
    </row>
    <row r="6566" spans="1:2">
      <c r="A6566" s="225" t="s">
        <v>15457</v>
      </c>
      <c r="B6566" s="225" t="s">
        <v>1775</v>
      </c>
    </row>
    <row r="6567" spans="1:2">
      <c r="A6567" s="225" t="s">
        <v>15458</v>
      </c>
      <c r="B6567" s="225" t="s">
        <v>1775</v>
      </c>
    </row>
    <row r="6568" spans="1:2">
      <c r="A6568" s="225" t="s">
        <v>15459</v>
      </c>
      <c r="B6568" s="225" t="s">
        <v>1848</v>
      </c>
    </row>
    <row r="6569" spans="1:2">
      <c r="A6569" s="225" t="s">
        <v>15460</v>
      </c>
      <c r="B6569" s="225" t="s">
        <v>1848</v>
      </c>
    </row>
    <row r="6570" spans="1:2">
      <c r="A6570" s="225" t="s">
        <v>15152</v>
      </c>
      <c r="B6570" s="225" t="s">
        <v>1674</v>
      </c>
    </row>
    <row r="6571" spans="1:2">
      <c r="A6571" s="225" t="s">
        <v>15461</v>
      </c>
      <c r="B6571" s="225" t="s">
        <v>1674</v>
      </c>
    </row>
    <row r="6572" spans="1:2">
      <c r="A6572" s="225" t="s">
        <v>15462</v>
      </c>
      <c r="B6572" s="225" t="s">
        <v>1782</v>
      </c>
    </row>
    <row r="6573" spans="1:2">
      <c r="A6573" s="225" t="s">
        <v>15463</v>
      </c>
      <c r="B6573" s="225" t="s">
        <v>1782</v>
      </c>
    </row>
    <row r="6574" spans="1:2">
      <c r="A6574" s="225" t="s">
        <v>15464</v>
      </c>
      <c r="B6574" s="225" t="s">
        <v>15465</v>
      </c>
    </row>
    <row r="6575" spans="1:2">
      <c r="A6575" s="225" t="s">
        <v>15466</v>
      </c>
      <c r="B6575" s="225" t="s">
        <v>15465</v>
      </c>
    </row>
    <row r="6576" spans="1:2">
      <c r="A6576" s="225" t="s">
        <v>15467</v>
      </c>
      <c r="B6576" s="225" t="s">
        <v>15468</v>
      </c>
    </row>
    <row r="6577" spans="1:2">
      <c r="A6577" s="225" t="s">
        <v>15469</v>
      </c>
      <c r="B6577" s="225" t="s">
        <v>15468</v>
      </c>
    </row>
    <row r="6578" spans="1:2">
      <c r="A6578" s="225" t="s">
        <v>15470</v>
      </c>
      <c r="B6578" s="225" t="s">
        <v>618</v>
      </c>
    </row>
    <row r="6579" spans="1:2">
      <c r="A6579" s="225" t="s">
        <v>15471</v>
      </c>
      <c r="B6579" s="225" t="s">
        <v>618</v>
      </c>
    </row>
    <row r="6580" spans="1:2">
      <c r="A6580" s="225" t="s">
        <v>15090</v>
      </c>
      <c r="B6580" s="225" t="s">
        <v>15472</v>
      </c>
    </row>
    <row r="6581" spans="1:2">
      <c r="A6581" s="225" t="s">
        <v>15091</v>
      </c>
      <c r="B6581" s="225" t="s">
        <v>15473</v>
      </c>
    </row>
    <row r="6582" spans="1:2">
      <c r="A6582" s="225" t="s">
        <v>1681</v>
      </c>
      <c r="B6582" s="225" t="s">
        <v>15474</v>
      </c>
    </row>
    <row r="6583" spans="1:2">
      <c r="A6583" s="225" t="s">
        <v>15475</v>
      </c>
      <c r="B6583" s="225" t="s">
        <v>15474</v>
      </c>
    </row>
    <row r="6584" spans="1:2">
      <c r="A6584" s="225" t="s">
        <v>15175</v>
      </c>
      <c r="B6584" s="225" t="s">
        <v>618</v>
      </c>
    </row>
    <row r="6585" spans="1:2">
      <c r="A6585" s="225" t="s">
        <v>1684</v>
      </c>
      <c r="B6585" s="225" t="s">
        <v>14885</v>
      </c>
    </row>
    <row r="6586" spans="1:2">
      <c r="A6586" s="225" t="s">
        <v>15476</v>
      </c>
      <c r="B6586" s="225" t="s">
        <v>14885</v>
      </c>
    </row>
    <row r="6587" spans="1:2">
      <c r="A6587" s="225" t="s">
        <v>15477</v>
      </c>
      <c r="B6587" s="225" t="s">
        <v>15478</v>
      </c>
    </row>
    <row r="6588" spans="1:2">
      <c r="A6588" s="225" t="s">
        <v>15479</v>
      </c>
      <c r="B6588" s="225" t="s">
        <v>15478</v>
      </c>
    </row>
    <row r="6589" spans="1:2">
      <c r="A6589" s="225" t="s">
        <v>15480</v>
      </c>
      <c r="B6589" s="225" t="s">
        <v>15481</v>
      </c>
    </row>
    <row r="6590" spans="1:2">
      <c r="A6590" s="225" t="s">
        <v>15482</v>
      </c>
      <c r="B6590" s="225" t="s">
        <v>15481</v>
      </c>
    </row>
    <row r="6591" spans="1:2">
      <c r="A6591" s="225" t="s">
        <v>15483</v>
      </c>
      <c r="B6591" s="225" t="s">
        <v>15423</v>
      </c>
    </row>
    <row r="6592" spans="1:2">
      <c r="A6592" s="225" t="s">
        <v>15484</v>
      </c>
      <c r="B6592" s="225" t="s">
        <v>15426</v>
      </c>
    </row>
    <row r="6593" spans="1:2">
      <c r="A6593" s="225" t="s">
        <v>15485</v>
      </c>
      <c r="B6593" s="225" t="s">
        <v>15426</v>
      </c>
    </row>
    <row r="6594" spans="1:2">
      <c r="A6594" s="225" t="s">
        <v>15486</v>
      </c>
      <c r="B6594" s="225" t="s">
        <v>15429</v>
      </c>
    </row>
    <row r="6595" spans="1:2">
      <c r="A6595" s="225" t="s">
        <v>15154</v>
      </c>
      <c r="B6595" s="225" t="s">
        <v>15487</v>
      </c>
    </row>
    <row r="6596" spans="1:2">
      <c r="A6596" s="225" t="s">
        <v>15488</v>
      </c>
      <c r="B6596" s="225" t="s">
        <v>15487</v>
      </c>
    </row>
    <row r="6597" spans="1:2">
      <c r="A6597" s="225" t="s">
        <v>15489</v>
      </c>
      <c r="B6597" s="225" t="s">
        <v>15490</v>
      </c>
    </row>
    <row r="6598" spans="1:2">
      <c r="A6598" s="225" t="s">
        <v>15491</v>
      </c>
      <c r="B6598" s="225" t="s">
        <v>15490</v>
      </c>
    </row>
    <row r="6599" spans="1:2">
      <c r="A6599" s="225" t="s">
        <v>1693</v>
      </c>
      <c r="B6599" s="225" t="s">
        <v>618</v>
      </c>
    </row>
    <row r="6600" spans="1:2">
      <c r="A6600" s="225" t="s">
        <v>15492</v>
      </c>
      <c r="B6600" s="225" t="s">
        <v>618</v>
      </c>
    </row>
    <row r="6601" spans="1:2">
      <c r="A6601" s="225" t="s">
        <v>1694</v>
      </c>
      <c r="B6601" s="225" t="s">
        <v>15493</v>
      </c>
    </row>
    <row r="6602" spans="1:2">
      <c r="A6602" s="225" t="s">
        <v>1695</v>
      </c>
      <c r="B6602" s="225" t="s">
        <v>15493</v>
      </c>
    </row>
    <row r="6603" spans="1:2">
      <c r="A6603" s="225" t="s">
        <v>1697</v>
      </c>
      <c r="B6603" s="225" t="s">
        <v>15494</v>
      </c>
    </row>
    <row r="6604" spans="1:2">
      <c r="A6604" s="225" t="s">
        <v>1699</v>
      </c>
      <c r="B6604" s="225" t="s">
        <v>15494</v>
      </c>
    </row>
    <row r="6605" spans="1:2">
      <c r="A6605" s="225" t="s">
        <v>15495</v>
      </c>
      <c r="B6605" s="225" t="s">
        <v>15496</v>
      </c>
    </row>
    <row r="6606" spans="1:2">
      <c r="A6606" s="225" t="s">
        <v>15497</v>
      </c>
      <c r="B6606" s="225" t="s">
        <v>15496</v>
      </c>
    </row>
    <row r="6607" spans="1:2">
      <c r="A6607" s="225" t="s">
        <v>15077</v>
      </c>
      <c r="B6607" s="225" t="s">
        <v>15498</v>
      </c>
    </row>
    <row r="6608" spans="1:2">
      <c r="A6608" s="225" t="s">
        <v>15499</v>
      </c>
      <c r="B6608" s="225" t="s">
        <v>15498</v>
      </c>
    </row>
    <row r="6609" spans="1:2">
      <c r="A6609" s="225" t="s">
        <v>15500</v>
      </c>
      <c r="B6609" s="225" t="s">
        <v>15501</v>
      </c>
    </row>
    <row r="6610" spans="1:2">
      <c r="A6610" s="225" t="s">
        <v>15502</v>
      </c>
      <c r="B6610" s="225" t="s">
        <v>15501</v>
      </c>
    </row>
    <row r="6611" spans="1:2">
      <c r="A6611" s="225" t="s">
        <v>1698</v>
      </c>
      <c r="B6611" s="225" t="s">
        <v>618</v>
      </c>
    </row>
    <row r="6612" spans="1:2">
      <c r="A6612" s="225" t="s">
        <v>1700</v>
      </c>
      <c r="B6612" s="225" t="s">
        <v>618</v>
      </c>
    </row>
    <row r="6613" spans="1:2">
      <c r="A6613" s="225" t="s">
        <v>15157</v>
      </c>
      <c r="B6613" s="225" t="s">
        <v>15503</v>
      </c>
    </row>
    <row r="6614" spans="1:2">
      <c r="A6614" s="225" t="s">
        <v>15249</v>
      </c>
      <c r="B6614" s="225" t="s">
        <v>15503</v>
      </c>
    </row>
    <row r="6615" spans="1:2">
      <c r="A6615" s="225" t="s">
        <v>15158</v>
      </c>
      <c r="B6615" s="225" t="s">
        <v>15503</v>
      </c>
    </row>
    <row r="6616" spans="1:2">
      <c r="A6616" s="225" t="s">
        <v>15250</v>
      </c>
      <c r="B6616" s="225" t="s">
        <v>15503</v>
      </c>
    </row>
    <row r="6617" spans="1:2">
      <c r="A6617" s="225" t="s">
        <v>15504</v>
      </c>
      <c r="B6617" s="225" t="s">
        <v>15429</v>
      </c>
    </row>
    <row r="6618" spans="1:2">
      <c r="A6618" s="225" t="s">
        <v>15505</v>
      </c>
      <c r="B6618" s="225" t="s">
        <v>15431</v>
      </c>
    </row>
    <row r="6619" spans="1:2">
      <c r="A6619" s="225" t="s">
        <v>15506</v>
      </c>
      <c r="B6619" s="225" t="s">
        <v>15431</v>
      </c>
    </row>
    <row r="6620" spans="1:2">
      <c r="A6620" s="225" t="s">
        <v>15159</v>
      </c>
      <c r="B6620" s="225" t="s">
        <v>15419</v>
      </c>
    </row>
    <row r="6621" spans="1:2">
      <c r="A6621" s="225" t="s">
        <v>15507</v>
      </c>
      <c r="B6621" s="225" t="s">
        <v>15419</v>
      </c>
    </row>
    <row r="6622" spans="1:2">
      <c r="A6622" s="225" t="s">
        <v>15508</v>
      </c>
      <c r="B6622" s="225" t="s">
        <v>14873</v>
      </c>
    </row>
    <row r="6623" spans="1:2">
      <c r="A6623" s="225" t="s">
        <v>15509</v>
      </c>
      <c r="B6623" s="225" t="s">
        <v>14873</v>
      </c>
    </row>
    <row r="6624" spans="1:2">
      <c r="A6624" s="225" t="s">
        <v>15510</v>
      </c>
      <c r="B6624" s="225" t="s">
        <v>15433</v>
      </c>
    </row>
    <row r="6625" spans="1:2">
      <c r="A6625" s="225" t="s">
        <v>15511</v>
      </c>
      <c r="B6625" s="225" t="s">
        <v>15433</v>
      </c>
    </row>
    <row r="6626" spans="1:2">
      <c r="A6626" s="225" t="s">
        <v>15512</v>
      </c>
      <c r="B6626" s="225" t="s">
        <v>15424</v>
      </c>
    </row>
    <row r="6627" spans="1:2">
      <c r="A6627" s="225" t="s">
        <v>15513</v>
      </c>
      <c r="B6627" s="225" t="s">
        <v>15424</v>
      </c>
    </row>
    <row r="6628" spans="1:2">
      <c r="A6628" s="225" t="s">
        <v>15514</v>
      </c>
      <c r="B6628" s="225" t="s">
        <v>15435</v>
      </c>
    </row>
    <row r="6629" spans="1:2">
      <c r="A6629" s="225" t="s">
        <v>15515</v>
      </c>
      <c r="B6629" s="225" t="s">
        <v>15435</v>
      </c>
    </row>
    <row r="6630" spans="1:2">
      <c r="A6630" s="225" t="s">
        <v>15516</v>
      </c>
      <c r="B6630" s="225" t="s">
        <v>15439</v>
      </c>
    </row>
    <row r="6631" spans="1:2">
      <c r="A6631" s="225" t="s">
        <v>15517</v>
      </c>
      <c r="B6631" s="225" t="s">
        <v>15437</v>
      </c>
    </row>
    <row r="6632" spans="1:2">
      <c r="A6632" s="225" t="s">
        <v>15518</v>
      </c>
      <c r="B6632" s="225" t="s">
        <v>15439</v>
      </c>
    </row>
    <row r="6633" spans="1:2">
      <c r="A6633" s="225" t="s">
        <v>15519</v>
      </c>
      <c r="B6633" s="225" t="s">
        <v>15437</v>
      </c>
    </row>
    <row r="6634" spans="1:2">
      <c r="A6634" s="225" t="s">
        <v>15520</v>
      </c>
      <c r="B6634" s="225" t="s">
        <v>15441</v>
      </c>
    </row>
    <row r="6635" spans="1:2">
      <c r="A6635" s="225" t="s">
        <v>15521</v>
      </c>
      <c r="B6635" s="225" t="s">
        <v>15450</v>
      </c>
    </row>
    <row r="6636" spans="1:2">
      <c r="A6636" s="225" t="s">
        <v>15522</v>
      </c>
      <c r="B6636" s="225" t="s">
        <v>15450</v>
      </c>
    </row>
    <row r="6637" spans="1:2">
      <c r="A6637" s="225" t="s">
        <v>15523</v>
      </c>
      <c r="B6637" s="225" t="s">
        <v>15524</v>
      </c>
    </row>
    <row r="6638" spans="1:2">
      <c r="A6638" s="225" t="s">
        <v>15525</v>
      </c>
      <c r="B6638" s="225" t="s">
        <v>15524</v>
      </c>
    </row>
    <row r="6639" spans="1:2">
      <c r="A6639" s="225" t="s">
        <v>15160</v>
      </c>
      <c r="B6639" s="225" t="s">
        <v>15494</v>
      </c>
    </row>
    <row r="6640" spans="1:2">
      <c r="A6640" s="225" t="s">
        <v>1704</v>
      </c>
      <c r="B6640" s="225" t="s">
        <v>15494</v>
      </c>
    </row>
    <row r="6641" spans="1:2">
      <c r="A6641" s="225" t="s">
        <v>15526</v>
      </c>
      <c r="B6641" s="225" t="s">
        <v>15441</v>
      </c>
    </row>
    <row r="6642" spans="1:2">
      <c r="A6642" s="225" t="s">
        <v>15527</v>
      </c>
      <c r="B6642" s="225" t="s">
        <v>15443</v>
      </c>
    </row>
    <row r="6643" spans="1:2">
      <c r="A6643" s="225" t="s">
        <v>15528</v>
      </c>
      <c r="B6643" s="225" t="s">
        <v>15443</v>
      </c>
    </row>
    <row r="6644" spans="1:2">
      <c r="A6644" s="225" t="s">
        <v>15529</v>
      </c>
      <c r="B6644" s="225" t="s">
        <v>15446</v>
      </c>
    </row>
    <row r="6645" spans="1:2">
      <c r="A6645" s="225" t="s">
        <v>15530</v>
      </c>
      <c r="B6645" s="225" t="s">
        <v>15446</v>
      </c>
    </row>
    <row r="6646" spans="1:2">
      <c r="A6646" s="225" t="s">
        <v>15531</v>
      </c>
      <c r="B6646" s="225" t="s">
        <v>15449</v>
      </c>
    </row>
    <row r="6647" spans="1:2">
      <c r="A6647" s="225" t="s">
        <v>15248</v>
      </c>
      <c r="B6647" s="225" t="s">
        <v>15449</v>
      </c>
    </row>
    <row r="6648" spans="1:2">
      <c r="A6648" s="225" t="s">
        <v>15532</v>
      </c>
      <c r="B6648" s="225" t="s">
        <v>15453</v>
      </c>
    </row>
    <row r="6649" spans="1:2">
      <c r="A6649" s="225" t="s">
        <v>15533</v>
      </c>
      <c r="B6649" s="225" t="s">
        <v>15453</v>
      </c>
    </row>
    <row r="6650" spans="1:2">
      <c r="A6650" s="225" t="s">
        <v>15534</v>
      </c>
      <c r="B6650" s="225" t="s">
        <v>5841</v>
      </c>
    </row>
    <row r="6651" spans="1:2">
      <c r="A6651" s="225" t="s">
        <v>15535</v>
      </c>
      <c r="B6651" s="225" t="s">
        <v>15536</v>
      </c>
    </row>
    <row r="6652" spans="1:2">
      <c r="A6652" s="225" t="s">
        <v>15537</v>
      </c>
      <c r="B6652" s="225" t="s">
        <v>15536</v>
      </c>
    </row>
    <row r="6653" spans="1:2">
      <c r="A6653" s="225" t="s">
        <v>15538</v>
      </c>
      <c r="B6653" s="225" t="s">
        <v>5841</v>
      </c>
    </row>
    <row r="6654" spans="1:2">
      <c r="A6654" s="225" t="s">
        <v>15539</v>
      </c>
      <c r="B6654" s="225" t="s">
        <v>1775</v>
      </c>
    </row>
    <row r="6655" spans="1:2">
      <c r="A6655" s="225" t="s">
        <v>15540</v>
      </c>
      <c r="B6655" s="225" t="s">
        <v>1775</v>
      </c>
    </row>
    <row r="6656" spans="1:2">
      <c r="A6656" s="225" t="s">
        <v>15541</v>
      </c>
      <c r="B6656" s="225" t="s">
        <v>1848</v>
      </c>
    </row>
    <row r="6657" spans="1:2">
      <c r="A6657" s="225" t="s">
        <v>15542</v>
      </c>
      <c r="B6657" s="225" t="s">
        <v>1848</v>
      </c>
    </row>
    <row r="6658" spans="1:2">
      <c r="A6658" s="225" t="s">
        <v>15543</v>
      </c>
      <c r="B6658" s="225" t="s">
        <v>1674</v>
      </c>
    </row>
    <row r="6659" spans="1:2">
      <c r="A6659" s="225" t="s">
        <v>15544</v>
      </c>
      <c r="B6659" s="225" t="s">
        <v>1674</v>
      </c>
    </row>
    <row r="6660" spans="1:2">
      <c r="A6660" s="225" t="s">
        <v>15169</v>
      </c>
      <c r="B6660" s="225" t="s">
        <v>15545</v>
      </c>
    </row>
    <row r="6661" spans="1:2">
      <c r="A6661" s="225" t="s">
        <v>15254</v>
      </c>
      <c r="B6661" s="225" t="s">
        <v>15545</v>
      </c>
    </row>
    <row r="6662" spans="1:2">
      <c r="A6662" s="225" t="s">
        <v>15546</v>
      </c>
      <c r="B6662" s="225" t="s">
        <v>1782</v>
      </c>
    </row>
    <row r="6663" spans="1:2">
      <c r="A6663" s="225" t="s">
        <v>15547</v>
      </c>
      <c r="B6663" s="225" t="s">
        <v>1782</v>
      </c>
    </row>
    <row r="6664" spans="1:2">
      <c r="A6664" s="225" t="s">
        <v>15548</v>
      </c>
      <c r="B6664" s="225" t="s">
        <v>15465</v>
      </c>
    </row>
    <row r="6665" spans="1:2">
      <c r="A6665" s="225" t="s">
        <v>15549</v>
      </c>
      <c r="B6665" s="225" t="s">
        <v>15465</v>
      </c>
    </row>
    <row r="6666" spans="1:2">
      <c r="A6666" s="225" t="s">
        <v>15550</v>
      </c>
      <c r="B6666" s="225" t="s">
        <v>15468</v>
      </c>
    </row>
    <row r="6667" spans="1:2">
      <c r="A6667" s="225" t="s">
        <v>15551</v>
      </c>
      <c r="B6667" s="225" t="s">
        <v>15468</v>
      </c>
    </row>
    <row r="6668" spans="1:2">
      <c r="A6668" s="225" t="s">
        <v>15552</v>
      </c>
      <c r="B6668" s="225" t="s">
        <v>618</v>
      </c>
    </row>
    <row r="6669" spans="1:2">
      <c r="A6669" s="225" t="s">
        <v>15553</v>
      </c>
      <c r="B6669" s="225" t="s">
        <v>618</v>
      </c>
    </row>
    <row r="6670" spans="1:2">
      <c r="A6670" s="225" t="s">
        <v>15554</v>
      </c>
      <c r="B6670" s="225" t="s">
        <v>15472</v>
      </c>
    </row>
    <row r="6671" spans="1:2">
      <c r="A6671" s="225" t="s">
        <v>15555</v>
      </c>
      <c r="B6671" s="225" t="s">
        <v>1749</v>
      </c>
    </row>
    <row r="6672" spans="1:2">
      <c r="A6672" s="225" t="s">
        <v>15556</v>
      </c>
      <c r="B6672" s="225" t="s">
        <v>1749</v>
      </c>
    </row>
    <row r="6673" spans="1:2">
      <c r="A6673" s="225" t="s">
        <v>15557</v>
      </c>
      <c r="B6673" s="225" t="s">
        <v>1707</v>
      </c>
    </row>
    <row r="6674" spans="1:2">
      <c r="A6674" s="225" t="s">
        <v>15558</v>
      </c>
      <c r="B6674" s="225" t="s">
        <v>15473</v>
      </c>
    </row>
    <row r="6675" spans="1:2">
      <c r="A6675" s="225" t="s">
        <v>15559</v>
      </c>
      <c r="B6675" s="225" t="s">
        <v>15474</v>
      </c>
    </row>
    <row r="6676" spans="1:2">
      <c r="A6676" s="225" t="s">
        <v>15560</v>
      </c>
      <c r="B6676" s="225" t="s">
        <v>15474</v>
      </c>
    </row>
    <row r="6677" spans="1:2">
      <c r="A6677" s="225" t="s">
        <v>15561</v>
      </c>
      <c r="B6677" s="225" t="s">
        <v>14885</v>
      </c>
    </row>
    <row r="6678" spans="1:2">
      <c r="A6678" s="225" t="s">
        <v>15562</v>
      </c>
      <c r="B6678" s="225" t="s">
        <v>14885</v>
      </c>
    </row>
    <row r="6679" spans="1:2">
      <c r="A6679" s="225" t="s">
        <v>15170</v>
      </c>
      <c r="B6679" s="225" t="s">
        <v>1706</v>
      </c>
    </row>
    <row r="6680" spans="1:2">
      <c r="A6680" s="225" t="s">
        <v>15171</v>
      </c>
      <c r="B6680" s="225" t="s">
        <v>1706</v>
      </c>
    </row>
    <row r="6681" spans="1:2">
      <c r="A6681" s="225" t="s">
        <v>15563</v>
      </c>
      <c r="B6681" s="225" t="s">
        <v>15478</v>
      </c>
    </row>
    <row r="6682" spans="1:2">
      <c r="A6682" s="225" t="s">
        <v>15564</v>
      </c>
      <c r="B6682" s="225" t="s">
        <v>15478</v>
      </c>
    </row>
    <row r="6683" spans="1:2">
      <c r="A6683" s="225" t="s">
        <v>15565</v>
      </c>
      <c r="B6683" s="225" t="s">
        <v>15481</v>
      </c>
    </row>
    <row r="6684" spans="1:2">
      <c r="A6684" s="225" t="s">
        <v>15566</v>
      </c>
      <c r="B6684" s="225" t="s">
        <v>15481</v>
      </c>
    </row>
    <row r="6685" spans="1:2">
      <c r="A6685" s="225" t="s">
        <v>15567</v>
      </c>
      <c r="B6685" s="225" t="s">
        <v>15487</v>
      </c>
    </row>
    <row r="6686" spans="1:2">
      <c r="A6686" s="225" t="s">
        <v>15568</v>
      </c>
      <c r="B6686" s="225" t="s">
        <v>15487</v>
      </c>
    </row>
    <row r="6687" spans="1:2">
      <c r="A6687" s="225" t="s">
        <v>15569</v>
      </c>
      <c r="B6687" s="225" t="s">
        <v>15490</v>
      </c>
    </row>
    <row r="6688" spans="1:2">
      <c r="A6688" s="225" t="s">
        <v>15570</v>
      </c>
      <c r="B6688" s="225" t="s">
        <v>15490</v>
      </c>
    </row>
    <row r="6689" spans="1:2">
      <c r="A6689" s="225" t="s">
        <v>15571</v>
      </c>
      <c r="B6689" s="225" t="s">
        <v>618</v>
      </c>
    </row>
    <row r="6690" spans="1:2">
      <c r="A6690" s="225" t="s">
        <v>15572</v>
      </c>
      <c r="B6690" s="225" t="s">
        <v>618</v>
      </c>
    </row>
    <row r="6691" spans="1:2">
      <c r="A6691" s="225" t="s">
        <v>15573</v>
      </c>
      <c r="B6691" s="225" t="s">
        <v>15493</v>
      </c>
    </row>
    <row r="6692" spans="1:2">
      <c r="A6692" s="225" t="s">
        <v>1696</v>
      </c>
      <c r="B6692" s="225" t="s">
        <v>15493</v>
      </c>
    </row>
    <row r="6693" spans="1:2">
      <c r="A6693" s="225" t="s">
        <v>15574</v>
      </c>
      <c r="B6693" s="225" t="s">
        <v>15496</v>
      </c>
    </row>
    <row r="6694" spans="1:2">
      <c r="A6694" s="225" t="s">
        <v>15575</v>
      </c>
      <c r="B6694" s="225" t="s">
        <v>15496</v>
      </c>
    </row>
    <row r="6695" spans="1:2">
      <c r="A6695" s="225" t="s">
        <v>15576</v>
      </c>
      <c r="B6695" s="225" t="s">
        <v>15498</v>
      </c>
    </row>
    <row r="6696" spans="1:2">
      <c r="A6696" s="225" t="s">
        <v>15577</v>
      </c>
      <c r="B6696" s="225" t="s">
        <v>15498</v>
      </c>
    </row>
    <row r="6697" spans="1:2">
      <c r="A6697" s="225" t="s">
        <v>15578</v>
      </c>
      <c r="B6697" s="225" t="s">
        <v>15501</v>
      </c>
    </row>
    <row r="6698" spans="1:2">
      <c r="A6698" s="225" t="s">
        <v>15579</v>
      </c>
      <c r="B6698" s="225" t="s">
        <v>15501</v>
      </c>
    </row>
    <row r="6699" spans="1:2">
      <c r="A6699" s="225" t="s">
        <v>15580</v>
      </c>
      <c r="B6699" s="225" t="s">
        <v>618</v>
      </c>
    </row>
    <row r="6700" spans="1:2">
      <c r="A6700" s="225" t="s">
        <v>1701</v>
      </c>
      <c r="B6700" s="225" t="s">
        <v>618</v>
      </c>
    </row>
    <row r="6701" spans="1:2">
      <c r="A6701" s="225" t="s">
        <v>15581</v>
      </c>
      <c r="B6701" s="225" t="s">
        <v>15503</v>
      </c>
    </row>
    <row r="6702" spans="1:2">
      <c r="A6702" s="225" t="s">
        <v>15251</v>
      </c>
      <c r="B6702" s="225" t="s">
        <v>15503</v>
      </c>
    </row>
    <row r="6703" spans="1:2">
      <c r="A6703" s="225" t="s">
        <v>15582</v>
      </c>
      <c r="B6703" s="225" t="s">
        <v>15419</v>
      </c>
    </row>
    <row r="6704" spans="1:2">
      <c r="A6704" s="225" t="s">
        <v>15583</v>
      </c>
      <c r="B6704" s="225" t="s">
        <v>15419</v>
      </c>
    </row>
    <row r="6705" spans="1:2">
      <c r="A6705" s="225" t="s">
        <v>15584</v>
      </c>
      <c r="B6705" s="225" t="s">
        <v>14873</v>
      </c>
    </row>
    <row r="6706" spans="1:2">
      <c r="A6706" s="225" t="s">
        <v>15585</v>
      </c>
      <c r="B6706" s="225" t="s">
        <v>14873</v>
      </c>
    </row>
    <row r="6707" spans="1:2">
      <c r="A6707" s="225" t="s">
        <v>15586</v>
      </c>
      <c r="B6707" s="225" t="s">
        <v>15424</v>
      </c>
    </row>
    <row r="6708" spans="1:2">
      <c r="A6708" s="225" t="s">
        <v>15587</v>
      </c>
      <c r="B6708" s="225" t="s">
        <v>15424</v>
      </c>
    </row>
    <row r="6709" spans="1:2">
      <c r="A6709" s="225" t="s">
        <v>15588</v>
      </c>
      <c r="B6709" s="225" t="s">
        <v>15439</v>
      </c>
    </row>
    <row r="6710" spans="1:2">
      <c r="A6710" s="225" t="s">
        <v>15589</v>
      </c>
      <c r="B6710" s="225" t="s">
        <v>15439</v>
      </c>
    </row>
    <row r="6711" spans="1:2">
      <c r="A6711" s="225" t="s">
        <v>15590</v>
      </c>
      <c r="B6711" s="225" t="s">
        <v>15450</v>
      </c>
    </row>
    <row r="6712" spans="1:2">
      <c r="A6712" s="225" t="s">
        <v>15591</v>
      </c>
      <c r="B6712" s="225" t="s">
        <v>15450</v>
      </c>
    </row>
    <row r="6713" spans="1:2">
      <c r="A6713" s="225" t="s">
        <v>15592</v>
      </c>
      <c r="B6713" s="225" t="s">
        <v>15524</v>
      </c>
    </row>
    <row r="6714" spans="1:2">
      <c r="A6714" s="225" t="s">
        <v>15593</v>
      </c>
      <c r="B6714" s="225" t="s">
        <v>15524</v>
      </c>
    </row>
    <row r="6715" spans="1:2">
      <c r="A6715" s="225" t="s">
        <v>15594</v>
      </c>
      <c r="B6715" s="225" t="s">
        <v>15494</v>
      </c>
    </row>
    <row r="6716" spans="1:2">
      <c r="A6716" s="225" t="s">
        <v>1705</v>
      </c>
      <c r="B6716" s="225" t="s">
        <v>15494</v>
      </c>
    </row>
    <row r="6717" spans="1:2">
      <c r="A6717" s="225" t="s">
        <v>15595</v>
      </c>
      <c r="B6717" s="225" t="s">
        <v>15536</v>
      </c>
    </row>
    <row r="6718" spans="1:2">
      <c r="A6718" s="225" t="s">
        <v>15596</v>
      </c>
      <c r="B6718" s="225" t="s">
        <v>15545</v>
      </c>
    </row>
    <row r="6719" spans="1:2">
      <c r="A6719" s="225" t="s">
        <v>15597</v>
      </c>
      <c r="B6719" s="225" t="s">
        <v>1749</v>
      </c>
    </row>
    <row r="6720" spans="1:2">
      <c r="A6720" s="225" t="s">
        <v>15598</v>
      </c>
      <c r="B6720" s="225" t="s">
        <v>1706</v>
      </c>
    </row>
    <row r="6721" spans="1:2">
      <c r="A6721" s="225" t="s">
        <v>1735</v>
      </c>
      <c r="B6721" s="225" t="s">
        <v>618</v>
      </c>
    </row>
    <row r="6722" spans="1:2">
      <c r="A6722" s="225" t="s">
        <v>1739</v>
      </c>
      <c r="B6722" s="225" t="s">
        <v>618</v>
      </c>
    </row>
    <row r="6723" spans="1:2">
      <c r="A6723" s="225" t="s">
        <v>15206</v>
      </c>
      <c r="B6723" s="225" t="s">
        <v>1747</v>
      </c>
    </row>
    <row r="6724" spans="1:2">
      <c r="A6724" s="225" t="s">
        <v>15599</v>
      </c>
      <c r="B6724" s="225" t="s">
        <v>1706</v>
      </c>
    </row>
    <row r="6725" spans="1:2">
      <c r="A6725" s="225" t="s">
        <v>15240</v>
      </c>
      <c r="B6725" s="225" t="s">
        <v>15536</v>
      </c>
    </row>
    <row r="6726" spans="1:2">
      <c r="A6726" s="225" t="s">
        <v>15242</v>
      </c>
      <c r="B6726" s="225" t="s">
        <v>1749</v>
      </c>
    </row>
    <row r="6727" spans="1:2">
      <c r="A6727" s="225" t="s">
        <v>15600</v>
      </c>
      <c r="B6727" s="225" t="s">
        <v>618</v>
      </c>
    </row>
    <row r="6728" spans="1:2">
      <c r="A6728" s="225" t="s">
        <v>15601</v>
      </c>
      <c r="B6728" s="225" t="s">
        <v>1730</v>
      </c>
    </row>
    <row r="6729" spans="1:2">
      <c r="A6729" s="225" t="s">
        <v>15602</v>
      </c>
      <c r="B6729" s="225" t="s">
        <v>1731</v>
      </c>
    </row>
    <row r="6730" spans="1:2">
      <c r="A6730" s="225" t="s">
        <v>15603</v>
      </c>
      <c r="B6730" s="225" t="s">
        <v>618</v>
      </c>
    </row>
    <row r="6731" spans="1:2">
      <c r="A6731" s="225" t="s">
        <v>15604</v>
      </c>
      <c r="B6731" s="225" t="s">
        <v>1740</v>
      </c>
    </row>
    <row r="6732" spans="1:2">
      <c r="A6732" s="225" t="s">
        <v>15605</v>
      </c>
      <c r="B6732" s="225" t="s">
        <v>1747</v>
      </c>
    </row>
    <row r="6733" spans="1:2">
      <c r="A6733" s="225" t="s">
        <v>15606</v>
      </c>
      <c r="B6733" s="225" t="s">
        <v>1706</v>
      </c>
    </row>
    <row r="6734" spans="1:2">
      <c r="A6734" s="225" t="s">
        <v>15241</v>
      </c>
      <c r="B6734" s="225" t="s">
        <v>15536</v>
      </c>
    </row>
    <row r="6735" spans="1:2">
      <c r="A6735" s="225" t="s">
        <v>15607</v>
      </c>
      <c r="B6735" s="225" t="s">
        <v>15536</v>
      </c>
    </row>
    <row r="6736" spans="1:2">
      <c r="A6736" s="225" t="s">
        <v>15608</v>
      </c>
      <c r="B6736" s="225" t="s">
        <v>15536</v>
      </c>
    </row>
    <row r="6737" spans="1:2">
      <c r="A6737" s="225" t="s">
        <v>15243</v>
      </c>
      <c r="B6737" s="225" t="s">
        <v>1749</v>
      </c>
    </row>
    <row r="6738" spans="1:2">
      <c r="A6738" s="225" t="s">
        <v>15609</v>
      </c>
      <c r="B6738" s="225" t="s">
        <v>1730</v>
      </c>
    </row>
    <row r="6739" spans="1:2">
      <c r="A6739" s="225" t="s">
        <v>15610</v>
      </c>
      <c r="B6739" s="225" t="s">
        <v>1731</v>
      </c>
    </row>
    <row r="6740" spans="1:2">
      <c r="A6740" s="225" t="s">
        <v>15611</v>
      </c>
      <c r="B6740" s="225" t="s">
        <v>1740</v>
      </c>
    </row>
    <row r="6741" spans="1:2">
      <c r="A6741" s="225" t="s">
        <v>15208</v>
      </c>
      <c r="B6741" s="225" t="s">
        <v>1727</v>
      </c>
    </row>
    <row r="6742" spans="1:2">
      <c r="A6742" s="225" t="s">
        <v>15100</v>
      </c>
      <c r="B6742" s="225" t="s">
        <v>1730</v>
      </c>
    </row>
    <row r="6743" spans="1:2">
      <c r="A6743" s="225" t="s">
        <v>15212</v>
      </c>
      <c r="B6743" s="225" t="s">
        <v>1730</v>
      </c>
    </row>
    <row r="6744" spans="1:2">
      <c r="A6744" s="225" t="s">
        <v>1763</v>
      </c>
      <c r="B6744" s="225" t="s">
        <v>1731</v>
      </c>
    </row>
    <row r="6745" spans="1:2">
      <c r="A6745" s="225" t="s">
        <v>1765</v>
      </c>
      <c r="B6745" s="225" t="s">
        <v>1736</v>
      </c>
    </row>
    <row r="6746" spans="1:2">
      <c r="A6746" s="225" t="s">
        <v>1767</v>
      </c>
      <c r="B6746" s="225" t="s">
        <v>1740</v>
      </c>
    </row>
    <row r="6747" spans="1:2">
      <c r="A6747" s="225" t="s">
        <v>15612</v>
      </c>
      <c r="B6747" s="225" t="s">
        <v>15613</v>
      </c>
    </row>
    <row r="6748" spans="1:2">
      <c r="A6748" s="225" t="s">
        <v>15214</v>
      </c>
      <c r="B6748" s="225" t="s">
        <v>1740</v>
      </c>
    </row>
    <row r="6749" spans="1:2">
      <c r="A6749" s="225" t="s">
        <v>15215</v>
      </c>
      <c r="B6749" s="225" t="s">
        <v>1744</v>
      </c>
    </row>
    <row r="6750" spans="1:2">
      <c r="A6750" s="225" t="s">
        <v>15218</v>
      </c>
      <c r="B6750" s="225" t="s">
        <v>1747</v>
      </c>
    </row>
    <row r="6751" spans="1:2">
      <c r="A6751" s="225" t="s">
        <v>15614</v>
      </c>
      <c r="B6751" s="225" t="s">
        <v>1706</v>
      </c>
    </row>
    <row r="6752" spans="1:2">
      <c r="A6752" s="225" t="s">
        <v>15615</v>
      </c>
      <c r="B6752" s="225" t="s">
        <v>15613</v>
      </c>
    </row>
    <row r="6753" spans="1:2">
      <c r="A6753" s="225" t="s">
        <v>15616</v>
      </c>
      <c r="B6753" s="225" t="s">
        <v>15613</v>
      </c>
    </row>
    <row r="6754" spans="1:2">
      <c r="A6754" s="225" t="s">
        <v>15617</v>
      </c>
      <c r="B6754" s="225" t="s">
        <v>15613</v>
      </c>
    </row>
    <row r="6755" spans="1:2">
      <c r="A6755" s="225" t="s">
        <v>15618</v>
      </c>
      <c r="B6755" s="225" t="s">
        <v>618</v>
      </c>
    </row>
    <row r="6756" spans="1:2">
      <c r="A6756" s="225" t="s">
        <v>15235</v>
      </c>
      <c r="B6756" s="225" t="s">
        <v>15019</v>
      </c>
    </row>
    <row r="6757" spans="1:2">
      <c r="A6757" s="225" t="s">
        <v>15619</v>
      </c>
      <c r="B6757" s="225" t="s">
        <v>15019</v>
      </c>
    </row>
    <row r="6758" spans="1:2">
      <c r="A6758" s="225" t="s">
        <v>15620</v>
      </c>
      <c r="B6758" s="225" t="s">
        <v>5841</v>
      </c>
    </row>
    <row r="6759" spans="1:2">
      <c r="A6759" s="225" t="s">
        <v>15621</v>
      </c>
      <c r="B6759" s="225" t="s">
        <v>5841</v>
      </c>
    </row>
    <row r="6760" spans="1:2">
      <c r="A6760" s="225" t="s">
        <v>15622</v>
      </c>
      <c r="B6760" s="225" t="s">
        <v>1848</v>
      </c>
    </row>
    <row r="6761" spans="1:2">
      <c r="A6761" s="225" t="s">
        <v>15233</v>
      </c>
      <c r="B6761" s="225" t="s">
        <v>618</v>
      </c>
    </row>
    <row r="6762" spans="1:2">
      <c r="A6762" s="225" t="s">
        <v>15623</v>
      </c>
      <c r="B6762" s="225" t="s">
        <v>1848</v>
      </c>
    </row>
    <row r="6763" spans="1:2">
      <c r="A6763" s="225" t="s">
        <v>15624</v>
      </c>
      <c r="B6763" s="225" t="s">
        <v>1775</v>
      </c>
    </row>
    <row r="6764" spans="1:2">
      <c r="A6764" s="225" t="s">
        <v>15625</v>
      </c>
      <c r="B6764" s="225" t="s">
        <v>1775</v>
      </c>
    </row>
    <row r="6765" spans="1:2">
      <c r="A6765" s="225" t="s">
        <v>15626</v>
      </c>
      <c r="B6765" s="225" t="s">
        <v>15627</v>
      </c>
    </row>
    <row r="6766" spans="1:2">
      <c r="A6766" s="225" t="s">
        <v>15265</v>
      </c>
      <c r="B6766" s="225" t="s">
        <v>15627</v>
      </c>
    </row>
    <row r="6767" spans="1:2">
      <c r="A6767" s="225" t="s">
        <v>15628</v>
      </c>
      <c r="B6767" s="225" t="s">
        <v>1782</v>
      </c>
    </row>
    <row r="6768" spans="1:2">
      <c r="A6768" s="225" t="s">
        <v>15267</v>
      </c>
      <c r="B6768" s="225" t="s">
        <v>1782</v>
      </c>
    </row>
    <row r="6769" spans="1:2">
      <c r="A6769" s="225" t="s">
        <v>15629</v>
      </c>
      <c r="B6769" s="225" t="s">
        <v>15630</v>
      </c>
    </row>
    <row r="6770" spans="1:2">
      <c r="A6770" s="225" t="s">
        <v>15631</v>
      </c>
      <c r="B6770" s="225" t="s">
        <v>15630</v>
      </c>
    </row>
    <row r="6771" spans="1:2">
      <c r="A6771" s="225" t="s">
        <v>15632</v>
      </c>
      <c r="B6771" s="225" t="s">
        <v>15633</v>
      </c>
    </row>
    <row r="6772" spans="1:2">
      <c r="A6772" s="225" t="s">
        <v>15634</v>
      </c>
      <c r="B6772" s="225" t="s">
        <v>15633</v>
      </c>
    </row>
    <row r="6773" spans="1:2">
      <c r="A6773" s="225" t="s">
        <v>15635</v>
      </c>
      <c r="B6773" s="225" t="s">
        <v>1674</v>
      </c>
    </row>
    <row r="6774" spans="1:2">
      <c r="A6774" s="225" t="s">
        <v>15636</v>
      </c>
      <c r="B6774" s="225" t="s">
        <v>1674</v>
      </c>
    </row>
    <row r="6775" spans="1:2">
      <c r="A6775" s="225" t="s">
        <v>15637</v>
      </c>
      <c r="B6775" s="225" t="s">
        <v>1783</v>
      </c>
    </row>
    <row r="6776" spans="1:2">
      <c r="A6776" s="225" t="s">
        <v>15638</v>
      </c>
      <c r="B6776" s="225" t="s">
        <v>1783</v>
      </c>
    </row>
    <row r="6777" spans="1:2">
      <c r="A6777" s="225" t="s">
        <v>15639</v>
      </c>
      <c r="B6777" s="225" t="s">
        <v>15640</v>
      </c>
    </row>
    <row r="6778" spans="1:2">
      <c r="A6778" s="225" t="s">
        <v>1785</v>
      </c>
      <c r="B6778" s="225" t="s">
        <v>15640</v>
      </c>
    </row>
    <row r="6779" spans="1:2">
      <c r="A6779" s="225" t="s">
        <v>15641</v>
      </c>
      <c r="B6779" s="225" t="s">
        <v>618</v>
      </c>
    </row>
    <row r="6780" spans="1:2">
      <c r="A6780" s="225" t="s">
        <v>15642</v>
      </c>
      <c r="B6780" s="225" t="s">
        <v>15019</v>
      </c>
    </row>
    <row r="6781" spans="1:2">
      <c r="A6781" s="225" t="s">
        <v>15643</v>
      </c>
      <c r="B6781" s="225" t="s">
        <v>5841</v>
      </c>
    </row>
    <row r="6782" spans="1:2">
      <c r="A6782" s="225" t="s">
        <v>15644</v>
      </c>
      <c r="B6782" s="225" t="s">
        <v>5841</v>
      </c>
    </row>
    <row r="6783" spans="1:2">
      <c r="A6783" s="225" t="s">
        <v>15645</v>
      </c>
      <c r="B6783" s="225" t="s">
        <v>1848</v>
      </c>
    </row>
    <row r="6784" spans="1:2">
      <c r="A6784" s="225" t="s">
        <v>15646</v>
      </c>
      <c r="B6784" s="225" t="s">
        <v>1848</v>
      </c>
    </row>
    <row r="6785" spans="1:2">
      <c r="A6785" s="225" t="s">
        <v>15178</v>
      </c>
      <c r="B6785" s="225" t="s">
        <v>1775</v>
      </c>
    </row>
    <row r="6786" spans="1:2">
      <c r="A6786" s="225" t="s">
        <v>15647</v>
      </c>
      <c r="B6786" s="225" t="s">
        <v>1775</v>
      </c>
    </row>
    <row r="6787" spans="1:2">
      <c r="A6787" s="225" t="s">
        <v>1778</v>
      </c>
      <c r="B6787" s="225" t="s">
        <v>15627</v>
      </c>
    </row>
    <row r="6788" spans="1:2">
      <c r="A6788" s="225" t="s">
        <v>15648</v>
      </c>
      <c r="B6788" s="225" t="s">
        <v>618</v>
      </c>
    </row>
    <row r="6789" spans="1:2">
      <c r="A6789" s="225" t="s">
        <v>15264</v>
      </c>
      <c r="B6789" s="225" t="s">
        <v>15627</v>
      </c>
    </row>
    <row r="6790" spans="1:2">
      <c r="A6790" s="225" t="s">
        <v>15179</v>
      </c>
      <c r="B6790" s="225" t="s">
        <v>1782</v>
      </c>
    </row>
    <row r="6791" spans="1:2">
      <c r="A6791" s="225" t="s">
        <v>15266</v>
      </c>
      <c r="B6791" s="225" t="s">
        <v>1782</v>
      </c>
    </row>
    <row r="6792" spans="1:2">
      <c r="A6792" s="225" t="s">
        <v>15649</v>
      </c>
      <c r="B6792" s="225" t="s">
        <v>15630</v>
      </c>
    </row>
    <row r="6793" spans="1:2">
      <c r="A6793" s="225" t="s">
        <v>15650</v>
      </c>
      <c r="B6793" s="225" t="s">
        <v>15630</v>
      </c>
    </row>
    <row r="6794" spans="1:2">
      <c r="A6794" s="225" t="s">
        <v>15094</v>
      </c>
      <c r="B6794" s="225" t="s">
        <v>15633</v>
      </c>
    </row>
    <row r="6795" spans="1:2">
      <c r="A6795" s="225" t="s">
        <v>15651</v>
      </c>
      <c r="B6795" s="225" t="s">
        <v>15633</v>
      </c>
    </row>
    <row r="6796" spans="1:2">
      <c r="A6796" s="225" t="s">
        <v>15652</v>
      </c>
      <c r="B6796" s="225" t="s">
        <v>15653</v>
      </c>
    </row>
    <row r="6797" spans="1:2">
      <c r="A6797" s="225" t="s">
        <v>15654</v>
      </c>
      <c r="B6797" s="225" t="s">
        <v>15653</v>
      </c>
    </row>
    <row r="6798" spans="1:2">
      <c r="A6798" s="225" t="s">
        <v>15180</v>
      </c>
      <c r="B6798" s="225" t="s">
        <v>1674</v>
      </c>
    </row>
    <row r="6799" spans="1:2">
      <c r="A6799" s="225" t="s">
        <v>15655</v>
      </c>
      <c r="B6799" s="225" t="s">
        <v>15656</v>
      </c>
    </row>
    <row r="6800" spans="1:2">
      <c r="A6800" s="225" t="s">
        <v>15657</v>
      </c>
      <c r="B6800" s="225" t="s">
        <v>1674</v>
      </c>
    </row>
    <row r="6801" spans="1:2">
      <c r="A6801" s="225" t="s">
        <v>15658</v>
      </c>
      <c r="B6801" s="225" t="s">
        <v>15656</v>
      </c>
    </row>
    <row r="6802" spans="1:2">
      <c r="A6802" s="225" t="s">
        <v>15659</v>
      </c>
      <c r="B6802" s="225" t="s">
        <v>15660</v>
      </c>
    </row>
    <row r="6803" spans="1:2">
      <c r="A6803" s="225" t="s">
        <v>15661</v>
      </c>
      <c r="B6803" s="225" t="s">
        <v>15660</v>
      </c>
    </row>
    <row r="6804" spans="1:2">
      <c r="A6804" s="225" t="s">
        <v>15662</v>
      </c>
      <c r="B6804" s="225" t="s">
        <v>15663</v>
      </c>
    </row>
    <row r="6805" spans="1:2">
      <c r="A6805" s="225" t="s">
        <v>15664</v>
      </c>
      <c r="B6805" s="225" t="s">
        <v>15663</v>
      </c>
    </row>
    <row r="6806" spans="1:2">
      <c r="A6806" s="225" t="s">
        <v>15665</v>
      </c>
      <c r="B6806" s="225" t="s">
        <v>15666</v>
      </c>
    </row>
    <row r="6807" spans="1:2">
      <c r="A6807" s="225" t="s">
        <v>15181</v>
      </c>
      <c r="B6807" s="225" t="s">
        <v>1783</v>
      </c>
    </row>
    <row r="6808" spans="1:2">
      <c r="A6808" s="225" t="s">
        <v>15667</v>
      </c>
      <c r="B6808" s="225" t="s">
        <v>1783</v>
      </c>
    </row>
    <row r="6809" spans="1:2">
      <c r="A6809" s="225" t="s">
        <v>15182</v>
      </c>
      <c r="B6809" s="225" t="s">
        <v>15640</v>
      </c>
    </row>
    <row r="6810" spans="1:2">
      <c r="A6810" s="225" t="s">
        <v>1784</v>
      </c>
      <c r="B6810" s="225" t="s">
        <v>15640</v>
      </c>
    </row>
    <row r="6811" spans="1:2">
      <c r="A6811" s="225" t="s">
        <v>1786</v>
      </c>
      <c r="B6811" s="225" t="s">
        <v>618</v>
      </c>
    </row>
    <row r="6812" spans="1:2">
      <c r="A6812" s="225" t="s">
        <v>15668</v>
      </c>
      <c r="B6812" s="225" t="s">
        <v>618</v>
      </c>
    </row>
    <row r="6813" spans="1:2">
      <c r="A6813" s="225" t="s">
        <v>15669</v>
      </c>
      <c r="B6813" s="225" t="s">
        <v>15666</v>
      </c>
    </row>
    <row r="6814" spans="1:2">
      <c r="A6814" s="225" t="s">
        <v>15670</v>
      </c>
      <c r="B6814" s="225" t="s">
        <v>15653</v>
      </c>
    </row>
    <row r="6815" spans="1:2">
      <c r="A6815" s="225" t="s">
        <v>15671</v>
      </c>
      <c r="B6815" s="225" t="s">
        <v>15653</v>
      </c>
    </row>
    <row r="6816" spans="1:2">
      <c r="A6816" s="225" t="s">
        <v>15672</v>
      </c>
      <c r="B6816" s="225" t="s">
        <v>15673</v>
      </c>
    </row>
    <row r="6817" spans="1:2">
      <c r="A6817" s="225" t="s">
        <v>15674</v>
      </c>
      <c r="B6817" s="225" t="s">
        <v>15673</v>
      </c>
    </row>
    <row r="6818" spans="1:2">
      <c r="A6818" s="225" t="s">
        <v>15675</v>
      </c>
      <c r="B6818" s="225" t="s">
        <v>15676</v>
      </c>
    </row>
    <row r="6819" spans="1:2">
      <c r="A6819" s="225" t="s">
        <v>15677</v>
      </c>
      <c r="B6819" s="225" t="s">
        <v>15656</v>
      </c>
    </row>
    <row r="6820" spans="1:2">
      <c r="A6820" s="225" t="s">
        <v>15678</v>
      </c>
      <c r="B6820" s="225" t="s">
        <v>15656</v>
      </c>
    </row>
    <row r="6821" spans="1:2">
      <c r="A6821" s="225" t="s">
        <v>15184</v>
      </c>
      <c r="B6821" s="225" t="s">
        <v>15660</v>
      </c>
    </row>
    <row r="6822" spans="1:2">
      <c r="A6822" s="225" t="s">
        <v>15270</v>
      </c>
      <c r="B6822" s="225" t="s">
        <v>15660</v>
      </c>
    </row>
    <row r="6823" spans="1:2">
      <c r="A6823" s="225" t="s">
        <v>15679</v>
      </c>
      <c r="B6823" s="225" t="s">
        <v>15676</v>
      </c>
    </row>
    <row r="6824" spans="1:2">
      <c r="A6824" s="225" t="s">
        <v>15680</v>
      </c>
      <c r="B6824" s="225" t="s">
        <v>15663</v>
      </c>
    </row>
    <row r="6825" spans="1:2">
      <c r="A6825" s="225" t="s">
        <v>15681</v>
      </c>
      <c r="B6825" s="225" t="s">
        <v>618</v>
      </c>
    </row>
    <row r="6826" spans="1:2">
      <c r="A6826" s="225" t="s">
        <v>15682</v>
      </c>
      <c r="B6826" s="225" t="s">
        <v>618</v>
      </c>
    </row>
    <row r="6827" spans="1:2">
      <c r="A6827" s="225" t="s">
        <v>15683</v>
      </c>
      <c r="B6827" s="225" t="s">
        <v>15684</v>
      </c>
    </row>
    <row r="6828" spans="1:2">
      <c r="A6828" s="225" t="s">
        <v>15685</v>
      </c>
      <c r="B6828" s="225" t="s">
        <v>15684</v>
      </c>
    </row>
    <row r="6829" spans="1:2">
      <c r="A6829" s="225" t="s">
        <v>15686</v>
      </c>
      <c r="B6829" s="225" t="s">
        <v>15687</v>
      </c>
    </row>
    <row r="6830" spans="1:2">
      <c r="A6830" s="225" t="s">
        <v>15688</v>
      </c>
      <c r="B6830" s="225" t="s">
        <v>15687</v>
      </c>
    </row>
    <row r="6831" spans="1:2">
      <c r="A6831" s="225" t="s">
        <v>15689</v>
      </c>
      <c r="B6831" s="225" t="s">
        <v>15690</v>
      </c>
    </row>
    <row r="6832" spans="1:2">
      <c r="A6832" s="225" t="s">
        <v>15691</v>
      </c>
      <c r="B6832" s="225" t="s">
        <v>15690</v>
      </c>
    </row>
    <row r="6833" spans="1:2">
      <c r="A6833" s="225" t="s">
        <v>15098</v>
      </c>
      <c r="B6833" s="225" t="s">
        <v>15663</v>
      </c>
    </row>
    <row r="6834" spans="1:2">
      <c r="A6834" s="225" t="s">
        <v>15692</v>
      </c>
      <c r="B6834" s="225" t="s">
        <v>15666</v>
      </c>
    </row>
    <row r="6835" spans="1:2">
      <c r="A6835" s="225" t="s">
        <v>15693</v>
      </c>
      <c r="B6835" s="225" t="s">
        <v>15666</v>
      </c>
    </row>
    <row r="6836" spans="1:2">
      <c r="A6836" s="225" t="s">
        <v>15694</v>
      </c>
      <c r="B6836" s="225" t="s">
        <v>15673</v>
      </c>
    </row>
    <row r="6837" spans="1:2">
      <c r="A6837" s="225" t="s">
        <v>15695</v>
      </c>
      <c r="B6837" s="225" t="s">
        <v>15673</v>
      </c>
    </row>
    <row r="6838" spans="1:2">
      <c r="A6838" s="225" t="s">
        <v>15696</v>
      </c>
      <c r="B6838" s="225" t="s">
        <v>15676</v>
      </c>
    </row>
    <row r="6839" spans="1:2">
      <c r="A6839" s="225" t="s">
        <v>15697</v>
      </c>
      <c r="B6839" s="225" t="s">
        <v>15676</v>
      </c>
    </row>
    <row r="6840" spans="1:2">
      <c r="A6840" s="225" t="s">
        <v>15698</v>
      </c>
      <c r="B6840" s="225" t="s">
        <v>618</v>
      </c>
    </row>
    <row r="6841" spans="1:2">
      <c r="A6841" s="225" t="s">
        <v>15699</v>
      </c>
      <c r="B6841" s="225" t="s">
        <v>618</v>
      </c>
    </row>
    <row r="6842" spans="1:2">
      <c r="A6842" s="225" t="s">
        <v>15700</v>
      </c>
      <c r="B6842" s="225" t="s">
        <v>15684</v>
      </c>
    </row>
    <row r="6843" spans="1:2">
      <c r="A6843" s="225" t="s">
        <v>15701</v>
      </c>
      <c r="B6843" s="225" t="s">
        <v>15684</v>
      </c>
    </row>
    <row r="6844" spans="1:2">
      <c r="A6844" s="225" t="s">
        <v>15702</v>
      </c>
      <c r="B6844" s="225" t="s">
        <v>15687</v>
      </c>
    </row>
    <row r="6845" spans="1:2">
      <c r="A6845" s="225" t="s">
        <v>15703</v>
      </c>
      <c r="B6845" s="225" t="s">
        <v>15687</v>
      </c>
    </row>
    <row r="6846" spans="1:2">
      <c r="A6846" s="225" t="s">
        <v>15704</v>
      </c>
      <c r="B6846" s="225" t="s">
        <v>15690</v>
      </c>
    </row>
    <row r="6847" spans="1:2">
      <c r="A6847" s="225" t="s">
        <v>15705</v>
      </c>
      <c r="B6847" s="225" t="s">
        <v>15706</v>
      </c>
    </row>
    <row r="6848" spans="1:2">
      <c r="A6848" s="225" t="s">
        <v>15707</v>
      </c>
      <c r="B6848" s="225" t="s">
        <v>15708</v>
      </c>
    </row>
    <row r="6849" spans="1:2">
      <c r="A6849" s="225" t="s">
        <v>15275</v>
      </c>
      <c r="B6849" s="225" t="s">
        <v>618</v>
      </c>
    </row>
    <row r="6850" spans="1:2">
      <c r="A6850" s="225" t="s">
        <v>15709</v>
      </c>
      <c r="B6850" s="225" t="s">
        <v>15710</v>
      </c>
    </row>
    <row r="6851" spans="1:2">
      <c r="A6851" s="225" t="s">
        <v>15711</v>
      </c>
      <c r="B6851" s="225" t="s">
        <v>15690</v>
      </c>
    </row>
    <row r="6852" spans="1:2">
      <c r="A6852" s="225" t="s">
        <v>15712</v>
      </c>
      <c r="B6852" s="225" t="s">
        <v>15690</v>
      </c>
    </row>
    <row r="6853" spans="1:2">
      <c r="A6853" s="225" t="s">
        <v>15713</v>
      </c>
      <c r="B6853" s="225" t="s">
        <v>15690</v>
      </c>
    </row>
    <row r="6854" spans="1:2">
      <c r="A6854" s="225" t="s">
        <v>15273</v>
      </c>
      <c r="B6854" s="225" t="s">
        <v>15710</v>
      </c>
    </row>
    <row r="6855" spans="1:2">
      <c r="A6855" s="225" t="s">
        <v>15198</v>
      </c>
      <c r="B6855" s="225" t="s">
        <v>15706</v>
      </c>
    </row>
    <row r="6856" spans="1:2">
      <c r="A6856" s="225" t="s">
        <v>15714</v>
      </c>
      <c r="B6856" s="225" t="s">
        <v>15708</v>
      </c>
    </row>
    <row r="6857" spans="1:2">
      <c r="A6857" s="225" t="s">
        <v>15274</v>
      </c>
      <c r="B6857" s="225" t="s">
        <v>618</v>
      </c>
    </row>
    <row r="6858" spans="1:2">
      <c r="A6858" s="225" t="s">
        <v>1979</v>
      </c>
      <c r="B6858" s="225" t="s">
        <v>15373</v>
      </c>
    </row>
    <row r="6859" spans="1:2">
      <c r="A6859" s="225" t="s">
        <v>15719</v>
      </c>
      <c r="B6859" s="225" t="s">
        <v>15720</v>
      </c>
    </row>
    <row r="6860" spans="1:2">
      <c r="A6860" s="225" t="s">
        <v>15725</v>
      </c>
      <c r="B6860" s="225" t="s">
        <v>15726</v>
      </c>
    </row>
    <row r="6861" spans="1:2">
      <c r="A6861" s="225" t="s">
        <v>15743</v>
      </c>
      <c r="B6861" s="225" t="s">
        <v>1665</v>
      </c>
    </row>
    <row r="6862" spans="1:2">
      <c r="A6862" s="225" t="s">
        <v>1668</v>
      </c>
      <c r="B6862" s="225" t="s">
        <v>1665</v>
      </c>
    </row>
    <row r="6863" spans="1:2">
      <c r="A6863" s="225" t="s">
        <v>1626</v>
      </c>
      <c r="B6863" s="225" t="s">
        <v>15720</v>
      </c>
    </row>
    <row r="6864" spans="1:2">
      <c r="A6864" s="225" t="s">
        <v>1630</v>
      </c>
      <c r="B6864" s="225" t="s">
        <v>15720</v>
      </c>
    </row>
    <row r="6865" spans="1:2">
      <c r="A6865" s="225" t="s">
        <v>15760</v>
      </c>
      <c r="B6865" s="225" t="s">
        <v>15726</v>
      </c>
    </row>
    <row r="6866" spans="1:2">
      <c r="A6866" s="225" t="s">
        <v>15761</v>
      </c>
      <c r="B6866" s="225" t="s">
        <v>15726</v>
      </c>
    </row>
    <row r="6867" spans="1:2">
      <c r="A6867" s="225" t="s">
        <v>1666</v>
      </c>
      <c r="B6867" s="225" t="s">
        <v>1665</v>
      </c>
    </row>
    <row r="6868" spans="1:2">
      <c r="A6868" s="225" t="s">
        <v>1667</v>
      </c>
      <c r="B6868" s="225" t="s">
        <v>1665</v>
      </c>
    </row>
    <row r="6869" spans="1:2">
      <c r="A6869" s="225" t="s">
        <v>15153</v>
      </c>
      <c r="B6869" s="225" t="s">
        <v>15794</v>
      </c>
    </row>
    <row r="6870" spans="1:2">
      <c r="A6870" s="225" t="s">
        <v>15795</v>
      </c>
      <c r="B6870" s="225" t="s">
        <v>15794</v>
      </c>
    </row>
    <row r="6871" spans="1:2">
      <c r="A6871" s="225" t="s">
        <v>15796</v>
      </c>
      <c r="B6871" s="225" t="s">
        <v>15797</v>
      </c>
    </row>
    <row r="6872" spans="1:2">
      <c r="A6872" s="225" t="s">
        <v>15798</v>
      </c>
      <c r="B6872" s="225" t="s">
        <v>15797</v>
      </c>
    </row>
    <row r="6873" spans="1:2">
      <c r="A6873" s="225" t="s">
        <v>1686</v>
      </c>
      <c r="B6873" s="225" t="s">
        <v>15800</v>
      </c>
    </row>
    <row r="6874" spans="1:2">
      <c r="A6874" s="225" t="s">
        <v>1688</v>
      </c>
      <c r="B6874" s="225" t="s">
        <v>15800</v>
      </c>
    </row>
    <row r="6875" spans="1:2">
      <c r="A6875" s="225" t="s">
        <v>1690</v>
      </c>
      <c r="B6875" s="225" t="s">
        <v>15801</v>
      </c>
    </row>
    <row r="6876" spans="1:2">
      <c r="A6876" s="225" t="s">
        <v>1691</v>
      </c>
      <c r="B6876" s="225" t="s">
        <v>15801</v>
      </c>
    </row>
    <row r="6877" spans="1:2">
      <c r="A6877" s="225" t="s">
        <v>15156</v>
      </c>
      <c r="B6877" s="225" t="s">
        <v>15804</v>
      </c>
    </row>
    <row r="6878" spans="1:2">
      <c r="A6878" s="225" t="s">
        <v>15805</v>
      </c>
      <c r="B6878" s="225" t="s">
        <v>15804</v>
      </c>
    </row>
    <row r="6879" spans="1:2">
      <c r="A6879" s="225" t="s">
        <v>15806</v>
      </c>
      <c r="B6879" s="225" t="s">
        <v>15807</v>
      </c>
    </row>
    <row r="6880" spans="1:2">
      <c r="A6880" s="225" t="s">
        <v>15808</v>
      </c>
      <c r="B6880" s="225" t="s">
        <v>15807</v>
      </c>
    </row>
    <row r="6881" spans="1:2">
      <c r="A6881" s="225" t="s">
        <v>15812</v>
      </c>
      <c r="B6881" s="225" t="s">
        <v>15726</v>
      </c>
    </row>
    <row r="6882" spans="1:2">
      <c r="A6882" s="225" t="s">
        <v>15816</v>
      </c>
      <c r="B6882" s="225" t="s">
        <v>15817</v>
      </c>
    </row>
    <row r="6883" spans="1:2">
      <c r="A6883" s="225" t="s">
        <v>15818</v>
      </c>
      <c r="B6883" s="225" t="s">
        <v>15817</v>
      </c>
    </row>
    <row r="6884" spans="1:2">
      <c r="A6884" s="225" t="s">
        <v>15819</v>
      </c>
      <c r="B6884" s="225" t="s">
        <v>15820</v>
      </c>
    </row>
    <row r="6885" spans="1:2">
      <c r="A6885" s="225" t="s">
        <v>15821</v>
      </c>
      <c r="B6885" s="225" t="s">
        <v>15820</v>
      </c>
    </row>
    <row r="6886" spans="1:2">
      <c r="A6886" s="225" t="s">
        <v>15825</v>
      </c>
      <c r="B6886" s="225" t="s">
        <v>15826</v>
      </c>
    </row>
    <row r="6887" spans="1:2">
      <c r="A6887" s="225" t="s">
        <v>15827</v>
      </c>
      <c r="B6887" s="225" t="s">
        <v>15826</v>
      </c>
    </row>
    <row r="6888" spans="1:2">
      <c r="A6888" s="225" t="s">
        <v>15855</v>
      </c>
      <c r="B6888" s="225" t="s">
        <v>15794</v>
      </c>
    </row>
    <row r="6889" spans="1:2">
      <c r="A6889" s="225" t="s">
        <v>15856</v>
      </c>
      <c r="B6889" s="225" t="s">
        <v>15794</v>
      </c>
    </row>
    <row r="6890" spans="1:2">
      <c r="A6890" s="225" t="s">
        <v>15857</v>
      </c>
      <c r="B6890" s="225" t="s">
        <v>15797</v>
      </c>
    </row>
    <row r="6891" spans="1:2">
      <c r="A6891" s="225" t="s">
        <v>15858</v>
      </c>
      <c r="B6891" s="225" t="s">
        <v>15797</v>
      </c>
    </row>
    <row r="6892" spans="1:2">
      <c r="A6892" s="225" t="s">
        <v>15859</v>
      </c>
      <c r="B6892" s="225" t="s">
        <v>15800</v>
      </c>
    </row>
    <row r="6893" spans="1:2">
      <c r="A6893" s="225" t="s">
        <v>1689</v>
      </c>
      <c r="B6893" s="225" t="s">
        <v>15800</v>
      </c>
    </row>
    <row r="6894" spans="1:2">
      <c r="A6894" s="225" t="s">
        <v>15860</v>
      </c>
      <c r="B6894" s="225" t="s">
        <v>15801</v>
      </c>
    </row>
    <row r="6895" spans="1:2">
      <c r="A6895" s="225" t="s">
        <v>1692</v>
      </c>
      <c r="B6895" s="225" t="s">
        <v>15801</v>
      </c>
    </row>
    <row r="6896" spans="1:2">
      <c r="A6896" s="225" t="s">
        <v>15081</v>
      </c>
      <c r="B6896" s="225" t="s">
        <v>15861</v>
      </c>
    </row>
    <row r="6897" spans="1:2">
      <c r="A6897" s="225" t="s">
        <v>15082</v>
      </c>
      <c r="B6897" s="225" t="s">
        <v>15861</v>
      </c>
    </row>
    <row r="6898" spans="1:2">
      <c r="A6898" s="225" t="s">
        <v>15868</v>
      </c>
      <c r="B6898" s="225" t="s">
        <v>15804</v>
      </c>
    </row>
    <row r="6899" spans="1:2">
      <c r="A6899" s="225" t="s">
        <v>15869</v>
      </c>
      <c r="B6899" s="225" t="s">
        <v>15804</v>
      </c>
    </row>
    <row r="6900" spans="1:2">
      <c r="A6900" s="225" t="s">
        <v>15870</v>
      </c>
      <c r="B6900" s="225" t="s">
        <v>15807</v>
      </c>
    </row>
    <row r="6901" spans="1:2">
      <c r="A6901" s="225" t="s">
        <v>15871</v>
      </c>
      <c r="B6901" s="225" t="s">
        <v>15807</v>
      </c>
    </row>
    <row r="6902" spans="1:2">
      <c r="A6902" s="225" t="s">
        <v>15187</v>
      </c>
      <c r="B6902" s="225" t="s">
        <v>15874</v>
      </c>
    </row>
    <row r="6903" spans="1:2">
      <c r="A6903" s="225" t="s">
        <v>15188</v>
      </c>
      <c r="B6903" s="225" t="s">
        <v>15874</v>
      </c>
    </row>
    <row r="6904" spans="1:2">
      <c r="A6904" s="225" t="s">
        <v>15887</v>
      </c>
      <c r="B6904" s="225" t="s">
        <v>15817</v>
      </c>
    </row>
    <row r="6905" spans="1:2">
      <c r="A6905" s="225" t="s">
        <v>15888</v>
      </c>
      <c r="B6905" s="225" t="s">
        <v>15820</v>
      </c>
    </row>
    <row r="6906" spans="1:2">
      <c r="A6906" s="225" t="s">
        <v>15891</v>
      </c>
      <c r="B6906" s="225" t="s">
        <v>15826</v>
      </c>
    </row>
    <row r="6907" spans="1:2">
      <c r="A6907" s="225" t="s">
        <v>15255</v>
      </c>
      <c r="B6907" s="225" t="s">
        <v>15545</v>
      </c>
    </row>
    <row r="6908" spans="1:2">
      <c r="A6908" s="225" t="s">
        <v>16096</v>
      </c>
      <c r="B6908" s="225" t="s">
        <v>15017</v>
      </c>
    </row>
    <row r="6909" spans="1:2">
      <c r="A6909" s="225" t="s">
        <v>1772</v>
      </c>
      <c r="B6909" s="225" t="s">
        <v>15017</v>
      </c>
    </row>
    <row r="6910" spans="1:2">
      <c r="A6910" s="225" t="s">
        <v>16112</v>
      </c>
      <c r="B6910" s="225" t="s">
        <v>15012</v>
      </c>
    </row>
    <row r="6911" spans="1:2">
      <c r="A6911" s="225" t="s">
        <v>1788</v>
      </c>
      <c r="B6911" s="225" t="s">
        <v>15012</v>
      </c>
    </row>
    <row r="6912" spans="1:2">
      <c r="A6912" s="225" t="s">
        <v>16113</v>
      </c>
      <c r="B6912" s="225" t="s">
        <v>16114</v>
      </c>
    </row>
    <row r="6913" spans="1:2">
      <c r="A6913" s="225" t="s">
        <v>16115</v>
      </c>
      <c r="B6913" s="225" t="s">
        <v>16114</v>
      </c>
    </row>
    <row r="6914" spans="1:2">
      <c r="A6914" s="225" t="s">
        <v>16120</v>
      </c>
      <c r="B6914" s="225" t="s">
        <v>16121</v>
      </c>
    </row>
    <row r="6915" spans="1:2">
      <c r="A6915" s="225" t="s">
        <v>16122</v>
      </c>
      <c r="B6915" s="225" t="s">
        <v>16121</v>
      </c>
    </row>
    <row r="6916" spans="1:2">
      <c r="A6916" s="225" t="s">
        <v>16123</v>
      </c>
      <c r="B6916" s="225" t="s">
        <v>15012</v>
      </c>
    </row>
    <row r="6917" spans="1:2">
      <c r="A6917" s="225" t="s">
        <v>16124</v>
      </c>
      <c r="B6917" s="225" t="s">
        <v>16114</v>
      </c>
    </row>
    <row r="6918" spans="1:2">
      <c r="A6918" s="225" t="s">
        <v>16125</v>
      </c>
      <c r="B6918" s="225" t="s">
        <v>16114</v>
      </c>
    </row>
    <row r="6919" spans="1:2">
      <c r="A6919" s="225" t="s">
        <v>16143</v>
      </c>
      <c r="B6919" s="225" t="s">
        <v>15874</v>
      </c>
    </row>
    <row r="6920" spans="1:2">
      <c r="A6920" s="225" t="s">
        <v>16146</v>
      </c>
      <c r="B6920" s="225" t="s">
        <v>16121</v>
      </c>
    </row>
    <row r="6921" spans="1:2">
      <c r="A6921" s="225" t="s">
        <v>16147</v>
      </c>
      <c r="B6921" s="225" t="s">
        <v>16121</v>
      </c>
    </row>
    <row r="6922" spans="1:2">
      <c r="A6922" s="225" t="s">
        <v>1927</v>
      </c>
      <c r="B6922" s="225" t="s">
        <v>16185</v>
      </c>
    </row>
    <row r="6923" spans="1:2">
      <c r="A6923" s="225" t="s">
        <v>16186</v>
      </c>
      <c r="B6923" s="225" t="s">
        <v>16185</v>
      </c>
    </row>
    <row r="6924" spans="1:2">
      <c r="A6924" s="225" t="s">
        <v>1926</v>
      </c>
      <c r="B6924" s="225" t="s">
        <v>16185</v>
      </c>
    </row>
    <row r="6925" spans="1:2">
      <c r="A6925" s="225" t="s">
        <v>16192</v>
      </c>
      <c r="B6925" s="225" t="s">
        <v>16193</v>
      </c>
    </row>
    <row r="6926" spans="1:2">
      <c r="A6926" s="225" t="s">
        <v>1834</v>
      </c>
      <c r="B6926" s="225" t="s">
        <v>16193</v>
      </c>
    </row>
    <row r="6927" spans="1:2">
      <c r="A6927" s="225" t="s">
        <v>16198</v>
      </c>
      <c r="B6927" s="225" t="s">
        <v>15423</v>
      </c>
    </row>
    <row r="6928" spans="1:2">
      <c r="A6928" s="225" t="s">
        <v>16204</v>
      </c>
      <c r="B6928" s="225" t="s">
        <v>16205</v>
      </c>
    </row>
    <row r="6929" spans="1:2">
      <c r="A6929" s="225" t="s">
        <v>16206</v>
      </c>
      <c r="B6929" s="225" t="s">
        <v>16205</v>
      </c>
    </row>
    <row r="6930" spans="1:2">
      <c r="A6930" s="225" t="s">
        <v>16207</v>
      </c>
      <c r="B6930" s="225" t="s">
        <v>1845</v>
      </c>
    </row>
    <row r="6931" spans="1:2">
      <c r="A6931" s="225" t="s">
        <v>16208</v>
      </c>
      <c r="B6931" s="225" t="s">
        <v>1845</v>
      </c>
    </row>
    <row r="6932" spans="1:2">
      <c r="A6932" s="225" t="s">
        <v>16209</v>
      </c>
      <c r="B6932" s="225" t="s">
        <v>16210</v>
      </c>
    </row>
    <row r="6933" spans="1:2">
      <c r="A6933" s="225" t="s">
        <v>16211</v>
      </c>
      <c r="B6933" s="225" t="s">
        <v>16210</v>
      </c>
    </row>
    <row r="6934" spans="1:2">
      <c r="A6934" s="225" t="s">
        <v>16224</v>
      </c>
      <c r="B6934" s="225" t="s">
        <v>16225</v>
      </c>
    </row>
    <row r="6935" spans="1:2">
      <c r="A6935" s="225" t="s">
        <v>16226</v>
      </c>
      <c r="B6935" s="225" t="s">
        <v>16225</v>
      </c>
    </row>
    <row r="6936" spans="1:2">
      <c r="A6936" s="225" t="s">
        <v>15295</v>
      </c>
      <c r="B6936" s="225" t="s">
        <v>16193</v>
      </c>
    </row>
    <row r="6937" spans="1:2">
      <c r="A6937" s="225" t="s">
        <v>1833</v>
      </c>
      <c r="B6937" s="225" t="s">
        <v>16193</v>
      </c>
    </row>
    <row r="6938" spans="1:2">
      <c r="A6938" s="225" t="s">
        <v>16231</v>
      </c>
      <c r="B6938" s="225" t="s">
        <v>16232</v>
      </c>
    </row>
    <row r="6939" spans="1:2">
      <c r="A6939" s="225" t="s">
        <v>16233</v>
      </c>
      <c r="B6939" s="225" t="s">
        <v>16232</v>
      </c>
    </row>
    <row r="6940" spans="1:2">
      <c r="A6940" s="225" t="s">
        <v>16237</v>
      </c>
      <c r="B6940" s="225" t="s">
        <v>1852</v>
      </c>
    </row>
    <row r="6941" spans="1:2">
      <c r="A6941" s="225" t="s">
        <v>16238</v>
      </c>
      <c r="B6941" s="225" t="s">
        <v>1852</v>
      </c>
    </row>
    <row r="6942" spans="1:2">
      <c r="A6942" s="225" t="s">
        <v>16241</v>
      </c>
      <c r="B6942" s="225" t="s">
        <v>16242</v>
      </c>
    </row>
    <row r="6943" spans="1:2">
      <c r="A6943" s="225" t="s">
        <v>16243</v>
      </c>
      <c r="B6943" s="225" t="s">
        <v>16242</v>
      </c>
    </row>
    <row r="6944" spans="1:2">
      <c r="A6944" s="225" t="s">
        <v>16244</v>
      </c>
      <c r="B6944" s="225" t="s">
        <v>16245</v>
      </c>
    </row>
    <row r="6945" spans="1:2">
      <c r="A6945" s="225" t="s">
        <v>16246</v>
      </c>
      <c r="B6945" s="225" t="s">
        <v>16245</v>
      </c>
    </row>
    <row r="6946" spans="1:2">
      <c r="A6946" s="225" t="s">
        <v>16247</v>
      </c>
      <c r="B6946" s="225" t="s">
        <v>1856</v>
      </c>
    </row>
    <row r="6947" spans="1:2">
      <c r="A6947" s="225" t="s">
        <v>16248</v>
      </c>
      <c r="B6947" s="225" t="s">
        <v>1856</v>
      </c>
    </row>
    <row r="6948" spans="1:2">
      <c r="A6948" s="225" t="s">
        <v>16249</v>
      </c>
      <c r="B6948" s="225" t="s">
        <v>16250</v>
      </c>
    </row>
    <row r="6949" spans="1:2">
      <c r="A6949" s="225" t="s">
        <v>16251</v>
      </c>
      <c r="B6949" s="225" t="s">
        <v>16250</v>
      </c>
    </row>
    <row r="6950" spans="1:2">
      <c r="A6950" s="225" t="s">
        <v>16256</v>
      </c>
      <c r="B6950" s="225" t="s">
        <v>16257</v>
      </c>
    </row>
    <row r="6951" spans="1:2">
      <c r="A6951" s="225" t="s">
        <v>16258</v>
      </c>
      <c r="B6951" s="225" t="s">
        <v>16257</v>
      </c>
    </row>
    <row r="6952" spans="1:2">
      <c r="A6952" s="225" t="s">
        <v>16259</v>
      </c>
      <c r="B6952" s="225" t="s">
        <v>16260</v>
      </c>
    </row>
    <row r="6953" spans="1:2">
      <c r="A6953" s="225" t="s">
        <v>16261</v>
      </c>
      <c r="B6953" s="225" t="s">
        <v>16260</v>
      </c>
    </row>
    <row r="6954" spans="1:2">
      <c r="A6954" s="225" t="s">
        <v>16262</v>
      </c>
      <c r="B6954" s="225" t="s">
        <v>1859</v>
      </c>
    </row>
    <row r="6955" spans="1:2">
      <c r="A6955" s="225" t="s">
        <v>16263</v>
      </c>
      <c r="B6955" s="225" t="s">
        <v>1859</v>
      </c>
    </row>
    <row r="6956" spans="1:2">
      <c r="A6956" s="225" t="s">
        <v>16269</v>
      </c>
      <c r="B6956" s="225" t="s">
        <v>16270</v>
      </c>
    </row>
    <row r="6957" spans="1:2">
      <c r="A6957" s="225" t="s">
        <v>15305</v>
      </c>
      <c r="B6957" s="225" t="s">
        <v>15423</v>
      </c>
    </row>
    <row r="6958" spans="1:2">
      <c r="A6958" s="225" t="s">
        <v>16272</v>
      </c>
      <c r="B6958" s="225" t="s">
        <v>16202</v>
      </c>
    </row>
    <row r="6959" spans="1:2">
      <c r="A6959" s="225" t="s">
        <v>16273</v>
      </c>
      <c r="B6959" s="225" t="s">
        <v>15472</v>
      </c>
    </row>
    <row r="6960" spans="1:2">
      <c r="A6960" s="225" t="s">
        <v>1844</v>
      </c>
      <c r="B6960" s="225" t="s">
        <v>16205</v>
      </c>
    </row>
    <row r="6961" spans="1:2">
      <c r="A6961" s="225" t="s">
        <v>16274</v>
      </c>
      <c r="B6961" s="225" t="s">
        <v>16205</v>
      </c>
    </row>
    <row r="6962" spans="1:2">
      <c r="A6962" s="225" t="s">
        <v>1846</v>
      </c>
      <c r="B6962" s="225" t="s">
        <v>1845</v>
      </c>
    </row>
    <row r="6963" spans="1:2">
      <c r="A6963" s="225" t="s">
        <v>16275</v>
      </c>
      <c r="B6963" s="225" t="s">
        <v>1845</v>
      </c>
    </row>
    <row r="6964" spans="1:2">
      <c r="A6964" s="225" t="s">
        <v>14806</v>
      </c>
      <c r="B6964" s="225" t="s">
        <v>16210</v>
      </c>
    </row>
    <row r="6965" spans="1:2">
      <c r="A6965" s="225" t="s">
        <v>16276</v>
      </c>
      <c r="B6965" s="225" t="s">
        <v>16210</v>
      </c>
    </row>
    <row r="6966" spans="1:2">
      <c r="A6966" s="225" t="s">
        <v>16277</v>
      </c>
      <c r="B6966" s="225" t="s">
        <v>15473</v>
      </c>
    </row>
    <row r="6967" spans="1:2">
      <c r="A6967" s="225" t="s">
        <v>16279</v>
      </c>
      <c r="B6967" s="225" t="s">
        <v>16280</v>
      </c>
    </row>
    <row r="6968" spans="1:2">
      <c r="A6968" s="225" t="s">
        <v>16281</v>
      </c>
      <c r="B6968" s="225" t="s">
        <v>16282</v>
      </c>
    </row>
    <row r="6969" spans="1:2">
      <c r="A6969" s="225" t="s">
        <v>1850</v>
      </c>
      <c r="B6969" s="225" t="s">
        <v>16225</v>
      </c>
    </row>
    <row r="6970" spans="1:2">
      <c r="A6970" s="225" t="s">
        <v>16286</v>
      </c>
      <c r="B6970" s="225" t="s">
        <v>16225</v>
      </c>
    </row>
    <row r="6971" spans="1:2">
      <c r="A6971" s="225" t="s">
        <v>15134</v>
      </c>
      <c r="B6971" s="225" t="s">
        <v>16232</v>
      </c>
    </row>
    <row r="6972" spans="1:2">
      <c r="A6972" s="225" t="s">
        <v>16288</v>
      </c>
      <c r="B6972" s="225" t="s">
        <v>16232</v>
      </c>
    </row>
    <row r="6973" spans="1:2">
      <c r="A6973" s="225" t="s">
        <v>16289</v>
      </c>
      <c r="B6973" s="225" t="s">
        <v>16290</v>
      </c>
    </row>
    <row r="6974" spans="1:2">
      <c r="A6974" s="225" t="s">
        <v>16292</v>
      </c>
      <c r="B6974" s="225" t="s">
        <v>16293</v>
      </c>
    </row>
    <row r="6975" spans="1:2">
      <c r="A6975" s="225" t="s">
        <v>16294</v>
      </c>
      <c r="B6975" s="225" t="s">
        <v>16295</v>
      </c>
    </row>
    <row r="6976" spans="1:2">
      <c r="A6976" s="225" t="s">
        <v>1853</v>
      </c>
      <c r="B6976" s="225" t="s">
        <v>1852</v>
      </c>
    </row>
    <row r="6977" spans="1:2">
      <c r="A6977" s="225" t="s">
        <v>16296</v>
      </c>
      <c r="B6977" s="225" t="s">
        <v>1852</v>
      </c>
    </row>
    <row r="6978" spans="1:2">
      <c r="A6978" s="225" t="s">
        <v>16297</v>
      </c>
      <c r="B6978" s="225" t="s">
        <v>16298</v>
      </c>
    </row>
    <row r="6979" spans="1:2">
      <c r="A6979" s="225" t="s">
        <v>16299</v>
      </c>
      <c r="B6979" s="225" t="s">
        <v>16293</v>
      </c>
    </row>
    <row r="6980" spans="1:2">
      <c r="A6980" s="225" t="s">
        <v>16300</v>
      </c>
      <c r="B6980" s="225" t="s">
        <v>16301</v>
      </c>
    </row>
    <row r="6981" spans="1:2">
      <c r="A6981" s="225" t="s">
        <v>16302</v>
      </c>
      <c r="B6981" s="225" t="s">
        <v>16303</v>
      </c>
    </row>
    <row r="6982" spans="1:2">
      <c r="A6982" s="225" t="s">
        <v>16304</v>
      </c>
      <c r="B6982" s="225" t="s">
        <v>16293</v>
      </c>
    </row>
    <row r="6983" spans="1:2">
      <c r="A6983" s="225" t="s">
        <v>16305</v>
      </c>
      <c r="B6983" s="225" t="s">
        <v>16295</v>
      </c>
    </row>
    <row r="6984" spans="1:2">
      <c r="A6984" s="225" t="s">
        <v>16306</v>
      </c>
      <c r="B6984" s="225" t="s">
        <v>16307</v>
      </c>
    </row>
    <row r="6985" spans="1:2">
      <c r="A6985" s="225" t="s">
        <v>16308</v>
      </c>
      <c r="B6985" s="225" t="s">
        <v>16309</v>
      </c>
    </row>
    <row r="6986" spans="1:2">
      <c r="A6986" s="225" t="s">
        <v>16310</v>
      </c>
      <c r="B6986" s="225" t="s">
        <v>16311</v>
      </c>
    </row>
    <row r="6987" spans="1:2">
      <c r="A6987" s="225" t="s">
        <v>16312</v>
      </c>
      <c r="B6987" s="225" t="s">
        <v>16313</v>
      </c>
    </row>
    <row r="6988" spans="1:2">
      <c r="A6988" s="225" t="s">
        <v>15299</v>
      </c>
      <c r="B6988" s="225" t="s">
        <v>16242</v>
      </c>
    </row>
    <row r="6989" spans="1:2">
      <c r="A6989" s="225" t="s">
        <v>16315</v>
      </c>
      <c r="B6989" s="225" t="s">
        <v>16242</v>
      </c>
    </row>
    <row r="6990" spans="1:2">
      <c r="A6990" s="225" t="s">
        <v>16316</v>
      </c>
      <c r="B6990" s="225" t="s">
        <v>16245</v>
      </c>
    </row>
    <row r="6991" spans="1:2">
      <c r="A6991" s="225" t="s">
        <v>16317</v>
      </c>
      <c r="B6991" s="225" t="s">
        <v>16245</v>
      </c>
    </row>
    <row r="6992" spans="1:2">
      <c r="A6992" s="225" t="s">
        <v>16318</v>
      </c>
      <c r="B6992" s="225" t="s">
        <v>16313</v>
      </c>
    </row>
    <row r="6993" spans="1:2">
      <c r="A6993" s="225" t="s">
        <v>16319</v>
      </c>
      <c r="B6993" s="225" t="s">
        <v>16320</v>
      </c>
    </row>
    <row r="6994" spans="1:2">
      <c r="A6994" s="225" t="s">
        <v>15300</v>
      </c>
      <c r="B6994" s="225" t="s">
        <v>1856</v>
      </c>
    </row>
    <row r="6995" spans="1:2">
      <c r="A6995" s="225" t="s">
        <v>16322</v>
      </c>
      <c r="B6995" s="225" t="s">
        <v>1856</v>
      </c>
    </row>
    <row r="6996" spans="1:2">
      <c r="A6996" s="225" t="s">
        <v>15301</v>
      </c>
      <c r="B6996" s="225" t="s">
        <v>16250</v>
      </c>
    </row>
    <row r="6997" spans="1:2">
      <c r="A6997" s="225" t="s">
        <v>16323</v>
      </c>
      <c r="B6997" s="225" t="s">
        <v>16250</v>
      </c>
    </row>
    <row r="6998" spans="1:2">
      <c r="A6998" s="225" t="s">
        <v>16325</v>
      </c>
      <c r="B6998" s="225" t="s">
        <v>16326</v>
      </c>
    </row>
    <row r="6999" spans="1:2">
      <c r="A6999" s="225" t="s">
        <v>16327</v>
      </c>
      <c r="B6999" s="225" t="s">
        <v>16328</v>
      </c>
    </row>
    <row r="7000" spans="1:2">
      <c r="A7000" s="225" t="s">
        <v>16329</v>
      </c>
      <c r="B7000" s="225" t="s">
        <v>16330</v>
      </c>
    </row>
    <row r="7001" spans="1:2">
      <c r="A7001" s="225" t="s">
        <v>16331</v>
      </c>
      <c r="B7001" s="225" t="s">
        <v>16332</v>
      </c>
    </row>
    <row r="7002" spans="1:2">
      <c r="A7002" s="225" t="s">
        <v>16333</v>
      </c>
      <c r="B7002" s="225" t="s">
        <v>16334</v>
      </c>
    </row>
    <row r="7003" spans="1:2">
      <c r="A7003" s="225" t="s">
        <v>16337</v>
      </c>
      <c r="B7003" s="225" t="s">
        <v>16338</v>
      </c>
    </row>
    <row r="7004" spans="1:2">
      <c r="A7004" s="225" t="s">
        <v>16340</v>
      </c>
      <c r="B7004" s="225" t="s">
        <v>16338</v>
      </c>
    </row>
    <row r="7005" spans="1:2">
      <c r="A7005" s="225" t="s">
        <v>16342</v>
      </c>
      <c r="B7005" s="225" t="s">
        <v>16343</v>
      </c>
    </row>
    <row r="7006" spans="1:2">
      <c r="A7006" s="225" t="s">
        <v>16344</v>
      </c>
      <c r="B7006" s="225" t="s">
        <v>16343</v>
      </c>
    </row>
    <row r="7007" spans="1:2">
      <c r="A7007" s="225" t="s">
        <v>16345</v>
      </c>
      <c r="B7007" s="225" t="s">
        <v>15027</v>
      </c>
    </row>
    <row r="7008" spans="1:2">
      <c r="A7008" s="225" t="s">
        <v>16346</v>
      </c>
      <c r="B7008" s="225" t="s">
        <v>15027</v>
      </c>
    </row>
    <row r="7009" spans="1:2">
      <c r="A7009" s="225" t="s">
        <v>16347</v>
      </c>
      <c r="B7009" s="225" t="s">
        <v>16348</v>
      </c>
    </row>
    <row r="7010" spans="1:2">
      <c r="A7010" s="225" t="s">
        <v>16349</v>
      </c>
      <c r="B7010" s="225" t="s">
        <v>16348</v>
      </c>
    </row>
    <row r="7011" spans="1:2">
      <c r="A7011" s="225" t="s">
        <v>16358</v>
      </c>
      <c r="B7011" s="225" t="s">
        <v>16359</v>
      </c>
    </row>
    <row r="7012" spans="1:2">
      <c r="A7012" s="225" t="s">
        <v>16360</v>
      </c>
      <c r="B7012" s="225" t="s">
        <v>16359</v>
      </c>
    </row>
    <row r="7013" spans="1:2">
      <c r="A7013" s="225" t="s">
        <v>16362</v>
      </c>
      <c r="B7013" s="225" t="s">
        <v>16257</v>
      </c>
    </row>
    <row r="7014" spans="1:2">
      <c r="A7014" s="225" t="s">
        <v>16364</v>
      </c>
      <c r="B7014" s="225" t="s">
        <v>16257</v>
      </c>
    </row>
    <row r="7015" spans="1:2">
      <c r="A7015" s="225" t="s">
        <v>16367</v>
      </c>
      <c r="B7015" s="225" t="s">
        <v>16368</v>
      </c>
    </row>
    <row r="7016" spans="1:2">
      <c r="A7016" s="225" t="s">
        <v>16369</v>
      </c>
      <c r="B7016" s="225" t="s">
        <v>16368</v>
      </c>
    </row>
    <row r="7017" spans="1:2">
      <c r="A7017" s="225" t="s">
        <v>16370</v>
      </c>
      <c r="B7017" s="225" t="s">
        <v>16260</v>
      </c>
    </row>
    <row r="7018" spans="1:2">
      <c r="A7018" s="225" t="s">
        <v>16371</v>
      </c>
      <c r="B7018" s="225" t="s">
        <v>16260</v>
      </c>
    </row>
    <row r="7019" spans="1:2">
      <c r="A7019" s="225" t="s">
        <v>16372</v>
      </c>
      <c r="B7019" s="225" t="s">
        <v>16373</v>
      </c>
    </row>
    <row r="7020" spans="1:2">
      <c r="A7020" s="225" t="s">
        <v>16374</v>
      </c>
      <c r="B7020" s="225" t="s">
        <v>16373</v>
      </c>
    </row>
    <row r="7021" spans="1:2">
      <c r="A7021" s="225" t="s">
        <v>1863</v>
      </c>
      <c r="B7021" s="225" t="s">
        <v>1859</v>
      </c>
    </row>
    <row r="7022" spans="1:2">
      <c r="A7022" s="225" t="s">
        <v>16377</v>
      </c>
      <c r="B7022" s="225" t="s">
        <v>1859</v>
      </c>
    </row>
    <row r="7023" spans="1:2">
      <c r="A7023" s="225" t="s">
        <v>16378</v>
      </c>
      <c r="B7023" s="225" t="s">
        <v>16379</v>
      </c>
    </row>
    <row r="7024" spans="1:2">
      <c r="A7024" s="225" t="s">
        <v>16380</v>
      </c>
      <c r="B7024" s="225" t="s">
        <v>16379</v>
      </c>
    </row>
    <row r="7025" spans="1:2">
      <c r="A7025" s="225" t="s">
        <v>16381</v>
      </c>
      <c r="B7025" s="225" t="s">
        <v>16382</v>
      </c>
    </row>
    <row r="7026" spans="1:2">
      <c r="A7026" s="225" t="s">
        <v>16383</v>
      </c>
      <c r="B7026" s="225" t="s">
        <v>16382</v>
      </c>
    </row>
    <row r="7027" spans="1:2">
      <c r="A7027" s="225" t="s">
        <v>16384</v>
      </c>
      <c r="B7027" s="225" t="s">
        <v>16385</v>
      </c>
    </row>
    <row r="7028" spans="1:2">
      <c r="A7028" s="225" t="s">
        <v>16386</v>
      </c>
      <c r="B7028" s="225" t="s">
        <v>16385</v>
      </c>
    </row>
    <row r="7029" spans="1:2">
      <c r="A7029" s="225" t="s">
        <v>16389</v>
      </c>
      <c r="B7029" s="225" t="s">
        <v>16390</v>
      </c>
    </row>
    <row r="7030" spans="1:2">
      <c r="A7030" s="225" t="s">
        <v>16391</v>
      </c>
      <c r="B7030" s="225" t="s">
        <v>16390</v>
      </c>
    </row>
    <row r="7031" spans="1:2">
      <c r="A7031" s="225" t="s">
        <v>16392</v>
      </c>
      <c r="B7031" s="225" t="s">
        <v>16393</v>
      </c>
    </row>
    <row r="7032" spans="1:2">
      <c r="A7032" s="225" t="s">
        <v>16394</v>
      </c>
      <c r="B7032" s="225" t="s">
        <v>16393</v>
      </c>
    </row>
    <row r="7033" spans="1:2">
      <c r="A7033" s="225" t="s">
        <v>16395</v>
      </c>
      <c r="B7033" s="225" t="s">
        <v>16396</v>
      </c>
    </row>
    <row r="7034" spans="1:2">
      <c r="A7034" s="225" t="s">
        <v>16397</v>
      </c>
      <c r="B7034" s="225" t="s">
        <v>16396</v>
      </c>
    </row>
    <row r="7035" spans="1:2">
      <c r="A7035" s="225" t="s">
        <v>16398</v>
      </c>
      <c r="B7035" s="225" t="s">
        <v>16399</v>
      </c>
    </row>
    <row r="7036" spans="1:2">
      <c r="A7036" s="225" t="s">
        <v>16400</v>
      </c>
      <c r="B7036" s="225" t="s">
        <v>16399</v>
      </c>
    </row>
    <row r="7037" spans="1:2">
      <c r="A7037" s="225" t="s">
        <v>15302</v>
      </c>
      <c r="B7037" s="225" t="s">
        <v>16270</v>
      </c>
    </row>
    <row r="7038" spans="1:2">
      <c r="A7038" s="225" t="s">
        <v>16407</v>
      </c>
      <c r="B7038" s="225" t="s">
        <v>16408</v>
      </c>
    </row>
    <row r="7039" spans="1:2">
      <c r="A7039" s="225" t="s">
        <v>16409</v>
      </c>
      <c r="B7039" s="225" t="s">
        <v>16408</v>
      </c>
    </row>
    <row r="7040" spans="1:2">
      <c r="A7040" s="225" t="s">
        <v>16414</v>
      </c>
      <c r="B7040" s="225" t="s">
        <v>16415</v>
      </c>
    </row>
    <row r="7041" spans="1:2">
      <c r="A7041" s="225" t="s">
        <v>16416</v>
      </c>
      <c r="B7041" s="225" t="s">
        <v>16415</v>
      </c>
    </row>
    <row r="7042" spans="1:2">
      <c r="A7042" s="225" t="s">
        <v>16417</v>
      </c>
      <c r="B7042" s="225" t="s">
        <v>16418</v>
      </c>
    </row>
    <row r="7043" spans="1:2">
      <c r="A7043" s="225" t="s">
        <v>16421</v>
      </c>
      <c r="B7043" s="225" t="s">
        <v>16422</v>
      </c>
    </row>
    <row r="7044" spans="1:2">
      <c r="A7044" s="225" t="s">
        <v>16423</v>
      </c>
      <c r="B7044" s="225" t="s">
        <v>16422</v>
      </c>
    </row>
    <row r="7045" spans="1:2">
      <c r="A7045" s="225" t="s">
        <v>16424</v>
      </c>
      <c r="B7045" s="225" t="s">
        <v>16425</v>
      </c>
    </row>
    <row r="7046" spans="1:2">
      <c r="A7046" s="225" t="s">
        <v>16426</v>
      </c>
      <c r="B7046" s="225" t="s">
        <v>16425</v>
      </c>
    </row>
    <row r="7047" spans="1:2">
      <c r="A7047" s="225" t="s">
        <v>16427</v>
      </c>
      <c r="B7047" s="225" t="s">
        <v>16428</v>
      </c>
    </row>
    <row r="7048" spans="1:2">
      <c r="A7048" s="225" t="s">
        <v>16429</v>
      </c>
      <c r="B7048" s="225" t="s">
        <v>16428</v>
      </c>
    </row>
    <row r="7049" spans="1:2">
      <c r="A7049" s="225" t="s">
        <v>16430</v>
      </c>
      <c r="B7049" s="225" t="s">
        <v>16431</v>
      </c>
    </row>
    <row r="7050" spans="1:2">
      <c r="A7050" s="225" t="s">
        <v>1877</v>
      </c>
      <c r="B7050" s="225" t="s">
        <v>15472</v>
      </c>
    </row>
    <row r="7051" spans="1:2">
      <c r="A7051" s="225" t="s">
        <v>1878</v>
      </c>
      <c r="B7051" s="225" t="s">
        <v>15472</v>
      </c>
    </row>
    <row r="7052" spans="1:2">
      <c r="A7052" s="225" t="s">
        <v>1880</v>
      </c>
      <c r="B7052" s="225" t="s">
        <v>15473</v>
      </c>
    </row>
    <row r="7053" spans="1:2">
      <c r="A7053" s="225" t="s">
        <v>16432</v>
      </c>
      <c r="B7053" s="225" t="s">
        <v>16431</v>
      </c>
    </row>
    <row r="7054" spans="1:2">
      <c r="A7054" s="225" t="s">
        <v>1881</v>
      </c>
      <c r="B7054" s="225" t="s">
        <v>15473</v>
      </c>
    </row>
    <row r="7055" spans="1:2">
      <c r="A7055" s="225" t="s">
        <v>16434</v>
      </c>
      <c r="B7055" s="225" t="s">
        <v>16435</v>
      </c>
    </row>
    <row r="7056" spans="1:2">
      <c r="A7056" s="225" t="s">
        <v>16436</v>
      </c>
      <c r="B7056" s="225" t="s">
        <v>16435</v>
      </c>
    </row>
    <row r="7057" spans="1:2">
      <c r="A7057" s="225" t="s">
        <v>16437</v>
      </c>
      <c r="B7057" s="225" t="s">
        <v>16438</v>
      </c>
    </row>
    <row r="7058" spans="1:2">
      <c r="A7058" s="225" t="s">
        <v>16439</v>
      </c>
      <c r="B7058" s="225" t="s">
        <v>16438</v>
      </c>
    </row>
    <row r="7059" spans="1:2">
      <c r="A7059" s="225" t="s">
        <v>16440</v>
      </c>
      <c r="B7059" s="225" t="s">
        <v>16441</v>
      </c>
    </row>
    <row r="7060" spans="1:2">
      <c r="A7060" s="225" t="s">
        <v>16442</v>
      </c>
      <c r="B7060" s="225" t="s">
        <v>16441</v>
      </c>
    </row>
    <row r="7061" spans="1:2">
      <c r="A7061" s="225" t="s">
        <v>16445</v>
      </c>
      <c r="B7061" s="225" t="s">
        <v>16446</v>
      </c>
    </row>
    <row r="7062" spans="1:2">
      <c r="A7062" s="225" t="s">
        <v>16447</v>
      </c>
      <c r="B7062" s="225" t="s">
        <v>16446</v>
      </c>
    </row>
    <row r="7063" spans="1:2">
      <c r="A7063" s="225" t="s">
        <v>16448</v>
      </c>
      <c r="B7063" s="225" t="s">
        <v>16449</v>
      </c>
    </row>
    <row r="7064" spans="1:2">
      <c r="A7064" s="225" t="s">
        <v>16450</v>
      </c>
      <c r="B7064" s="225" t="s">
        <v>16449</v>
      </c>
    </row>
    <row r="7065" spans="1:2">
      <c r="A7065" s="225" t="s">
        <v>16451</v>
      </c>
      <c r="B7065" s="225" t="s">
        <v>16452</v>
      </c>
    </row>
    <row r="7066" spans="1:2">
      <c r="A7066" s="225" t="s">
        <v>16453</v>
      </c>
      <c r="B7066" s="225" t="s">
        <v>16452</v>
      </c>
    </row>
    <row r="7067" spans="1:2">
      <c r="A7067" s="225" t="s">
        <v>16454</v>
      </c>
      <c r="B7067" s="225" t="s">
        <v>16455</v>
      </c>
    </row>
    <row r="7068" spans="1:2">
      <c r="A7068" s="225" t="s">
        <v>16456</v>
      </c>
      <c r="B7068" s="225" t="s">
        <v>16455</v>
      </c>
    </row>
    <row r="7069" spans="1:2">
      <c r="A7069" s="225" t="s">
        <v>16459</v>
      </c>
      <c r="B7069" s="225" t="s">
        <v>16460</v>
      </c>
    </row>
    <row r="7070" spans="1:2">
      <c r="A7070" s="225" t="s">
        <v>16461</v>
      </c>
      <c r="B7070" s="225" t="s">
        <v>16460</v>
      </c>
    </row>
    <row r="7071" spans="1:2">
      <c r="A7071" s="225" t="s">
        <v>16462</v>
      </c>
      <c r="B7071" s="225" t="s">
        <v>16463</v>
      </c>
    </row>
    <row r="7072" spans="1:2">
      <c r="A7072" s="225" t="s">
        <v>16464</v>
      </c>
      <c r="B7072" s="225" t="s">
        <v>16463</v>
      </c>
    </row>
    <row r="7073" spans="1:2">
      <c r="A7073" s="225" t="s">
        <v>16465</v>
      </c>
      <c r="B7073" s="225" t="s">
        <v>16466</v>
      </c>
    </row>
    <row r="7074" spans="1:2">
      <c r="A7074" s="225" t="s">
        <v>16467</v>
      </c>
      <c r="B7074" s="225" t="s">
        <v>16466</v>
      </c>
    </row>
    <row r="7075" spans="1:2">
      <c r="A7075" s="225" t="s">
        <v>16468</v>
      </c>
      <c r="B7075" s="225" t="s">
        <v>16469</v>
      </c>
    </row>
    <row r="7076" spans="1:2">
      <c r="A7076" s="225" t="s">
        <v>15292</v>
      </c>
      <c r="B7076" s="225" t="s">
        <v>16469</v>
      </c>
    </row>
    <row r="7077" spans="1:2">
      <c r="A7077" s="225" t="s">
        <v>16480</v>
      </c>
      <c r="B7077" s="225" t="s">
        <v>16481</v>
      </c>
    </row>
    <row r="7078" spans="1:2">
      <c r="A7078" s="225" t="s">
        <v>16482</v>
      </c>
      <c r="B7078" s="225" t="s">
        <v>16481</v>
      </c>
    </row>
    <row r="7079" spans="1:2">
      <c r="A7079" s="225" t="s">
        <v>16486</v>
      </c>
      <c r="B7079" s="225" t="s">
        <v>16487</v>
      </c>
    </row>
    <row r="7080" spans="1:2">
      <c r="A7080" s="225" t="s">
        <v>16488</v>
      </c>
      <c r="B7080" s="225" t="s">
        <v>16487</v>
      </c>
    </row>
    <row r="7081" spans="1:2">
      <c r="A7081" s="225" t="s">
        <v>1937</v>
      </c>
      <c r="B7081" s="225" t="s">
        <v>16489</v>
      </c>
    </row>
    <row r="7082" spans="1:2">
      <c r="A7082" s="225" t="s">
        <v>16490</v>
      </c>
      <c r="B7082" s="225" t="s">
        <v>16491</v>
      </c>
    </row>
    <row r="7083" spans="1:2">
      <c r="A7083" s="225" t="s">
        <v>16492</v>
      </c>
      <c r="B7083" s="225" t="s">
        <v>16493</v>
      </c>
    </row>
    <row r="7084" spans="1:2">
      <c r="A7084" s="225" t="s">
        <v>16494</v>
      </c>
      <c r="B7084" s="225" t="s">
        <v>16280</v>
      </c>
    </row>
    <row r="7085" spans="1:2">
      <c r="A7085" s="225" t="s">
        <v>16495</v>
      </c>
      <c r="B7085" s="225" t="s">
        <v>16282</v>
      </c>
    </row>
    <row r="7086" spans="1:2">
      <c r="A7086" s="225" t="s">
        <v>16496</v>
      </c>
      <c r="B7086" s="225" t="s">
        <v>16497</v>
      </c>
    </row>
    <row r="7087" spans="1:2">
      <c r="A7087" s="225" t="s">
        <v>16498</v>
      </c>
      <c r="B7087" s="225" t="s">
        <v>16497</v>
      </c>
    </row>
    <row r="7088" spans="1:2">
      <c r="A7088" s="225" t="s">
        <v>15332</v>
      </c>
      <c r="B7088" s="225" t="s">
        <v>16499</v>
      </c>
    </row>
    <row r="7089" spans="1:2">
      <c r="A7089" s="225" t="s">
        <v>15336</v>
      </c>
      <c r="B7089" s="225" t="s">
        <v>16500</v>
      </c>
    </row>
    <row r="7090" spans="1:2">
      <c r="A7090" s="225" t="s">
        <v>1963</v>
      </c>
      <c r="B7090" s="225" t="s">
        <v>16499</v>
      </c>
    </row>
    <row r="7091" spans="1:2">
      <c r="A7091" s="225" t="s">
        <v>1965</v>
      </c>
      <c r="B7091" s="225" t="s">
        <v>16500</v>
      </c>
    </row>
    <row r="7092" spans="1:2">
      <c r="A7092" s="225" t="s">
        <v>16502</v>
      </c>
      <c r="B7092" s="225" t="s">
        <v>16503</v>
      </c>
    </row>
    <row r="7093" spans="1:2">
      <c r="A7093" s="225" t="s">
        <v>1975</v>
      </c>
      <c r="B7093" s="225" t="s">
        <v>16504</v>
      </c>
    </row>
    <row r="7094" spans="1:2">
      <c r="A7094" s="225" t="s">
        <v>1980</v>
      </c>
      <c r="B7094" s="225" t="s">
        <v>15373</v>
      </c>
    </row>
    <row r="7095" spans="1:2">
      <c r="A7095" s="225" t="s">
        <v>1984</v>
      </c>
      <c r="B7095" s="225" t="s">
        <v>16505</v>
      </c>
    </row>
    <row r="7096" spans="1:2">
      <c r="A7096" s="225" t="s">
        <v>1987</v>
      </c>
      <c r="B7096" s="225" t="s">
        <v>15063</v>
      </c>
    </row>
    <row r="7097" spans="1:2">
      <c r="A7097" s="225" t="s">
        <v>1995</v>
      </c>
      <c r="B7097" s="225" t="s">
        <v>15064</v>
      </c>
    </row>
    <row r="7098" spans="1:2">
      <c r="A7098" s="225" t="s">
        <v>16506</v>
      </c>
      <c r="B7098" s="225" t="s">
        <v>16489</v>
      </c>
    </row>
    <row r="7099" spans="1:2">
      <c r="A7099" s="225" t="s">
        <v>2004</v>
      </c>
      <c r="B7099" s="225" t="s">
        <v>1707</v>
      </c>
    </row>
    <row r="7100" spans="1:2">
      <c r="A7100" s="225" t="s">
        <v>15342</v>
      </c>
      <c r="B7100" s="225" t="s">
        <v>1727</v>
      </c>
    </row>
    <row r="7101" spans="1:2">
      <c r="A7101" s="225" t="s">
        <v>16507</v>
      </c>
      <c r="B7101" s="225" t="s">
        <v>1731</v>
      </c>
    </row>
    <row r="7102" spans="1:2">
      <c r="A7102" s="225" t="s">
        <v>15346</v>
      </c>
      <c r="B7102" s="225" t="s">
        <v>1736</v>
      </c>
    </row>
    <row r="7103" spans="1:2">
      <c r="A7103" s="225" t="s">
        <v>15351</v>
      </c>
      <c r="B7103" s="225" t="s">
        <v>1744</v>
      </c>
    </row>
    <row r="7104" spans="1:2">
      <c r="A7104" s="225" t="s">
        <v>16508</v>
      </c>
      <c r="B7104" s="225" t="s">
        <v>16165</v>
      </c>
    </row>
    <row r="7105" spans="1:2">
      <c r="A7105" s="225" t="s">
        <v>16509</v>
      </c>
      <c r="B7105" s="225" t="s">
        <v>15706</v>
      </c>
    </row>
    <row r="7106" spans="1:2">
      <c r="A7106" s="225" t="s">
        <v>16510</v>
      </c>
      <c r="B7106" s="225" t="s">
        <v>15708</v>
      </c>
    </row>
    <row r="7107" spans="1:2">
      <c r="A7107" s="225" t="s">
        <v>16511</v>
      </c>
      <c r="B7107" s="225" t="s">
        <v>16512</v>
      </c>
    </row>
    <row r="7108" spans="1:2">
      <c r="A7108" s="225" t="s">
        <v>15306</v>
      </c>
      <c r="B7108" s="225" t="s">
        <v>16379</v>
      </c>
    </row>
    <row r="7109" spans="1:2">
      <c r="A7109" s="225" t="s">
        <v>1893</v>
      </c>
      <c r="B7109" s="225" t="s">
        <v>16290</v>
      </c>
    </row>
    <row r="7110" spans="1:2">
      <c r="A7110" s="225" t="s">
        <v>1894</v>
      </c>
      <c r="B7110" s="225" t="s">
        <v>16290</v>
      </c>
    </row>
    <row r="7111" spans="1:2">
      <c r="A7111" s="225" t="s">
        <v>16513</v>
      </c>
      <c r="B7111" s="225" t="s">
        <v>16493</v>
      </c>
    </row>
    <row r="7112" spans="1:2">
      <c r="A7112" s="225" t="s">
        <v>1895</v>
      </c>
      <c r="B7112" s="225" t="s">
        <v>16382</v>
      </c>
    </row>
    <row r="7113" spans="1:2">
      <c r="A7113" s="225" t="s">
        <v>1896</v>
      </c>
      <c r="B7113" s="225" t="s">
        <v>16293</v>
      </c>
    </row>
    <row r="7114" spans="1:2">
      <c r="A7114" s="225" t="s">
        <v>1897</v>
      </c>
      <c r="B7114" s="225" t="s">
        <v>16295</v>
      </c>
    </row>
    <row r="7115" spans="1:2">
      <c r="A7115" s="225" t="s">
        <v>15309</v>
      </c>
      <c r="B7115" s="225" t="s">
        <v>16298</v>
      </c>
    </row>
    <row r="7116" spans="1:2">
      <c r="A7116" s="225" t="s">
        <v>15310</v>
      </c>
      <c r="B7116" s="225" t="s">
        <v>16298</v>
      </c>
    </row>
    <row r="7117" spans="1:2">
      <c r="A7117" s="225" t="s">
        <v>16514</v>
      </c>
      <c r="B7117" s="225" t="s">
        <v>16293</v>
      </c>
    </row>
    <row r="7118" spans="1:2">
      <c r="A7118" s="225" t="s">
        <v>16515</v>
      </c>
      <c r="B7118" s="225" t="s">
        <v>16301</v>
      </c>
    </row>
    <row r="7119" spans="1:2">
      <c r="A7119" s="225" t="s">
        <v>16516</v>
      </c>
      <c r="B7119" s="225" t="s">
        <v>16301</v>
      </c>
    </row>
    <row r="7120" spans="1:2">
      <c r="A7120" s="225" t="s">
        <v>16517</v>
      </c>
      <c r="B7120" s="225" t="s">
        <v>16303</v>
      </c>
    </row>
    <row r="7121" spans="1:2">
      <c r="A7121" s="225" t="s">
        <v>16518</v>
      </c>
      <c r="B7121" s="225" t="s">
        <v>16303</v>
      </c>
    </row>
    <row r="7122" spans="1:2">
      <c r="A7122" s="225" t="s">
        <v>16519</v>
      </c>
      <c r="B7122" s="225" t="s">
        <v>16385</v>
      </c>
    </row>
    <row r="7123" spans="1:2">
      <c r="A7123" s="225" t="s">
        <v>16520</v>
      </c>
      <c r="B7123" s="225" t="s">
        <v>16293</v>
      </c>
    </row>
    <row r="7124" spans="1:2">
      <c r="A7124" s="225" t="s">
        <v>16521</v>
      </c>
      <c r="B7124" s="225" t="s">
        <v>16295</v>
      </c>
    </row>
    <row r="7125" spans="1:2">
      <c r="A7125" s="225" t="s">
        <v>15311</v>
      </c>
      <c r="B7125" s="225" t="s">
        <v>16307</v>
      </c>
    </row>
    <row r="7126" spans="1:2">
      <c r="A7126" s="225" t="s">
        <v>15312</v>
      </c>
      <c r="B7126" s="225" t="s">
        <v>16307</v>
      </c>
    </row>
    <row r="7127" spans="1:2">
      <c r="A7127" s="225" t="s">
        <v>15137</v>
      </c>
      <c r="B7127" s="225" t="s">
        <v>16309</v>
      </c>
    </row>
    <row r="7128" spans="1:2">
      <c r="A7128" s="225" t="s">
        <v>15138</v>
      </c>
      <c r="B7128" s="225" t="s">
        <v>16309</v>
      </c>
    </row>
    <row r="7129" spans="1:2">
      <c r="A7129" s="225" t="s">
        <v>15313</v>
      </c>
      <c r="B7129" s="225" t="s">
        <v>16311</v>
      </c>
    </row>
    <row r="7130" spans="1:2">
      <c r="A7130" s="225" t="s">
        <v>15314</v>
      </c>
      <c r="B7130" s="225" t="s">
        <v>16311</v>
      </c>
    </row>
    <row r="7131" spans="1:2">
      <c r="A7131" s="225" t="s">
        <v>16523</v>
      </c>
      <c r="B7131" s="225" t="s">
        <v>16313</v>
      </c>
    </row>
    <row r="7132" spans="1:2">
      <c r="A7132" s="225" t="s">
        <v>16524</v>
      </c>
      <c r="B7132" s="225" t="s">
        <v>16313</v>
      </c>
    </row>
    <row r="7133" spans="1:2">
      <c r="A7133" s="225" t="s">
        <v>16525</v>
      </c>
      <c r="B7133" s="225" t="s">
        <v>16320</v>
      </c>
    </row>
    <row r="7134" spans="1:2">
      <c r="A7134" s="225" t="s">
        <v>15121</v>
      </c>
      <c r="B7134" s="225" t="s">
        <v>16326</v>
      </c>
    </row>
    <row r="7135" spans="1:2">
      <c r="A7135" s="225" t="s">
        <v>16527</v>
      </c>
      <c r="B7135" s="225" t="s">
        <v>16326</v>
      </c>
    </row>
    <row r="7136" spans="1:2">
      <c r="A7136" s="225" t="s">
        <v>16528</v>
      </c>
      <c r="B7136" s="225" t="s">
        <v>16328</v>
      </c>
    </row>
    <row r="7137" spans="1:2">
      <c r="A7137" s="225" t="s">
        <v>1899</v>
      </c>
      <c r="B7137" s="225" t="s">
        <v>16330</v>
      </c>
    </row>
    <row r="7138" spans="1:2">
      <c r="A7138" s="225" t="s">
        <v>16529</v>
      </c>
      <c r="B7138" s="225" t="s">
        <v>16330</v>
      </c>
    </row>
    <row r="7139" spans="1:2">
      <c r="A7139" s="225" t="s">
        <v>1900</v>
      </c>
      <c r="B7139" s="225" t="s">
        <v>16332</v>
      </c>
    </row>
    <row r="7140" spans="1:2">
      <c r="A7140" s="225" t="s">
        <v>16530</v>
      </c>
      <c r="B7140" s="225" t="s">
        <v>16332</v>
      </c>
    </row>
    <row r="7141" spans="1:2">
      <c r="A7141" s="225" t="s">
        <v>1901</v>
      </c>
      <c r="B7141" s="225" t="s">
        <v>16334</v>
      </c>
    </row>
    <row r="7142" spans="1:2">
      <c r="A7142" s="225" t="s">
        <v>16531</v>
      </c>
      <c r="B7142" s="225" t="s">
        <v>16334</v>
      </c>
    </row>
    <row r="7143" spans="1:2">
      <c r="A7143" s="225" t="s">
        <v>16532</v>
      </c>
      <c r="B7143" s="225" t="s">
        <v>16338</v>
      </c>
    </row>
    <row r="7144" spans="1:2">
      <c r="A7144" s="225" t="s">
        <v>15284</v>
      </c>
      <c r="B7144" s="225" t="s">
        <v>16338</v>
      </c>
    </row>
    <row r="7145" spans="1:2">
      <c r="A7145" s="225" t="s">
        <v>16533</v>
      </c>
      <c r="B7145" s="225" t="s">
        <v>16343</v>
      </c>
    </row>
    <row r="7146" spans="1:2">
      <c r="A7146" s="225" t="s">
        <v>15285</v>
      </c>
      <c r="B7146" s="225" t="s">
        <v>16343</v>
      </c>
    </row>
    <row r="7147" spans="1:2">
      <c r="A7147" s="225" t="s">
        <v>16534</v>
      </c>
      <c r="B7147" s="225" t="s">
        <v>15027</v>
      </c>
    </row>
    <row r="7148" spans="1:2">
      <c r="A7148" s="225" t="s">
        <v>15286</v>
      </c>
      <c r="B7148" s="225" t="s">
        <v>15027</v>
      </c>
    </row>
    <row r="7149" spans="1:2">
      <c r="A7149" s="225" t="s">
        <v>16535</v>
      </c>
      <c r="B7149" s="225" t="s">
        <v>16348</v>
      </c>
    </row>
    <row r="7150" spans="1:2">
      <c r="A7150" s="225" t="s">
        <v>16536</v>
      </c>
      <c r="B7150" s="225" t="s">
        <v>16348</v>
      </c>
    </row>
    <row r="7151" spans="1:2">
      <c r="A7151" s="225" t="s">
        <v>16537</v>
      </c>
      <c r="B7151" s="225" t="s">
        <v>16348</v>
      </c>
    </row>
    <row r="7152" spans="1:2">
      <c r="A7152" s="225" t="s">
        <v>16538</v>
      </c>
      <c r="B7152" s="225" t="s">
        <v>16348</v>
      </c>
    </row>
    <row r="7153" spans="1:2">
      <c r="A7153" s="225" t="s">
        <v>16547</v>
      </c>
      <c r="B7153" s="225" t="s">
        <v>16359</v>
      </c>
    </row>
    <row r="7154" spans="1:2">
      <c r="A7154" s="225" t="s">
        <v>16548</v>
      </c>
      <c r="B7154" s="225" t="s">
        <v>16359</v>
      </c>
    </row>
    <row r="7155" spans="1:2">
      <c r="A7155" s="225" t="s">
        <v>16553</v>
      </c>
      <c r="B7155" s="225" t="s">
        <v>16368</v>
      </c>
    </row>
    <row r="7156" spans="1:2">
      <c r="A7156" s="225" t="s">
        <v>16554</v>
      </c>
      <c r="B7156" s="225" t="s">
        <v>16368</v>
      </c>
    </row>
    <row r="7157" spans="1:2">
      <c r="A7157" s="225" t="s">
        <v>16555</v>
      </c>
      <c r="B7157" s="225" t="s">
        <v>16373</v>
      </c>
    </row>
    <row r="7158" spans="1:2">
      <c r="A7158" s="225" t="s">
        <v>16556</v>
      </c>
      <c r="B7158" s="225" t="s">
        <v>16373</v>
      </c>
    </row>
    <row r="7159" spans="1:2">
      <c r="A7159" s="225" t="s">
        <v>16558</v>
      </c>
      <c r="B7159" s="225" t="s">
        <v>16379</v>
      </c>
    </row>
    <row r="7160" spans="1:2">
      <c r="A7160" s="225" t="s">
        <v>16559</v>
      </c>
      <c r="B7160" s="225" t="s">
        <v>16379</v>
      </c>
    </row>
    <row r="7161" spans="1:2">
      <c r="A7161" s="225" t="s">
        <v>16560</v>
      </c>
      <c r="B7161" s="225" t="s">
        <v>16382</v>
      </c>
    </row>
    <row r="7162" spans="1:2">
      <c r="A7162" s="225" t="s">
        <v>16561</v>
      </c>
      <c r="B7162" s="225" t="s">
        <v>16382</v>
      </c>
    </row>
    <row r="7163" spans="1:2">
      <c r="A7163" s="225" t="s">
        <v>16562</v>
      </c>
      <c r="B7163" s="225" t="s">
        <v>16385</v>
      </c>
    </row>
    <row r="7164" spans="1:2">
      <c r="A7164" s="225" t="s">
        <v>16563</v>
      </c>
      <c r="B7164" s="225" t="s">
        <v>16385</v>
      </c>
    </row>
    <row r="7165" spans="1:2">
      <c r="A7165" s="225" t="s">
        <v>16566</v>
      </c>
      <c r="B7165" s="225" t="s">
        <v>16390</v>
      </c>
    </row>
    <row r="7166" spans="1:2">
      <c r="A7166" s="225" t="s">
        <v>16567</v>
      </c>
      <c r="B7166" s="225" t="s">
        <v>16390</v>
      </c>
    </row>
    <row r="7167" spans="1:2">
      <c r="A7167" s="225" t="s">
        <v>16568</v>
      </c>
      <c r="B7167" s="225" t="s">
        <v>16393</v>
      </c>
    </row>
    <row r="7168" spans="1:2">
      <c r="A7168" s="225" t="s">
        <v>16569</v>
      </c>
      <c r="B7168" s="225" t="s">
        <v>16393</v>
      </c>
    </row>
    <row r="7169" spans="1:2">
      <c r="A7169" s="225" t="s">
        <v>16570</v>
      </c>
      <c r="B7169" s="225" t="s">
        <v>16396</v>
      </c>
    </row>
    <row r="7170" spans="1:2">
      <c r="A7170" s="225" t="s">
        <v>16571</v>
      </c>
      <c r="B7170" s="225" t="s">
        <v>16396</v>
      </c>
    </row>
    <row r="7171" spans="1:2">
      <c r="A7171" s="225" t="s">
        <v>16572</v>
      </c>
      <c r="B7171" s="225" t="s">
        <v>16399</v>
      </c>
    </row>
    <row r="7172" spans="1:2">
      <c r="A7172" s="225" t="s">
        <v>16573</v>
      </c>
      <c r="B7172" s="225" t="s">
        <v>16399</v>
      </c>
    </row>
    <row r="7173" spans="1:2">
      <c r="A7173" s="225" t="s">
        <v>16579</v>
      </c>
      <c r="B7173" s="225" t="s">
        <v>16408</v>
      </c>
    </row>
    <row r="7174" spans="1:2">
      <c r="A7174" s="225" t="s">
        <v>16580</v>
      </c>
      <c r="B7174" s="225" t="s">
        <v>16408</v>
      </c>
    </row>
    <row r="7175" spans="1:2">
      <c r="A7175" s="225" t="s">
        <v>15325</v>
      </c>
      <c r="B7175" s="225" t="s">
        <v>16415</v>
      </c>
    </row>
    <row r="7176" spans="1:2">
      <c r="A7176" s="225" t="s">
        <v>16585</v>
      </c>
      <c r="B7176" s="225" t="s">
        <v>16415</v>
      </c>
    </row>
    <row r="7177" spans="1:2">
      <c r="A7177" s="225" t="s">
        <v>15326</v>
      </c>
      <c r="B7177" s="225" t="s">
        <v>16418</v>
      </c>
    </row>
    <row r="7178" spans="1:2">
      <c r="A7178" s="225" t="s">
        <v>16587</v>
      </c>
      <c r="B7178" s="225" t="s">
        <v>16422</v>
      </c>
    </row>
    <row r="7179" spans="1:2">
      <c r="A7179" s="225" t="s">
        <v>16588</v>
      </c>
      <c r="B7179" s="225" t="s">
        <v>16422</v>
      </c>
    </row>
    <row r="7180" spans="1:2">
      <c r="A7180" s="225" t="s">
        <v>16589</v>
      </c>
      <c r="B7180" s="225" t="s">
        <v>16590</v>
      </c>
    </row>
    <row r="7181" spans="1:2">
      <c r="A7181" s="225" t="s">
        <v>16591</v>
      </c>
      <c r="B7181" s="225" t="s">
        <v>16590</v>
      </c>
    </row>
    <row r="7182" spans="1:2">
      <c r="A7182" s="225" t="s">
        <v>16592</v>
      </c>
      <c r="B7182" s="225" t="s">
        <v>16425</v>
      </c>
    </row>
    <row r="7183" spans="1:2">
      <c r="A7183" s="225" t="s">
        <v>16593</v>
      </c>
      <c r="B7183" s="225" t="s">
        <v>16425</v>
      </c>
    </row>
    <row r="7184" spans="1:2">
      <c r="A7184" s="225" t="s">
        <v>16594</v>
      </c>
      <c r="B7184" s="225" t="s">
        <v>16428</v>
      </c>
    </row>
    <row r="7185" spans="1:2">
      <c r="A7185" s="225" t="s">
        <v>16595</v>
      </c>
      <c r="B7185" s="225" t="s">
        <v>16428</v>
      </c>
    </row>
    <row r="7186" spans="1:2">
      <c r="A7186" s="225" t="s">
        <v>16596</v>
      </c>
      <c r="B7186" s="225" t="s">
        <v>16428</v>
      </c>
    </row>
    <row r="7187" spans="1:2">
      <c r="A7187" s="225" t="s">
        <v>16597</v>
      </c>
      <c r="B7187" s="225" t="s">
        <v>16428</v>
      </c>
    </row>
    <row r="7188" spans="1:2">
      <c r="A7188" s="225" t="s">
        <v>16598</v>
      </c>
      <c r="B7188" s="225" t="s">
        <v>16599</v>
      </c>
    </row>
    <row r="7189" spans="1:2">
      <c r="A7189" s="225" t="s">
        <v>1914</v>
      </c>
      <c r="B7189" s="225" t="s">
        <v>16599</v>
      </c>
    </row>
    <row r="7190" spans="1:2">
      <c r="A7190" s="225" t="s">
        <v>16600</v>
      </c>
      <c r="B7190" s="225" t="s">
        <v>16431</v>
      </c>
    </row>
    <row r="7191" spans="1:2">
      <c r="A7191" s="225" t="s">
        <v>16601</v>
      </c>
      <c r="B7191" s="225" t="s">
        <v>16431</v>
      </c>
    </row>
    <row r="7192" spans="1:2">
      <c r="A7192" s="225" t="s">
        <v>15141</v>
      </c>
      <c r="B7192" s="225" t="s">
        <v>16435</v>
      </c>
    </row>
    <row r="7193" spans="1:2">
      <c r="A7193" s="225" t="s">
        <v>16603</v>
      </c>
      <c r="B7193" s="225" t="s">
        <v>16435</v>
      </c>
    </row>
    <row r="7194" spans="1:2">
      <c r="A7194" s="225" t="s">
        <v>16604</v>
      </c>
      <c r="B7194" s="225" t="s">
        <v>16438</v>
      </c>
    </row>
    <row r="7195" spans="1:2">
      <c r="A7195" s="225" t="s">
        <v>16605</v>
      </c>
      <c r="B7195" s="225" t="s">
        <v>16438</v>
      </c>
    </row>
    <row r="7196" spans="1:2">
      <c r="A7196" s="225" t="s">
        <v>16606</v>
      </c>
      <c r="B7196" s="225" t="s">
        <v>16441</v>
      </c>
    </row>
    <row r="7197" spans="1:2">
      <c r="A7197" s="225" t="s">
        <v>16607</v>
      </c>
      <c r="B7197" s="225" t="s">
        <v>16441</v>
      </c>
    </row>
    <row r="7198" spans="1:2">
      <c r="A7198" s="225" t="s">
        <v>16609</v>
      </c>
      <c r="B7198" s="225" t="s">
        <v>16446</v>
      </c>
    </row>
    <row r="7199" spans="1:2">
      <c r="A7199" s="225" t="s">
        <v>16610</v>
      </c>
      <c r="B7199" s="225" t="s">
        <v>16446</v>
      </c>
    </row>
    <row r="7200" spans="1:2">
      <c r="A7200" s="225" t="s">
        <v>16611</v>
      </c>
      <c r="B7200" s="225" t="s">
        <v>16449</v>
      </c>
    </row>
    <row r="7201" spans="1:2">
      <c r="A7201" s="225" t="s">
        <v>16612</v>
      </c>
      <c r="B7201" s="225" t="s">
        <v>16449</v>
      </c>
    </row>
    <row r="7202" spans="1:2">
      <c r="A7202" s="225" t="s">
        <v>15316</v>
      </c>
      <c r="B7202" s="225" t="s">
        <v>16452</v>
      </c>
    </row>
    <row r="7203" spans="1:2">
      <c r="A7203" s="225" t="s">
        <v>16613</v>
      </c>
      <c r="B7203" s="225" t="s">
        <v>16452</v>
      </c>
    </row>
    <row r="7204" spans="1:2">
      <c r="A7204" s="225" t="s">
        <v>16614</v>
      </c>
      <c r="B7204" s="225" t="s">
        <v>16455</v>
      </c>
    </row>
    <row r="7205" spans="1:2">
      <c r="A7205" s="225" t="s">
        <v>16615</v>
      </c>
      <c r="B7205" s="225" t="s">
        <v>16455</v>
      </c>
    </row>
    <row r="7206" spans="1:2">
      <c r="A7206" s="225" t="s">
        <v>15142</v>
      </c>
      <c r="B7206" s="225" t="s">
        <v>16460</v>
      </c>
    </row>
    <row r="7207" spans="1:2">
      <c r="A7207" s="225" t="s">
        <v>16617</v>
      </c>
      <c r="B7207" s="225" t="s">
        <v>16460</v>
      </c>
    </row>
    <row r="7208" spans="1:2">
      <c r="A7208" s="225" t="s">
        <v>15318</v>
      </c>
      <c r="B7208" s="225" t="s">
        <v>16463</v>
      </c>
    </row>
    <row r="7209" spans="1:2">
      <c r="A7209" s="225" t="s">
        <v>16618</v>
      </c>
      <c r="B7209" s="225" t="s">
        <v>16463</v>
      </c>
    </row>
    <row r="7210" spans="1:2">
      <c r="A7210" s="225" t="s">
        <v>16619</v>
      </c>
      <c r="B7210" s="225" t="s">
        <v>16466</v>
      </c>
    </row>
    <row r="7211" spans="1:2">
      <c r="A7211" s="225" t="s">
        <v>16620</v>
      </c>
      <c r="B7211" s="225" t="s">
        <v>16466</v>
      </c>
    </row>
    <row r="7212" spans="1:2">
      <c r="A7212" s="225" t="s">
        <v>15320</v>
      </c>
      <c r="B7212" s="225" t="s">
        <v>16469</v>
      </c>
    </row>
    <row r="7213" spans="1:2">
      <c r="A7213" s="225" t="s">
        <v>15291</v>
      </c>
      <c r="B7213" s="225" t="s">
        <v>16469</v>
      </c>
    </row>
    <row r="7214" spans="1:2">
      <c r="A7214" s="225" t="s">
        <v>16623</v>
      </c>
      <c r="B7214" s="225" t="s">
        <v>16493</v>
      </c>
    </row>
    <row r="7215" spans="1:2">
      <c r="A7215" s="225" t="s">
        <v>16624</v>
      </c>
      <c r="B7215" s="225" t="s">
        <v>16493</v>
      </c>
    </row>
    <row r="7216" spans="1:2">
      <c r="A7216" s="225" t="s">
        <v>16634</v>
      </c>
      <c r="B7216" s="225" t="s">
        <v>16481</v>
      </c>
    </row>
    <row r="7217" spans="1:2">
      <c r="A7217" s="225" t="s">
        <v>16635</v>
      </c>
      <c r="B7217" s="225" t="s">
        <v>16481</v>
      </c>
    </row>
    <row r="7218" spans="1:2">
      <c r="A7218" s="225" t="s">
        <v>16640</v>
      </c>
      <c r="B7218" s="225" t="s">
        <v>16487</v>
      </c>
    </row>
    <row r="7219" spans="1:2">
      <c r="A7219" s="225" t="s">
        <v>16641</v>
      </c>
      <c r="B7219" s="225" t="s">
        <v>16487</v>
      </c>
    </row>
    <row r="7220" spans="1:2">
      <c r="A7220" s="225" t="s">
        <v>16642</v>
      </c>
      <c r="B7220" s="225" t="s">
        <v>16487</v>
      </c>
    </row>
    <row r="7221" spans="1:2">
      <c r="A7221" s="225" t="s">
        <v>16643</v>
      </c>
      <c r="B7221" s="225" t="s">
        <v>16487</v>
      </c>
    </row>
    <row r="7222" spans="1:2">
      <c r="A7222" s="225" t="s">
        <v>1936</v>
      </c>
      <c r="B7222" s="225" t="s">
        <v>16489</v>
      </c>
    </row>
    <row r="7223" spans="1:2">
      <c r="A7223" s="225" t="s">
        <v>16644</v>
      </c>
      <c r="B7223" s="225" t="s">
        <v>16491</v>
      </c>
    </row>
    <row r="7224" spans="1:2">
      <c r="A7224" s="225" t="s">
        <v>16645</v>
      </c>
      <c r="B7224" s="225" t="s">
        <v>16491</v>
      </c>
    </row>
    <row r="7225" spans="1:2">
      <c r="A7225" s="225" t="s">
        <v>15331</v>
      </c>
      <c r="B7225" s="225" t="s">
        <v>16499</v>
      </c>
    </row>
    <row r="7226" spans="1:2">
      <c r="A7226" s="225" t="s">
        <v>15335</v>
      </c>
      <c r="B7226" s="225" t="s">
        <v>16500</v>
      </c>
    </row>
    <row r="7227" spans="1:2">
      <c r="A7227" s="225" t="s">
        <v>1962</v>
      </c>
      <c r="B7227" s="225" t="s">
        <v>16499</v>
      </c>
    </row>
    <row r="7228" spans="1:2">
      <c r="A7228" s="225" t="s">
        <v>1964</v>
      </c>
      <c r="B7228" s="225" t="s">
        <v>16500</v>
      </c>
    </row>
    <row r="7229" spans="1:2">
      <c r="A7229" s="225" t="s">
        <v>16647</v>
      </c>
      <c r="B7229" s="225" t="s">
        <v>16503</v>
      </c>
    </row>
    <row r="7230" spans="1:2">
      <c r="A7230" s="225" t="s">
        <v>16648</v>
      </c>
      <c r="B7230" s="225" t="s">
        <v>16503</v>
      </c>
    </row>
    <row r="7231" spans="1:2">
      <c r="A7231" s="225" t="s">
        <v>1973</v>
      </c>
      <c r="B7231" s="225" t="s">
        <v>16504</v>
      </c>
    </row>
    <row r="7232" spans="1:2">
      <c r="A7232" s="225" t="s">
        <v>1974</v>
      </c>
      <c r="B7232" s="225" t="s">
        <v>16504</v>
      </c>
    </row>
    <row r="7233" spans="1:2">
      <c r="A7233" s="225" t="s">
        <v>1982</v>
      </c>
      <c r="B7233" s="225" t="s">
        <v>16505</v>
      </c>
    </row>
    <row r="7234" spans="1:2">
      <c r="A7234" s="225" t="s">
        <v>1983</v>
      </c>
      <c r="B7234" s="225" t="s">
        <v>16505</v>
      </c>
    </row>
    <row r="7235" spans="1:2">
      <c r="A7235" s="225" t="s">
        <v>1985</v>
      </c>
      <c r="B7235" s="225" t="s">
        <v>15063</v>
      </c>
    </row>
    <row r="7236" spans="1:2">
      <c r="A7236" s="225" t="s">
        <v>1993</v>
      </c>
      <c r="B7236" s="225" t="s">
        <v>15064</v>
      </c>
    </row>
    <row r="7237" spans="1:2">
      <c r="A7237" s="225" t="s">
        <v>2003</v>
      </c>
      <c r="B7237" s="225" t="s">
        <v>1707</v>
      </c>
    </row>
    <row r="7238" spans="1:2">
      <c r="A7238" s="225" t="s">
        <v>2008</v>
      </c>
      <c r="B7238" s="225" t="s">
        <v>1727</v>
      </c>
    </row>
    <row r="7239" spans="1:2">
      <c r="A7239" s="225" t="s">
        <v>16649</v>
      </c>
      <c r="B7239" s="225" t="s">
        <v>1731</v>
      </c>
    </row>
    <row r="7240" spans="1:2">
      <c r="A7240" s="225" t="s">
        <v>2014</v>
      </c>
      <c r="B7240" s="225" t="s">
        <v>1736</v>
      </c>
    </row>
    <row r="7241" spans="1:2">
      <c r="A7241" s="225" t="s">
        <v>15350</v>
      </c>
      <c r="B7241" s="225" t="s">
        <v>1744</v>
      </c>
    </row>
    <row r="7242" spans="1:2">
      <c r="A7242" s="225" t="s">
        <v>16650</v>
      </c>
      <c r="B7242" s="225" t="s">
        <v>16165</v>
      </c>
    </row>
    <row r="7243" spans="1:2">
      <c r="A7243" s="225" t="s">
        <v>16651</v>
      </c>
      <c r="B7243" s="225" t="s">
        <v>15706</v>
      </c>
    </row>
    <row r="7244" spans="1:2">
      <c r="A7244" s="225" t="s">
        <v>16652</v>
      </c>
      <c r="B7244" s="225" t="s">
        <v>15708</v>
      </c>
    </row>
    <row r="7245" spans="1:2">
      <c r="A7245" s="225" t="s">
        <v>16653</v>
      </c>
      <c r="B7245" s="225" t="s">
        <v>16512</v>
      </c>
    </row>
    <row r="7246" spans="1:2">
      <c r="A7246" s="225" t="s">
        <v>15367</v>
      </c>
      <c r="B7246" s="225" t="s">
        <v>15370</v>
      </c>
    </row>
    <row r="7247" spans="1:2">
      <c r="A7247" s="225" t="s">
        <v>15365</v>
      </c>
      <c r="B7247" s="225" t="s">
        <v>15371</v>
      </c>
    </row>
    <row r="7248" spans="1:2">
      <c r="A7248" s="225" t="s">
        <v>15368</v>
      </c>
      <c r="B7248" s="225" t="s">
        <v>1956</v>
      </c>
    </row>
    <row r="7249" spans="1:2">
      <c r="A7249" s="225" t="s">
        <v>15366</v>
      </c>
      <c r="B7249" s="225" t="s">
        <v>15372</v>
      </c>
    </row>
    <row r="7250" spans="1:2">
      <c r="A7250" s="225" t="s">
        <v>1908</v>
      </c>
      <c r="B7250" s="225" t="s">
        <v>15374</v>
      </c>
    </row>
    <row r="7251" spans="1:2">
      <c r="A7251" s="225" t="s">
        <v>1905</v>
      </c>
      <c r="B7251" s="225" t="s">
        <v>15374</v>
      </c>
    </row>
    <row r="7252" spans="1:2">
      <c r="A7252" s="225" t="s">
        <v>15123</v>
      </c>
      <c r="B7252" s="225" t="s">
        <v>16655</v>
      </c>
    </row>
    <row r="7253" spans="1:2">
      <c r="A7253" s="225" t="s">
        <v>1810</v>
      </c>
      <c r="B7253" s="225" t="s">
        <v>16656</v>
      </c>
    </row>
    <row r="7254" spans="1:2">
      <c r="A7254" s="225" t="s">
        <v>15124</v>
      </c>
      <c r="B7254" s="225" t="s">
        <v>16657</v>
      </c>
    </row>
    <row r="7255" spans="1:2">
      <c r="A7255" s="225" t="s">
        <v>15125</v>
      </c>
      <c r="B7255" s="225" t="s">
        <v>16658</v>
      </c>
    </row>
    <row r="7256" spans="1:2">
      <c r="A7256" s="225" t="s">
        <v>1814</v>
      </c>
      <c r="B7256" s="225" t="s">
        <v>16659</v>
      </c>
    </row>
    <row r="7257" spans="1:2">
      <c r="A7257" s="225" t="s">
        <v>15126</v>
      </c>
      <c r="B7257" s="225" t="s">
        <v>16660</v>
      </c>
    </row>
    <row r="7258" spans="1:2">
      <c r="A7258" s="225" t="s">
        <v>15127</v>
      </c>
      <c r="B7258" s="225" t="s">
        <v>16661</v>
      </c>
    </row>
    <row r="7259" spans="1:2">
      <c r="A7259" s="225" t="s">
        <v>15276</v>
      </c>
      <c r="B7259" s="225" t="s">
        <v>16662</v>
      </c>
    </row>
    <row r="7260" spans="1:2">
      <c r="A7260" s="225" t="s">
        <v>1820</v>
      </c>
      <c r="B7260" s="225" t="s">
        <v>16663</v>
      </c>
    </row>
    <row r="7261" spans="1:2">
      <c r="A7261" s="225" t="s">
        <v>15115</v>
      </c>
      <c r="B7261" s="225" t="s">
        <v>16664</v>
      </c>
    </row>
    <row r="7262" spans="1:2">
      <c r="A7262" s="225" t="s">
        <v>15116</v>
      </c>
      <c r="B7262" s="225" t="s">
        <v>16665</v>
      </c>
    </row>
    <row r="7263" spans="1:2">
      <c r="A7263" s="225" t="s">
        <v>1797</v>
      </c>
      <c r="B7263" s="225" t="s">
        <v>16666</v>
      </c>
    </row>
    <row r="7264" spans="1:2">
      <c r="A7264" s="225" t="s">
        <v>1824</v>
      </c>
      <c r="B7264" s="225" t="s">
        <v>16667</v>
      </c>
    </row>
    <row r="7265" spans="1:2">
      <c r="A7265" s="225" t="s">
        <v>1799</v>
      </c>
      <c r="B7265" s="225" t="s">
        <v>16668</v>
      </c>
    </row>
    <row r="7266" spans="1:2">
      <c r="A7266" s="225" t="s">
        <v>1802</v>
      </c>
      <c r="B7266" s="225" t="s">
        <v>16669</v>
      </c>
    </row>
    <row r="7267" spans="1:2">
      <c r="A7267" s="225" t="s">
        <v>1925</v>
      </c>
      <c r="B7267" s="225" t="s">
        <v>16670</v>
      </c>
    </row>
    <row r="7268" spans="1:2">
      <c r="A7268" s="225" t="s">
        <v>2032</v>
      </c>
      <c r="B7268" s="225" t="s">
        <v>16671</v>
      </c>
    </row>
    <row r="7269" spans="1:2">
      <c r="A7269" s="225" t="s">
        <v>1883</v>
      </c>
      <c r="B7269" s="225" t="s">
        <v>16672</v>
      </c>
    </row>
    <row r="7270" spans="1:2">
      <c r="A7270" s="225" t="s">
        <v>16673</v>
      </c>
      <c r="B7270" s="225" t="s">
        <v>2149</v>
      </c>
    </row>
    <row r="7271" spans="1:2">
      <c r="A7271" s="225" t="s">
        <v>1907</v>
      </c>
      <c r="B7271" s="225" t="s">
        <v>16674</v>
      </c>
    </row>
    <row r="7272" spans="1:2">
      <c r="A7272" s="225" t="s">
        <v>15117</v>
      </c>
      <c r="B7272" s="225" t="s">
        <v>16675</v>
      </c>
    </row>
    <row r="7273" spans="1:2">
      <c r="A7273" s="225" t="s">
        <v>15118</v>
      </c>
      <c r="B7273" s="225" t="s">
        <v>16676</v>
      </c>
    </row>
    <row r="7274" spans="1:2">
      <c r="A7274" s="225" t="s">
        <v>15119</v>
      </c>
      <c r="B7274" s="225" t="s">
        <v>16677</v>
      </c>
    </row>
    <row r="7275" spans="1:2">
      <c r="A7275" s="225" t="s">
        <v>1804</v>
      </c>
      <c r="B7275" s="225" t="s">
        <v>16677</v>
      </c>
    </row>
    <row r="7276" spans="1:2">
      <c r="A7276" s="225" t="s">
        <v>16678</v>
      </c>
      <c r="B7276" s="225" t="s">
        <v>16679</v>
      </c>
    </row>
    <row r="7277" spans="1:2">
      <c r="A7277" s="225" t="s">
        <v>16680</v>
      </c>
      <c r="B7277" s="225" t="s">
        <v>16679</v>
      </c>
    </row>
    <row r="7278" spans="1:2">
      <c r="A7278" s="225" t="s">
        <v>16681</v>
      </c>
      <c r="B7278" s="225" t="s">
        <v>16682</v>
      </c>
    </row>
    <row r="7279" spans="1:2">
      <c r="A7279" s="225" t="s">
        <v>16683</v>
      </c>
      <c r="B7279" s="225" t="s">
        <v>16682</v>
      </c>
    </row>
    <row r="7280" spans="1:2">
      <c r="A7280" s="225" t="s">
        <v>1827</v>
      </c>
      <c r="B7280" s="225" t="s">
        <v>16684</v>
      </c>
    </row>
    <row r="7281" spans="1:2">
      <c r="A7281" s="225" t="s">
        <v>1829</v>
      </c>
      <c r="B7281" s="225" t="s">
        <v>16684</v>
      </c>
    </row>
    <row r="7282" spans="1:2">
      <c r="A7282" s="225" t="s">
        <v>1904</v>
      </c>
      <c r="B7282" s="225" t="s">
        <v>16685</v>
      </c>
    </row>
    <row r="7283" spans="1:2">
      <c r="A7283" s="225" t="s">
        <v>16686</v>
      </c>
      <c r="B7283" s="225" t="s">
        <v>1903</v>
      </c>
    </row>
    <row r="7284" spans="1:2">
      <c r="A7284" s="225" t="s">
        <v>15294</v>
      </c>
      <c r="B7284" s="225" t="s">
        <v>16687</v>
      </c>
    </row>
    <row r="7285" spans="1:2">
      <c r="A7285" s="225" t="s">
        <v>1832</v>
      </c>
      <c r="B7285" s="225" t="s">
        <v>16687</v>
      </c>
    </row>
    <row r="7286" spans="1:2">
      <c r="A7286" s="225" t="s">
        <v>1902</v>
      </c>
      <c r="B7286" s="225" t="s">
        <v>16688</v>
      </c>
    </row>
    <row r="7287" spans="1:2">
      <c r="A7287" s="225" t="s">
        <v>16689</v>
      </c>
      <c r="B7287" s="225" t="s">
        <v>16690</v>
      </c>
    </row>
    <row r="7288" spans="1:2">
      <c r="A7288" s="225" t="s">
        <v>16691</v>
      </c>
      <c r="B7288" s="225" t="s">
        <v>16692</v>
      </c>
    </row>
    <row r="7289" spans="1:2">
      <c r="A7289" s="225" t="s">
        <v>16693</v>
      </c>
      <c r="B7289" s="225" t="s">
        <v>1870</v>
      </c>
    </row>
    <row r="7290" spans="1:2">
      <c r="A7290" s="225" t="s">
        <v>16694</v>
      </c>
      <c r="B7290" s="225" t="s">
        <v>16695</v>
      </c>
    </row>
    <row r="7291" spans="1:2">
      <c r="A7291" s="225" t="s">
        <v>16696</v>
      </c>
      <c r="B7291" s="225" t="s">
        <v>16697</v>
      </c>
    </row>
    <row r="7292" spans="1:2">
      <c r="A7292" s="225" t="s">
        <v>16698</v>
      </c>
      <c r="B7292" s="225" t="s">
        <v>16699</v>
      </c>
    </row>
    <row r="7293" spans="1:2">
      <c r="A7293" s="225" t="s">
        <v>16700</v>
      </c>
      <c r="B7293" s="225" t="s">
        <v>16701</v>
      </c>
    </row>
    <row r="7294" spans="1:2">
      <c r="A7294" s="225" t="s">
        <v>16702</v>
      </c>
      <c r="B7294" s="225" t="s">
        <v>68</v>
      </c>
    </row>
    <row r="7295" spans="1:2">
      <c r="A7295" s="225" t="s">
        <v>16703</v>
      </c>
      <c r="B7295" s="225" t="s">
        <v>16704</v>
      </c>
    </row>
    <row r="7296" spans="1:2">
      <c r="A7296" s="225" t="s">
        <v>16705</v>
      </c>
      <c r="B7296" s="225" t="s">
        <v>16706</v>
      </c>
    </row>
    <row r="7297" spans="1:2">
      <c r="A7297" s="225" t="s">
        <v>1843</v>
      </c>
      <c r="B7297" s="225" t="s">
        <v>16707</v>
      </c>
    </row>
    <row r="7298" spans="1:2">
      <c r="A7298" s="225" t="s">
        <v>15280</v>
      </c>
      <c r="B7298" s="225" t="s">
        <v>16707</v>
      </c>
    </row>
    <row r="7299" spans="1:2">
      <c r="A7299" s="225" t="s">
        <v>16708</v>
      </c>
      <c r="B7299" s="225" t="s">
        <v>16709</v>
      </c>
    </row>
    <row r="7300" spans="1:2">
      <c r="A7300" s="225" t="s">
        <v>16710</v>
      </c>
      <c r="B7300" s="225" t="s">
        <v>16711</v>
      </c>
    </row>
    <row r="7301" spans="1:2">
      <c r="A7301" s="225" t="s">
        <v>16712</v>
      </c>
      <c r="B7301" s="225" t="s">
        <v>16713</v>
      </c>
    </row>
    <row r="7302" spans="1:2">
      <c r="A7302" s="225" t="s">
        <v>16714</v>
      </c>
      <c r="B7302" s="225" t="s">
        <v>16715</v>
      </c>
    </row>
    <row r="7303" spans="1:2">
      <c r="A7303" s="225" t="s">
        <v>16716</v>
      </c>
      <c r="B7303" s="225" t="s">
        <v>16717</v>
      </c>
    </row>
    <row r="7304" spans="1:2">
      <c r="A7304" s="225" t="s">
        <v>16718</v>
      </c>
      <c r="B7304" s="225" t="s">
        <v>16719</v>
      </c>
    </row>
    <row r="7305" spans="1:2">
      <c r="A7305" s="225" t="s">
        <v>16720</v>
      </c>
      <c r="B7305" s="225" t="s">
        <v>16721</v>
      </c>
    </row>
    <row r="7306" spans="1:2">
      <c r="A7306" s="225" t="s">
        <v>16722</v>
      </c>
      <c r="B7306" s="225" t="s">
        <v>16723</v>
      </c>
    </row>
    <row r="7307" spans="1:2">
      <c r="A7307" s="225" t="s">
        <v>16724</v>
      </c>
      <c r="B7307" s="225" t="s">
        <v>16725</v>
      </c>
    </row>
    <row r="7308" spans="1:2">
      <c r="A7308" s="225" t="s">
        <v>16726</v>
      </c>
      <c r="B7308" s="225" t="s">
        <v>16727</v>
      </c>
    </row>
    <row r="7309" spans="1:2">
      <c r="A7309" s="225" t="s">
        <v>16728</v>
      </c>
      <c r="B7309" s="225" t="s">
        <v>16729</v>
      </c>
    </row>
    <row r="7310" spans="1:2">
      <c r="A7310" s="225" t="s">
        <v>16730</v>
      </c>
      <c r="B7310" s="225" t="s">
        <v>16731</v>
      </c>
    </row>
    <row r="7311" spans="1:2">
      <c r="A7311" s="225" t="s">
        <v>16732</v>
      </c>
      <c r="B7311" s="225" t="s">
        <v>16733</v>
      </c>
    </row>
    <row r="7312" spans="1:2">
      <c r="A7312" s="225" t="s">
        <v>16734</v>
      </c>
      <c r="B7312" s="225" t="s">
        <v>16735</v>
      </c>
    </row>
    <row r="7313" spans="1:2">
      <c r="A7313" s="225" t="s">
        <v>16736</v>
      </c>
      <c r="B7313" s="225" t="s">
        <v>16737</v>
      </c>
    </row>
    <row r="7314" spans="1:2">
      <c r="A7314" s="225" t="s">
        <v>16738</v>
      </c>
      <c r="B7314" s="225" t="s">
        <v>16739</v>
      </c>
    </row>
    <row r="7315" spans="1:2">
      <c r="A7315" s="225" t="s">
        <v>16740</v>
      </c>
      <c r="B7315" s="225" t="s">
        <v>16741</v>
      </c>
    </row>
    <row r="7316" spans="1:2">
      <c r="A7316" s="225" t="s">
        <v>16742</v>
      </c>
      <c r="B7316" s="225" t="s">
        <v>16743</v>
      </c>
    </row>
    <row r="7317" spans="1:2">
      <c r="A7317" s="225" t="s">
        <v>16744</v>
      </c>
      <c r="B7317" s="225" t="s">
        <v>16745</v>
      </c>
    </row>
    <row r="7318" spans="1:2">
      <c r="A7318" s="225" t="s">
        <v>16746</v>
      </c>
      <c r="B7318" s="225" t="s">
        <v>16747</v>
      </c>
    </row>
    <row r="7319" spans="1:2">
      <c r="A7319" s="225" t="s">
        <v>16748</v>
      </c>
      <c r="B7319" s="225" t="s">
        <v>16747</v>
      </c>
    </row>
    <row r="7320" spans="1:2">
      <c r="A7320" s="225" t="s">
        <v>1862</v>
      </c>
      <c r="B7320" s="225" t="s">
        <v>16749</v>
      </c>
    </row>
    <row r="7321" spans="1:2">
      <c r="A7321" s="225" t="s">
        <v>16750</v>
      </c>
      <c r="B7321" s="225" t="s">
        <v>16749</v>
      </c>
    </row>
    <row r="7322" spans="1:2">
      <c r="A7322" s="225" t="s">
        <v>16751</v>
      </c>
      <c r="B7322" s="225" t="s">
        <v>16752</v>
      </c>
    </row>
    <row r="7323" spans="1:2">
      <c r="A7323" s="225" t="s">
        <v>16753</v>
      </c>
      <c r="B7323" s="225" t="s">
        <v>16754</v>
      </c>
    </row>
    <row r="7324" spans="1:2">
      <c r="A7324" s="225" t="s">
        <v>16755</v>
      </c>
      <c r="B7324" s="225" t="s">
        <v>16756</v>
      </c>
    </row>
    <row r="7325" spans="1:2">
      <c r="A7325" s="225" t="s">
        <v>1864</v>
      </c>
      <c r="B7325" s="225" t="s">
        <v>16757</v>
      </c>
    </row>
    <row r="7326" spans="1:2">
      <c r="A7326" s="225" t="s">
        <v>15135</v>
      </c>
      <c r="B7326" s="225" t="s">
        <v>16690</v>
      </c>
    </row>
    <row r="7327" spans="1:2">
      <c r="A7327" s="225" t="s">
        <v>1869</v>
      </c>
      <c r="B7327" s="225" t="s">
        <v>16692</v>
      </c>
    </row>
    <row r="7328" spans="1:2">
      <c r="A7328" s="225" t="s">
        <v>1871</v>
      </c>
      <c r="B7328" s="225" t="s">
        <v>1870</v>
      </c>
    </row>
    <row r="7329" spans="1:2">
      <c r="A7329" s="225" t="s">
        <v>15303</v>
      </c>
      <c r="B7329" s="225" t="s">
        <v>16758</v>
      </c>
    </row>
    <row r="7330" spans="1:2">
      <c r="A7330" s="225" t="s">
        <v>1872</v>
      </c>
      <c r="B7330" s="225" t="s">
        <v>16759</v>
      </c>
    </row>
    <row r="7331" spans="1:2">
      <c r="A7331" s="225" t="s">
        <v>1873</v>
      </c>
      <c r="B7331" s="225" t="s">
        <v>16699</v>
      </c>
    </row>
    <row r="7332" spans="1:2">
      <c r="A7332" s="225" t="s">
        <v>16760</v>
      </c>
      <c r="B7332" s="225" t="s">
        <v>16704</v>
      </c>
    </row>
    <row r="7333" spans="1:2">
      <c r="A7333" s="225" t="s">
        <v>15136</v>
      </c>
      <c r="B7333" s="225" t="s">
        <v>16706</v>
      </c>
    </row>
    <row r="7334" spans="1:2">
      <c r="A7334" s="225" t="s">
        <v>1874</v>
      </c>
      <c r="B7334" s="225" t="s">
        <v>16709</v>
      </c>
    </row>
    <row r="7335" spans="1:2">
      <c r="A7335" s="225" t="s">
        <v>1875</v>
      </c>
      <c r="B7335" s="225" t="s">
        <v>16711</v>
      </c>
    </row>
    <row r="7336" spans="1:2">
      <c r="A7336" s="225" t="s">
        <v>1876</v>
      </c>
      <c r="B7336" s="225" t="s">
        <v>16713</v>
      </c>
    </row>
    <row r="7337" spans="1:2">
      <c r="A7337" s="225" t="s">
        <v>1879</v>
      </c>
      <c r="B7337" s="225" t="s">
        <v>16715</v>
      </c>
    </row>
    <row r="7338" spans="1:2">
      <c r="A7338" s="225" t="s">
        <v>16761</v>
      </c>
      <c r="B7338" s="225" t="s">
        <v>16762</v>
      </c>
    </row>
    <row r="7339" spans="1:2">
      <c r="A7339" s="225" t="s">
        <v>1916</v>
      </c>
      <c r="B7339" s="225" t="s">
        <v>16762</v>
      </c>
    </row>
    <row r="7340" spans="1:2">
      <c r="A7340" s="225" t="s">
        <v>1882</v>
      </c>
      <c r="B7340" s="225" t="s">
        <v>16717</v>
      </c>
    </row>
    <row r="7341" spans="1:2">
      <c r="A7341" s="225" t="s">
        <v>1885</v>
      </c>
      <c r="B7341" s="225" t="s">
        <v>16763</v>
      </c>
    </row>
    <row r="7342" spans="1:2">
      <c r="A7342" s="225" t="s">
        <v>16764</v>
      </c>
      <c r="B7342" s="225" t="s">
        <v>16719</v>
      </c>
    </row>
    <row r="7343" spans="1:2">
      <c r="A7343" s="225" t="s">
        <v>1933</v>
      </c>
      <c r="B7343" s="225" t="s">
        <v>16765</v>
      </c>
    </row>
    <row r="7344" spans="1:2">
      <c r="A7344" s="225" t="s">
        <v>1935</v>
      </c>
      <c r="B7344" s="225" t="s">
        <v>16766</v>
      </c>
    </row>
    <row r="7345" spans="1:2">
      <c r="A7345" s="225" t="s">
        <v>16767</v>
      </c>
      <c r="B7345" s="225" t="s">
        <v>16768</v>
      </c>
    </row>
    <row r="7346" spans="1:2">
      <c r="A7346" s="225" t="s">
        <v>1941</v>
      </c>
      <c r="B7346" s="225" t="s">
        <v>16769</v>
      </c>
    </row>
    <row r="7347" spans="1:2">
      <c r="A7347" s="225" t="s">
        <v>1942</v>
      </c>
      <c r="B7347" s="225" t="s">
        <v>16770</v>
      </c>
    </row>
    <row r="7348" spans="1:2">
      <c r="A7348" s="225" t="s">
        <v>16771</v>
      </c>
      <c r="B7348" s="225" t="s">
        <v>16772</v>
      </c>
    </row>
    <row r="7349" spans="1:2">
      <c r="A7349" s="225" t="s">
        <v>16773</v>
      </c>
      <c r="B7349" s="225" t="s">
        <v>16774</v>
      </c>
    </row>
    <row r="7350" spans="1:2">
      <c r="A7350" s="225" t="s">
        <v>16775</v>
      </c>
      <c r="B7350" s="225" t="s">
        <v>16776</v>
      </c>
    </row>
    <row r="7351" spans="1:2">
      <c r="A7351" s="225" t="s">
        <v>16777</v>
      </c>
      <c r="B7351" s="225" t="s">
        <v>16778</v>
      </c>
    </row>
    <row r="7352" spans="1:2">
      <c r="A7352" s="225" t="s">
        <v>16779</v>
      </c>
      <c r="B7352" s="225" t="s">
        <v>16780</v>
      </c>
    </row>
    <row r="7353" spans="1:2">
      <c r="A7353" s="225" t="s">
        <v>1947</v>
      </c>
      <c r="B7353" s="225" t="s">
        <v>16781</v>
      </c>
    </row>
    <row r="7354" spans="1:2">
      <c r="A7354" s="225" t="s">
        <v>1953</v>
      </c>
      <c r="B7354" s="225" t="s">
        <v>1949</v>
      </c>
    </row>
    <row r="7355" spans="1:2">
      <c r="A7355" s="225" t="s">
        <v>15328</v>
      </c>
      <c r="B7355" s="225" t="s">
        <v>15062</v>
      </c>
    </row>
    <row r="7356" spans="1:2">
      <c r="A7356" s="225" t="s">
        <v>16782</v>
      </c>
      <c r="B7356" s="225" t="s">
        <v>16783</v>
      </c>
    </row>
    <row r="7357" spans="1:2">
      <c r="A7357" s="225" t="s">
        <v>16784</v>
      </c>
      <c r="B7357" s="225" t="s">
        <v>16723</v>
      </c>
    </row>
    <row r="7358" spans="1:2">
      <c r="A7358" s="225" t="s">
        <v>16785</v>
      </c>
      <c r="B7358" s="225" t="s">
        <v>16725</v>
      </c>
    </row>
    <row r="7359" spans="1:2">
      <c r="A7359" s="225" t="s">
        <v>16786</v>
      </c>
      <c r="B7359" s="225" t="s">
        <v>16727</v>
      </c>
    </row>
    <row r="7360" spans="1:2">
      <c r="A7360" s="225" t="s">
        <v>16787</v>
      </c>
      <c r="B7360" s="225" t="s">
        <v>16729</v>
      </c>
    </row>
    <row r="7361" spans="1:2">
      <c r="A7361" s="225" t="s">
        <v>16788</v>
      </c>
      <c r="B7361" s="225" t="s">
        <v>16731</v>
      </c>
    </row>
    <row r="7362" spans="1:2">
      <c r="A7362" s="225" t="s">
        <v>16789</v>
      </c>
      <c r="B7362" s="225" t="s">
        <v>16733</v>
      </c>
    </row>
    <row r="7363" spans="1:2">
      <c r="A7363" s="225" t="s">
        <v>1886</v>
      </c>
      <c r="B7363" s="225" t="s">
        <v>16790</v>
      </c>
    </row>
    <row r="7364" spans="1:2">
      <c r="A7364" s="225" t="s">
        <v>1888</v>
      </c>
      <c r="B7364" s="225" t="s">
        <v>16790</v>
      </c>
    </row>
    <row r="7365" spans="1:2">
      <c r="A7365" s="225" t="s">
        <v>1955</v>
      </c>
      <c r="B7365" s="225" t="s">
        <v>16791</v>
      </c>
    </row>
    <row r="7366" spans="1:2">
      <c r="A7366" s="225" t="s">
        <v>1959</v>
      </c>
      <c r="B7366" s="225" t="s">
        <v>16792</v>
      </c>
    </row>
    <row r="7367" spans="1:2">
      <c r="A7367" s="225" t="s">
        <v>16793</v>
      </c>
      <c r="B7367" s="225" t="s">
        <v>16794</v>
      </c>
    </row>
    <row r="7368" spans="1:2">
      <c r="A7368" s="225" t="s">
        <v>16795</v>
      </c>
      <c r="B7368" s="225" t="s">
        <v>16796</v>
      </c>
    </row>
    <row r="7369" spans="1:2">
      <c r="A7369" s="225" t="s">
        <v>16797</v>
      </c>
      <c r="B7369" s="225" t="s">
        <v>16798</v>
      </c>
    </row>
    <row r="7370" spans="1:2">
      <c r="A7370" s="225" t="s">
        <v>16799</v>
      </c>
      <c r="B7370" s="225" t="s">
        <v>16800</v>
      </c>
    </row>
    <row r="7371" spans="1:2">
      <c r="A7371" s="225" t="s">
        <v>16801</v>
      </c>
      <c r="B7371" s="225" t="s">
        <v>16802</v>
      </c>
    </row>
    <row r="7372" spans="1:2">
      <c r="A7372" s="225" t="s">
        <v>15334</v>
      </c>
      <c r="B7372" s="225" t="s">
        <v>16803</v>
      </c>
    </row>
    <row r="7373" spans="1:2">
      <c r="A7373" s="225" t="s">
        <v>16804</v>
      </c>
      <c r="B7373" s="225" t="s">
        <v>16805</v>
      </c>
    </row>
    <row r="7374" spans="1:2">
      <c r="A7374" s="225" t="s">
        <v>16806</v>
      </c>
      <c r="B7374" s="225" t="s">
        <v>16807</v>
      </c>
    </row>
    <row r="7375" spans="1:2">
      <c r="A7375" s="225" t="s">
        <v>16808</v>
      </c>
      <c r="B7375" s="225" t="s">
        <v>16809</v>
      </c>
    </row>
    <row r="7376" spans="1:2">
      <c r="A7376" s="225" t="s">
        <v>15338</v>
      </c>
      <c r="B7376" s="225" t="s">
        <v>16810</v>
      </c>
    </row>
    <row r="7377" spans="1:2">
      <c r="A7377" s="225" t="s">
        <v>15340</v>
      </c>
      <c r="B7377" s="225" t="s">
        <v>16811</v>
      </c>
    </row>
    <row r="7378" spans="1:2">
      <c r="A7378" s="225" t="s">
        <v>1967</v>
      </c>
      <c r="B7378" s="225" t="s">
        <v>16812</v>
      </c>
    </row>
    <row r="7379" spans="1:2">
      <c r="A7379" s="225" t="s">
        <v>1969</v>
      </c>
      <c r="B7379" s="225" t="s">
        <v>16813</v>
      </c>
    </row>
    <row r="7380" spans="1:2">
      <c r="A7380" s="225" t="s">
        <v>1970</v>
      </c>
      <c r="B7380" s="225" t="s">
        <v>16814</v>
      </c>
    </row>
    <row r="7381" spans="1:2">
      <c r="A7381" s="225" t="s">
        <v>16815</v>
      </c>
      <c r="B7381" s="225" t="s">
        <v>16816</v>
      </c>
    </row>
    <row r="7382" spans="1:2">
      <c r="A7382" s="225" t="s">
        <v>1981</v>
      </c>
      <c r="B7382" s="225" t="s">
        <v>16817</v>
      </c>
    </row>
    <row r="7383" spans="1:2">
      <c r="A7383" s="225" t="s">
        <v>1988</v>
      </c>
      <c r="B7383" s="225" t="s">
        <v>16818</v>
      </c>
    </row>
    <row r="7384" spans="1:2">
      <c r="A7384" s="225" t="s">
        <v>1991</v>
      </c>
      <c r="B7384" s="225" t="s">
        <v>16819</v>
      </c>
    </row>
    <row r="7385" spans="1:2">
      <c r="A7385" s="225" t="s">
        <v>1992</v>
      </c>
      <c r="B7385" s="225" t="s">
        <v>16820</v>
      </c>
    </row>
    <row r="7386" spans="1:2">
      <c r="A7386" s="225" t="s">
        <v>16821</v>
      </c>
      <c r="B7386" s="225" t="s">
        <v>16822</v>
      </c>
    </row>
    <row r="7387" spans="1:2">
      <c r="A7387" s="225" t="s">
        <v>1996</v>
      </c>
      <c r="B7387" s="225" t="s">
        <v>16823</v>
      </c>
    </row>
    <row r="7388" spans="1:2">
      <c r="A7388" s="225" t="s">
        <v>15143</v>
      </c>
      <c r="B7388" s="225" t="s">
        <v>16824</v>
      </c>
    </row>
    <row r="7389" spans="1:2">
      <c r="A7389" s="225" t="s">
        <v>1999</v>
      </c>
      <c r="B7389" s="225" t="s">
        <v>16825</v>
      </c>
    </row>
    <row r="7390" spans="1:2">
      <c r="A7390" s="225" t="s">
        <v>16826</v>
      </c>
      <c r="B7390" s="225" t="s">
        <v>16827</v>
      </c>
    </row>
    <row r="7391" spans="1:2">
      <c r="A7391" s="225" t="s">
        <v>16828</v>
      </c>
      <c r="B7391" s="225" t="s">
        <v>15778</v>
      </c>
    </row>
    <row r="7392" spans="1:2">
      <c r="A7392" s="225" t="s">
        <v>2005</v>
      </c>
      <c r="B7392" s="225" t="s">
        <v>16829</v>
      </c>
    </row>
    <row r="7393" spans="1:2">
      <c r="A7393" s="225" t="s">
        <v>2006</v>
      </c>
      <c r="B7393" s="225" t="s">
        <v>16830</v>
      </c>
    </row>
    <row r="7394" spans="1:2">
      <c r="A7394" s="225" t="s">
        <v>2007</v>
      </c>
      <c r="B7394" s="225" t="s">
        <v>16831</v>
      </c>
    </row>
    <row r="7395" spans="1:2">
      <c r="A7395" s="225" t="s">
        <v>15343</v>
      </c>
      <c r="B7395" s="225" t="s">
        <v>16832</v>
      </c>
    </row>
    <row r="7396" spans="1:2">
      <c r="A7396" s="225" t="s">
        <v>2009</v>
      </c>
      <c r="B7396" s="225" t="s">
        <v>16833</v>
      </c>
    </row>
    <row r="7397" spans="1:2">
      <c r="A7397" s="225" t="s">
        <v>2010</v>
      </c>
      <c r="B7397" s="225" t="s">
        <v>16834</v>
      </c>
    </row>
    <row r="7398" spans="1:2">
      <c r="A7398" s="225" t="s">
        <v>15345</v>
      </c>
      <c r="B7398" s="225" t="s">
        <v>16835</v>
      </c>
    </row>
    <row r="7399" spans="1:2">
      <c r="A7399" s="225" t="s">
        <v>2012</v>
      </c>
      <c r="B7399" s="225" t="s">
        <v>16836</v>
      </c>
    </row>
    <row r="7400" spans="1:2">
      <c r="A7400" s="225" t="s">
        <v>2013</v>
      </c>
      <c r="B7400" s="225" t="s">
        <v>16837</v>
      </c>
    </row>
    <row r="7401" spans="1:2">
      <c r="A7401" s="225" t="s">
        <v>15347</v>
      </c>
      <c r="B7401" s="225" t="s">
        <v>16838</v>
      </c>
    </row>
    <row r="7402" spans="1:2">
      <c r="A7402" s="225" t="s">
        <v>2015</v>
      </c>
      <c r="B7402" s="225" t="s">
        <v>16839</v>
      </c>
    </row>
    <row r="7403" spans="1:2">
      <c r="A7403" s="225" t="s">
        <v>2016</v>
      </c>
      <c r="B7403" s="225" t="s">
        <v>16840</v>
      </c>
    </row>
    <row r="7404" spans="1:2">
      <c r="A7404" s="225" t="s">
        <v>16841</v>
      </c>
      <c r="B7404" s="225" t="s">
        <v>16842</v>
      </c>
    </row>
    <row r="7405" spans="1:2">
      <c r="A7405" s="225" t="s">
        <v>15349</v>
      </c>
      <c r="B7405" s="225" t="s">
        <v>16843</v>
      </c>
    </row>
    <row r="7406" spans="1:2">
      <c r="A7406" s="225" t="s">
        <v>2018</v>
      </c>
      <c r="B7406" s="225" t="s">
        <v>16844</v>
      </c>
    </row>
    <row r="7407" spans="1:2">
      <c r="A7407" s="225" t="s">
        <v>2019</v>
      </c>
      <c r="B7407" s="225" t="s">
        <v>16845</v>
      </c>
    </row>
    <row r="7408" spans="1:2">
      <c r="A7408" s="225" t="s">
        <v>16846</v>
      </c>
      <c r="B7408" s="225" t="s">
        <v>16847</v>
      </c>
    </row>
    <row r="7409" spans="1:2">
      <c r="A7409" s="225" t="s">
        <v>16848</v>
      </c>
      <c r="B7409" s="225" t="s">
        <v>16849</v>
      </c>
    </row>
    <row r="7410" spans="1:2">
      <c r="A7410" s="225" t="s">
        <v>16850</v>
      </c>
      <c r="B7410" s="225" t="s">
        <v>16851</v>
      </c>
    </row>
    <row r="7411" spans="1:2">
      <c r="A7411" s="225" t="s">
        <v>16852</v>
      </c>
      <c r="B7411" s="225" t="s">
        <v>14969</v>
      </c>
    </row>
    <row r="7412" spans="1:2">
      <c r="A7412" s="225" t="s">
        <v>15352</v>
      </c>
      <c r="B7412" s="225" t="s">
        <v>16853</v>
      </c>
    </row>
    <row r="7413" spans="1:2">
      <c r="A7413" s="225" t="s">
        <v>15353</v>
      </c>
      <c r="B7413" s="225" t="s">
        <v>16854</v>
      </c>
    </row>
    <row r="7414" spans="1:2">
      <c r="A7414" s="225" t="s">
        <v>2022</v>
      </c>
      <c r="B7414" s="225" t="s">
        <v>16855</v>
      </c>
    </row>
    <row r="7415" spans="1:2">
      <c r="A7415" s="225" t="s">
        <v>2023</v>
      </c>
      <c r="B7415" s="225" t="s">
        <v>16856</v>
      </c>
    </row>
    <row r="7416" spans="1:2">
      <c r="A7416" s="225" t="s">
        <v>16857</v>
      </c>
      <c r="B7416" s="225" t="s">
        <v>16858</v>
      </c>
    </row>
    <row r="7417" spans="1:2">
      <c r="A7417" s="225" t="s">
        <v>2025</v>
      </c>
      <c r="B7417" s="225" t="s">
        <v>16859</v>
      </c>
    </row>
    <row r="7418" spans="1:2">
      <c r="A7418" s="225" t="s">
        <v>2026</v>
      </c>
      <c r="B7418" s="225" t="s">
        <v>16860</v>
      </c>
    </row>
    <row r="7419" spans="1:2">
      <c r="A7419" s="225" t="s">
        <v>2027</v>
      </c>
      <c r="B7419" s="225" t="s">
        <v>16861</v>
      </c>
    </row>
    <row r="7420" spans="1:2">
      <c r="A7420" s="225" t="s">
        <v>2028</v>
      </c>
      <c r="B7420" s="225" t="s">
        <v>16862</v>
      </c>
    </row>
    <row r="7421" spans="1:2">
      <c r="A7421" s="225" t="s">
        <v>15354</v>
      </c>
      <c r="B7421" s="225" t="s">
        <v>16863</v>
      </c>
    </row>
    <row r="7422" spans="1:2">
      <c r="A7422" s="225" t="s">
        <v>2030</v>
      </c>
      <c r="B7422" s="225" t="s">
        <v>16864</v>
      </c>
    </row>
    <row r="7423" spans="1:2">
      <c r="A7423" s="225" t="s">
        <v>16865</v>
      </c>
      <c r="B7423" s="225" t="s">
        <v>16866</v>
      </c>
    </row>
    <row r="7424" spans="1:2">
      <c r="A7424" s="225" t="s">
        <v>16879</v>
      </c>
      <c r="B7424" s="225" t="s">
        <v>16880</v>
      </c>
    </row>
    <row r="7425" spans="1:2">
      <c r="A7425" s="225" t="s">
        <v>16881</v>
      </c>
      <c r="B7425" s="225" t="s">
        <v>16735</v>
      </c>
    </row>
    <row r="7426" spans="1:2">
      <c r="A7426" s="225" t="s">
        <v>15324</v>
      </c>
      <c r="B7426" s="225" t="s">
        <v>1910</v>
      </c>
    </row>
    <row r="7427" spans="1:2">
      <c r="A7427" s="225" t="s">
        <v>15307</v>
      </c>
      <c r="B7427" s="225" t="s">
        <v>16737</v>
      </c>
    </row>
    <row r="7428" spans="1:2">
      <c r="A7428" s="225" t="s">
        <v>15308</v>
      </c>
      <c r="B7428" s="225" t="s">
        <v>16739</v>
      </c>
    </row>
    <row r="7429" spans="1:2">
      <c r="A7429" s="225" t="s">
        <v>17924</v>
      </c>
      <c r="B7429" s="225" t="s">
        <v>16741</v>
      </c>
    </row>
    <row r="7430" spans="1:2">
      <c r="A7430" s="225" t="s">
        <v>17925</v>
      </c>
      <c r="B7430" s="225" t="s">
        <v>16743</v>
      </c>
    </row>
    <row r="7431" spans="1:2">
      <c r="A7431" s="225" t="s">
        <v>17926</v>
      </c>
      <c r="B7431" s="225" t="s">
        <v>17526</v>
      </c>
    </row>
    <row r="7432" spans="1:2">
      <c r="A7432" s="225" t="s">
        <v>17927</v>
      </c>
      <c r="B7432" s="225" t="s">
        <v>2175</v>
      </c>
    </row>
    <row r="7433" spans="1:2">
      <c r="A7433" s="225" t="s">
        <v>1898</v>
      </c>
      <c r="B7433" s="225" t="s">
        <v>17928</v>
      </c>
    </row>
    <row r="7434" spans="1:2">
      <c r="A7434" s="225" t="s">
        <v>17929</v>
      </c>
      <c r="B7434" s="225" t="s">
        <v>16745</v>
      </c>
    </row>
    <row r="7435" spans="1:2">
      <c r="A7435" s="225" t="s">
        <v>15296</v>
      </c>
      <c r="B7435" s="225" t="s">
        <v>17930</v>
      </c>
    </row>
    <row r="7436" spans="1:2">
      <c r="A7436" s="225" t="s">
        <v>15283</v>
      </c>
      <c r="B7436" s="225" t="s">
        <v>17930</v>
      </c>
    </row>
    <row r="7437" spans="1:2">
      <c r="A7437" s="225" t="s">
        <v>15122</v>
      </c>
      <c r="B7437" s="225" t="s">
        <v>17931</v>
      </c>
    </row>
    <row r="7438" spans="1:2">
      <c r="A7438" s="225" t="s">
        <v>14863</v>
      </c>
      <c r="B7438" s="225" t="s">
        <v>17931</v>
      </c>
    </row>
    <row r="7439" spans="1:2">
      <c r="A7439" s="225" t="s">
        <v>17932</v>
      </c>
      <c r="B7439" s="225" t="s">
        <v>17933</v>
      </c>
    </row>
    <row r="7440" spans="1:2">
      <c r="A7440" s="225" t="s">
        <v>17934</v>
      </c>
      <c r="B7440" s="225" t="s">
        <v>17933</v>
      </c>
    </row>
    <row r="7441" spans="1:2">
      <c r="A7441" s="225" t="s">
        <v>15287</v>
      </c>
      <c r="B7441" s="225" t="s">
        <v>16752</v>
      </c>
    </row>
    <row r="7442" spans="1:2">
      <c r="A7442" s="225" t="s">
        <v>17935</v>
      </c>
      <c r="B7442" s="225" t="s">
        <v>16754</v>
      </c>
    </row>
    <row r="7443" spans="1:2">
      <c r="A7443" s="225" t="s">
        <v>17936</v>
      </c>
      <c r="B7443" s="225" t="s">
        <v>16756</v>
      </c>
    </row>
    <row r="7444" spans="1:2">
      <c r="A7444" s="225" t="s">
        <v>17937</v>
      </c>
      <c r="B7444" s="225" t="s">
        <v>17938</v>
      </c>
    </row>
    <row r="7445" spans="1:2">
      <c r="A7445" s="225" t="s">
        <v>17939</v>
      </c>
      <c r="B7445" s="225" t="s">
        <v>17938</v>
      </c>
    </row>
    <row r="7446" spans="1:2">
      <c r="A7446" s="225" t="s">
        <v>17940</v>
      </c>
      <c r="B7446" s="225" t="s">
        <v>17941</v>
      </c>
    </row>
    <row r="7447" spans="1:2">
      <c r="A7447" s="225" t="s">
        <v>17942</v>
      </c>
      <c r="B7447" s="225" t="s">
        <v>17941</v>
      </c>
    </row>
    <row r="7448" spans="1:2">
      <c r="A7448" s="225" t="s">
        <v>17943</v>
      </c>
      <c r="B7448" s="225" t="s">
        <v>17944</v>
      </c>
    </row>
    <row r="7449" spans="1:2">
      <c r="A7449" s="225" t="s">
        <v>1915</v>
      </c>
      <c r="B7449" s="225" t="s">
        <v>17944</v>
      </c>
    </row>
    <row r="7450" spans="1:2">
      <c r="A7450" s="225" t="s">
        <v>15315</v>
      </c>
      <c r="B7450" s="225" t="s">
        <v>17945</v>
      </c>
    </row>
    <row r="7451" spans="1:2">
      <c r="A7451" s="225" t="s">
        <v>17946</v>
      </c>
      <c r="B7451" s="225" t="s">
        <v>17945</v>
      </c>
    </row>
    <row r="7452" spans="1:2">
      <c r="A7452" s="225" t="s">
        <v>15319</v>
      </c>
      <c r="B7452" s="225" t="s">
        <v>17947</v>
      </c>
    </row>
    <row r="7453" spans="1:2">
      <c r="A7453" s="225" t="s">
        <v>15290</v>
      </c>
      <c r="B7453" s="225" t="s">
        <v>17947</v>
      </c>
    </row>
    <row r="7454" spans="1:2">
      <c r="A7454" s="225" t="s">
        <v>1798</v>
      </c>
      <c r="B7454" s="225" t="s">
        <v>1795</v>
      </c>
    </row>
    <row r="7455" spans="1:2">
      <c r="A7455" s="225" t="s">
        <v>2031</v>
      </c>
      <c r="B7455" s="225" t="s">
        <v>17948</v>
      </c>
    </row>
    <row r="7456" spans="1:2">
      <c r="A7456" s="225" t="s">
        <v>1922</v>
      </c>
      <c r="B7456" s="225" t="s">
        <v>2785</v>
      </c>
    </row>
    <row r="7457" spans="1:2">
      <c r="A7457" s="225" t="s">
        <v>1957</v>
      </c>
      <c r="B7457" s="225" t="s">
        <v>1956</v>
      </c>
    </row>
    <row r="7458" spans="1:2">
      <c r="A7458" s="225" t="s">
        <v>17949</v>
      </c>
      <c r="B7458" s="225" t="s">
        <v>17950</v>
      </c>
    </row>
    <row r="7459" spans="1:2">
      <c r="A7459" s="225" t="s">
        <v>1932</v>
      </c>
      <c r="B7459" s="225" t="s">
        <v>16765</v>
      </c>
    </row>
    <row r="7460" spans="1:2">
      <c r="A7460" s="225" t="s">
        <v>1934</v>
      </c>
      <c r="B7460" s="225" t="s">
        <v>16766</v>
      </c>
    </row>
    <row r="7461" spans="1:2">
      <c r="A7461" s="225" t="s">
        <v>17951</v>
      </c>
      <c r="B7461" s="225" t="s">
        <v>16768</v>
      </c>
    </row>
    <row r="7462" spans="1:2">
      <c r="A7462" s="225" t="s">
        <v>17952</v>
      </c>
      <c r="B7462" s="225" t="s">
        <v>17953</v>
      </c>
    </row>
    <row r="7463" spans="1:2">
      <c r="A7463" s="225" t="s">
        <v>1923</v>
      </c>
      <c r="B7463" s="225" t="s">
        <v>1921</v>
      </c>
    </row>
    <row r="7464" spans="1:2">
      <c r="A7464" s="225" t="s">
        <v>17954</v>
      </c>
      <c r="B7464" s="225" t="s">
        <v>17955</v>
      </c>
    </row>
    <row r="7465" spans="1:2">
      <c r="A7465" s="225" t="s">
        <v>1940</v>
      </c>
      <c r="B7465" s="225" t="s">
        <v>16769</v>
      </c>
    </row>
    <row r="7466" spans="1:2">
      <c r="A7466" s="225" t="s">
        <v>17956</v>
      </c>
      <c r="B7466" s="225" t="s">
        <v>16772</v>
      </c>
    </row>
    <row r="7467" spans="1:2">
      <c r="A7467" s="225" t="s">
        <v>17957</v>
      </c>
      <c r="B7467" s="225" t="s">
        <v>17958</v>
      </c>
    </row>
    <row r="7468" spans="1:2">
      <c r="A7468" s="225" t="s">
        <v>17959</v>
      </c>
      <c r="B7468" s="225" t="s">
        <v>11104</v>
      </c>
    </row>
    <row r="7469" spans="1:2">
      <c r="A7469" s="225" t="s">
        <v>17960</v>
      </c>
      <c r="B7469" s="225" t="s">
        <v>16776</v>
      </c>
    </row>
    <row r="7470" spans="1:2">
      <c r="A7470" s="225" t="s">
        <v>17961</v>
      </c>
      <c r="B7470" s="225" t="s">
        <v>16778</v>
      </c>
    </row>
    <row r="7471" spans="1:2">
      <c r="A7471" s="225" t="s">
        <v>17962</v>
      </c>
      <c r="B7471" s="225" t="s">
        <v>16780</v>
      </c>
    </row>
    <row r="7472" spans="1:2">
      <c r="A7472" s="225" t="s">
        <v>1945</v>
      </c>
      <c r="B7472" s="225" t="s">
        <v>17963</v>
      </c>
    </row>
    <row r="7473" spans="1:2">
      <c r="A7473" s="225" t="s">
        <v>1946</v>
      </c>
      <c r="B7473" s="225" t="s">
        <v>17963</v>
      </c>
    </row>
    <row r="7474" spans="1:2">
      <c r="A7474" s="225" t="s">
        <v>17964</v>
      </c>
      <c r="B7474" s="225" t="s">
        <v>17965</v>
      </c>
    </row>
    <row r="7475" spans="1:2">
      <c r="A7475" s="225" t="s">
        <v>1951</v>
      </c>
      <c r="B7475" s="225" t="s">
        <v>17966</v>
      </c>
    </row>
    <row r="7476" spans="1:2">
      <c r="A7476" s="225" t="s">
        <v>1952</v>
      </c>
      <c r="B7476" s="225" t="s">
        <v>1949</v>
      </c>
    </row>
    <row r="7477" spans="1:2">
      <c r="A7477" s="225" t="s">
        <v>1954</v>
      </c>
      <c r="B7477" s="225" t="s">
        <v>16791</v>
      </c>
    </row>
    <row r="7478" spans="1:2">
      <c r="A7478" s="225" t="s">
        <v>1958</v>
      </c>
      <c r="B7478" s="225" t="s">
        <v>16792</v>
      </c>
    </row>
    <row r="7479" spans="1:2">
      <c r="A7479" s="225" t="s">
        <v>17967</v>
      </c>
      <c r="B7479" s="225" t="s">
        <v>17968</v>
      </c>
    </row>
    <row r="7480" spans="1:2">
      <c r="A7480" s="225" t="s">
        <v>17969</v>
      </c>
      <c r="B7480" s="225" t="s">
        <v>17970</v>
      </c>
    </row>
    <row r="7481" spans="1:2">
      <c r="A7481" s="225" t="s">
        <v>17971</v>
      </c>
      <c r="B7481" s="225" t="s">
        <v>16798</v>
      </c>
    </row>
    <row r="7482" spans="1:2">
      <c r="A7482" s="225" t="s">
        <v>17972</v>
      </c>
      <c r="B7482" s="225" t="s">
        <v>16800</v>
      </c>
    </row>
    <row r="7483" spans="1:2">
      <c r="A7483" s="225" t="s">
        <v>17973</v>
      </c>
      <c r="B7483" s="225" t="s">
        <v>16802</v>
      </c>
    </row>
    <row r="7484" spans="1:2">
      <c r="A7484" s="225" t="s">
        <v>15330</v>
      </c>
      <c r="B7484" s="225" t="s">
        <v>17974</v>
      </c>
    </row>
    <row r="7485" spans="1:2">
      <c r="A7485" s="225" t="s">
        <v>15333</v>
      </c>
      <c r="B7485" s="225" t="s">
        <v>16803</v>
      </c>
    </row>
    <row r="7486" spans="1:2">
      <c r="A7486" s="225" t="s">
        <v>1961</v>
      </c>
      <c r="B7486" s="225" t="s">
        <v>17975</v>
      </c>
    </row>
    <row r="7487" spans="1:2">
      <c r="A7487" s="225" t="s">
        <v>17976</v>
      </c>
      <c r="B7487" s="225" t="s">
        <v>16805</v>
      </c>
    </row>
    <row r="7488" spans="1:2">
      <c r="A7488" s="225" t="s">
        <v>17977</v>
      </c>
      <c r="B7488" s="225" t="s">
        <v>17978</v>
      </c>
    </row>
    <row r="7489" spans="1:2">
      <c r="A7489" s="225" t="s">
        <v>17979</v>
      </c>
      <c r="B7489" s="225" t="s">
        <v>16809</v>
      </c>
    </row>
    <row r="7490" spans="1:2">
      <c r="A7490" s="225" t="s">
        <v>15337</v>
      </c>
      <c r="B7490" s="225" t="s">
        <v>16810</v>
      </c>
    </row>
    <row r="7491" spans="1:2">
      <c r="A7491" s="225" t="s">
        <v>15339</v>
      </c>
      <c r="B7491" s="225" t="s">
        <v>16811</v>
      </c>
    </row>
    <row r="7492" spans="1:2">
      <c r="A7492" s="225" t="s">
        <v>1966</v>
      </c>
      <c r="B7492" s="225" t="s">
        <v>16812</v>
      </c>
    </row>
    <row r="7493" spans="1:2">
      <c r="A7493" s="225" t="s">
        <v>17980</v>
      </c>
      <c r="B7493" s="225" t="s">
        <v>17981</v>
      </c>
    </row>
    <row r="7494" spans="1:2">
      <c r="A7494" s="225" t="s">
        <v>17982</v>
      </c>
      <c r="B7494" s="225" t="s">
        <v>17983</v>
      </c>
    </row>
    <row r="7495" spans="1:2">
      <c r="A7495" s="225" t="s">
        <v>17984</v>
      </c>
      <c r="B7495" s="225" t="s">
        <v>17985</v>
      </c>
    </row>
    <row r="7496" spans="1:2">
      <c r="A7496" s="225" t="s">
        <v>17986</v>
      </c>
      <c r="B7496" s="225" t="s">
        <v>17987</v>
      </c>
    </row>
    <row r="7497" spans="1:2">
      <c r="A7497" s="225" t="s">
        <v>1978</v>
      </c>
      <c r="B7497" s="225" t="s">
        <v>17988</v>
      </c>
    </row>
    <row r="7498" spans="1:2">
      <c r="A7498" s="225" t="s">
        <v>1989</v>
      </c>
      <c r="B7498" s="225" t="s">
        <v>17989</v>
      </c>
    </row>
    <row r="7499" spans="1:2">
      <c r="A7499" s="225" t="s">
        <v>1990</v>
      </c>
      <c r="B7499" s="225" t="s">
        <v>17990</v>
      </c>
    </row>
    <row r="7500" spans="1:2">
      <c r="A7500" s="225" t="s">
        <v>1997</v>
      </c>
      <c r="B7500" s="225" t="s">
        <v>17991</v>
      </c>
    </row>
    <row r="7501" spans="1:2">
      <c r="A7501" s="225" t="s">
        <v>1998</v>
      </c>
      <c r="B7501" s="225" t="s">
        <v>17992</v>
      </c>
    </row>
    <row r="7502" spans="1:2">
      <c r="A7502" s="225" t="s">
        <v>2002</v>
      </c>
      <c r="B7502" s="225" t="s">
        <v>17993</v>
      </c>
    </row>
    <row r="7503" spans="1:2">
      <c r="A7503" s="225" t="s">
        <v>17994</v>
      </c>
      <c r="B7503" s="225" t="s">
        <v>17995</v>
      </c>
    </row>
    <row r="7504" spans="1:2">
      <c r="A7504" s="225" t="s">
        <v>2020</v>
      </c>
      <c r="B7504" s="225" t="s">
        <v>17996</v>
      </c>
    </row>
    <row r="7505" spans="1:2">
      <c r="A7505" s="225" t="s">
        <v>2021</v>
      </c>
      <c r="B7505" s="225" t="s">
        <v>16853</v>
      </c>
    </row>
    <row r="7506" spans="1:2">
      <c r="A7506" s="225" t="s">
        <v>2024</v>
      </c>
      <c r="B7506" s="225" t="s">
        <v>17997</v>
      </c>
    </row>
    <row r="7507" spans="1:2">
      <c r="A7507" s="225" t="s">
        <v>2029</v>
      </c>
      <c r="B7507" s="225" t="s">
        <v>17998</v>
      </c>
    </row>
    <row r="7508" spans="1:2">
      <c r="A7508" s="225" t="s">
        <v>17999</v>
      </c>
      <c r="B7508" s="225" t="s">
        <v>18000</v>
      </c>
    </row>
    <row r="7509" spans="1:2">
      <c r="A7509" s="225" t="s">
        <v>15355</v>
      </c>
      <c r="B7509" s="225" t="s">
        <v>18001</v>
      </c>
    </row>
    <row r="7510" spans="1:2">
      <c r="A7510" s="225" t="s">
        <v>693</v>
      </c>
      <c r="B7510" s="225" t="s">
        <v>14873</v>
      </c>
    </row>
    <row r="7511" spans="1:2">
      <c r="A7511" s="225" t="s">
        <v>692</v>
      </c>
      <c r="B7511" s="225" t="s">
        <v>14873</v>
      </c>
    </row>
    <row r="7512" spans="1:2">
      <c r="A7512" s="225" t="s">
        <v>14966</v>
      </c>
      <c r="B7512" s="225" t="s">
        <v>14967</v>
      </c>
    </row>
    <row r="7513" spans="1:2">
      <c r="A7513" s="225" t="s">
        <v>1750</v>
      </c>
      <c r="B7513" s="225" t="s">
        <v>1749</v>
      </c>
    </row>
    <row r="7514" spans="1:2">
      <c r="A7514" s="225" t="s">
        <v>14994</v>
      </c>
      <c r="B7514" s="225" t="s">
        <v>1706</v>
      </c>
    </row>
    <row r="7515" spans="1:2">
      <c r="A7515" s="225" t="s">
        <v>14995</v>
      </c>
      <c r="B7515" s="225" t="s">
        <v>1747</v>
      </c>
    </row>
    <row r="7516" spans="1:2">
      <c r="A7516" s="225" t="s">
        <v>14998</v>
      </c>
      <c r="B7516" s="225" t="s">
        <v>1744</v>
      </c>
    </row>
    <row r="7517" spans="1:2">
      <c r="A7517" s="225" t="s">
        <v>1741</v>
      </c>
      <c r="B7517" s="225" t="s">
        <v>1740</v>
      </c>
    </row>
    <row r="7518" spans="1:2">
      <c r="A7518" s="225" t="s">
        <v>1737</v>
      </c>
      <c r="B7518" s="225" t="s">
        <v>1736</v>
      </c>
    </row>
    <row r="7519" spans="1:2">
      <c r="A7519" s="225" t="s">
        <v>15000</v>
      </c>
      <c r="B7519" s="225" t="s">
        <v>1730</v>
      </c>
    </row>
    <row r="7520" spans="1:2">
      <c r="A7520" s="225" t="s">
        <v>1732</v>
      </c>
      <c r="B7520" s="225" t="s">
        <v>1731</v>
      </c>
    </row>
    <row r="7521" spans="1:2">
      <c r="A7521" s="225" t="s">
        <v>15002</v>
      </c>
      <c r="B7521" s="225" t="s">
        <v>1727</v>
      </c>
    </row>
    <row r="7522" spans="1:2">
      <c r="A7522" s="225" t="s">
        <v>1708</v>
      </c>
      <c r="B7522" s="225" t="s">
        <v>1707</v>
      </c>
    </row>
    <row r="7523" spans="1:2">
      <c r="A7523" s="225" t="s">
        <v>15003</v>
      </c>
      <c r="B7523" s="225" t="s">
        <v>14967</v>
      </c>
    </row>
    <row r="7524" spans="1:2">
      <c r="A7524" s="225" t="s">
        <v>15018</v>
      </c>
      <c r="B7524" s="225" t="s">
        <v>15019</v>
      </c>
    </row>
    <row r="7525" spans="1:2">
      <c r="A7525" s="225" t="s">
        <v>690</v>
      </c>
      <c r="B7525" s="225" t="s">
        <v>14874</v>
      </c>
    </row>
    <row r="7526" spans="1:2">
      <c r="A7526" s="225" t="s">
        <v>1662</v>
      </c>
      <c r="B7526" s="225" t="s">
        <v>14879</v>
      </c>
    </row>
    <row r="7527" spans="1:2">
      <c r="A7527" s="225" t="s">
        <v>1664</v>
      </c>
      <c r="B7527" s="225" t="s">
        <v>14880</v>
      </c>
    </row>
    <row r="7528" spans="1:2">
      <c r="A7528" s="225" t="s">
        <v>1911</v>
      </c>
      <c r="B7528" s="225" t="s">
        <v>14881</v>
      </c>
    </row>
    <row r="7529" spans="1:2">
      <c r="A7529" s="225" t="s">
        <v>14882</v>
      </c>
      <c r="B7529" s="225" t="s">
        <v>14881</v>
      </c>
    </row>
    <row r="7530" spans="1:2">
      <c r="A7530" s="225" t="s">
        <v>14883</v>
      </c>
      <c r="B7530" s="225" t="s">
        <v>14884</v>
      </c>
    </row>
    <row r="7531" spans="1:2">
      <c r="A7531" s="225" t="s">
        <v>1960</v>
      </c>
      <c r="B7531" s="225" t="s">
        <v>14885</v>
      </c>
    </row>
    <row r="7532" spans="1:2">
      <c r="A7532" s="225" t="s">
        <v>1790</v>
      </c>
      <c r="B7532" s="225" t="s">
        <v>14892</v>
      </c>
    </row>
    <row r="7533" spans="1:2">
      <c r="A7533" s="225" t="s">
        <v>1718</v>
      </c>
      <c r="B7533" s="225" t="s">
        <v>14893</v>
      </c>
    </row>
    <row r="7534" spans="1:2">
      <c r="A7534" s="225" t="s">
        <v>1719</v>
      </c>
      <c r="B7534" s="225" t="s">
        <v>14894</v>
      </c>
    </row>
    <row r="7535" spans="1:2">
      <c r="A7535" s="225" t="s">
        <v>1721</v>
      </c>
      <c r="B7535" s="225" t="s">
        <v>14895</v>
      </c>
    </row>
    <row r="7536" spans="1:2">
      <c r="A7536" s="225" t="s">
        <v>1722</v>
      </c>
      <c r="B7536" s="225" t="s">
        <v>14896</v>
      </c>
    </row>
    <row r="7537" spans="1:2">
      <c r="A7537" s="225" t="s">
        <v>1723</v>
      </c>
      <c r="B7537" s="225" t="s">
        <v>14897</v>
      </c>
    </row>
    <row r="7538" spans="1:2">
      <c r="A7538" s="225" t="s">
        <v>1725</v>
      </c>
      <c r="B7538" s="225" t="s">
        <v>14898</v>
      </c>
    </row>
    <row r="7539" spans="1:2">
      <c r="A7539" s="225" t="s">
        <v>1726</v>
      </c>
      <c r="B7539" s="225" t="s">
        <v>14899</v>
      </c>
    </row>
    <row r="7540" spans="1:2">
      <c r="A7540" s="225" t="s">
        <v>1753</v>
      </c>
      <c r="B7540" s="225" t="s">
        <v>14900</v>
      </c>
    </row>
    <row r="7541" spans="1:2">
      <c r="A7541" s="225" t="s">
        <v>1754</v>
      </c>
      <c r="B7541" s="225" t="s">
        <v>14901</v>
      </c>
    </row>
    <row r="7542" spans="1:2">
      <c r="A7542" s="225" t="s">
        <v>1756</v>
      </c>
      <c r="B7542" s="225" t="s">
        <v>14902</v>
      </c>
    </row>
    <row r="7543" spans="1:2">
      <c r="A7543" s="225" t="s">
        <v>1757</v>
      </c>
      <c r="B7543" s="225" t="s">
        <v>14903</v>
      </c>
    </row>
    <row r="7544" spans="1:2">
      <c r="A7544" s="225" t="s">
        <v>1758</v>
      </c>
      <c r="B7544" s="225" t="s">
        <v>14904</v>
      </c>
    </row>
    <row r="7545" spans="1:2">
      <c r="A7545" s="225" t="s">
        <v>1760</v>
      </c>
      <c r="B7545" s="225" t="s">
        <v>14905</v>
      </c>
    </row>
    <row r="7546" spans="1:2">
      <c r="A7546" s="225" t="s">
        <v>1761</v>
      </c>
      <c r="B7546" s="225" t="s">
        <v>14906</v>
      </c>
    </row>
    <row r="7547" spans="1:2">
      <c r="A7547" s="225" t="s">
        <v>14954</v>
      </c>
      <c r="B7547" s="225" t="s">
        <v>1702</v>
      </c>
    </row>
    <row r="7548" spans="1:2">
      <c r="A7548" s="225" t="s">
        <v>14955</v>
      </c>
      <c r="B7548" s="225" t="s">
        <v>14956</v>
      </c>
    </row>
    <row r="7549" spans="1:2">
      <c r="A7549" s="225" t="s">
        <v>14957</v>
      </c>
      <c r="B7549" s="225" t="s">
        <v>14958</v>
      </c>
    </row>
    <row r="7550" spans="1:2">
      <c r="A7550" s="225" t="s">
        <v>43</v>
      </c>
      <c r="B7550" s="225" t="s">
        <v>14959</v>
      </c>
    </row>
    <row r="7551" spans="1:2">
      <c r="A7551" s="225" t="s">
        <v>1676</v>
      </c>
      <c r="B7551" s="225" t="s">
        <v>14960</v>
      </c>
    </row>
    <row r="7552" spans="1:2">
      <c r="A7552" s="225" t="s">
        <v>41</v>
      </c>
      <c r="B7552" s="225" t="s">
        <v>14961</v>
      </c>
    </row>
    <row r="7553" spans="1:2">
      <c r="A7553" s="225" t="s">
        <v>1634</v>
      </c>
      <c r="B7553" s="225" t="s">
        <v>14962</v>
      </c>
    </row>
    <row r="7554" spans="1:2">
      <c r="A7554" s="225" t="s">
        <v>1621</v>
      </c>
      <c r="B7554" s="225" t="s">
        <v>14963</v>
      </c>
    </row>
    <row r="7555" spans="1:2">
      <c r="A7555" s="225" t="s">
        <v>14964</v>
      </c>
      <c r="B7555" s="225" t="s">
        <v>14965</v>
      </c>
    </row>
    <row r="7556" spans="1:2">
      <c r="A7556" s="225" t="s">
        <v>1663</v>
      </c>
      <c r="B7556" s="225" t="s">
        <v>14880</v>
      </c>
    </row>
    <row r="7557" spans="1:2">
      <c r="A7557" s="225" t="s">
        <v>1661</v>
      </c>
      <c r="B7557" s="225" t="s">
        <v>14879</v>
      </c>
    </row>
    <row r="7558" spans="1:2">
      <c r="A7558" s="225" t="s">
        <v>14968</v>
      </c>
      <c r="B7558" s="225" t="s">
        <v>14969</v>
      </c>
    </row>
    <row r="7559" spans="1:2">
      <c r="A7559" s="225" t="s">
        <v>1703</v>
      </c>
      <c r="B7559" s="225" t="s">
        <v>1702</v>
      </c>
    </row>
    <row r="7560" spans="1:2">
      <c r="A7560" s="225" t="s">
        <v>14948</v>
      </c>
      <c r="B7560" s="225" t="s">
        <v>14970</v>
      </c>
    </row>
    <row r="7561" spans="1:2">
      <c r="A7561" s="225" t="s">
        <v>14947</v>
      </c>
      <c r="B7561" s="225" t="s">
        <v>14971</v>
      </c>
    </row>
    <row r="7562" spans="1:2">
      <c r="A7562" s="225" t="s">
        <v>14972</v>
      </c>
      <c r="B7562" s="225" t="s">
        <v>14973</v>
      </c>
    </row>
    <row r="7563" spans="1:2">
      <c r="A7563" s="225" t="s">
        <v>14974</v>
      </c>
      <c r="B7563" s="225" t="s">
        <v>14975</v>
      </c>
    </row>
    <row r="7564" spans="1:2">
      <c r="A7564" s="225" t="s">
        <v>14976</v>
      </c>
      <c r="B7564" s="225" t="s">
        <v>14977</v>
      </c>
    </row>
    <row r="7565" spans="1:2">
      <c r="A7565" s="225" t="s">
        <v>14978</v>
      </c>
      <c r="B7565" s="225" t="s">
        <v>14979</v>
      </c>
    </row>
    <row r="7566" spans="1:2">
      <c r="A7566" s="225" t="s">
        <v>14980</v>
      </c>
      <c r="B7566" s="225" t="s">
        <v>14981</v>
      </c>
    </row>
    <row r="7567" spans="1:2">
      <c r="A7567" s="225" t="s">
        <v>1766</v>
      </c>
      <c r="B7567" s="225" t="s">
        <v>14982</v>
      </c>
    </row>
    <row r="7568" spans="1:2">
      <c r="A7568" s="225" t="s">
        <v>14983</v>
      </c>
      <c r="B7568" s="225" t="s">
        <v>14984</v>
      </c>
    </row>
    <row r="7569" spans="1:2">
      <c r="A7569" s="225" t="s">
        <v>1764</v>
      </c>
      <c r="B7569" s="225" t="s">
        <v>14985</v>
      </c>
    </row>
    <row r="7570" spans="1:2">
      <c r="A7570" s="225" t="s">
        <v>1762</v>
      </c>
      <c r="B7570" s="225" t="s">
        <v>14986</v>
      </c>
    </row>
    <row r="7571" spans="1:2">
      <c r="A7571" s="225" t="s">
        <v>14987</v>
      </c>
      <c r="B7571" s="225" t="s">
        <v>14988</v>
      </c>
    </row>
    <row r="7572" spans="1:2">
      <c r="A7572" s="225" t="s">
        <v>14989</v>
      </c>
      <c r="B7572" s="225" t="s">
        <v>14990</v>
      </c>
    </row>
    <row r="7573" spans="1:2">
      <c r="A7573" s="225" t="s">
        <v>14991</v>
      </c>
      <c r="B7573" s="225" t="s">
        <v>14992</v>
      </c>
    </row>
    <row r="7574" spans="1:2">
      <c r="A7574" s="225" t="s">
        <v>14993</v>
      </c>
      <c r="B7574" s="225" t="s">
        <v>1671</v>
      </c>
    </row>
    <row r="7575" spans="1:2">
      <c r="A7575" s="225" t="s">
        <v>14996</v>
      </c>
      <c r="B7575" s="225" t="s">
        <v>1729</v>
      </c>
    </row>
    <row r="7576" spans="1:2">
      <c r="A7576" s="225" t="s">
        <v>14997</v>
      </c>
      <c r="B7576" s="225" t="s">
        <v>1746</v>
      </c>
    </row>
    <row r="7577" spans="1:2">
      <c r="A7577" s="225" t="s">
        <v>14999</v>
      </c>
      <c r="B7577" s="225" t="s">
        <v>9681</v>
      </c>
    </row>
    <row r="7578" spans="1:2">
      <c r="A7578" s="225" t="s">
        <v>15001</v>
      </c>
      <c r="B7578" s="225" t="s">
        <v>1715</v>
      </c>
    </row>
    <row r="7579" spans="1:2">
      <c r="A7579" s="225" t="s">
        <v>1713</v>
      </c>
      <c r="B7579" s="225" t="s">
        <v>1712</v>
      </c>
    </row>
    <row r="7580" spans="1:2">
      <c r="A7580" s="225" t="s">
        <v>15004</v>
      </c>
      <c r="B7580" s="225" t="s">
        <v>15005</v>
      </c>
    </row>
    <row r="7581" spans="1:2">
      <c r="A7581" s="225" t="s">
        <v>15006</v>
      </c>
      <c r="B7581" s="225" t="s">
        <v>15007</v>
      </c>
    </row>
    <row r="7582" spans="1:2">
      <c r="A7582" s="225" t="s">
        <v>15008</v>
      </c>
      <c r="B7582" s="225" t="s">
        <v>15009</v>
      </c>
    </row>
    <row r="7583" spans="1:2">
      <c r="A7583" s="225" t="s">
        <v>15010</v>
      </c>
      <c r="B7583" s="225" t="s">
        <v>15011</v>
      </c>
    </row>
    <row r="7584" spans="1:2">
      <c r="A7584" s="225" t="s">
        <v>1787</v>
      </c>
      <c r="B7584" s="225" t="s">
        <v>15012</v>
      </c>
    </row>
    <row r="7585" spans="1:2">
      <c r="A7585" s="225" t="s">
        <v>15013</v>
      </c>
      <c r="B7585" s="225" t="s">
        <v>15014</v>
      </c>
    </row>
    <row r="7586" spans="1:2">
      <c r="A7586" s="225" t="s">
        <v>15015</v>
      </c>
      <c r="B7586" s="225" t="s">
        <v>15016</v>
      </c>
    </row>
    <row r="7587" spans="1:2">
      <c r="A7587" s="225" t="s">
        <v>1771</v>
      </c>
      <c r="B7587" s="225" t="s">
        <v>15017</v>
      </c>
    </row>
    <row r="7588" spans="1:2">
      <c r="A7588" s="225" t="s">
        <v>44</v>
      </c>
      <c r="B7588" s="225" t="s">
        <v>15020</v>
      </c>
    </row>
    <row r="7589" spans="1:2">
      <c r="A7589" s="225" t="s">
        <v>42</v>
      </c>
      <c r="B7589" s="225" t="s">
        <v>15021</v>
      </c>
    </row>
    <row r="7590" spans="1:2">
      <c r="A7590" s="225" t="s">
        <v>15022</v>
      </c>
      <c r="B7590" s="225" t="s">
        <v>10848</v>
      </c>
    </row>
    <row r="7591" spans="1:2">
      <c r="A7591" s="225" t="s">
        <v>15023</v>
      </c>
      <c r="B7591" s="225" t="s">
        <v>15024</v>
      </c>
    </row>
    <row r="7592" spans="1:2">
      <c r="A7592" s="225" t="s">
        <v>1639</v>
      </c>
      <c r="B7592" s="225" t="s">
        <v>15025</v>
      </c>
    </row>
    <row r="7593" spans="1:2">
      <c r="A7593" s="225" t="s">
        <v>15026</v>
      </c>
      <c r="B7593" s="225" t="s">
        <v>15027</v>
      </c>
    </row>
    <row r="7594" spans="1:2">
      <c r="A7594" s="225" t="s">
        <v>15031</v>
      </c>
      <c r="B7594" s="225" t="s">
        <v>15027</v>
      </c>
    </row>
    <row r="7595" spans="1:2">
      <c r="A7595" s="225" t="s">
        <v>15035</v>
      </c>
      <c r="B7595" s="225" t="s">
        <v>14967</v>
      </c>
    </row>
    <row r="7596" spans="1:2">
      <c r="A7596" s="225" t="s">
        <v>15036</v>
      </c>
      <c r="B7596" s="225" t="s">
        <v>14884</v>
      </c>
    </row>
    <row r="7597" spans="1:2">
      <c r="A7597" s="225" t="s">
        <v>15037</v>
      </c>
      <c r="B7597" s="225" t="s">
        <v>14967</v>
      </c>
    </row>
    <row r="7598" spans="1:2">
      <c r="A7598" s="225" t="s">
        <v>1986</v>
      </c>
      <c r="B7598" s="225" t="s">
        <v>15063</v>
      </c>
    </row>
    <row r="7599" spans="1:2">
      <c r="A7599" s="225" t="s">
        <v>1994</v>
      </c>
      <c r="B7599" s="225" t="s">
        <v>15064</v>
      </c>
    </row>
    <row r="7600" spans="1:2">
      <c r="A7600" s="225" t="s">
        <v>1640</v>
      </c>
      <c r="B7600" s="225" t="s">
        <v>15369</v>
      </c>
    </row>
    <row r="7601" spans="1:2">
      <c r="A7601" s="225" t="s">
        <v>1635</v>
      </c>
      <c r="B7601" s="225" t="s">
        <v>15369</v>
      </c>
    </row>
    <row r="7602" spans="1:2">
      <c r="A7602" s="225" t="s">
        <v>15078</v>
      </c>
      <c r="B7602" s="225" t="s">
        <v>1669</v>
      </c>
    </row>
    <row r="7603" spans="1:2">
      <c r="A7603" s="225" t="s">
        <v>15252</v>
      </c>
      <c r="B7603" s="225" t="s">
        <v>2133</v>
      </c>
    </row>
    <row r="7604" spans="1:2">
      <c r="A7604" s="225" t="s">
        <v>15715</v>
      </c>
      <c r="B7604" s="225" t="s">
        <v>15716</v>
      </c>
    </row>
    <row r="7605" spans="1:2">
      <c r="A7605" s="225" t="s">
        <v>15717</v>
      </c>
      <c r="B7605" s="225" t="s">
        <v>15718</v>
      </c>
    </row>
    <row r="7606" spans="1:2">
      <c r="A7606" s="225" t="s">
        <v>15721</v>
      </c>
      <c r="B7606" s="225" t="s">
        <v>15722</v>
      </c>
    </row>
    <row r="7607" spans="1:2">
      <c r="A7607" s="225" t="s">
        <v>15723</v>
      </c>
      <c r="B7607" s="225" t="s">
        <v>15724</v>
      </c>
    </row>
    <row r="7608" spans="1:2">
      <c r="A7608" s="225" t="s">
        <v>15727</v>
      </c>
      <c r="B7608" s="225" t="s">
        <v>15728</v>
      </c>
    </row>
    <row r="7609" spans="1:2">
      <c r="A7609" s="225" t="s">
        <v>15260</v>
      </c>
      <c r="B7609" s="225" t="s">
        <v>15729</v>
      </c>
    </row>
    <row r="7610" spans="1:2">
      <c r="A7610" s="225" t="s">
        <v>15730</v>
      </c>
      <c r="B7610" s="225" t="s">
        <v>15731</v>
      </c>
    </row>
    <row r="7611" spans="1:2">
      <c r="A7611" s="225" t="s">
        <v>15732</v>
      </c>
      <c r="B7611" s="225" t="s">
        <v>15733</v>
      </c>
    </row>
    <row r="7612" spans="1:2">
      <c r="A7612" s="225" t="s">
        <v>15261</v>
      </c>
      <c r="B7612" s="225" t="s">
        <v>15734</v>
      </c>
    </row>
    <row r="7613" spans="1:2">
      <c r="A7613" s="225" t="s">
        <v>1643</v>
      </c>
      <c r="B7613" s="225" t="s">
        <v>15735</v>
      </c>
    </row>
    <row r="7614" spans="1:2">
      <c r="A7614" s="225" t="s">
        <v>1655</v>
      </c>
      <c r="B7614" s="225" t="s">
        <v>15736</v>
      </c>
    </row>
    <row r="7615" spans="1:2">
      <c r="A7615" s="225" t="s">
        <v>15238</v>
      </c>
      <c r="B7615" s="225" t="s">
        <v>15737</v>
      </c>
    </row>
    <row r="7616" spans="1:2">
      <c r="A7616" s="225" t="s">
        <v>1659</v>
      </c>
      <c r="B7616" s="225" t="s">
        <v>15738</v>
      </c>
    </row>
    <row r="7617" spans="1:2">
      <c r="A7617" s="225" t="s">
        <v>15739</v>
      </c>
      <c r="B7617" s="225" t="s">
        <v>15740</v>
      </c>
    </row>
    <row r="7618" spans="1:2">
      <c r="A7618" s="225" t="s">
        <v>15741</v>
      </c>
      <c r="B7618" s="225" t="s">
        <v>15742</v>
      </c>
    </row>
    <row r="7619" spans="1:2">
      <c r="A7619" s="225" t="s">
        <v>15744</v>
      </c>
      <c r="B7619" s="225" t="s">
        <v>15745</v>
      </c>
    </row>
    <row r="7620" spans="1:2">
      <c r="A7620" s="225" t="s">
        <v>15746</v>
      </c>
      <c r="B7620" s="225" t="s">
        <v>15747</v>
      </c>
    </row>
    <row r="7621" spans="1:2">
      <c r="A7621" s="225" t="s">
        <v>1618</v>
      </c>
      <c r="B7621" s="225" t="s">
        <v>15362</v>
      </c>
    </row>
    <row r="7622" spans="1:2">
      <c r="A7622" s="225" t="s">
        <v>1619</v>
      </c>
      <c r="B7622" s="225" t="s">
        <v>15748</v>
      </c>
    </row>
    <row r="7623" spans="1:2">
      <c r="A7623" s="225" t="s">
        <v>1638</v>
      </c>
      <c r="B7623" s="225" t="s">
        <v>15749</v>
      </c>
    </row>
    <row r="7624" spans="1:2">
      <c r="A7624" s="225" t="s">
        <v>1620</v>
      </c>
      <c r="B7624" s="225" t="s">
        <v>15750</v>
      </c>
    </row>
    <row r="7625" spans="1:2">
      <c r="A7625" s="225" t="s">
        <v>1672</v>
      </c>
      <c r="B7625" s="225" t="s">
        <v>1670</v>
      </c>
    </row>
    <row r="7626" spans="1:2">
      <c r="A7626" s="225" t="s">
        <v>15751</v>
      </c>
      <c r="B7626" s="225" t="s">
        <v>2105</v>
      </c>
    </row>
    <row r="7627" spans="1:2">
      <c r="A7627" s="225" t="s">
        <v>1716</v>
      </c>
      <c r="B7627" s="225" t="s">
        <v>15752</v>
      </c>
    </row>
    <row r="7628" spans="1:2">
      <c r="A7628" s="225" t="s">
        <v>15219</v>
      </c>
      <c r="B7628" s="225" t="s">
        <v>1710</v>
      </c>
    </row>
    <row r="7629" spans="1:2">
      <c r="A7629" s="225" t="s">
        <v>15226</v>
      </c>
      <c r="B7629" s="225" t="s">
        <v>1768</v>
      </c>
    </row>
    <row r="7630" spans="1:2">
      <c r="A7630" s="225" t="s">
        <v>1622</v>
      </c>
      <c r="B7630" s="225" t="s">
        <v>15753</v>
      </c>
    </row>
    <row r="7631" spans="1:2">
      <c r="A7631" s="225" t="s">
        <v>1623</v>
      </c>
      <c r="B7631" s="225" t="s">
        <v>15716</v>
      </c>
    </row>
    <row r="7632" spans="1:2">
      <c r="A7632" s="225" t="s">
        <v>1624</v>
      </c>
      <c r="B7632" s="225" t="s">
        <v>15718</v>
      </c>
    </row>
    <row r="7633" spans="1:2">
      <c r="A7633" s="225" t="s">
        <v>15145</v>
      </c>
      <c r="B7633" s="225" t="s">
        <v>15754</v>
      </c>
    </row>
    <row r="7634" spans="1:2">
      <c r="A7634" s="225" t="s">
        <v>1629</v>
      </c>
      <c r="B7634" s="225" t="s">
        <v>15755</v>
      </c>
    </row>
    <row r="7635" spans="1:2">
      <c r="A7635" s="225" t="s">
        <v>1631</v>
      </c>
      <c r="B7635" s="225" t="s">
        <v>15756</v>
      </c>
    </row>
    <row r="7636" spans="1:2">
      <c r="A7636" s="225" t="s">
        <v>1632</v>
      </c>
      <c r="B7636" s="225" t="s">
        <v>15722</v>
      </c>
    </row>
    <row r="7637" spans="1:2">
      <c r="A7637" s="225" t="s">
        <v>15071</v>
      </c>
      <c r="B7637" s="225" t="s">
        <v>15724</v>
      </c>
    </row>
    <row r="7638" spans="1:2">
      <c r="A7638" s="225" t="s">
        <v>1769</v>
      </c>
      <c r="B7638" s="225" t="s">
        <v>15757</v>
      </c>
    </row>
    <row r="7639" spans="1:2">
      <c r="A7639" s="225" t="s">
        <v>15758</v>
      </c>
      <c r="B7639" s="225" t="s">
        <v>15759</v>
      </c>
    </row>
    <row r="7640" spans="1:2">
      <c r="A7640" s="225" t="s">
        <v>1636</v>
      </c>
      <c r="B7640" s="225" t="s">
        <v>15762</v>
      </c>
    </row>
    <row r="7641" spans="1:2">
      <c r="A7641" s="225" t="s">
        <v>15259</v>
      </c>
      <c r="B7641" s="225" t="s">
        <v>15762</v>
      </c>
    </row>
    <row r="7642" spans="1:2">
      <c r="A7642" s="225" t="s">
        <v>1641</v>
      </c>
      <c r="B7642" s="225" t="s">
        <v>15763</v>
      </c>
    </row>
    <row r="7643" spans="1:2">
      <c r="A7643" s="225" t="s">
        <v>1642</v>
      </c>
      <c r="B7643" s="225" t="s">
        <v>15764</v>
      </c>
    </row>
    <row r="7644" spans="1:2">
      <c r="A7644" s="225" t="s">
        <v>1644</v>
      </c>
      <c r="B7644" s="225" t="s">
        <v>15765</v>
      </c>
    </row>
    <row r="7645" spans="1:2">
      <c r="A7645" s="225" t="s">
        <v>15766</v>
      </c>
      <c r="B7645" s="225" t="s">
        <v>15765</v>
      </c>
    </row>
    <row r="7646" spans="1:2">
      <c r="A7646" s="225" t="s">
        <v>1646</v>
      </c>
      <c r="B7646" s="225" t="s">
        <v>15767</v>
      </c>
    </row>
    <row r="7647" spans="1:2">
      <c r="A7647" s="225" t="s">
        <v>15768</v>
      </c>
      <c r="B7647" s="225" t="s">
        <v>15767</v>
      </c>
    </row>
    <row r="7648" spans="1:2">
      <c r="A7648" s="225" t="s">
        <v>15769</v>
      </c>
      <c r="B7648" s="225" t="s">
        <v>2110</v>
      </c>
    </row>
    <row r="7649" spans="1:2">
      <c r="A7649" s="225" t="s">
        <v>1652</v>
      </c>
      <c r="B7649" s="225" t="s">
        <v>15770</v>
      </c>
    </row>
    <row r="7650" spans="1:2">
      <c r="A7650" s="225" t="s">
        <v>1648</v>
      </c>
      <c r="B7650" s="225" t="s">
        <v>15771</v>
      </c>
    </row>
    <row r="7651" spans="1:2">
      <c r="A7651" s="225" t="s">
        <v>15772</v>
      </c>
      <c r="B7651" s="225" t="s">
        <v>2112</v>
      </c>
    </row>
    <row r="7652" spans="1:2">
      <c r="A7652" s="225" t="s">
        <v>1653</v>
      </c>
      <c r="B7652" s="225" t="s">
        <v>15773</v>
      </c>
    </row>
    <row r="7653" spans="1:2">
      <c r="A7653" s="225" t="s">
        <v>1654</v>
      </c>
      <c r="B7653" s="225" t="s">
        <v>15736</v>
      </c>
    </row>
    <row r="7654" spans="1:2">
      <c r="A7654" s="225" t="s">
        <v>15236</v>
      </c>
      <c r="B7654" s="225" t="s">
        <v>1656</v>
      </c>
    </row>
    <row r="7655" spans="1:2">
      <c r="A7655" s="225" t="s">
        <v>15237</v>
      </c>
      <c r="B7655" s="225" t="s">
        <v>15737</v>
      </c>
    </row>
    <row r="7656" spans="1:2">
      <c r="A7656" s="225" t="s">
        <v>1657</v>
      </c>
      <c r="B7656" s="225" t="s">
        <v>15774</v>
      </c>
    </row>
    <row r="7657" spans="1:2">
      <c r="A7657" s="225" t="s">
        <v>1658</v>
      </c>
      <c r="B7657" s="225" t="s">
        <v>15738</v>
      </c>
    </row>
    <row r="7658" spans="1:2">
      <c r="A7658" s="225" t="s">
        <v>1660</v>
      </c>
      <c r="B7658" s="225" t="s">
        <v>15775</v>
      </c>
    </row>
    <row r="7659" spans="1:2">
      <c r="A7659" s="225" t="s">
        <v>15776</v>
      </c>
      <c r="B7659" s="225" t="s">
        <v>15740</v>
      </c>
    </row>
    <row r="7660" spans="1:2">
      <c r="A7660" s="225" t="s">
        <v>15777</v>
      </c>
      <c r="B7660" s="225" t="s">
        <v>15778</v>
      </c>
    </row>
    <row r="7661" spans="1:2">
      <c r="A7661" s="225" t="s">
        <v>15779</v>
      </c>
      <c r="B7661" s="225" t="s">
        <v>15742</v>
      </c>
    </row>
    <row r="7662" spans="1:2">
      <c r="A7662" s="225" t="s">
        <v>15239</v>
      </c>
      <c r="B7662" s="225" t="s">
        <v>1748</v>
      </c>
    </row>
    <row r="7663" spans="1:2">
      <c r="A7663" s="225" t="s">
        <v>15161</v>
      </c>
      <c r="B7663" s="225" t="s">
        <v>15747</v>
      </c>
    </row>
    <row r="7664" spans="1:2">
      <c r="A7664" s="225" t="s">
        <v>15780</v>
      </c>
      <c r="B7664" s="225" t="s">
        <v>15747</v>
      </c>
    </row>
    <row r="7665" spans="1:2">
      <c r="A7665" s="225" t="s">
        <v>15781</v>
      </c>
      <c r="B7665" s="225" t="s">
        <v>15782</v>
      </c>
    </row>
    <row r="7666" spans="1:2">
      <c r="A7666" s="225" t="s">
        <v>15783</v>
      </c>
      <c r="B7666" s="225" t="s">
        <v>15782</v>
      </c>
    </row>
    <row r="7667" spans="1:2">
      <c r="A7667" s="225" t="s">
        <v>1776</v>
      </c>
      <c r="B7667" s="225" t="s">
        <v>1774</v>
      </c>
    </row>
    <row r="7668" spans="1:2">
      <c r="A7668" s="225" t="s">
        <v>15784</v>
      </c>
      <c r="B7668" s="225" t="s">
        <v>15785</v>
      </c>
    </row>
    <row r="7669" spans="1:2">
      <c r="A7669" s="225" t="s">
        <v>15786</v>
      </c>
      <c r="B7669" s="225" t="s">
        <v>15785</v>
      </c>
    </row>
    <row r="7670" spans="1:2">
      <c r="A7670" s="225" t="s">
        <v>1677</v>
      </c>
      <c r="B7670" s="225" t="s">
        <v>15787</v>
      </c>
    </row>
    <row r="7671" spans="1:2">
      <c r="A7671" s="225" t="s">
        <v>15788</v>
      </c>
      <c r="B7671" s="225" t="s">
        <v>15787</v>
      </c>
    </row>
    <row r="7672" spans="1:2">
      <c r="A7672" s="225" t="s">
        <v>1678</v>
      </c>
      <c r="B7672" s="225" t="s">
        <v>15789</v>
      </c>
    </row>
    <row r="7673" spans="1:2">
      <c r="A7673" s="225" t="s">
        <v>15089</v>
      </c>
      <c r="B7673" s="225" t="s">
        <v>15790</v>
      </c>
    </row>
    <row r="7674" spans="1:2">
      <c r="A7674" s="225" t="s">
        <v>1680</v>
      </c>
      <c r="B7674" s="225" t="s">
        <v>1679</v>
      </c>
    </row>
    <row r="7675" spans="1:2">
      <c r="A7675" s="225" t="s">
        <v>15173</v>
      </c>
      <c r="B7675" s="225" t="s">
        <v>15791</v>
      </c>
    </row>
    <row r="7676" spans="1:2">
      <c r="A7676" s="225" t="s">
        <v>15092</v>
      </c>
      <c r="B7676" s="225" t="s">
        <v>15792</v>
      </c>
    </row>
    <row r="7677" spans="1:2">
      <c r="A7677" s="225" t="s">
        <v>15174</v>
      </c>
      <c r="B7677" s="225" t="s">
        <v>15361</v>
      </c>
    </row>
    <row r="7678" spans="1:2">
      <c r="A7678" s="225" t="s">
        <v>1683</v>
      </c>
      <c r="B7678" s="225" t="s">
        <v>1682</v>
      </c>
    </row>
    <row r="7679" spans="1:2">
      <c r="A7679" s="225" t="s">
        <v>15793</v>
      </c>
      <c r="B7679" s="225" t="s">
        <v>1682</v>
      </c>
    </row>
    <row r="7680" spans="1:2">
      <c r="A7680" s="225" t="s">
        <v>1685</v>
      </c>
      <c r="B7680" s="225" t="s">
        <v>15799</v>
      </c>
    </row>
    <row r="7681" spans="1:2">
      <c r="A7681" s="225" t="s">
        <v>1687</v>
      </c>
      <c r="B7681" s="225" t="s">
        <v>15799</v>
      </c>
    </row>
    <row r="7682" spans="1:2">
      <c r="A7682" s="225" t="s">
        <v>15155</v>
      </c>
      <c r="B7682" s="225" t="s">
        <v>15802</v>
      </c>
    </row>
    <row r="7683" spans="1:2">
      <c r="A7683" s="225" t="s">
        <v>15803</v>
      </c>
      <c r="B7683" s="225" t="s">
        <v>15802</v>
      </c>
    </row>
    <row r="7684" spans="1:2">
      <c r="A7684" s="225" t="s">
        <v>15185</v>
      </c>
      <c r="B7684" s="225" t="s">
        <v>15809</v>
      </c>
    </row>
    <row r="7685" spans="1:2">
      <c r="A7685" s="225" t="s">
        <v>15164</v>
      </c>
      <c r="B7685" s="225" t="s">
        <v>15810</v>
      </c>
    </row>
    <row r="7686" spans="1:2">
      <c r="A7686" s="225" t="s">
        <v>15165</v>
      </c>
      <c r="B7686" s="225" t="s">
        <v>15810</v>
      </c>
    </row>
    <row r="7687" spans="1:2">
      <c r="A7687" s="225" t="s">
        <v>15166</v>
      </c>
      <c r="B7687" s="225" t="s">
        <v>15811</v>
      </c>
    </row>
    <row r="7688" spans="1:2">
      <c r="A7688" s="225" t="s">
        <v>15813</v>
      </c>
      <c r="B7688" s="225" t="s">
        <v>15814</v>
      </c>
    </row>
    <row r="7689" spans="1:2">
      <c r="A7689" s="225" t="s">
        <v>15815</v>
      </c>
      <c r="B7689" s="225" t="s">
        <v>15814</v>
      </c>
    </row>
    <row r="7690" spans="1:2">
      <c r="A7690" s="225" t="s">
        <v>15167</v>
      </c>
      <c r="B7690" s="225" t="s">
        <v>15811</v>
      </c>
    </row>
    <row r="7691" spans="1:2">
      <c r="A7691" s="225" t="s">
        <v>15822</v>
      </c>
      <c r="B7691" s="225" t="s">
        <v>15823</v>
      </c>
    </row>
    <row r="7692" spans="1:2">
      <c r="A7692" s="225" t="s">
        <v>15824</v>
      </c>
      <c r="B7692" s="225" t="s">
        <v>15823</v>
      </c>
    </row>
    <row r="7693" spans="1:2">
      <c r="A7693" s="225" t="s">
        <v>15168</v>
      </c>
      <c r="B7693" s="225" t="s">
        <v>15828</v>
      </c>
    </row>
    <row r="7694" spans="1:2">
      <c r="A7694" s="225" t="s">
        <v>15253</v>
      </c>
      <c r="B7694" s="225" t="s">
        <v>15828</v>
      </c>
    </row>
    <row r="7695" spans="1:2">
      <c r="A7695" s="225" t="s">
        <v>15829</v>
      </c>
      <c r="B7695" s="225" t="s">
        <v>15789</v>
      </c>
    </row>
    <row r="7696" spans="1:2">
      <c r="A7696" s="225" t="s">
        <v>15830</v>
      </c>
      <c r="B7696" s="225" t="s">
        <v>15831</v>
      </c>
    </row>
    <row r="7697" spans="1:2">
      <c r="A7697" s="225" t="s">
        <v>15832</v>
      </c>
      <c r="B7697" s="225" t="s">
        <v>15833</v>
      </c>
    </row>
    <row r="7698" spans="1:2">
      <c r="A7698" s="225" t="s">
        <v>15834</v>
      </c>
      <c r="B7698" s="225" t="s">
        <v>15835</v>
      </c>
    </row>
    <row r="7699" spans="1:2">
      <c r="A7699" s="225" t="s">
        <v>15836</v>
      </c>
      <c r="B7699" s="225" t="s">
        <v>15837</v>
      </c>
    </row>
    <row r="7700" spans="1:2">
      <c r="A7700" s="225" t="s">
        <v>15079</v>
      </c>
      <c r="B7700" s="225" t="s">
        <v>15838</v>
      </c>
    </row>
    <row r="7701" spans="1:2">
      <c r="A7701" s="225" t="s">
        <v>15839</v>
      </c>
      <c r="B7701" s="225" t="s">
        <v>15790</v>
      </c>
    </row>
    <row r="7702" spans="1:2">
      <c r="A7702" s="225" t="s">
        <v>15840</v>
      </c>
      <c r="B7702" s="225" t="s">
        <v>1679</v>
      </c>
    </row>
    <row r="7703" spans="1:2">
      <c r="A7703" s="225" t="s">
        <v>15841</v>
      </c>
      <c r="B7703" s="225" t="s">
        <v>15842</v>
      </c>
    </row>
    <row r="7704" spans="1:2">
      <c r="A7704" s="225" t="s">
        <v>15080</v>
      </c>
      <c r="B7704" s="225" t="s">
        <v>15838</v>
      </c>
    </row>
    <row r="7705" spans="1:2">
      <c r="A7705" s="225" t="s">
        <v>15843</v>
      </c>
      <c r="B7705" s="225" t="s">
        <v>15844</v>
      </c>
    </row>
    <row r="7706" spans="1:2">
      <c r="A7706" s="225" t="s">
        <v>15845</v>
      </c>
      <c r="B7706" s="225" t="s">
        <v>15844</v>
      </c>
    </row>
    <row r="7707" spans="1:2">
      <c r="A7707" s="225" t="s">
        <v>15846</v>
      </c>
      <c r="B7707" s="225" t="s">
        <v>15791</v>
      </c>
    </row>
    <row r="7708" spans="1:2">
      <c r="A7708" s="225" t="s">
        <v>15847</v>
      </c>
      <c r="B7708" s="225" t="s">
        <v>15792</v>
      </c>
    </row>
    <row r="7709" spans="1:2">
      <c r="A7709" s="225" t="s">
        <v>15848</v>
      </c>
      <c r="B7709" s="225" t="s">
        <v>15849</v>
      </c>
    </row>
    <row r="7710" spans="1:2">
      <c r="A7710" s="225" t="s">
        <v>15850</v>
      </c>
      <c r="B7710" s="225" t="s">
        <v>15851</v>
      </c>
    </row>
    <row r="7711" spans="1:2">
      <c r="A7711" s="225" t="s">
        <v>15852</v>
      </c>
      <c r="B7711" s="225" t="s">
        <v>15361</v>
      </c>
    </row>
    <row r="7712" spans="1:2">
      <c r="A7712" s="225" t="s">
        <v>15853</v>
      </c>
      <c r="B7712" s="225" t="s">
        <v>15854</v>
      </c>
    </row>
    <row r="7713" spans="1:2">
      <c r="A7713" s="225" t="s">
        <v>15083</v>
      </c>
      <c r="B7713" s="225" t="s">
        <v>15862</v>
      </c>
    </row>
    <row r="7714" spans="1:2">
      <c r="A7714" s="225" t="s">
        <v>15085</v>
      </c>
      <c r="B7714" s="225" t="s">
        <v>15862</v>
      </c>
    </row>
    <row r="7715" spans="1:2">
      <c r="A7715" s="225" t="s">
        <v>15086</v>
      </c>
      <c r="B7715" s="225" t="s">
        <v>15863</v>
      </c>
    </row>
    <row r="7716" spans="1:2">
      <c r="A7716" s="225" t="s">
        <v>15172</v>
      </c>
      <c r="B7716" s="225" t="s">
        <v>15864</v>
      </c>
    </row>
    <row r="7717" spans="1:2">
      <c r="A7717" s="225" t="s">
        <v>15865</v>
      </c>
      <c r="B7717" s="225" t="s">
        <v>15866</v>
      </c>
    </row>
    <row r="7718" spans="1:2">
      <c r="A7718" s="225" t="s">
        <v>15087</v>
      </c>
      <c r="B7718" s="225" t="s">
        <v>15867</v>
      </c>
    </row>
    <row r="7719" spans="1:2">
      <c r="A7719" s="225" t="s">
        <v>15088</v>
      </c>
      <c r="B7719" s="225" t="s">
        <v>15872</v>
      </c>
    </row>
    <row r="7720" spans="1:2">
      <c r="A7720" s="225" t="s">
        <v>1673</v>
      </c>
      <c r="B7720" s="225" t="s">
        <v>15873</v>
      </c>
    </row>
    <row r="7721" spans="1:2">
      <c r="A7721" s="225" t="s">
        <v>1709</v>
      </c>
      <c r="B7721" s="225" t="s">
        <v>15875</v>
      </c>
    </row>
    <row r="7722" spans="1:2">
      <c r="A7722" s="225" t="s">
        <v>15220</v>
      </c>
      <c r="B7722" s="225" t="s">
        <v>15876</v>
      </c>
    </row>
    <row r="7723" spans="1:2">
      <c r="A7723" s="225" t="s">
        <v>1711</v>
      </c>
      <c r="B7723" s="225" t="s">
        <v>15877</v>
      </c>
    </row>
    <row r="7724" spans="1:2">
      <c r="A7724" s="225" t="s">
        <v>15163</v>
      </c>
      <c r="B7724" s="225" t="s">
        <v>15878</v>
      </c>
    </row>
    <row r="7725" spans="1:2">
      <c r="A7725" s="225" t="s">
        <v>1714</v>
      </c>
      <c r="B7725" s="225" t="s">
        <v>15879</v>
      </c>
    </row>
    <row r="7726" spans="1:2">
      <c r="A7726" s="225" t="s">
        <v>15191</v>
      </c>
      <c r="B7726" s="225" t="s">
        <v>15880</v>
      </c>
    </row>
    <row r="7727" spans="1:2">
      <c r="A7727" s="225" t="s">
        <v>15192</v>
      </c>
      <c r="B7727" s="225" t="s">
        <v>15881</v>
      </c>
    </row>
    <row r="7728" spans="1:2">
      <c r="A7728" s="225" t="s">
        <v>15193</v>
      </c>
      <c r="B7728" s="225" t="s">
        <v>15882</v>
      </c>
    </row>
    <row r="7729" spans="1:2">
      <c r="A7729" s="225" t="s">
        <v>15194</v>
      </c>
      <c r="B7729" s="225" t="s">
        <v>15883</v>
      </c>
    </row>
    <row r="7730" spans="1:2">
      <c r="A7730" s="225" t="s">
        <v>1717</v>
      </c>
      <c r="B7730" s="225" t="s">
        <v>15884</v>
      </c>
    </row>
    <row r="7731" spans="1:2">
      <c r="A7731" s="225" t="s">
        <v>15885</v>
      </c>
      <c r="B7731" s="225" t="s">
        <v>15810</v>
      </c>
    </row>
    <row r="7732" spans="1:2">
      <c r="A7732" s="225" t="s">
        <v>15886</v>
      </c>
      <c r="B7732" s="225" t="s">
        <v>15811</v>
      </c>
    </row>
    <row r="7733" spans="1:2">
      <c r="A7733" s="225" t="s">
        <v>1752</v>
      </c>
      <c r="B7733" s="225" t="s">
        <v>15889</v>
      </c>
    </row>
    <row r="7734" spans="1:2">
      <c r="A7734" s="225" t="s">
        <v>15890</v>
      </c>
      <c r="B7734" s="225" t="s">
        <v>15823</v>
      </c>
    </row>
    <row r="7735" spans="1:2">
      <c r="A7735" s="225" t="s">
        <v>15892</v>
      </c>
      <c r="B7735" s="225" t="s">
        <v>15831</v>
      </c>
    </row>
    <row r="7736" spans="1:2">
      <c r="A7736" s="225" t="s">
        <v>15893</v>
      </c>
      <c r="B7736" s="225" t="s">
        <v>15833</v>
      </c>
    </row>
    <row r="7737" spans="1:2">
      <c r="A7737" s="225" t="s">
        <v>15894</v>
      </c>
      <c r="B7737" s="225" t="s">
        <v>15835</v>
      </c>
    </row>
    <row r="7738" spans="1:2">
      <c r="A7738" s="225" t="s">
        <v>15895</v>
      </c>
      <c r="B7738" s="225" t="s">
        <v>15837</v>
      </c>
    </row>
    <row r="7739" spans="1:2">
      <c r="A7739" s="225" t="s">
        <v>15896</v>
      </c>
      <c r="B7739" s="225" t="s">
        <v>15838</v>
      </c>
    </row>
    <row r="7740" spans="1:2">
      <c r="A7740" s="225" t="s">
        <v>15897</v>
      </c>
      <c r="B7740" s="225" t="s">
        <v>15844</v>
      </c>
    </row>
    <row r="7741" spans="1:2">
      <c r="A7741" s="225" t="s">
        <v>15898</v>
      </c>
      <c r="B7741" s="225" t="s">
        <v>15849</v>
      </c>
    </row>
    <row r="7742" spans="1:2">
      <c r="A7742" s="225" t="s">
        <v>15899</v>
      </c>
      <c r="B7742" s="225" t="s">
        <v>15851</v>
      </c>
    </row>
    <row r="7743" spans="1:2">
      <c r="A7743" s="225" t="s">
        <v>15900</v>
      </c>
      <c r="B7743" s="225" t="s">
        <v>15861</v>
      </c>
    </row>
    <row r="7744" spans="1:2">
      <c r="A7744" s="225" t="s">
        <v>15189</v>
      </c>
      <c r="B7744" s="225" t="s">
        <v>15901</v>
      </c>
    </row>
    <row r="7745" spans="1:2">
      <c r="A7745" s="225" t="s">
        <v>15195</v>
      </c>
      <c r="B7745" s="225" t="s">
        <v>1728</v>
      </c>
    </row>
    <row r="7746" spans="1:2">
      <c r="A7746" s="225" t="s">
        <v>15190</v>
      </c>
      <c r="B7746" s="225" t="s">
        <v>15901</v>
      </c>
    </row>
    <row r="7747" spans="1:2">
      <c r="A7747" s="225" t="s">
        <v>15223</v>
      </c>
      <c r="B7747" s="225" t="s">
        <v>14958</v>
      </c>
    </row>
    <row r="7748" spans="1:2">
      <c r="A7748" s="225" t="s">
        <v>15196</v>
      </c>
      <c r="B7748" s="225" t="s">
        <v>15902</v>
      </c>
    </row>
    <row r="7749" spans="1:2">
      <c r="A7749" s="225" t="s">
        <v>15197</v>
      </c>
      <c r="B7749" s="225" t="s">
        <v>15903</v>
      </c>
    </row>
    <row r="7750" spans="1:2">
      <c r="A7750" s="225" t="s">
        <v>15904</v>
      </c>
      <c r="B7750" s="225" t="s">
        <v>15862</v>
      </c>
    </row>
    <row r="7751" spans="1:2">
      <c r="A7751" s="225" t="s">
        <v>15905</v>
      </c>
      <c r="B7751" s="225" t="s">
        <v>15864</v>
      </c>
    </row>
    <row r="7752" spans="1:2">
      <c r="A7752" s="225" t="s">
        <v>15906</v>
      </c>
      <c r="B7752" s="225" t="s">
        <v>15866</v>
      </c>
    </row>
    <row r="7753" spans="1:2">
      <c r="A7753" s="225" t="s">
        <v>15907</v>
      </c>
      <c r="B7753" s="225" t="s">
        <v>15867</v>
      </c>
    </row>
    <row r="7754" spans="1:2">
      <c r="A7754" s="225" t="s">
        <v>15908</v>
      </c>
      <c r="B7754" s="225" t="s">
        <v>15909</v>
      </c>
    </row>
    <row r="7755" spans="1:2">
      <c r="A7755" s="225" t="s">
        <v>15910</v>
      </c>
      <c r="B7755" s="225" t="s">
        <v>15872</v>
      </c>
    </row>
    <row r="7756" spans="1:2">
      <c r="A7756" s="225" t="s">
        <v>15911</v>
      </c>
      <c r="B7756" s="225" t="s">
        <v>15912</v>
      </c>
    </row>
    <row r="7757" spans="1:2">
      <c r="A7757" s="225" t="s">
        <v>15221</v>
      </c>
      <c r="B7757" s="225" t="s">
        <v>15913</v>
      </c>
    </row>
    <row r="7758" spans="1:2">
      <c r="A7758" s="225" t="s">
        <v>15914</v>
      </c>
      <c r="B7758" s="225" t="s">
        <v>15915</v>
      </c>
    </row>
    <row r="7759" spans="1:2">
      <c r="A7759" s="225" t="s">
        <v>15916</v>
      </c>
      <c r="B7759" s="225" t="s">
        <v>15917</v>
      </c>
    </row>
    <row r="7760" spans="1:2">
      <c r="A7760" s="225" t="s">
        <v>15222</v>
      </c>
      <c r="B7760" s="225" t="s">
        <v>15918</v>
      </c>
    </row>
    <row r="7761" spans="1:2">
      <c r="A7761" s="225" t="s">
        <v>15919</v>
      </c>
      <c r="B7761" s="225" t="s">
        <v>15920</v>
      </c>
    </row>
    <row r="7762" spans="1:2">
      <c r="A7762" s="225" t="s">
        <v>15921</v>
      </c>
      <c r="B7762" s="225" t="s">
        <v>15922</v>
      </c>
    </row>
    <row r="7763" spans="1:2">
      <c r="A7763" s="225" t="s">
        <v>15095</v>
      </c>
      <c r="B7763" s="225" t="s">
        <v>15923</v>
      </c>
    </row>
    <row r="7764" spans="1:2">
      <c r="A7764" s="225" t="s">
        <v>1733</v>
      </c>
      <c r="B7764" s="225" t="s">
        <v>14970</v>
      </c>
    </row>
    <row r="7765" spans="1:2">
      <c r="A7765" s="225" t="s">
        <v>1734</v>
      </c>
      <c r="B7765" s="225" t="s">
        <v>15924</v>
      </c>
    </row>
    <row r="7766" spans="1:2">
      <c r="A7766" s="225" t="s">
        <v>15925</v>
      </c>
      <c r="B7766" s="225" t="s">
        <v>15926</v>
      </c>
    </row>
    <row r="7767" spans="1:2">
      <c r="A7767" s="225" t="s">
        <v>15927</v>
      </c>
      <c r="B7767" s="225" t="s">
        <v>15928</v>
      </c>
    </row>
    <row r="7768" spans="1:2">
      <c r="A7768" s="225" t="s">
        <v>15929</v>
      </c>
      <c r="B7768" s="225" t="s">
        <v>15930</v>
      </c>
    </row>
    <row r="7769" spans="1:2">
      <c r="A7769" s="225" t="s">
        <v>15931</v>
      </c>
      <c r="B7769" s="225" t="s">
        <v>15932</v>
      </c>
    </row>
    <row r="7770" spans="1:2">
      <c r="A7770" s="225" t="s">
        <v>15933</v>
      </c>
      <c r="B7770" s="225" t="s">
        <v>15879</v>
      </c>
    </row>
    <row r="7771" spans="1:2">
      <c r="A7771" s="225" t="s">
        <v>15934</v>
      </c>
      <c r="B7771" s="225" t="s">
        <v>15880</v>
      </c>
    </row>
    <row r="7772" spans="1:2">
      <c r="A7772" s="225" t="s">
        <v>15935</v>
      </c>
      <c r="B7772" s="225" t="s">
        <v>15881</v>
      </c>
    </row>
    <row r="7773" spans="1:2">
      <c r="A7773" s="225" t="s">
        <v>15936</v>
      </c>
      <c r="B7773" s="225" t="s">
        <v>15882</v>
      </c>
    </row>
    <row r="7774" spans="1:2">
      <c r="A7774" s="225" t="s">
        <v>15101</v>
      </c>
      <c r="B7774" s="225" t="s">
        <v>14893</v>
      </c>
    </row>
    <row r="7775" spans="1:2">
      <c r="A7775" s="225" t="s">
        <v>1720</v>
      </c>
      <c r="B7775" s="225" t="s">
        <v>14894</v>
      </c>
    </row>
    <row r="7776" spans="1:2">
      <c r="A7776" s="225" t="s">
        <v>15102</v>
      </c>
      <c r="B7776" s="225" t="s">
        <v>14895</v>
      </c>
    </row>
    <row r="7777" spans="1:2">
      <c r="A7777" s="225" t="s">
        <v>15103</v>
      </c>
      <c r="B7777" s="225" t="s">
        <v>14896</v>
      </c>
    </row>
    <row r="7778" spans="1:2">
      <c r="A7778" s="225" t="s">
        <v>1724</v>
      </c>
      <c r="B7778" s="225" t="s">
        <v>14897</v>
      </c>
    </row>
    <row r="7779" spans="1:2">
      <c r="A7779" s="225" t="s">
        <v>15104</v>
      </c>
      <c r="B7779" s="225" t="s">
        <v>14898</v>
      </c>
    </row>
    <row r="7780" spans="1:2">
      <c r="A7780" s="225" t="s">
        <v>15105</v>
      </c>
      <c r="B7780" s="225" t="s">
        <v>14899</v>
      </c>
    </row>
    <row r="7781" spans="1:2">
      <c r="A7781" s="225" t="s">
        <v>15937</v>
      </c>
      <c r="B7781" s="225" t="s">
        <v>15938</v>
      </c>
    </row>
    <row r="7782" spans="1:2">
      <c r="A7782" s="225" t="s">
        <v>15224</v>
      </c>
      <c r="B7782" s="225" t="s">
        <v>15939</v>
      </c>
    </row>
    <row r="7783" spans="1:2">
      <c r="A7783" s="225" t="s">
        <v>1738</v>
      </c>
      <c r="B7783" s="225" t="s">
        <v>15940</v>
      </c>
    </row>
    <row r="7784" spans="1:2">
      <c r="A7784" s="225" t="s">
        <v>15199</v>
      </c>
      <c r="B7784" s="225" t="s">
        <v>15941</v>
      </c>
    </row>
    <row r="7785" spans="1:2">
      <c r="A7785" s="225" t="s">
        <v>15200</v>
      </c>
      <c r="B7785" s="225" t="s">
        <v>15942</v>
      </c>
    </row>
    <row r="7786" spans="1:2">
      <c r="A7786" s="225" t="s">
        <v>15943</v>
      </c>
      <c r="B7786" s="225" t="s">
        <v>15944</v>
      </c>
    </row>
    <row r="7787" spans="1:2">
      <c r="A7787" s="225" t="s">
        <v>15945</v>
      </c>
      <c r="B7787" s="225" t="s">
        <v>15946</v>
      </c>
    </row>
    <row r="7788" spans="1:2">
      <c r="A7788" s="225" t="s">
        <v>15947</v>
      </c>
      <c r="B7788" s="225" t="s">
        <v>15948</v>
      </c>
    </row>
    <row r="7789" spans="1:2">
      <c r="A7789" s="225" t="s">
        <v>1742</v>
      </c>
      <c r="B7789" s="225" t="s">
        <v>15949</v>
      </c>
    </row>
    <row r="7790" spans="1:2">
      <c r="A7790" s="225" t="s">
        <v>15144</v>
      </c>
      <c r="B7790" s="225" t="s">
        <v>15950</v>
      </c>
    </row>
    <row r="7791" spans="1:2">
      <c r="A7791" s="225" t="s">
        <v>15201</v>
      </c>
      <c r="B7791" s="225" t="s">
        <v>15951</v>
      </c>
    </row>
    <row r="7792" spans="1:2">
      <c r="A7792" s="225" t="s">
        <v>15952</v>
      </c>
      <c r="B7792" s="225" t="s">
        <v>15953</v>
      </c>
    </row>
    <row r="7793" spans="1:2">
      <c r="A7793" s="225" t="s">
        <v>15202</v>
      </c>
      <c r="B7793" s="225" t="s">
        <v>15954</v>
      </c>
    </row>
    <row r="7794" spans="1:2">
      <c r="A7794" s="225" t="s">
        <v>15096</v>
      </c>
      <c r="B7794" s="225" t="s">
        <v>15955</v>
      </c>
    </row>
    <row r="7795" spans="1:2">
      <c r="A7795" s="225" t="s">
        <v>1743</v>
      </c>
      <c r="B7795" s="225" t="s">
        <v>15956</v>
      </c>
    </row>
    <row r="7796" spans="1:2">
      <c r="A7796" s="225" t="s">
        <v>15957</v>
      </c>
      <c r="B7796" s="225" t="s">
        <v>15958</v>
      </c>
    </row>
    <row r="7797" spans="1:2">
      <c r="A7797" s="225" t="s">
        <v>15959</v>
      </c>
      <c r="B7797" s="225" t="s">
        <v>15960</v>
      </c>
    </row>
    <row r="7798" spans="1:2">
      <c r="A7798" s="225" t="s">
        <v>15225</v>
      </c>
      <c r="B7798" s="225" t="s">
        <v>15961</v>
      </c>
    </row>
    <row r="7799" spans="1:2">
      <c r="A7799" s="225" t="s">
        <v>15203</v>
      </c>
      <c r="B7799" s="225" t="s">
        <v>1745</v>
      </c>
    </row>
    <row r="7800" spans="1:2">
      <c r="A7800" s="225" t="s">
        <v>15962</v>
      </c>
      <c r="B7800" s="225" t="s">
        <v>15963</v>
      </c>
    </row>
    <row r="7801" spans="1:2">
      <c r="A7801" s="225" t="s">
        <v>15964</v>
      </c>
      <c r="B7801" s="225" t="s">
        <v>15965</v>
      </c>
    </row>
    <row r="7802" spans="1:2">
      <c r="A7802" s="225" t="s">
        <v>15204</v>
      </c>
      <c r="B7802" s="225" t="s">
        <v>15966</v>
      </c>
    </row>
    <row r="7803" spans="1:2">
      <c r="A7803" s="225" t="s">
        <v>15967</v>
      </c>
      <c r="B7803" s="225" t="s">
        <v>15968</v>
      </c>
    </row>
    <row r="7804" spans="1:2">
      <c r="A7804" s="225" t="s">
        <v>15969</v>
      </c>
      <c r="B7804" s="225" t="s">
        <v>15970</v>
      </c>
    </row>
    <row r="7805" spans="1:2">
      <c r="A7805" s="225" t="s">
        <v>15971</v>
      </c>
      <c r="B7805" s="225" t="s">
        <v>15972</v>
      </c>
    </row>
    <row r="7806" spans="1:2">
      <c r="A7806" s="225" t="s">
        <v>15973</v>
      </c>
      <c r="B7806" s="225" t="s">
        <v>15974</v>
      </c>
    </row>
    <row r="7807" spans="1:2">
      <c r="A7807" s="225" t="s">
        <v>15975</v>
      </c>
      <c r="B7807" s="225" t="s">
        <v>15976</v>
      </c>
    </row>
    <row r="7808" spans="1:2">
      <c r="A7808" s="225" t="s">
        <v>15977</v>
      </c>
      <c r="B7808" s="225" t="s">
        <v>15978</v>
      </c>
    </row>
    <row r="7809" spans="1:2">
      <c r="A7809" s="225" t="s">
        <v>15979</v>
      </c>
      <c r="B7809" s="225" t="s">
        <v>15980</v>
      </c>
    </row>
    <row r="7810" spans="1:2">
      <c r="A7810" s="225" t="s">
        <v>15981</v>
      </c>
      <c r="B7810" s="225" t="s">
        <v>15982</v>
      </c>
    </row>
    <row r="7811" spans="1:2">
      <c r="A7811" s="225" t="s">
        <v>15983</v>
      </c>
      <c r="B7811" s="225" t="s">
        <v>15984</v>
      </c>
    </row>
    <row r="7812" spans="1:2">
      <c r="A7812" s="225" t="s">
        <v>15985</v>
      </c>
      <c r="B7812" s="225" t="s">
        <v>15986</v>
      </c>
    </row>
    <row r="7813" spans="1:2">
      <c r="A7813" s="225" t="s">
        <v>15205</v>
      </c>
      <c r="B7813" s="225" t="s">
        <v>15987</v>
      </c>
    </row>
    <row r="7814" spans="1:2">
      <c r="A7814" s="225" t="s">
        <v>15988</v>
      </c>
      <c r="B7814" s="225" t="s">
        <v>15989</v>
      </c>
    </row>
    <row r="7815" spans="1:2">
      <c r="A7815" s="225" t="s">
        <v>15990</v>
      </c>
      <c r="B7815" s="225" t="s">
        <v>15991</v>
      </c>
    </row>
    <row r="7816" spans="1:2">
      <c r="A7816" s="225" t="s">
        <v>15992</v>
      </c>
      <c r="B7816" s="225" t="s">
        <v>15993</v>
      </c>
    </row>
    <row r="7817" spans="1:2">
      <c r="A7817" s="225" t="s">
        <v>15994</v>
      </c>
      <c r="B7817" s="225" t="s">
        <v>15995</v>
      </c>
    </row>
    <row r="7818" spans="1:2">
      <c r="A7818" s="225" t="s">
        <v>15996</v>
      </c>
      <c r="B7818" s="225" t="s">
        <v>15997</v>
      </c>
    </row>
    <row r="7819" spans="1:2">
      <c r="A7819" s="225" t="s">
        <v>15998</v>
      </c>
      <c r="B7819" s="225" t="s">
        <v>15924</v>
      </c>
    </row>
    <row r="7820" spans="1:2">
      <c r="A7820" s="225" t="s">
        <v>15999</v>
      </c>
      <c r="B7820" s="225" t="s">
        <v>16000</v>
      </c>
    </row>
    <row r="7821" spans="1:2">
      <c r="A7821" s="225" t="s">
        <v>16001</v>
      </c>
      <c r="B7821" s="225" t="s">
        <v>15941</v>
      </c>
    </row>
    <row r="7822" spans="1:2">
      <c r="A7822" s="225" t="s">
        <v>16002</v>
      </c>
      <c r="B7822" s="225" t="s">
        <v>16003</v>
      </c>
    </row>
    <row r="7823" spans="1:2">
      <c r="A7823" s="225" t="s">
        <v>16004</v>
      </c>
      <c r="B7823" s="225" t="s">
        <v>16005</v>
      </c>
    </row>
    <row r="7824" spans="1:2">
      <c r="A7824" s="225" t="s">
        <v>16006</v>
      </c>
      <c r="B7824" s="225" t="s">
        <v>15942</v>
      </c>
    </row>
    <row r="7825" spans="1:2">
      <c r="A7825" s="225" t="s">
        <v>16007</v>
      </c>
      <c r="B7825" s="225" t="s">
        <v>15944</v>
      </c>
    </row>
    <row r="7826" spans="1:2">
      <c r="A7826" s="225" t="s">
        <v>16008</v>
      </c>
      <c r="B7826" s="225" t="s">
        <v>15946</v>
      </c>
    </row>
    <row r="7827" spans="1:2">
      <c r="A7827" s="225" t="s">
        <v>16009</v>
      </c>
      <c r="B7827" s="225" t="s">
        <v>15949</v>
      </c>
    </row>
    <row r="7828" spans="1:2">
      <c r="A7828" s="225" t="s">
        <v>16010</v>
      </c>
      <c r="B7828" s="225" t="s">
        <v>16011</v>
      </c>
    </row>
    <row r="7829" spans="1:2">
      <c r="A7829" s="225" t="s">
        <v>16012</v>
      </c>
      <c r="B7829" s="225" t="s">
        <v>15950</v>
      </c>
    </row>
    <row r="7830" spans="1:2">
      <c r="A7830" s="225" t="s">
        <v>16013</v>
      </c>
      <c r="B7830" s="225" t="s">
        <v>16014</v>
      </c>
    </row>
    <row r="7831" spans="1:2">
      <c r="A7831" s="225" t="s">
        <v>15207</v>
      </c>
      <c r="B7831" s="225" t="s">
        <v>16015</v>
      </c>
    </row>
    <row r="7832" spans="1:2">
      <c r="A7832" s="225" t="s">
        <v>16016</v>
      </c>
      <c r="B7832" s="225" t="s">
        <v>16017</v>
      </c>
    </row>
    <row r="7833" spans="1:2">
      <c r="A7833" s="225" t="s">
        <v>1751</v>
      </c>
      <c r="B7833" s="225" t="s">
        <v>16018</v>
      </c>
    </row>
    <row r="7834" spans="1:2">
      <c r="A7834" s="225" t="s">
        <v>16019</v>
      </c>
      <c r="B7834" s="225" t="s">
        <v>16020</v>
      </c>
    </row>
    <row r="7835" spans="1:2">
      <c r="A7835" s="225" t="s">
        <v>16021</v>
      </c>
      <c r="B7835" s="225" t="s">
        <v>16022</v>
      </c>
    </row>
    <row r="7836" spans="1:2">
      <c r="A7836" s="225" t="s">
        <v>16023</v>
      </c>
      <c r="B7836" s="225" t="s">
        <v>16024</v>
      </c>
    </row>
    <row r="7837" spans="1:2">
      <c r="A7837" s="225" t="s">
        <v>16025</v>
      </c>
      <c r="B7837" s="225" t="s">
        <v>16026</v>
      </c>
    </row>
    <row r="7838" spans="1:2">
      <c r="A7838" s="225" t="s">
        <v>16027</v>
      </c>
      <c r="B7838" s="225" t="s">
        <v>16028</v>
      </c>
    </row>
    <row r="7839" spans="1:2">
      <c r="A7839" s="225" t="s">
        <v>16029</v>
      </c>
      <c r="B7839" s="225" t="s">
        <v>16030</v>
      </c>
    </row>
    <row r="7840" spans="1:2">
      <c r="A7840" s="225" t="s">
        <v>16031</v>
      </c>
      <c r="B7840" s="225" t="s">
        <v>16032</v>
      </c>
    </row>
    <row r="7841" spans="1:2">
      <c r="A7841" s="225" t="s">
        <v>16033</v>
      </c>
      <c r="B7841" s="225" t="s">
        <v>15953</v>
      </c>
    </row>
    <row r="7842" spans="1:2">
      <c r="A7842" s="225" t="s">
        <v>16034</v>
      </c>
      <c r="B7842" s="225" t="s">
        <v>15955</v>
      </c>
    </row>
    <row r="7843" spans="1:2">
      <c r="A7843" s="225" t="s">
        <v>16035</v>
      </c>
      <c r="B7843" s="225" t="s">
        <v>15956</v>
      </c>
    </row>
    <row r="7844" spans="1:2">
      <c r="A7844" s="225" t="s">
        <v>16036</v>
      </c>
      <c r="B7844" s="225" t="s">
        <v>1745</v>
      </c>
    </row>
    <row r="7845" spans="1:2">
      <c r="A7845" s="225" t="s">
        <v>16037</v>
      </c>
      <c r="B7845" s="225" t="s">
        <v>16038</v>
      </c>
    </row>
    <row r="7846" spans="1:2">
      <c r="A7846" s="225" t="s">
        <v>16039</v>
      </c>
      <c r="B7846" s="225" t="s">
        <v>16040</v>
      </c>
    </row>
    <row r="7847" spans="1:2">
      <c r="A7847" s="225" t="s">
        <v>16041</v>
      </c>
      <c r="B7847" s="225" t="s">
        <v>15966</v>
      </c>
    </row>
    <row r="7848" spans="1:2">
      <c r="A7848" s="225" t="s">
        <v>16042</v>
      </c>
      <c r="B7848" s="225" t="s">
        <v>16043</v>
      </c>
    </row>
    <row r="7849" spans="1:2">
      <c r="A7849" s="225" t="s">
        <v>16044</v>
      </c>
      <c r="B7849" s="225" t="s">
        <v>15972</v>
      </c>
    </row>
    <row r="7850" spans="1:2">
      <c r="A7850" s="225" t="s">
        <v>16045</v>
      </c>
      <c r="B7850" s="225" t="s">
        <v>15987</v>
      </c>
    </row>
    <row r="7851" spans="1:2">
      <c r="A7851" s="225" t="s">
        <v>1770</v>
      </c>
      <c r="B7851" s="225" t="s">
        <v>16046</v>
      </c>
    </row>
    <row r="7852" spans="1:2">
      <c r="A7852" s="225" t="s">
        <v>16047</v>
      </c>
      <c r="B7852" s="225" t="s">
        <v>16048</v>
      </c>
    </row>
    <row r="7853" spans="1:2">
      <c r="A7853" s="225" t="s">
        <v>15244</v>
      </c>
      <c r="B7853" s="225" t="s">
        <v>16049</v>
      </c>
    </row>
    <row r="7854" spans="1:2">
      <c r="A7854" s="225" t="s">
        <v>15245</v>
      </c>
      <c r="B7854" s="225" t="s">
        <v>16050</v>
      </c>
    </row>
    <row r="7855" spans="1:2">
      <c r="A7855" s="225" t="s">
        <v>15209</v>
      </c>
      <c r="B7855" s="225" t="s">
        <v>16051</v>
      </c>
    </row>
    <row r="7856" spans="1:2">
      <c r="A7856" s="225" t="s">
        <v>15106</v>
      </c>
      <c r="B7856" s="225" t="s">
        <v>14900</v>
      </c>
    </row>
    <row r="7857" spans="1:2">
      <c r="A7857" s="225" t="s">
        <v>1755</v>
      </c>
      <c r="B7857" s="225" t="s">
        <v>16052</v>
      </c>
    </row>
    <row r="7858" spans="1:2">
      <c r="A7858" s="225" t="s">
        <v>15108</v>
      </c>
      <c r="B7858" s="225" t="s">
        <v>14902</v>
      </c>
    </row>
    <row r="7859" spans="1:2">
      <c r="A7859" s="225" t="s">
        <v>15107</v>
      </c>
      <c r="B7859" s="225" t="s">
        <v>16053</v>
      </c>
    </row>
    <row r="7860" spans="1:2">
      <c r="A7860" s="225" t="s">
        <v>1759</v>
      </c>
      <c r="B7860" s="225" t="s">
        <v>16054</v>
      </c>
    </row>
    <row r="7861" spans="1:2">
      <c r="A7861" s="225" t="s">
        <v>15109</v>
      </c>
      <c r="B7861" s="225" t="s">
        <v>16055</v>
      </c>
    </row>
    <row r="7862" spans="1:2">
      <c r="A7862" s="225" t="s">
        <v>15110</v>
      </c>
      <c r="B7862" s="225" t="s">
        <v>16056</v>
      </c>
    </row>
    <row r="7863" spans="1:2">
      <c r="A7863" s="225" t="s">
        <v>15227</v>
      </c>
      <c r="B7863" s="225" t="s">
        <v>16057</v>
      </c>
    </row>
    <row r="7864" spans="1:2">
      <c r="A7864" s="225" t="s">
        <v>15213</v>
      </c>
      <c r="B7864" s="225" t="s">
        <v>16058</v>
      </c>
    </row>
    <row r="7865" spans="1:2">
      <c r="A7865" s="225" t="s">
        <v>16059</v>
      </c>
      <c r="B7865" s="225" t="s">
        <v>16015</v>
      </c>
    </row>
    <row r="7866" spans="1:2">
      <c r="A7866" s="225" t="s">
        <v>15216</v>
      </c>
      <c r="B7866" s="225" t="s">
        <v>16060</v>
      </c>
    </row>
    <row r="7867" spans="1:2">
      <c r="A7867" s="225" t="s">
        <v>15217</v>
      </c>
      <c r="B7867" s="225" t="s">
        <v>1746</v>
      </c>
    </row>
    <row r="7868" spans="1:2">
      <c r="A7868" s="225" t="s">
        <v>15229</v>
      </c>
      <c r="B7868" s="225" t="s">
        <v>16061</v>
      </c>
    </row>
    <row r="7869" spans="1:2">
      <c r="A7869" s="225" t="s">
        <v>16062</v>
      </c>
      <c r="B7869" s="225" t="s">
        <v>16063</v>
      </c>
    </row>
    <row r="7870" spans="1:2">
      <c r="A7870" s="225" t="s">
        <v>15228</v>
      </c>
      <c r="B7870" s="225" t="s">
        <v>16057</v>
      </c>
    </row>
    <row r="7871" spans="1:2">
      <c r="A7871" s="225" t="s">
        <v>16064</v>
      </c>
      <c r="B7871" s="225" t="s">
        <v>16061</v>
      </c>
    </row>
    <row r="7872" spans="1:2">
      <c r="A7872" s="225" t="s">
        <v>16065</v>
      </c>
      <c r="B7872" s="225" t="s">
        <v>16066</v>
      </c>
    </row>
    <row r="7873" spans="1:2">
      <c r="A7873" s="225" t="s">
        <v>16067</v>
      </c>
      <c r="B7873" s="225" t="s">
        <v>16068</v>
      </c>
    </row>
    <row r="7874" spans="1:2">
      <c r="A7874" s="225" t="s">
        <v>16069</v>
      </c>
      <c r="B7874" s="225" t="s">
        <v>16070</v>
      </c>
    </row>
    <row r="7875" spans="1:2">
      <c r="A7875" s="225" t="s">
        <v>16071</v>
      </c>
      <c r="B7875" s="225" t="s">
        <v>16072</v>
      </c>
    </row>
    <row r="7876" spans="1:2">
      <c r="A7876" s="225" t="s">
        <v>16073</v>
      </c>
      <c r="B7876" s="225" t="s">
        <v>16074</v>
      </c>
    </row>
    <row r="7877" spans="1:2">
      <c r="A7877" s="225" t="s">
        <v>16075</v>
      </c>
      <c r="B7877" s="225" t="s">
        <v>16076</v>
      </c>
    </row>
    <row r="7878" spans="1:2">
      <c r="A7878" s="225" t="s">
        <v>15230</v>
      </c>
      <c r="B7878" s="225" t="s">
        <v>16066</v>
      </c>
    </row>
    <row r="7879" spans="1:2">
      <c r="A7879" s="225" t="s">
        <v>16077</v>
      </c>
      <c r="B7879" s="225" t="s">
        <v>16072</v>
      </c>
    </row>
    <row r="7880" spans="1:2">
      <c r="A7880" s="225" t="s">
        <v>16078</v>
      </c>
      <c r="B7880" s="225" t="s">
        <v>16074</v>
      </c>
    </row>
    <row r="7881" spans="1:2">
      <c r="A7881" s="225" t="s">
        <v>16079</v>
      </c>
      <c r="B7881" s="225" t="s">
        <v>16080</v>
      </c>
    </row>
    <row r="7882" spans="1:2">
      <c r="A7882" s="225" t="s">
        <v>16081</v>
      </c>
      <c r="B7882" s="225" t="s">
        <v>16082</v>
      </c>
    </row>
    <row r="7883" spans="1:2">
      <c r="A7883" s="225" t="s">
        <v>16083</v>
      </c>
      <c r="B7883" s="225" t="s">
        <v>16084</v>
      </c>
    </row>
    <row r="7884" spans="1:2">
      <c r="A7884" s="225" t="s">
        <v>16085</v>
      </c>
      <c r="B7884" s="225" t="s">
        <v>16086</v>
      </c>
    </row>
    <row r="7885" spans="1:2">
      <c r="A7885" s="225" t="s">
        <v>16087</v>
      </c>
      <c r="B7885" s="225" t="s">
        <v>16088</v>
      </c>
    </row>
    <row r="7886" spans="1:2">
      <c r="A7886" s="225" t="s">
        <v>16089</v>
      </c>
      <c r="B7886" s="225" t="s">
        <v>16090</v>
      </c>
    </row>
    <row r="7887" spans="1:2">
      <c r="A7887" s="225" t="s">
        <v>16091</v>
      </c>
      <c r="B7887" s="225" t="s">
        <v>16080</v>
      </c>
    </row>
    <row r="7888" spans="1:2">
      <c r="A7888" s="225" t="s">
        <v>16092</v>
      </c>
      <c r="B7888" s="225" t="s">
        <v>16082</v>
      </c>
    </row>
    <row r="7889" spans="1:2">
      <c r="A7889" s="225" t="s">
        <v>16093</v>
      </c>
      <c r="B7889" s="225" t="s">
        <v>16094</v>
      </c>
    </row>
    <row r="7890" spans="1:2">
      <c r="A7890" s="225" t="s">
        <v>16095</v>
      </c>
      <c r="B7890" s="225" t="s">
        <v>16084</v>
      </c>
    </row>
    <row r="7891" spans="1:2">
      <c r="A7891" s="225" t="s">
        <v>15231</v>
      </c>
      <c r="B7891" s="225" t="s">
        <v>16086</v>
      </c>
    </row>
    <row r="7892" spans="1:2">
      <c r="A7892" s="225" t="s">
        <v>16097</v>
      </c>
      <c r="B7892" s="225" t="s">
        <v>15014</v>
      </c>
    </row>
    <row r="7893" spans="1:2">
      <c r="A7893" s="225" t="s">
        <v>16098</v>
      </c>
      <c r="B7893" s="225" t="s">
        <v>16063</v>
      </c>
    </row>
    <row r="7894" spans="1:2">
      <c r="A7894" s="225" t="s">
        <v>15234</v>
      </c>
      <c r="B7894" s="225" t="s">
        <v>15016</v>
      </c>
    </row>
    <row r="7895" spans="1:2">
      <c r="A7895" s="225" t="s">
        <v>16099</v>
      </c>
      <c r="B7895" s="225" t="s">
        <v>16088</v>
      </c>
    </row>
    <row r="7896" spans="1:2">
      <c r="A7896" s="225" t="s">
        <v>15111</v>
      </c>
      <c r="B7896" s="225" t="s">
        <v>16100</v>
      </c>
    </row>
    <row r="7897" spans="1:2">
      <c r="A7897" s="225" t="s">
        <v>16101</v>
      </c>
      <c r="B7897" s="225" t="s">
        <v>16102</v>
      </c>
    </row>
    <row r="7898" spans="1:2">
      <c r="A7898" s="225" t="s">
        <v>16103</v>
      </c>
      <c r="B7898" s="225" t="s">
        <v>16090</v>
      </c>
    </row>
    <row r="7899" spans="1:2">
      <c r="A7899" s="225" t="s">
        <v>15232</v>
      </c>
      <c r="B7899" s="225" t="s">
        <v>16104</v>
      </c>
    </row>
    <row r="7900" spans="1:2">
      <c r="A7900" s="225" t="s">
        <v>15211</v>
      </c>
      <c r="B7900" s="225" t="s">
        <v>14990</v>
      </c>
    </row>
    <row r="7901" spans="1:2">
      <c r="A7901" s="225" t="s">
        <v>16105</v>
      </c>
      <c r="B7901" s="225" t="s">
        <v>16106</v>
      </c>
    </row>
    <row r="7902" spans="1:2">
      <c r="A7902" s="225" t="s">
        <v>1780</v>
      </c>
      <c r="B7902" s="225" t="s">
        <v>1779</v>
      </c>
    </row>
    <row r="7903" spans="1:2">
      <c r="A7903" s="225" t="s">
        <v>1773</v>
      </c>
      <c r="B7903" s="225" t="s">
        <v>16107</v>
      </c>
    </row>
    <row r="7904" spans="1:2">
      <c r="A7904" s="225" t="s">
        <v>16108</v>
      </c>
      <c r="B7904" s="225" t="s">
        <v>16109</v>
      </c>
    </row>
    <row r="7905" spans="1:2">
      <c r="A7905" s="225" t="s">
        <v>16110</v>
      </c>
      <c r="B7905" s="225" t="s">
        <v>1702</v>
      </c>
    </row>
    <row r="7906" spans="1:2">
      <c r="A7906" s="225" t="s">
        <v>1777</v>
      </c>
      <c r="B7906" s="225" t="s">
        <v>16111</v>
      </c>
    </row>
    <row r="7907" spans="1:2">
      <c r="A7907" s="225" t="s">
        <v>1781</v>
      </c>
      <c r="B7907" s="225" t="s">
        <v>16111</v>
      </c>
    </row>
    <row r="7908" spans="1:2">
      <c r="A7908" s="225" t="s">
        <v>16116</v>
      </c>
      <c r="B7908" s="225" t="s">
        <v>16106</v>
      </c>
    </row>
    <row r="7909" spans="1:2">
      <c r="A7909" s="225" t="s">
        <v>15183</v>
      </c>
      <c r="B7909" s="225" t="s">
        <v>16117</v>
      </c>
    </row>
    <row r="7910" spans="1:2">
      <c r="A7910" s="225" t="s">
        <v>16118</v>
      </c>
      <c r="B7910" s="225" t="s">
        <v>14891</v>
      </c>
    </row>
    <row r="7911" spans="1:2">
      <c r="A7911" s="225" t="s">
        <v>15268</v>
      </c>
      <c r="B7911" s="225" t="s">
        <v>16117</v>
      </c>
    </row>
    <row r="7912" spans="1:2">
      <c r="A7912" s="225" t="s">
        <v>15112</v>
      </c>
      <c r="B7912" s="225" t="s">
        <v>14891</v>
      </c>
    </row>
    <row r="7913" spans="1:2">
      <c r="A7913" s="225" t="s">
        <v>15269</v>
      </c>
      <c r="B7913" s="225" t="s">
        <v>16119</v>
      </c>
    </row>
    <row r="7914" spans="1:2">
      <c r="A7914" s="225" t="s">
        <v>16126</v>
      </c>
      <c r="B7914" s="225" t="s">
        <v>16127</v>
      </c>
    </row>
    <row r="7915" spans="1:2">
      <c r="A7915" s="225" t="s">
        <v>15114</v>
      </c>
      <c r="B7915" s="225" t="s">
        <v>16127</v>
      </c>
    </row>
    <row r="7916" spans="1:2">
      <c r="A7916" s="225" t="s">
        <v>16128</v>
      </c>
      <c r="B7916" s="225" t="s">
        <v>16129</v>
      </c>
    </row>
    <row r="7917" spans="1:2">
      <c r="A7917" s="225" t="s">
        <v>16130</v>
      </c>
      <c r="B7917" s="225" t="s">
        <v>16131</v>
      </c>
    </row>
    <row r="7918" spans="1:2">
      <c r="A7918" s="225" t="s">
        <v>1791</v>
      </c>
      <c r="B7918" s="225" t="s">
        <v>14892</v>
      </c>
    </row>
    <row r="7919" spans="1:2">
      <c r="A7919" s="225" t="s">
        <v>15099</v>
      </c>
      <c r="B7919" s="225" t="s">
        <v>16132</v>
      </c>
    </row>
    <row r="7920" spans="1:2">
      <c r="A7920" s="225" t="s">
        <v>1794</v>
      </c>
      <c r="B7920" s="225" t="s">
        <v>16133</v>
      </c>
    </row>
    <row r="7921" spans="1:2">
      <c r="A7921" s="225" t="s">
        <v>15258</v>
      </c>
      <c r="B7921" s="225" t="s">
        <v>16134</v>
      </c>
    </row>
    <row r="7922" spans="1:2">
      <c r="A7922" s="225" t="s">
        <v>16135</v>
      </c>
      <c r="B7922" s="225" t="s">
        <v>16136</v>
      </c>
    </row>
    <row r="7923" spans="1:2">
      <c r="A7923" s="225" t="s">
        <v>16137</v>
      </c>
      <c r="B7923" s="225" t="s">
        <v>16138</v>
      </c>
    </row>
    <row r="7924" spans="1:2">
      <c r="A7924" s="225" t="s">
        <v>16139</v>
      </c>
      <c r="B7924" s="225" t="s">
        <v>16140</v>
      </c>
    </row>
    <row r="7925" spans="1:2">
      <c r="A7925" s="225" t="s">
        <v>16141</v>
      </c>
      <c r="B7925" s="225" t="s">
        <v>16142</v>
      </c>
    </row>
    <row r="7926" spans="1:2">
      <c r="A7926" s="225" t="s">
        <v>16144</v>
      </c>
      <c r="B7926" s="225" t="s">
        <v>16145</v>
      </c>
    </row>
    <row r="7927" spans="1:2">
      <c r="A7927" s="225" t="s">
        <v>16148</v>
      </c>
      <c r="B7927" s="225" t="s">
        <v>16149</v>
      </c>
    </row>
    <row r="7928" spans="1:2">
      <c r="A7928" s="225" t="s">
        <v>15113</v>
      </c>
      <c r="B7928" s="225" t="s">
        <v>16149</v>
      </c>
    </row>
    <row r="7929" spans="1:2">
      <c r="A7929" s="225" t="s">
        <v>15271</v>
      </c>
      <c r="B7929" s="225" t="s">
        <v>16150</v>
      </c>
    </row>
    <row r="7930" spans="1:2">
      <c r="A7930" s="225" t="s">
        <v>16151</v>
      </c>
      <c r="B7930" s="225" t="s">
        <v>16152</v>
      </c>
    </row>
    <row r="7931" spans="1:2">
      <c r="A7931" s="225" t="s">
        <v>16153</v>
      </c>
      <c r="B7931" s="225" t="s">
        <v>16152</v>
      </c>
    </row>
    <row r="7932" spans="1:2">
      <c r="A7932" s="225" t="s">
        <v>16154</v>
      </c>
      <c r="B7932" s="225" t="s">
        <v>16155</v>
      </c>
    </row>
    <row r="7933" spans="1:2">
      <c r="A7933" s="225" t="s">
        <v>16156</v>
      </c>
      <c r="B7933" s="225" t="s">
        <v>16155</v>
      </c>
    </row>
    <row r="7934" spans="1:2">
      <c r="A7934" s="225" t="s">
        <v>16157</v>
      </c>
      <c r="B7934" s="225" t="s">
        <v>16158</v>
      </c>
    </row>
    <row r="7935" spans="1:2">
      <c r="A7935" s="225" t="s">
        <v>15210</v>
      </c>
      <c r="B7935" s="225" t="s">
        <v>16159</v>
      </c>
    </row>
    <row r="7936" spans="1:2">
      <c r="A7936" s="225" t="s">
        <v>16160</v>
      </c>
      <c r="B7936" s="225" t="s">
        <v>16161</v>
      </c>
    </row>
    <row r="7937" spans="1:2">
      <c r="A7937" s="225" t="s">
        <v>16162</v>
      </c>
      <c r="B7937" s="225" t="s">
        <v>16163</v>
      </c>
    </row>
    <row r="7938" spans="1:2">
      <c r="A7938" s="225" t="s">
        <v>16164</v>
      </c>
      <c r="B7938" s="225" t="s">
        <v>16129</v>
      </c>
    </row>
    <row r="7939" spans="1:2">
      <c r="A7939" s="225" t="s">
        <v>15272</v>
      </c>
      <c r="B7939" s="225" t="s">
        <v>16131</v>
      </c>
    </row>
    <row r="7940" spans="1:2">
      <c r="A7940" s="225" t="s">
        <v>1792</v>
      </c>
      <c r="B7940" s="225" t="s">
        <v>16165</v>
      </c>
    </row>
    <row r="7941" spans="1:2">
      <c r="A7941" s="225" t="s">
        <v>1793</v>
      </c>
      <c r="B7941" s="225" t="s">
        <v>16133</v>
      </c>
    </row>
    <row r="7942" spans="1:2">
      <c r="A7942" s="225" t="s">
        <v>15256</v>
      </c>
      <c r="B7942" s="225" t="s">
        <v>16166</v>
      </c>
    </row>
    <row r="7943" spans="1:2">
      <c r="A7943" s="225" t="s">
        <v>15257</v>
      </c>
      <c r="B7943" s="225" t="s">
        <v>16134</v>
      </c>
    </row>
    <row r="7944" spans="1:2">
      <c r="A7944" s="225" t="s">
        <v>16167</v>
      </c>
      <c r="B7944" s="225" t="s">
        <v>16136</v>
      </c>
    </row>
    <row r="7945" spans="1:2">
      <c r="A7945" s="225" t="s">
        <v>16168</v>
      </c>
      <c r="B7945" s="225" t="s">
        <v>16138</v>
      </c>
    </row>
    <row r="7946" spans="1:2">
      <c r="A7946" s="225" t="s">
        <v>16169</v>
      </c>
      <c r="B7946" s="225" t="s">
        <v>16170</v>
      </c>
    </row>
    <row r="7947" spans="1:2">
      <c r="A7947" s="225" t="s">
        <v>16174</v>
      </c>
      <c r="B7947" s="225" t="s">
        <v>16140</v>
      </c>
    </row>
    <row r="7948" spans="1:2">
      <c r="A7948" s="225" t="s">
        <v>15186</v>
      </c>
      <c r="B7948" s="225" t="s">
        <v>16177</v>
      </c>
    </row>
    <row r="7949" spans="1:2">
      <c r="A7949" s="225" t="s">
        <v>16178</v>
      </c>
      <c r="B7949" s="225" t="s">
        <v>16142</v>
      </c>
    </row>
    <row r="7950" spans="1:2">
      <c r="A7950" s="225" t="s">
        <v>16181</v>
      </c>
      <c r="B7950" s="225" t="s">
        <v>16158</v>
      </c>
    </row>
    <row r="7951" spans="1:2">
      <c r="A7951" s="225" t="s">
        <v>16184</v>
      </c>
      <c r="B7951" s="225" t="s">
        <v>68</v>
      </c>
    </row>
    <row r="7952" spans="1:2">
      <c r="A7952" s="225" t="s">
        <v>1930</v>
      </c>
      <c r="B7952" s="225" t="s">
        <v>1928</v>
      </c>
    </row>
    <row r="7953" spans="1:2">
      <c r="A7953" s="225" t="s">
        <v>1808</v>
      </c>
      <c r="B7953" s="225" t="s">
        <v>14907</v>
      </c>
    </row>
    <row r="7954" spans="1:2">
      <c r="A7954" s="225" t="s">
        <v>1809</v>
      </c>
      <c r="B7954" s="225" t="s">
        <v>14908</v>
      </c>
    </row>
    <row r="7955" spans="1:2">
      <c r="A7955" s="225" t="s">
        <v>1811</v>
      </c>
      <c r="B7955" s="225" t="s">
        <v>14909</v>
      </c>
    </row>
    <row r="7956" spans="1:2">
      <c r="A7956" s="225" t="s">
        <v>1812</v>
      </c>
      <c r="B7956" s="225" t="s">
        <v>14910</v>
      </c>
    </row>
    <row r="7957" spans="1:2">
      <c r="A7957" s="225" t="s">
        <v>1813</v>
      </c>
      <c r="B7957" s="225" t="s">
        <v>14911</v>
      </c>
    </row>
    <row r="7958" spans="1:2">
      <c r="A7958" s="225" t="s">
        <v>1815</v>
      </c>
      <c r="B7958" s="225" t="s">
        <v>14912</v>
      </c>
    </row>
    <row r="7959" spans="1:2">
      <c r="A7959" s="225" t="s">
        <v>1816</v>
      </c>
      <c r="B7959" s="225" t="s">
        <v>14913</v>
      </c>
    </row>
    <row r="7960" spans="1:2">
      <c r="A7960" s="225" t="s">
        <v>1818</v>
      </c>
      <c r="B7960" s="225" t="s">
        <v>14907</v>
      </c>
    </row>
    <row r="7961" spans="1:2">
      <c r="A7961" s="225" t="s">
        <v>1819</v>
      </c>
      <c r="B7961" s="225" t="s">
        <v>14908</v>
      </c>
    </row>
    <row r="7962" spans="1:2">
      <c r="A7962" s="225" t="s">
        <v>1821</v>
      </c>
      <c r="B7962" s="225" t="s">
        <v>14909</v>
      </c>
    </row>
    <row r="7963" spans="1:2">
      <c r="A7963" s="225" t="s">
        <v>1822</v>
      </c>
      <c r="B7963" s="225" t="s">
        <v>14910</v>
      </c>
    </row>
    <row r="7964" spans="1:2">
      <c r="A7964" s="225" t="s">
        <v>1823</v>
      </c>
      <c r="B7964" s="225" t="s">
        <v>14911</v>
      </c>
    </row>
    <row r="7965" spans="1:2">
      <c r="A7965" s="225" t="s">
        <v>1825</v>
      </c>
      <c r="B7965" s="225" t="s">
        <v>14912</v>
      </c>
    </row>
    <row r="7966" spans="1:2">
      <c r="A7966" s="225" t="s">
        <v>1826</v>
      </c>
      <c r="B7966" s="225" t="s">
        <v>14913</v>
      </c>
    </row>
    <row r="7967" spans="1:2">
      <c r="A7967" s="225" t="s">
        <v>15028</v>
      </c>
      <c r="B7967" s="225" t="s">
        <v>15029</v>
      </c>
    </row>
    <row r="7968" spans="1:2">
      <c r="A7968" s="225" t="s">
        <v>1884</v>
      </c>
      <c r="B7968" s="225" t="s">
        <v>15030</v>
      </c>
    </row>
    <row r="7969" spans="1:2">
      <c r="A7969" s="225" t="s">
        <v>15032</v>
      </c>
      <c r="B7969" s="225" t="s">
        <v>15033</v>
      </c>
    </row>
    <row r="7970" spans="1:2">
      <c r="A7970" s="225" t="s">
        <v>1917</v>
      </c>
      <c r="B7970" s="225" t="s">
        <v>15034</v>
      </c>
    </row>
    <row r="7971" spans="1:2">
      <c r="A7971" s="225" t="s">
        <v>15038</v>
      </c>
      <c r="B7971" s="225" t="s">
        <v>15034</v>
      </c>
    </row>
    <row r="7972" spans="1:2">
      <c r="A7972" s="225" t="s">
        <v>1835</v>
      </c>
      <c r="B7972" s="225" t="s">
        <v>15039</v>
      </c>
    </row>
    <row r="7973" spans="1:2">
      <c r="A7973" s="225" t="s">
        <v>1800</v>
      </c>
      <c r="B7973" s="225" t="s">
        <v>15040</v>
      </c>
    </row>
    <row r="7974" spans="1:2">
      <c r="A7974" s="225" t="s">
        <v>1892</v>
      </c>
      <c r="B7974" s="225" t="s">
        <v>15041</v>
      </c>
    </row>
    <row r="7975" spans="1:2">
      <c r="A7975" s="225" t="s">
        <v>1861</v>
      </c>
      <c r="B7975" s="225" t="s">
        <v>15042</v>
      </c>
    </row>
    <row r="7976" spans="1:2">
      <c r="A7976" s="225" t="s">
        <v>1807</v>
      </c>
      <c r="B7976" s="225" t="s">
        <v>15043</v>
      </c>
    </row>
    <row r="7977" spans="1:2">
      <c r="A7977" s="225" t="s">
        <v>634</v>
      </c>
      <c r="B7977" s="225" t="s">
        <v>15044</v>
      </c>
    </row>
    <row r="7978" spans="1:2">
      <c r="A7978" s="225" t="s">
        <v>635</v>
      </c>
      <c r="B7978" s="225" t="s">
        <v>15045</v>
      </c>
    </row>
    <row r="7979" spans="1:2">
      <c r="A7979" s="225" t="s">
        <v>1803</v>
      </c>
      <c r="B7979" s="225" t="s">
        <v>15046</v>
      </c>
    </row>
    <row r="7980" spans="1:2">
      <c r="A7980" s="225" t="s">
        <v>1913</v>
      </c>
      <c r="B7980" s="225" t="s">
        <v>10849</v>
      </c>
    </row>
    <row r="7981" spans="1:2">
      <c r="A7981" s="225" t="s">
        <v>1836</v>
      </c>
      <c r="B7981" s="225" t="s">
        <v>15047</v>
      </c>
    </row>
    <row r="7982" spans="1:2">
      <c r="A7982" s="225" t="s">
        <v>1817</v>
      </c>
      <c r="B7982" s="225" t="s">
        <v>15048</v>
      </c>
    </row>
    <row r="7983" spans="1:2">
      <c r="A7983" s="225" t="s">
        <v>15049</v>
      </c>
      <c r="B7983" s="225" t="s">
        <v>15050</v>
      </c>
    </row>
    <row r="7984" spans="1:2">
      <c r="A7984" s="225" t="s">
        <v>15051</v>
      </c>
      <c r="B7984" s="225" t="s">
        <v>15052</v>
      </c>
    </row>
    <row r="7985" spans="1:2">
      <c r="A7985" s="225" t="s">
        <v>1977</v>
      </c>
      <c r="B7985" s="225" t="s">
        <v>15053</v>
      </c>
    </row>
    <row r="7986" spans="1:2">
      <c r="A7986" s="225" t="s">
        <v>1944</v>
      </c>
      <c r="B7986" s="225" t="s">
        <v>15054</v>
      </c>
    </row>
    <row r="7987" spans="1:2">
      <c r="A7987" s="225" t="s">
        <v>1950</v>
      </c>
      <c r="B7987" s="225" t="s">
        <v>15055</v>
      </c>
    </row>
    <row r="7988" spans="1:2">
      <c r="A7988" s="225" t="s">
        <v>2001</v>
      </c>
      <c r="B7988" s="225" t="s">
        <v>15056</v>
      </c>
    </row>
    <row r="7989" spans="1:2">
      <c r="A7989" s="225" t="s">
        <v>1931</v>
      </c>
      <c r="B7989" s="225" t="s">
        <v>15057</v>
      </c>
    </row>
    <row r="7990" spans="1:2">
      <c r="A7990" s="225" t="s">
        <v>1939</v>
      </c>
      <c r="B7990" s="225" t="s">
        <v>15058</v>
      </c>
    </row>
    <row r="7991" spans="1:2">
      <c r="A7991" s="225" t="s">
        <v>1972</v>
      </c>
      <c r="B7991" s="225" t="s">
        <v>15059</v>
      </c>
    </row>
    <row r="7992" spans="1:2">
      <c r="A7992" s="225" t="s">
        <v>1924</v>
      </c>
      <c r="B7992" s="225" t="s">
        <v>15060</v>
      </c>
    </row>
    <row r="7993" spans="1:2">
      <c r="A7993" s="225" t="s">
        <v>15061</v>
      </c>
      <c r="B7993" s="225" t="s">
        <v>15062</v>
      </c>
    </row>
    <row r="7994" spans="1:2">
      <c r="A7994" s="225" t="s">
        <v>17238</v>
      </c>
      <c r="B7994" s="225" t="s">
        <v>17239</v>
      </c>
    </row>
    <row r="7995" spans="1:2">
      <c r="A7995" s="225" t="s">
        <v>17240</v>
      </c>
      <c r="B7995" s="225" t="s">
        <v>17241</v>
      </c>
    </row>
    <row r="7996" spans="1:2">
      <c r="A7996" s="225" t="s">
        <v>17242</v>
      </c>
      <c r="B7996" s="225" t="s">
        <v>1775</v>
      </c>
    </row>
    <row r="7997" spans="1:2">
      <c r="A7997" s="225" t="s">
        <v>17243</v>
      </c>
      <c r="B7997" s="225" t="s">
        <v>17244</v>
      </c>
    </row>
    <row r="7998" spans="1:2">
      <c r="A7998" s="225" t="s">
        <v>17298</v>
      </c>
      <c r="B7998" s="225" t="s">
        <v>17299</v>
      </c>
    </row>
    <row r="7999" spans="1:2">
      <c r="A7999" s="225" t="s">
        <v>17300</v>
      </c>
      <c r="B7999" s="225" t="s">
        <v>17301</v>
      </c>
    </row>
    <row r="8000" spans="1:2">
      <c r="A8000" s="225" t="s">
        <v>17302</v>
      </c>
      <c r="B8000" s="225" t="s">
        <v>17303</v>
      </c>
    </row>
    <row r="8001" spans="1:2">
      <c r="A8001" s="225" t="s">
        <v>17305</v>
      </c>
      <c r="B8001" s="225" t="s">
        <v>16332</v>
      </c>
    </row>
    <row r="8002" spans="1:2">
      <c r="A8002" s="225" t="s">
        <v>17306</v>
      </c>
      <c r="B8002" s="225" t="s">
        <v>17307</v>
      </c>
    </row>
    <row r="8003" spans="1:2">
      <c r="A8003" s="225" t="s">
        <v>17308</v>
      </c>
      <c r="B8003" s="225" t="s">
        <v>17309</v>
      </c>
    </row>
    <row r="8004" spans="1:2">
      <c r="A8004" s="225" t="s">
        <v>17310</v>
      </c>
      <c r="B8004" s="225" t="s">
        <v>17311</v>
      </c>
    </row>
    <row r="8005" spans="1:2">
      <c r="A8005" s="225" t="s">
        <v>17312</v>
      </c>
      <c r="B8005" s="225" t="s">
        <v>16343</v>
      </c>
    </row>
    <row r="8006" spans="1:2">
      <c r="A8006" s="225" t="s">
        <v>17313</v>
      </c>
      <c r="B8006" s="225" t="s">
        <v>15676</v>
      </c>
    </row>
    <row r="8007" spans="1:2">
      <c r="A8007" s="225" t="s">
        <v>17314</v>
      </c>
      <c r="B8007" s="225" t="s">
        <v>1852</v>
      </c>
    </row>
    <row r="8008" spans="1:2">
      <c r="A8008" s="225" t="s">
        <v>17315</v>
      </c>
      <c r="B8008" s="225" t="s">
        <v>17316</v>
      </c>
    </row>
    <row r="8009" spans="1:2">
      <c r="A8009" s="225" t="s">
        <v>17320</v>
      </c>
      <c r="B8009" s="225" t="s">
        <v>16348</v>
      </c>
    </row>
    <row r="8010" spans="1:2">
      <c r="A8010" s="225" t="s">
        <v>17321</v>
      </c>
      <c r="B8010" s="225" t="s">
        <v>17322</v>
      </c>
    </row>
    <row r="8011" spans="1:2">
      <c r="A8011" s="225" t="s">
        <v>17323</v>
      </c>
      <c r="B8011" s="225" t="s">
        <v>17324</v>
      </c>
    </row>
    <row r="8012" spans="1:2">
      <c r="A8012" s="225" t="s">
        <v>17326</v>
      </c>
      <c r="B8012" s="225" t="s">
        <v>17327</v>
      </c>
    </row>
    <row r="8013" spans="1:2">
      <c r="A8013" s="225" t="s">
        <v>17332</v>
      </c>
      <c r="B8013" s="225" t="s">
        <v>17333</v>
      </c>
    </row>
    <row r="8014" spans="1:2">
      <c r="A8014" s="225" t="s">
        <v>17338</v>
      </c>
      <c r="B8014" s="225" t="s">
        <v>17339</v>
      </c>
    </row>
    <row r="8015" spans="1:2">
      <c r="A8015" s="225" t="s">
        <v>17340</v>
      </c>
      <c r="B8015" s="225" t="s">
        <v>15640</v>
      </c>
    </row>
    <row r="8016" spans="1:2">
      <c r="A8016" s="225" t="s">
        <v>17345</v>
      </c>
      <c r="B8016" s="225" t="s">
        <v>17346</v>
      </c>
    </row>
    <row r="8017" spans="1:2">
      <c r="A8017" s="225" t="s">
        <v>17347</v>
      </c>
      <c r="B8017" s="225" t="s">
        <v>17348</v>
      </c>
    </row>
    <row r="8018" spans="1:2">
      <c r="A8018" s="225" t="s">
        <v>17349</v>
      </c>
      <c r="B8018" s="225" t="s">
        <v>618</v>
      </c>
    </row>
    <row r="8019" spans="1:2">
      <c r="A8019" s="225" t="s">
        <v>17370</v>
      </c>
      <c r="B8019" s="225" t="s">
        <v>17371</v>
      </c>
    </row>
    <row r="8020" spans="1:2">
      <c r="A8020" s="225" t="s">
        <v>17379</v>
      </c>
      <c r="B8020" s="225" t="s">
        <v>1775</v>
      </c>
    </row>
    <row r="8021" spans="1:2">
      <c r="A8021" s="225" t="s">
        <v>17384</v>
      </c>
      <c r="B8021" s="225" t="s">
        <v>9703</v>
      </c>
    </row>
    <row r="8022" spans="1:2">
      <c r="A8022" s="225" t="s">
        <v>17387</v>
      </c>
      <c r="B8022" s="225" t="s">
        <v>10795</v>
      </c>
    </row>
    <row r="8023" spans="1:2">
      <c r="A8023" s="225" t="s">
        <v>17396</v>
      </c>
      <c r="B8023" s="225" t="s">
        <v>17397</v>
      </c>
    </row>
    <row r="8024" spans="1:2">
      <c r="A8024" s="225" t="s">
        <v>17398</v>
      </c>
      <c r="B8024" s="225" t="s">
        <v>17399</v>
      </c>
    </row>
    <row r="8025" spans="1:2">
      <c r="A8025" s="225" t="s">
        <v>17400</v>
      </c>
      <c r="B8025" s="225" t="s">
        <v>17401</v>
      </c>
    </row>
    <row r="8026" spans="1:2">
      <c r="A8026" s="225" t="s">
        <v>17402</v>
      </c>
      <c r="B8026" s="225" t="s">
        <v>17403</v>
      </c>
    </row>
    <row r="8027" spans="1:2">
      <c r="A8027" s="225" t="s">
        <v>17404</v>
      </c>
      <c r="B8027" s="225" t="s">
        <v>17405</v>
      </c>
    </row>
    <row r="8028" spans="1:2">
      <c r="A8028" s="225" t="s">
        <v>17406</v>
      </c>
      <c r="B8028" s="225" t="s">
        <v>17407</v>
      </c>
    </row>
    <row r="8029" spans="1:2">
      <c r="A8029" s="225" t="s">
        <v>17408</v>
      </c>
      <c r="B8029" s="225" t="s">
        <v>17409</v>
      </c>
    </row>
    <row r="8030" spans="1:2">
      <c r="A8030" s="225" t="s">
        <v>17410</v>
      </c>
      <c r="B8030" s="225" t="s">
        <v>17411</v>
      </c>
    </row>
    <row r="8031" spans="1:2">
      <c r="A8031" s="225" t="s">
        <v>17412</v>
      </c>
      <c r="B8031" s="225" t="s">
        <v>17413</v>
      </c>
    </row>
    <row r="8032" spans="1:2">
      <c r="A8032" s="225" t="s">
        <v>17414</v>
      </c>
      <c r="B8032" s="225" t="s">
        <v>17415</v>
      </c>
    </row>
    <row r="8033" spans="1:2">
      <c r="A8033" s="225" t="s">
        <v>17416</v>
      </c>
      <c r="B8033" s="225" t="s">
        <v>17417</v>
      </c>
    </row>
    <row r="8034" spans="1:2">
      <c r="A8034" s="225" t="s">
        <v>17418</v>
      </c>
      <c r="B8034" s="225" t="s">
        <v>17419</v>
      </c>
    </row>
    <row r="8035" spans="1:2">
      <c r="A8035" s="225" t="s">
        <v>17420</v>
      </c>
      <c r="B8035" s="225" t="s">
        <v>17421</v>
      </c>
    </row>
    <row r="8036" spans="1:2">
      <c r="A8036" s="225" t="s">
        <v>17422</v>
      </c>
      <c r="B8036" s="225" t="s">
        <v>17423</v>
      </c>
    </row>
    <row r="8037" spans="1:2">
      <c r="A8037" s="225" t="s">
        <v>17426</v>
      </c>
      <c r="B8037" s="225" t="s">
        <v>17427</v>
      </c>
    </row>
    <row r="8038" spans="1:2">
      <c r="A8038" s="225" t="s">
        <v>17442</v>
      </c>
      <c r="B8038" s="225" t="s">
        <v>1674</v>
      </c>
    </row>
    <row r="8039" spans="1:2">
      <c r="A8039" s="225" t="s">
        <v>17444</v>
      </c>
      <c r="B8039" s="225" t="s">
        <v>1852</v>
      </c>
    </row>
    <row r="8040" spans="1:2">
      <c r="A8040" s="225" t="s">
        <v>17450</v>
      </c>
      <c r="B8040" s="225" t="s">
        <v>17419</v>
      </c>
    </row>
    <row r="8041" spans="1:2">
      <c r="A8041" s="225" t="s">
        <v>17451</v>
      </c>
      <c r="B8041" s="225" t="s">
        <v>17421</v>
      </c>
    </row>
    <row r="8042" spans="1:2">
      <c r="A8042" s="225" t="s">
        <v>17452</v>
      </c>
      <c r="B8042" s="225" t="s">
        <v>17423</v>
      </c>
    </row>
    <row r="8043" spans="1:2">
      <c r="A8043" s="225" t="s">
        <v>17454</v>
      </c>
      <c r="B8043" s="225" t="s">
        <v>17427</v>
      </c>
    </row>
    <row r="8044" spans="1:2">
      <c r="A8044" s="225" t="s">
        <v>17461</v>
      </c>
      <c r="B8044" s="225" t="s">
        <v>1775</v>
      </c>
    </row>
    <row r="8045" spans="1:2">
      <c r="A8045" s="225" t="s">
        <v>17470</v>
      </c>
      <c r="B8045" s="225" t="s">
        <v>9703</v>
      </c>
    </row>
    <row r="8046" spans="1:2">
      <c r="A8046" s="225" t="s">
        <v>17472</v>
      </c>
      <c r="B8046" s="225" t="s">
        <v>10795</v>
      </c>
    </row>
    <row r="8047" spans="1:2">
      <c r="A8047" s="225" t="s">
        <v>17480</v>
      </c>
      <c r="B8047" s="225" t="s">
        <v>17397</v>
      </c>
    </row>
    <row r="8048" spans="1:2">
      <c r="A8048" s="225" t="s">
        <v>17481</v>
      </c>
      <c r="B8048" s="225" t="s">
        <v>17399</v>
      </c>
    </row>
    <row r="8049" spans="1:2">
      <c r="A8049" s="225" t="s">
        <v>17482</v>
      </c>
      <c r="B8049" s="225" t="s">
        <v>17401</v>
      </c>
    </row>
    <row r="8050" spans="1:2">
      <c r="A8050" s="225" t="s">
        <v>17483</v>
      </c>
      <c r="B8050" s="225" t="s">
        <v>17403</v>
      </c>
    </row>
    <row r="8051" spans="1:2">
      <c r="A8051" s="225" t="s">
        <v>17484</v>
      </c>
      <c r="B8051" s="225" t="s">
        <v>17405</v>
      </c>
    </row>
    <row r="8052" spans="1:2">
      <c r="A8052" s="225" t="s">
        <v>17485</v>
      </c>
      <c r="B8052" s="225" t="s">
        <v>17409</v>
      </c>
    </row>
    <row r="8053" spans="1:2">
      <c r="A8053" s="225" t="s">
        <v>17486</v>
      </c>
      <c r="B8053" s="225" t="s">
        <v>17411</v>
      </c>
    </row>
    <row r="8054" spans="1:2">
      <c r="A8054" s="225" t="s">
        <v>17487</v>
      </c>
      <c r="B8054" s="225" t="s">
        <v>17413</v>
      </c>
    </row>
    <row r="8055" spans="1:2">
      <c r="A8055" s="225" t="s">
        <v>17488</v>
      </c>
      <c r="B8055" s="225" t="s">
        <v>17415</v>
      </c>
    </row>
    <row r="8056" spans="1:2">
      <c r="A8056" s="225" t="s">
        <v>17489</v>
      </c>
      <c r="B8056" s="225" t="s">
        <v>17417</v>
      </c>
    </row>
    <row r="8057" spans="1:2">
      <c r="A8057" s="225" t="s">
        <v>17490</v>
      </c>
      <c r="B8057" s="225" t="s">
        <v>1674</v>
      </c>
    </row>
    <row r="8058" spans="1:2">
      <c r="A8058" s="225" t="s">
        <v>17492</v>
      </c>
      <c r="B8058" s="225" t="s">
        <v>1852</v>
      </c>
    </row>
    <row r="8059" spans="1:2">
      <c r="A8059" s="225" t="s">
        <v>17510</v>
      </c>
      <c r="B8059" s="225" t="s">
        <v>17511</v>
      </c>
    </row>
    <row r="8060" spans="1:2">
      <c r="A8060" s="225" t="s">
        <v>17518</v>
      </c>
      <c r="B8060" s="225" t="s">
        <v>618</v>
      </c>
    </row>
    <row r="8061" spans="1:2">
      <c r="A8061" s="225" t="s">
        <v>17519</v>
      </c>
      <c r="B8061" s="225" t="s">
        <v>17511</v>
      </c>
    </row>
    <row r="8062" spans="1:2">
      <c r="A8062" s="225" t="s">
        <v>17527</v>
      </c>
      <c r="B8062" s="225" t="s">
        <v>16385</v>
      </c>
    </row>
    <row r="8063" spans="1:2">
      <c r="A8063" s="225" t="s">
        <v>17547</v>
      </c>
      <c r="B8063" s="225" t="s">
        <v>618</v>
      </c>
    </row>
    <row r="8064" spans="1:2">
      <c r="A8064" s="225" t="s">
        <v>17548</v>
      </c>
      <c r="B8064" s="225" t="s">
        <v>1727</v>
      </c>
    </row>
    <row r="8065" spans="1:2">
      <c r="A8065" s="225" t="s">
        <v>17549</v>
      </c>
      <c r="B8065" s="225" t="s">
        <v>1730</v>
      </c>
    </row>
    <row r="8066" spans="1:2">
      <c r="A8066" s="225" t="s">
        <v>17550</v>
      </c>
      <c r="B8066" s="225" t="s">
        <v>1731</v>
      </c>
    </row>
    <row r="8067" spans="1:2">
      <c r="A8067" s="225" t="s">
        <v>17551</v>
      </c>
      <c r="B8067" s="225" t="s">
        <v>1736</v>
      </c>
    </row>
    <row r="8068" spans="1:2">
      <c r="A8068" s="225" t="s">
        <v>17555</v>
      </c>
      <c r="B8068" s="225" t="s">
        <v>17371</v>
      </c>
    </row>
    <row r="8069" spans="1:2">
      <c r="A8069" s="225" t="s">
        <v>17570</v>
      </c>
      <c r="B8069" s="225" t="s">
        <v>1740</v>
      </c>
    </row>
    <row r="8070" spans="1:2">
      <c r="A8070" s="225" t="s">
        <v>17571</v>
      </c>
      <c r="B8070" s="225" t="s">
        <v>618</v>
      </c>
    </row>
    <row r="8071" spans="1:2">
      <c r="A8071" s="225" t="s">
        <v>17572</v>
      </c>
      <c r="B8071" s="225" t="s">
        <v>11088</v>
      </c>
    </row>
    <row r="8072" spans="1:2">
      <c r="A8072" s="225" t="s">
        <v>17573</v>
      </c>
      <c r="B8072" s="225" t="s">
        <v>16250</v>
      </c>
    </row>
    <row r="8073" spans="1:2">
      <c r="A8073" s="225" t="s">
        <v>17580</v>
      </c>
      <c r="B8073" s="225" t="s">
        <v>17371</v>
      </c>
    </row>
    <row r="8074" spans="1:2">
      <c r="A8074" s="225" t="s">
        <v>17581</v>
      </c>
      <c r="B8074" s="225" t="s">
        <v>16250</v>
      </c>
    </row>
    <row r="8075" spans="1:2">
      <c r="A8075" s="225" t="s">
        <v>17582</v>
      </c>
      <c r="B8075" s="225" t="s">
        <v>11088</v>
      </c>
    </row>
    <row r="8076" spans="1:2">
      <c r="A8076" s="225" t="s">
        <v>17625</v>
      </c>
      <c r="B8076" s="225" t="s">
        <v>1740</v>
      </c>
    </row>
    <row r="8077" spans="1:2">
      <c r="A8077" s="225" t="s">
        <v>17626</v>
      </c>
      <c r="B8077" s="225" t="s">
        <v>1744</v>
      </c>
    </row>
    <row r="8078" spans="1:2">
      <c r="A8078" s="225" t="s">
        <v>17639</v>
      </c>
      <c r="B8078" s="225" t="s">
        <v>618</v>
      </c>
    </row>
    <row r="8079" spans="1:2">
      <c r="A8079" s="225" t="s">
        <v>17655</v>
      </c>
      <c r="B8079" s="225" t="s">
        <v>17371</v>
      </c>
    </row>
    <row r="8080" spans="1:2">
      <c r="A8080" s="225" t="s">
        <v>17658</v>
      </c>
      <c r="B8080" s="225" t="s">
        <v>17055</v>
      </c>
    </row>
    <row r="8081" spans="1:2">
      <c r="A8081" s="225" t="s">
        <v>17669</v>
      </c>
      <c r="B8081" s="225" t="s">
        <v>17670</v>
      </c>
    </row>
    <row r="8082" spans="1:2">
      <c r="A8082" s="225" t="s">
        <v>17691</v>
      </c>
      <c r="B8082" s="225" t="s">
        <v>17692</v>
      </c>
    </row>
    <row r="8083" spans="1:2">
      <c r="A8083" s="225" t="s">
        <v>17693</v>
      </c>
      <c r="B8083" s="225" t="s">
        <v>17694</v>
      </c>
    </row>
    <row r="8084" spans="1:2">
      <c r="A8084" s="225" t="s">
        <v>17695</v>
      </c>
      <c r="B8084" s="225" t="s">
        <v>17696</v>
      </c>
    </row>
    <row r="8085" spans="1:2">
      <c r="A8085" s="225" t="s">
        <v>17711</v>
      </c>
      <c r="B8085" s="225" t="s">
        <v>17670</v>
      </c>
    </row>
    <row r="8086" spans="1:2">
      <c r="A8086" s="225" t="s">
        <v>17712</v>
      </c>
      <c r="B8086" s="225" t="s">
        <v>17696</v>
      </c>
    </row>
    <row r="8087" spans="1:2">
      <c r="A8087" s="225" t="s">
        <v>17713</v>
      </c>
      <c r="B8087" s="225" t="s">
        <v>17694</v>
      </c>
    </row>
    <row r="8088" spans="1:2">
      <c r="A8088" s="225" t="s">
        <v>17714</v>
      </c>
      <c r="B8088" s="225" t="s">
        <v>17692</v>
      </c>
    </row>
    <row r="8089" spans="1:2">
      <c r="A8089" s="225" t="s">
        <v>17716</v>
      </c>
      <c r="B8089" s="225" t="s">
        <v>618</v>
      </c>
    </row>
    <row r="8090" spans="1:2">
      <c r="A8090" s="225" t="s">
        <v>17727</v>
      </c>
      <c r="B8090" s="225" t="s">
        <v>17696</v>
      </c>
    </row>
    <row r="8091" spans="1:2">
      <c r="A8091" s="225" t="s">
        <v>17728</v>
      </c>
      <c r="B8091" s="225" t="s">
        <v>17670</v>
      </c>
    </row>
    <row r="8092" spans="1:2">
      <c r="A8092" s="225" t="s">
        <v>17729</v>
      </c>
      <c r="B8092" s="225" t="s">
        <v>17694</v>
      </c>
    </row>
    <row r="8093" spans="1:2">
      <c r="A8093" s="225" t="s">
        <v>17730</v>
      </c>
      <c r="B8093" s="225" t="s">
        <v>17692</v>
      </c>
    </row>
    <row r="8094" spans="1:2">
      <c r="A8094" s="225" t="s">
        <v>17733</v>
      </c>
      <c r="B8094" s="225" t="s">
        <v>17371</v>
      </c>
    </row>
    <row r="8095" spans="1:2">
      <c r="A8095" s="225" t="s">
        <v>17746</v>
      </c>
      <c r="B8095" s="225" t="s">
        <v>618</v>
      </c>
    </row>
    <row r="8096" spans="1:2">
      <c r="A8096" s="225" t="s">
        <v>17747</v>
      </c>
      <c r="B8096" s="225" t="s">
        <v>1707</v>
      </c>
    </row>
    <row r="8097" spans="1:2">
      <c r="A8097" s="225" t="s">
        <v>17748</v>
      </c>
      <c r="B8097" s="225" t="s">
        <v>1727</v>
      </c>
    </row>
    <row r="8098" spans="1:2">
      <c r="A8098" s="225" t="s">
        <v>17749</v>
      </c>
      <c r="B8098" s="225" t="s">
        <v>1730</v>
      </c>
    </row>
    <row r="8099" spans="1:2">
      <c r="A8099" s="225" t="s">
        <v>17750</v>
      </c>
      <c r="B8099" s="225" t="s">
        <v>1731</v>
      </c>
    </row>
    <row r="8100" spans="1:2">
      <c r="A8100" s="225" t="s">
        <v>17751</v>
      </c>
      <c r="B8100" s="225" t="s">
        <v>1736</v>
      </c>
    </row>
    <row r="8101" spans="1:2">
      <c r="A8101" s="225" t="s">
        <v>17752</v>
      </c>
      <c r="B8101" s="225" t="s">
        <v>1747</v>
      </c>
    </row>
    <row r="8102" spans="1:2">
      <c r="A8102" s="225" t="s">
        <v>17753</v>
      </c>
      <c r="B8102" s="225" t="s">
        <v>1746</v>
      </c>
    </row>
    <row r="8103" spans="1:2">
      <c r="A8103" s="225" t="s">
        <v>17770</v>
      </c>
      <c r="B8103" s="225" t="s">
        <v>1740</v>
      </c>
    </row>
    <row r="8104" spans="1:2">
      <c r="A8104" s="225" t="s">
        <v>17771</v>
      </c>
      <c r="B8104" s="225" t="s">
        <v>1744</v>
      </c>
    </row>
    <row r="8105" spans="1:2">
      <c r="A8105" s="225" t="s">
        <v>17772</v>
      </c>
      <c r="B8105" s="225" t="s">
        <v>1746</v>
      </c>
    </row>
    <row r="8106" spans="1:2">
      <c r="A8106" s="225" t="s">
        <v>17773</v>
      </c>
      <c r="B8106" s="225" t="s">
        <v>1747</v>
      </c>
    </row>
    <row r="8107" spans="1:2">
      <c r="A8107" s="225" t="s">
        <v>17780</v>
      </c>
      <c r="B8107" s="225" t="s">
        <v>618</v>
      </c>
    </row>
    <row r="8108" spans="1:2">
      <c r="A8108" s="225" t="s">
        <v>17800</v>
      </c>
      <c r="B8108" s="225" t="s">
        <v>618</v>
      </c>
    </row>
    <row r="8109" spans="1:2">
      <c r="A8109" s="225" t="s">
        <v>17801</v>
      </c>
      <c r="B8109" s="225" t="s">
        <v>17371</v>
      </c>
    </row>
    <row r="8110" spans="1:2">
      <c r="A8110" s="225" t="s">
        <v>17812</v>
      </c>
      <c r="B8110" s="225" t="s">
        <v>1727</v>
      </c>
    </row>
    <row r="8111" spans="1:2">
      <c r="A8111" s="225" t="s">
        <v>17813</v>
      </c>
      <c r="B8111" s="225" t="s">
        <v>1730</v>
      </c>
    </row>
    <row r="8112" spans="1:2">
      <c r="A8112" s="225" t="s">
        <v>17814</v>
      </c>
      <c r="B8112" s="225" t="s">
        <v>17371</v>
      </c>
    </row>
    <row r="8113" spans="1:2">
      <c r="A8113" s="225" t="s">
        <v>17817</v>
      </c>
      <c r="B8113" s="225" t="s">
        <v>17239</v>
      </c>
    </row>
    <row r="8114" spans="1:2">
      <c r="A8114" s="225" t="s">
        <v>17818</v>
      </c>
      <c r="B8114" s="225" t="s">
        <v>17241</v>
      </c>
    </row>
    <row r="8115" spans="1:2">
      <c r="A8115" s="225" t="s">
        <v>17819</v>
      </c>
      <c r="B8115" s="225" t="s">
        <v>1775</v>
      </c>
    </row>
    <row r="8116" spans="1:2">
      <c r="A8116" s="225" t="s">
        <v>17820</v>
      </c>
      <c r="B8116" s="225" t="s">
        <v>17244</v>
      </c>
    </row>
    <row r="8117" spans="1:2">
      <c r="A8117" s="225" t="s">
        <v>17821</v>
      </c>
      <c r="B8117" s="225" t="s">
        <v>17299</v>
      </c>
    </row>
    <row r="8118" spans="1:2">
      <c r="A8118" s="225" t="s">
        <v>17822</v>
      </c>
      <c r="B8118" s="225" t="s">
        <v>17301</v>
      </c>
    </row>
    <row r="8119" spans="1:2">
      <c r="A8119" s="225" t="s">
        <v>17823</v>
      </c>
      <c r="B8119" s="225" t="s">
        <v>17303</v>
      </c>
    </row>
    <row r="8120" spans="1:2">
      <c r="A8120" s="225" t="s">
        <v>17826</v>
      </c>
      <c r="B8120" s="225" t="s">
        <v>16332</v>
      </c>
    </row>
    <row r="8121" spans="1:2">
      <c r="A8121" s="225" t="s">
        <v>17827</v>
      </c>
      <c r="B8121" s="225" t="s">
        <v>17307</v>
      </c>
    </row>
    <row r="8122" spans="1:2">
      <c r="A8122" s="225" t="s">
        <v>17828</v>
      </c>
      <c r="B8122" s="225" t="s">
        <v>17309</v>
      </c>
    </row>
    <row r="8123" spans="1:2">
      <c r="A8123" s="225" t="s">
        <v>17829</v>
      </c>
      <c r="B8123" s="225" t="s">
        <v>17311</v>
      </c>
    </row>
    <row r="8124" spans="1:2">
      <c r="A8124" s="225" t="s">
        <v>17830</v>
      </c>
      <c r="B8124" s="225" t="s">
        <v>16343</v>
      </c>
    </row>
    <row r="8125" spans="1:2">
      <c r="A8125" s="225" t="s">
        <v>17831</v>
      </c>
      <c r="B8125" s="225" t="s">
        <v>15676</v>
      </c>
    </row>
    <row r="8126" spans="1:2">
      <c r="A8126" s="225" t="s">
        <v>17832</v>
      </c>
      <c r="B8126" s="225" t="s">
        <v>1852</v>
      </c>
    </row>
    <row r="8127" spans="1:2">
      <c r="A8127" s="225" t="s">
        <v>17833</v>
      </c>
      <c r="B8127" s="225" t="s">
        <v>17316</v>
      </c>
    </row>
    <row r="8128" spans="1:2">
      <c r="A8128" s="225" t="s">
        <v>17838</v>
      </c>
      <c r="B8128" s="225" t="s">
        <v>16348</v>
      </c>
    </row>
    <row r="8129" spans="1:2">
      <c r="A8129" s="225" t="s">
        <v>17839</v>
      </c>
      <c r="B8129" s="225" t="s">
        <v>17322</v>
      </c>
    </row>
    <row r="8130" spans="1:2">
      <c r="A8130" s="225" t="s">
        <v>17840</v>
      </c>
      <c r="B8130" s="225" t="s">
        <v>17324</v>
      </c>
    </row>
    <row r="8131" spans="1:2">
      <c r="A8131" s="225" t="s">
        <v>17842</v>
      </c>
      <c r="B8131" s="225" t="s">
        <v>17327</v>
      </c>
    </row>
    <row r="8132" spans="1:2">
      <c r="A8132" s="225" t="s">
        <v>17847</v>
      </c>
      <c r="B8132" s="225" t="s">
        <v>17333</v>
      </c>
    </row>
    <row r="8133" spans="1:2">
      <c r="A8133" s="225" t="s">
        <v>17851</v>
      </c>
      <c r="B8133" s="225" t="s">
        <v>17339</v>
      </c>
    </row>
    <row r="8134" spans="1:2">
      <c r="A8134" s="225" t="s">
        <v>17852</v>
      </c>
      <c r="B8134" s="225" t="s">
        <v>15640</v>
      </c>
    </row>
    <row r="8135" spans="1:2">
      <c r="A8135" s="225" t="s">
        <v>17856</v>
      </c>
      <c r="B8135" s="225" t="s">
        <v>17346</v>
      </c>
    </row>
    <row r="8136" spans="1:2">
      <c r="A8136" s="225" t="s">
        <v>17857</v>
      </c>
      <c r="B8136" s="225" t="s">
        <v>17348</v>
      </c>
    </row>
    <row r="8137" spans="1:2">
      <c r="A8137" s="225" t="s">
        <v>17859</v>
      </c>
      <c r="B8137" s="225" t="s">
        <v>1852</v>
      </c>
    </row>
    <row r="8138" spans="1:2">
      <c r="A8138" s="225" t="s">
        <v>17860</v>
      </c>
      <c r="B8138" s="225" t="s">
        <v>15676</v>
      </c>
    </row>
    <row r="8139" spans="1:2">
      <c r="A8139" s="225" t="s">
        <v>17861</v>
      </c>
      <c r="B8139" s="225" t="s">
        <v>16343</v>
      </c>
    </row>
    <row r="8140" spans="1:2">
      <c r="A8140" s="225" t="s">
        <v>17862</v>
      </c>
      <c r="B8140" s="225" t="s">
        <v>17311</v>
      </c>
    </row>
    <row r="8141" spans="1:2">
      <c r="A8141" s="225" t="s">
        <v>17863</v>
      </c>
      <c r="B8141" s="225" t="s">
        <v>17309</v>
      </c>
    </row>
    <row r="8142" spans="1:2">
      <c r="A8142" s="225" t="s">
        <v>17864</v>
      </c>
      <c r="B8142" s="225" t="s">
        <v>17307</v>
      </c>
    </row>
    <row r="8143" spans="1:2">
      <c r="A8143" s="225" t="s">
        <v>17865</v>
      </c>
      <c r="B8143" s="225" t="s">
        <v>16332</v>
      </c>
    </row>
    <row r="8144" spans="1:2">
      <c r="A8144" s="225" t="s">
        <v>17867</v>
      </c>
      <c r="B8144" s="225" t="s">
        <v>17303</v>
      </c>
    </row>
    <row r="8145" spans="1:2">
      <c r="A8145" s="225" t="s">
        <v>17868</v>
      </c>
      <c r="B8145" s="225" t="s">
        <v>17301</v>
      </c>
    </row>
    <row r="8146" spans="1:2">
      <c r="A8146" s="225" t="s">
        <v>17869</v>
      </c>
      <c r="B8146" s="225" t="s">
        <v>17299</v>
      </c>
    </row>
    <row r="8147" spans="1:2">
      <c r="A8147" s="225" t="s">
        <v>17870</v>
      </c>
      <c r="B8147" s="225" t="s">
        <v>17244</v>
      </c>
    </row>
    <row r="8148" spans="1:2">
      <c r="A8148" s="225" t="s">
        <v>17871</v>
      </c>
      <c r="B8148" s="225" t="s">
        <v>1775</v>
      </c>
    </row>
    <row r="8149" spans="1:2">
      <c r="A8149" s="225" t="s">
        <v>17872</v>
      </c>
      <c r="B8149" s="225" t="s">
        <v>17241</v>
      </c>
    </row>
    <row r="8150" spans="1:2">
      <c r="A8150" s="225" t="s">
        <v>17873</v>
      </c>
      <c r="B8150" s="225" t="s">
        <v>17239</v>
      </c>
    </row>
    <row r="8151" spans="1:2">
      <c r="A8151" s="225" t="s">
        <v>17876</v>
      </c>
      <c r="B8151" s="225" t="s">
        <v>17348</v>
      </c>
    </row>
    <row r="8152" spans="1:2">
      <c r="A8152" s="225" t="s">
        <v>17877</v>
      </c>
      <c r="B8152" s="225" t="s">
        <v>17346</v>
      </c>
    </row>
    <row r="8153" spans="1:2">
      <c r="A8153" s="225" t="s">
        <v>17881</v>
      </c>
      <c r="B8153" s="225" t="s">
        <v>15640</v>
      </c>
    </row>
    <row r="8154" spans="1:2">
      <c r="A8154" s="225" t="s">
        <v>17882</v>
      </c>
      <c r="B8154" s="225" t="s">
        <v>17339</v>
      </c>
    </row>
    <row r="8155" spans="1:2">
      <c r="A8155" s="225" t="s">
        <v>17884</v>
      </c>
      <c r="B8155" s="225" t="s">
        <v>17333</v>
      </c>
    </row>
    <row r="8156" spans="1:2">
      <c r="A8156" s="225" t="s">
        <v>17885</v>
      </c>
      <c r="B8156" s="225" t="s">
        <v>17316</v>
      </c>
    </row>
    <row r="8157" spans="1:2">
      <c r="A8157" s="225" t="s">
        <v>17889</v>
      </c>
      <c r="B8157" s="225" t="s">
        <v>16348</v>
      </c>
    </row>
    <row r="8158" spans="1:2">
      <c r="A8158" s="225" t="s">
        <v>17890</v>
      </c>
      <c r="B8158" s="225" t="s">
        <v>17322</v>
      </c>
    </row>
    <row r="8159" spans="1:2">
      <c r="A8159" s="225" t="s">
        <v>17891</v>
      </c>
      <c r="B8159" s="225" t="s">
        <v>17324</v>
      </c>
    </row>
    <row r="8160" spans="1:2">
      <c r="A8160" s="225" t="s">
        <v>17893</v>
      </c>
      <c r="B8160" s="225" t="s">
        <v>17327</v>
      </c>
    </row>
    <row r="8161" spans="1:2">
      <c r="A8161" s="225" t="s">
        <v>17896</v>
      </c>
      <c r="B8161" s="225" t="s">
        <v>17897</v>
      </c>
    </row>
    <row r="8162" spans="1:2">
      <c r="A8162" s="225" t="s">
        <v>17913</v>
      </c>
      <c r="B8162" s="225" t="s">
        <v>17897</v>
      </c>
    </row>
    <row r="8163" spans="1:2">
      <c r="A8163" s="225" t="s">
        <v>17916</v>
      </c>
      <c r="B8163" s="225" t="s">
        <v>14922</v>
      </c>
    </row>
    <row r="8164" spans="1:2">
      <c r="A8164" s="225" t="s">
        <v>17919</v>
      </c>
      <c r="B8164" s="225" t="s">
        <v>1731</v>
      </c>
    </row>
    <row r="8165" spans="1:2">
      <c r="A8165" s="225" t="s">
        <v>17920</v>
      </c>
      <c r="B8165" s="225" t="s">
        <v>1736</v>
      </c>
    </row>
    <row r="8166" spans="1:2">
      <c r="A8166" s="225" t="s">
        <v>17921</v>
      </c>
      <c r="B8166" s="225" t="s">
        <v>1740</v>
      </c>
    </row>
    <row r="8167" spans="1:2">
      <c r="A8167" s="225" t="s">
        <v>17922</v>
      </c>
      <c r="B8167" s="225" t="s">
        <v>1744</v>
      </c>
    </row>
    <row r="8168" spans="1:2">
      <c r="A8168" s="225" t="s">
        <v>17923</v>
      </c>
      <c r="B8168" s="225" t="s">
        <v>1746</v>
      </c>
    </row>
    <row r="8169" spans="1:2">
      <c r="A8169" s="225" t="s">
        <v>18002</v>
      </c>
      <c r="B8169" s="225" t="s">
        <v>1747</v>
      </c>
    </row>
    <row r="8170" spans="1:2">
      <c r="A8170" s="225" t="s">
        <v>18003</v>
      </c>
      <c r="B8170" s="225" t="s">
        <v>18004</v>
      </c>
    </row>
    <row r="8171" spans="1:2">
      <c r="A8171" s="225" t="s">
        <v>18005</v>
      </c>
      <c r="B8171" s="225" t="s">
        <v>18006</v>
      </c>
    </row>
    <row r="8172" spans="1:2">
      <c r="A8172" s="225" t="s">
        <v>18007</v>
      </c>
      <c r="B8172" s="225" t="s">
        <v>18008</v>
      </c>
    </row>
    <row r="8173" spans="1:2">
      <c r="A8173" s="225" t="s">
        <v>18011</v>
      </c>
      <c r="B8173" s="225" t="s">
        <v>18012</v>
      </c>
    </row>
    <row r="8174" spans="1:2">
      <c r="A8174" s="225" t="s">
        <v>18017</v>
      </c>
      <c r="B8174" s="225" t="s">
        <v>18018</v>
      </c>
    </row>
    <row r="8175" spans="1:2">
      <c r="A8175" s="225" t="s">
        <v>18021</v>
      </c>
      <c r="B8175" s="225" t="s">
        <v>18012</v>
      </c>
    </row>
    <row r="8176" spans="1:2">
      <c r="A8176" s="225" t="s">
        <v>18024</v>
      </c>
      <c r="B8176" s="225" t="s">
        <v>18008</v>
      </c>
    </row>
    <row r="8177" spans="1:2">
      <c r="A8177" s="225" t="s">
        <v>18025</v>
      </c>
      <c r="B8177" s="225" t="s">
        <v>18006</v>
      </c>
    </row>
    <row r="8178" spans="1:2">
      <c r="A8178" s="225" t="s">
        <v>18026</v>
      </c>
      <c r="B8178" s="225" t="s">
        <v>18004</v>
      </c>
    </row>
    <row r="8179" spans="1:2">
      <c r="A8179" s="225" t="s">
        <v>18028</v>
      </c>
      <c r="B8179" s="225" t="s">
        <v>18018</v>
      </c>
    </row>
    <row r="8180" spans="1:2">
      <c r="A8180" s="225" t="s">
        <v>18031</v>
      </c>
      <c r="B8180" s="225" t="s">
        <v>18032</v>
      </c>
    </row>
    <row r="8181" spans="1:2">
      <c r="A8181" s="225" t="s">
        <v>18033</v>
      </c>
      <c r="B8181" s="225" t="s">
        <v>9703</v>
      </c>
    </row>
    <row r="8182" spans="1:2">
      <c r="A8182" s="225" t="s">
        <v>18035</v>
      </c>
      <c r="B8182" s="225" t="s">
        <v>1729</v>
      </c>
    </row>
    <row r="8183" spans="1:2">
      <c r="A8183" s="225" t="s">
        <v>18036</v>
      </c>
      <c r="B8183" s="225" t="s">
        <v>14885</v>
      </c>
    </row>
    <row r="8184" spans="1:2">
      <c r="A8184" s="225" t="s">
        <v>18037</v>
      </c>
      <c r="B8184" s="225" t="s">
        <v>18032</v>
      </c>
    </row>
    <row r="8185" spans="1:2">
      <c r="A8185" s="225" t="s">
        <v>18042</v>
      </c>
      <c r="B8185" s="225" t="s">
        <v>1729</v>
      </c>
    </row>
    <row r="8186" spans="1:2">
      <c r="A8186" s="225" t="s">
        <v>18045</v>
      </c>
      <c r="B8186" s="225" t="s">
        <v>5841</v>
      </c>
    </row>
    <row r="8187" spans="1:2">
      <c r="A8187" s="225" t="s">
        <v>18046</v>
      </c>
      <c r="B8187" s="225" t="s">
        <v>1775</v>
      </c>
    </row>
    <row r="8188" spans="1:2">
      <c r="A8188" s="225" t="s">
        <v>18049</v>
      </c>
      <c r="B8188" s="225" t="s">
        <v>9483</v>
      </c>
    </row>
    <row r="8189" spans="1:2">
      <c r="A8189" s="225" t="s">
        <v>18051</v>
      </c>
      <c r="B8189" s="225" t="s">
        <v>1775</v>
      </c>
    </row>
    <row r="8190" spans="1:2">
      <c r="A8190" s="225" t="s">
        <v>18061</v>
      </c>
      <c r="B8190" s="225" t="s">
        <v>17427</v>
      </c>
    </row>
    <row r="8191" spans="1:2">
      <c r="A8191" s="225" t="s">
        <v>18063</v>
      </c>
      <c r="B8191" s="225" t="s">
        <v>17423</v>
      </c>
    </row>
    <row r="8192" spans="1:2">
      <c r="A8192" s="225" t="s">
        <v>18064</v>
      </c>
      <c r="B8192" s="225" t="s">
        <v>17421</v>
      </c>
    </row>
    <row r="8193" spans="1:2">
      <c r="A8193" s="225" t="s">
        <v>18065</v>
      </c>
      <c r="B8193" s="225" t="s">
        <v>17419</v>
      </c>
    </row>
    <row r="8194" spans="1:2">
      <c r="A8194" s="225" t="s">
        <v>18066</v>
      </c>
      <c r="B8194" s="225" t="s">
        <v>17417</v>
      </c>
    </row>
    <row r="8195" spans="1:2">
      <c r="A8195" s="225" t="s">
        <v>18067</v>
      </c>
      <c r="B8195" s="225" t="s">
        <v>17415</v>
      </c>
    </row>
    <row r="8196" spans="1:2">
      <c r="A8196" s="225" t="s">
        <v>18068</v>
      </c>
      <c r="B8196" s="225" t="s">
        <v>17413</v>
      </c>
    </row>
    <row r="8197" spans="1:2">
      <c r="A8197" s="225" t="s">
        <v>18069</v>
      </c>
      <c r="B8197" s="225" t="s">
        <v>17411</v>
      </c>
    </row>
    <row r="8198" spans="1:2">
      <c r="A8198" s="225" t="s">
        <v>18070</v>
      </c>
      <c r="B8198" s="225" t="s">
        <v>17409</v>
      </c>
    </row>
    <row r="8199" spans="1:2">
      <c r="A8199" s="225" t="s">
        <v>18071</v>
      </c>
      <c r="B8199" s="225" t="s">
        <v>17407</v>
      </c>
    </row>
    <row r="8200" spans="1:2">
      <c r="A8200" s="225" t="s">
        <v>18072</v>
      </c>
      <c r="B8200" s="225" t="s">
        <v>17405</v>
      </c>
    </row>
    <row r="8201" spans="1:2">
      <c r="A8201" s="225" t="s">
        <v>18073</v>
      </c>
      <c r="B8201" s="225" t="s">
        <v>17403</v>
      </c>
    </row>
    <row r="8202" spans="1:2">
      <c r="A8202" s="225" t="s">
        <v>18074</v>
      </c>
      <c r="B8202" s="225" t="s">
        <v>17401</v>
      </c>
    </row>
    <row r="8203" spans="1:2">
      <c r="A8203" s="225" t="s">
        <v>18075</v>
      </c>
      <c r="B8203" s="225" t="s">
        <v>17399</v>
      </c>
    </row>
    <row r="8204" spans="1:2">
      <c r="A8204" s="225" t="s">
        <v>18076</v>
      </c>
      <c r="B8204" s="225" t="s">
        <v>17397</v>
      </c>
    </row>
    <row r="8205" spans="1:2">
      <c r="A8205" s="225" t="s">
        <v>18079</v>
      </c>
      <c r="B8205" s="225" t="s">
        <v>18080</v>
      </c>
    </row>
    <row r="8206" spans="1:2">
      <c r="A8206" s="225" t="s">
        <v>18083</v>
      </c>
      <c r="B8206" s="225" t="s">
        <v>10795</v>
      </c>
    </row>
    <row r="8207" spans="1:2">
      <c r="A8207" s="225" t="s">
        <v>18090</v>
      </c>
      <c r="B8207" s="225" t="s">
        <v>17371</v>
      </c>
    </row>
    <row r="8208" spans="1:2">
      <c r="A8208" s="225" t="s">
        <v>18095</v>
      </c>
      <c r="B8208" s="225" t="s">
        <v>17403</v>
      </c>
    </row>
    <row r="8209" spans="1:2">
      <c r="A8209" s="225" t="s">
        <v>18096</v>
      </c>
      <c r="B8209" s="225" t="s">
        <v>17401</v>
      </c>
    </row>
    <row r="8210" spans="1:2">
      <c r="A8210" s="225" t="s">
        <v>18099</v>
      </c>
      <c r="B8210" s="225" t="s">
        <v>17399</v>
      </c>
    </row>
    <row r="8211" spans="1:2">
      <c r="A8211" s="225" t="s">
        <v>18100</v>
      </c>
      <c r="B8211" s="225" t="s">
        <v>17407</v>
      </c>
    </row>
    <row r="8212" spans="1:2">
      <c r="A8212" s="225" t="s">
        <v>18101</v>
      </c>
      <c r="B8212" s="225" t="s">
        <v>9703</v>
      </c>
    </row>
    <row r="8213" spans="1:2">
      <c r="A8213" s="225" t="s">
        <v>18102</v>
      </c>
      <c r="B8213" s="225" t="s">
        <v>3517</v>
      </c>
    </row>
    <row r="8214" spans="1:2">
      <c r="A8214" s="225" t="s">
        <v>18104</v>
      </c>
      <c r="B8214" s="225" t="s">
        <v>17239</v>
      </c>
    </row>
    <row r="8215" spans="1:2">
      <c r="A8215" s="225" t="s">
        <v>18105</v>
      </c>
      <c r="B8215" s="225" t="s">
        <v>17241</v>
      </c>
    </row>
    <row r="8216" spans="1:2">
      <c r="A8216" s="225" t="s">
        <v>18106</v>
      </c>
      <c r="B8216" s="225" t="s">
        <v>1775</v>
      </c>
    </row>
    <row r="8217" spans="1:2">
      <c r="A8217" s="225" t="s">
        <v>18107</v>
      </c>
      <c r="B8217" s="225" t="s">
        <v>17244</v>
      </c>
    </row>
    <row r="8218" spans="1:2">
      <c r="A8218" s="225" t="s">
        <v>18108</v>
      </c>
      <c r="B8218" s="225" t="s">
        <v>17299</v>
      </c>
    </row>
    <row r="8219" spans="1:2">
      <c r="A8219" s="225" t="s">
        <v>18109</v>
      </c>
      <c r="B8219" s="225" t="s">
        <v>17301</v>
      </c>
    </row>
    <row r="8220" spans="1:2">
      <c r="A8220" s="225" t="s">
        <v>18110</v>
      </c>
      <c r="B8220" s="225" t="s">
        <v>17303</v>
      </c>
    </row>
    <row r="8221" spans="1:2">
      <c r="A8221" s="225" t="s">
        <v>18112</v>
      </c>
      <c r="B8221" s="225" t="s">
        <v>16332</v>
      </c>
    </row>
    <row r="8222" spans="1:2">
      <c r="A8222" s="225" t="s">
        <v>18113</v>
      </c>
      <c r="B8222" s="225" t="s">
        <v>17307</v>
      </c>
    </row>
    <row r="8223" spans="1:2">
      <c r="A8223" s="225" t="s">
        <v>18114</v>
      </c>
      <c r="B8223" s="225" t="s">
        <v>17309</v>
      </c>
    </row>
    <row r="8224" spans="1:2">
      <c r="A8224" s="225" t="s">
        <v>18115</v>
      </c>
      <c r="B8224" s="225" t="s">
        <v>17311</v>
      </c>
    </row>
    <row r="8225" spans="1:2">
      <c r="A8225" s="225" t="s">
        <v>18116</v>
      </c>
      <c r="B8225" s="225" t="s">
        <v>16343</v>
      </c>
    </row>
    <row r="8226" spans="1:2">
      <c r="A8226" s="225" t="s">
        <v>18117</v>
      </c>
      <c r="B8226" s="225" t="s">
        <v>15676</v>
      </c>
    </row>
    <row r="8227" spans="1:2">
      <c r="A8227" s="225" t="s">
        <v>18118</v>
      </c>
      <c r="B8227" s="225" t="s">
        <v>1852</v>
      </c>
    </row>
    <row r="8228" spans="1:2">
      <c r="A8228" s="225" t="s">
        <v>18119</v>
      </c>
      <c r="B8228" s="225" t="s">
        <v>17316</v>
      </c>
    </row>
    <row r="8229" spans="1:2">
      <c r="A8229" s="225" t="s">
        <v>18122</v>
      </c>
      <c r="B8229" s="225" t="s">
        <v>16348</v>
      </c>
    </row>
    <row r="8230" spans="1:2">
      <c r="A8230" s="225" t="s">
        <v>18123</v>
      </c>
      <c r="B8230" s="225" t="s">
        <v>17322</v>
      </c>
    </row>
    <row r="8231" spans="1:2">
      <c r="A8231" s="225" t="s">
        <v>18124</v>
      </c>
      <c r="B8231" s="225" t="s">
        <v>17324</v>
      </c>
    </row>
    <row r="8232" spans="1:2">
      <c r="A8232" s="225" t="s">
        <v>18126</v>
      </c>
      <c r="B8232" s="225" t="s">
        <v>17327</v>
      </c>
    </row>
    <row r="8233" spans="1:2">
      <c r="A8233" s="225" t="s">
        <v>18129</v>
      </c>
      <c r="B8233" s="225" t="s">
        <v>17333</v>
      </c>
    </row>
    <row r="8234" spans="1:2">
      <c r="A8234" s="225" t="s">
        <v>18131</v>
      </c>
      <c r="B8234" s="225" t="s">
        <v>17339</v>
      </c>
    </row>
    <row r="8235" spans="1:2">
      <c r="A8235" s="225" t="s">
        <v>18132</v>
      </c>
      <c r="B8235" s="225" t="s">
        <v>15640</v>
      </c>
    </row>
    <row r="8236" spans="1:2">
      <c r="A8236" s="225" t="s">
        <v>18135</v>
      </c>
      <c r="B8236" s="225" t="s">
        <v>17346</v>
      </c>
    </row>
    <row r="8237" spans="1:2">
      <c r="A8237" s="225" t="s">
        <v>18136</v>
      </c>
      <c r="B8237" s="225" t="s">
        <v>17348</v>
      </c>
    </row>
    <row r="8238" spans="1:2">
      <c r="A8238" s="225" t="s">
        <v>18137</v>
      </c>
      <c r="B8238" s="225" t="s">
        <v>618</v>
      </c>
    </row>
    <row r="8239" spans="1:2">
      <c r="A8239" s="225" t="s">
        <v>18144</v>
      </c>
      <c r="B8239" s="225" t="s">
        <v>17511</v>
      </c>
    </row>
    <row r="8240" spans="1:2">
      <c r="A8240" s="225" t="s">
        <v>18157</v>
      </c>
      <c r="B8240" s="225" t="s">
        <v>618</v>
      </c>
    </row>
    <row r="8241" spans="1:2">
      <c r="A8241" s="225" t="s">
        <v>18158</v>
      </c>
      <c r="B8241" s="225" t="s">
        <v>17511</v>
      </c>
    </row>
    <row r="8242" spans="1:2">
      <c r="A8242" s="225" t="s">
        <v>18174</v>
      </c>
      <c r="B8242" s="225" t="s">
        <v>16385</v>
      </c>
    </row>
    <row r="8243" spans="1:2">
      <c r="A8243" s="225" t="s">
        <v>18181</v>
      </c>
      <c r="B8243" s="225" t="s">
        <v>1727</v>
      </c>
    </row>
    <row r="8244" spans="1:2">
      <c r="A8244" s="225" t="s">
        <v>18182</v>
      </c>
      <c r="B8244" s="225" t="s">
        <v>1730</v>
      </c>
    </row>
    <row r="8245" spans="1:2">
      <c r="A8245" s="225" t="s">
        <v>18184</v>
      </c>
      <c r="B8245" s="225" t="s">
        <v>1731</v>
      </c>
    </row>
    <row r="8246" spans="1:2">
      <c r="A8246" s="225" t="s">
        <v>18193</v>
      </c>
      <c r="B8246" s="225" t="s">
        <v>1736</v>
      </c>
    </row>
    <row r="8247" spans="1:2">
      <c r="A8247" s="225" t="s">
        <v>18194</v>
      </c>
      <c r="B8247" s="225" t="s">
        <v>1740</v>
      </c>
    </row>
    <row r="8248" spans="1:2">
      <c r="A8248" s="225" t="s">
        <v>18195</v>
      </c>
      <c r="B8248" s="225" t="s">
        <v>618</v>
      </c>
    </row>
    <row r="8249" spans="1:2">
      <c r="A8249" s="225" t="s">
        <v>18196</v>
      </c>
      <c r="B8249" s="225" t="s">
        <v>11088</v>
      </c>
    </row>
    <row r="8250" spans="1:2">
      <c r="A8250" s="225" t="s">
        <v>18197</v>
      </c>
      <c r="B8250" s="225" t="s">
        <v>16250</v>
      </c>
    </row>
    <row r="8251" spans="1:2">
      <c r="A8251" s="225" t="s">
        <v>18200</v>
      </c>
      <c r="B8251" s="225" t="s">
        <v>11088</v>
      </c>
    </row>
    <row r="8252" spans="1:2">
      <c r="A8252" s="225" t="s">
        <v>18201</v>
      </c>
      <c r="B8252" s="225" t="s">
        <v>16250</v>
      </c>
    </row>
    <row r="8253" spans="1:2">
      <c r="A8253" s="225" t="s">
        <v>18224</v>
      </c>
      <c r="B8253" s="225" t="s">
        <v>1740</v>
      </c>
    </row>
    <row r="8254" spans="1:2">
      <c r="A8254" s="225" t="s">
        <v>18225</v>
      </c>
      <c r="B8254" s="225" t="s">
        <v>1744</v>
      </c>
    </row>
    <row r="8255" spans="1:2">
      <c r="A8255" s="225" t="s">
        <v>18235</v>
      </c>
      <c r="B8255" s="225" t="s">
        <v>17055</v>
      </c>
    </row>
    <row r="8256" spans="1:2">
      <c r="A8256" s="225" t="s">
        <v>18254</v>
      </c>
      <c r="B8256" s="225" t="s">
        <v>17670</v>
      </c>
    </row>
    <row r="8257" spans="1:2">
      <c r="A8257" s="225" t="s">
        <v>18255</v>
      </c>
      <c r="B8257" s="225" t="s">
        <v>17696</v>
      </c>
    </row>
    <row r="8258" spans="1:2">
      <c r="A8258" s="225" t="s">
        <v>18256</v>
      </c>
      <c r="B8258" s="225" t="s">
        <v>17694</v>
      </c>
    </row>
    <row r="8259" spans="1:2">
      <c r="A8259" s="225" t="s">
        <v>18257</v>
      </c>
      <c r="B8259" s="225" t="s">
        <v>17692</v>
      </c>
    </row>
    <row r="8260" spans="1:2">
      <c r="A8260" s="225" t="s">
        <v>18268</v>
      </c>
      <c r="B8260" s="225" t="s">
        <v>17670</v>
      </c>
    </row>
    <row r="8261" spans="1:2">
      <c r="A8261" s="225" t="s">
        <v>18269</v>
      </c>
      <c r="B8261" s="225" t="s">
        <v>17696</v>
      </c>
    </row>
    <row r="8262" spans="1:2">
      <c r="A8262" s="225" t="s">
        <v>18270</v>
      </c>
      <c r="B8262" s="225" t="s">
        <v>17694</v>
      </c>
    </row>
    <row r="8263" spans="1:2">
      <c r="A8263" s="225" t="s">
        <v>18271</v>
      </c>
      <c r="B8263" s="225" t="s">
        <v>17692</v>
      </c>
    </row>
    <row r="8264" spans="1:2">
      <c r="A8264" s="225" t="s">
        <v>18278</v>
      </c>
      <c r="B8264" s="225" t="s">
        <v>17670</v>
      </c>
    </row>
    <row r="8265" spans="1:2">
      <c r="A8265" s="225" t="s">
        <v>18279</v>
      </c>
      <c r="B8265" s="225" t="s">
        <v>17696</v>
      </c>
    </row>
    <row r="8266" spans="1:2">
      <c r="A8266" s="225" t="s">
        <v>18280</v>
      </c>
      <c r="B8266" s="225" t="s">
        <v>17694</v>
      </c>
    </row>
    <row r="8267" spans="1:2">
      <c r="A8267" s="225" t="s">
        <v>18281</v>
      </c>
      <c r="B8267" s="225" t="s">
        <v>17692</v>
      </c>
    </row>
    <row r="8268" spans="1:2">
      <c r="A8268" s="225" t="s">
        <v>18290</v>
      </c>
      <c r="B8268" s="225" t="s">
        <v>618</v>
      </c>
    </row>
    <row r="8269" spans="1:2">
      <c r="A8269" s="225" t="s">
        <v>18291</v>
      </c>
      <c r="B8269" s="225" t="s">
        <v>1707</v>
      </c>
    </row>
    <row r="8270" spans="1:2">
      <c r="A8270" s="225" t="s">
        <v>18292</v>
      </c>
      <c r="B8270" s="225" t="s">
        <v>1727</v>
      </c>
    </row>
    <row r="8271" spans="1:2">
      <c r="A8271" s="225" t="s">
        <v>18293</v>
      </c>
      <c r="B8271" s="225" t="s">
        <v>1730</v>
      </c>
    </row>
    <row r="8272" spans="1:2">
      <c r="A8272" s="225" t="s">
        <v>18294</v>
      </c>
      <c r="B8272" s="225" t="s">
        <v>1731</v>
      </c>
    </row>
    <row r="8273" spans="1:2">
      <c r="A8273" s="225" t="s">
        <v>18298</v>
      </c>
      <c r="B8273" s="225" t="s">
        <v>1746</v>
      </c>
    </row>
    <row r="8274" spans="1:2">
      <c r="A8274" s="225" t="s">
        <v>18299</v>
      </c>
      <c r="B8274" s="225" t="s">
        <v>1747</v>
      </c>
    </row>
    <row r="8275" spans="1:2">
      <c r="A8275" s="225" t="s">
        <v>18306</v>
      </c>
      <c r="B8275" s="225" t="s">
        <v>1736</v>
      </c>
    </row>
    <row r="8276" spans="1:2">
      <c r="A8276" s="225" t="s">
        <v>18308</v>
      </c>
      <c r="B8276" s="225" t="s">
        <v>1740</v>
      </c>
    </row>
    <row r="8277" spans="1:2">
      <c r="A8277" s="225" t="s">
        <v>18309</v>
      </c>
      <c r="B8277" s="225" t="s">
        <v>1744</v>
      </c>
    </row>
    <row r="8278" spans="1:2">
      <c r="A8278" s="225" t="s">
        <v>18312</v>
      </c>
      <c r="B8278" s="225" t="s">
        <v>1747</v>
      </c>
    </row>
    <row r="8279" spans="1:2">
      <c r="A8279" s="225" t="s">
        <v>18317</v>
      </c>
      <c r="B8279" s="225" t="s">
        <v>618</v>
      </c>
    </row>
    <row r="8280" spans="1:2">
      <c r="A8280" s="225" t="s">
        <v>18338</v>
      </c>
      <c r="B8280" s="225" t="s">
        <v>618</v>
      </c>
    </row>
    <row r="8281" spans="1:2">
      <c r="A8281" s="225" t="s">
        <v>18339</v>
      </c>
      <c r="B8281" s="225" t="s">
        <v>1727</v>
      </c>
    </row>
    <row r="8282" spans="1:2">
      <c r="A8282" s="225" t="s">
        <v>18340</v>
      </c>
      <c r="B8282" s="225" t="s">
        <v>1730</v>
      </c>
    </row>
    <row r="8283" spans="1:2">
      <c r="A8283" s="225" t="s">
        <v>18347</v>
      </c>
      <c r="B8283" s="225" t="s">
        <v>17897</v>
      </c>
    </row>
    <row r="8284" spans="1:2">
      <c r="A8284" s="225" t="s">
        <v>18349</v>
      </c>
      <c r="B8284" s="225" t="s">
        <v>14922</v>
      </c>
    </row>
    <row r="8285" spans="1:2">
      <c r="A8285" s="225" t="s">
        <v>18353</v>
      </c>
      <c r="B8285" s="225" t="s">
        <v>17897</v>
      </c>
    </row>
    <row r="8286" spans="1:2">
      <c r="A8286" s="225" t="s">
        <v>18355</v>
      </c>
      <c r="B8286" s="225" t="s">
        <v>1731</v>
      </c>
    </row>
    <row r="8287" spans="1:2">
      <c r="A8287" s="225" t="s">
        <v>18356</v>
      </c>
      <c r="B8287" s="225" t="s">
        <v>1736</v>
      </c>
    </row>
    <row r="8288" spans="1:2">
      <c r="A8288" s="225" t="s">
        <v>18357</v>
      </c>
      <c r="B8288" s="225" t="s">
        <v>1740</v>
      </c>
    </row>
    <row r="8289" spans="1:2">
      <c r="A8289" s="225" t="s">
        <v>18358</v>
      </c>
      <c r="B8289" s="225" t="s">
        <v>1744</v>
      </c>
    </row>
    <row r="8290" spans="1:2">
      <c r="A8290" s="225" t="s">
        <v>18359</v>
      </c>
      <c r="B8290" s="225" t="s">
        <v>1747</v>
      </c>
    </row>
    <row r="8291" spans="1:2">
      <c r="A8291" s="225" t="s">
        <v>18360</v>
      </c>
      <c r="B8291" s="225" t="s">
        <v>18004</v>
      </c>
    </row>
    <row r="8292" spans="1:2">
      <c r="A8292" s="225" t="s">
        <v>18361</v>
      </c>
      <c r="B8292" s="225" t="s">
        <v>18006</v>
      </c>
    </row>
    <row r="8293" spans="1:2">
      <c r="A8293" s="225" t="s">
        <v>18362</v>
      </c>
      <c r="B8293" s="225" t="s">
        <v>18008</v>
      </c>
    </row>
    <row r="8294" spans="1:2">
      <c r="A8294" s="225" t="s">
        <v>18363</v>
      </c>
      <c r="B8294" s="225" t="s">
        <v>18012</v>
      </c>
    </row>
    <row r="8295" spans="1:2">
      <c r="A8295" s="225" t="s">
        <v>18364</v>
      </c>
      <c r="B8295" s="225" t="s">
        <v>18004</v>
      </c>
    </row>
    <row r="8296" spans="1:2">
      <c r="A8296" s="225" t="s">
        <v>18365</v>
      </c>
      <c r="B8296" s="225" t="s">
        <v>18006</v>
      </c>
    </row>
    <row r="8297" spans="1:2">
      <c r="A8297" s="225" t="s">
        <v>18366</v>
      </c>
      <c r="B8297" s="225" t="s">
        <v>18008</v>
      </c>
    </row>
    <row r="8298" spans="1:2">
      <c r="A8298" s="225" t="s">
        <v>18367</v>
      </c>
      <c r="B8298" s="225" t="s">
        <v>18012</v>
      </c>
    </row>
    <row r="8299" spans="1:2">
      <c r="A8299" s="225" t="s">
        <v>18368</v>
      </c>
      <c r="B8299" s="225" t="s">
        <v>18018</v>
      </c>
    </row>
    <row r="8300" spans="1:2">
      <c r="A8300" s="225" t="s">
        <v>18369</v>
      </c>
      <c r="B8300" s="225" t="s">
        <v>18018</v>
      </c>
    </row>
    <row r="8301" spans="1:2">
      <c r="A8301" s="225" t="s">
        <v>18370</v>
      </c>
      <c r="B8301" s="225" t="s">
        <v>18032</v>
      </c>
    </row>
    <row r="8302" spans="1:2">
      <c r="A8302" s="225" t="s">
        <v>18371</v>
      </c>
      <c r="B8302" s="225" t="s">
        <v>9703</v>
      </c>
    </row>
    <row r="8303" spans="1:2">
      <c r="A8303" s="225" t="s">
        <v>18373</v>
      </c>
      <c r="B8303" s="225" t="s">
        <v>1729</v>
      </c>
    </row>
    <row r="8304" spans="1:2">
      <c r="A8304" s="225" t="s">
        <v>18375</v>
      </c>
      <c r="B8304" s="225" t="s">
        <v>1729</v>
      </c>
    </row>
    <row r="8305" spans="1:2">
      <c r="A8305" s="225" t="s">
        <v>18378</v>
      </c>
      <c r="B8305" s="225" t="s">
        <v>18032</v>
      </c>
    </row>
    <row r="8306" spans="1:2">
      <c r="A8306" s="225" t="s">
        <v>18379</v>
      </c>
      <c r="B8306" s="225" t="s">
        <v>14885</v>
      </c>
    </row>
    <row r="8307" spans="1:2">
      <c r="A8307" s="225" t="s">
        <v>18380</v>
      </c>
      <c r="B8307" s="225" t="s">
        <v>1775</v>
      </c>
    </row>
    <row r="8308" spans="1:2">
      <c r="A8308" s="225" t="s">
        <v>18384</v>
      </c>
      <c r="B8308" s="225" t="s">
        <v>1775</v>
      </c>
    </row>
    <row r="8309" spans="1:2">
      <c r="A8309" s="225" t="s">
        <v>18387</v>
      </c>
      <c r="B8309" s="225" t="s">
        <v>17427</v>
      </c>
    </row>
    <row r="8310" spans="1:2">
      <c r="A8310" s="225" t="s">
        <v>18389</v>
      </c>
      <c r="B8310" s="225" t="s">
        <v>17423</v>
      </c>
    </row>
    <row r="8311" spans="1:2">
      <c r="A8311" s="225" t="s">
        <v>18390</v>
      </c>
      <c r="B8311" s="225" t="s">
        <v>17421</v>
      </c>
    </row>
    <row r="8312" spans="1:2">
      <c r="A8312" s="225" t="s">
        <v>18391</v>
      </c>
      <c r="B8312" s="225" t="s">
        <v>17419</v>
      </c>
    </row>
    <row r="8313" spans="1:2">
      <c r="A8313" s="225" t="s">
        <v>18393</v>
      </c>
      <c r="B8313" s="225" t="s">
        <v>17417</v>
      </c>
    </row>
    <row r="8314" spans="1:2">
      <c r="A8314" s="225" t="s">
        <v>18394</v>
      </c>
      <c r="B8314" s="225" t="s">
        <v>17415</v>
      </c>
    </row>
    <row r="8315" spans="1:2">
      <c r="A8315" s="225" t="s">
        <v>18395</v>
      </c>
      <c r="B8315" s="225" t="s">
        <v>17413</v>
      </c>
    </row>
    <row r="8316" spans="1:2">
      <c r="A8316" s="225" t="s">
        <v>18396</v>
      </c>
      <c r="B8316" s="225" t="s">
        <v>17411</v>
      </c>
    </row>
    <row r="8317" spans="1:2">
      <c r="A8317" s="225" t="s">
        <v>18397</v>
      </c>
      <c r="B8317" s="225" t="s">
        <v>17409</v>
      </c>
    </row>
    <row r="8318" spans="1:2">
      <c r="A8318" s="225" t="s">
        <v>18398</v>
      </c>
      <c r="B8318" s="225" t="s">
        <v>17405</v>
      </c>
    </row>
    <row r="8319" spans="1:2">
      <c r="A8319" s="225" t="s">
        <v>18399</v>
      </c>
      <c r="B8319" s="225" t="s">
        <v>17403</v>
      </c>
    </row>
    <row r="8320" spans="1:2">
      <c r="A8320" s="225" t="s">
        <v>18400</v>
      </c>
      <c r="B8320" s="225" t="s">
        <v>17401</v>
      </c>
    </row>
    <row r="8321" spans="1:2">
      <c r="A8321" s="225" t="s">
        <v>18401</v>
      </c>
      <c r="B8321" s="225" t="s">
        <v>17399</v>
      </c>
    </row>
    <row r="8322" spans="1:2">
      <c r="A8322" s="225" t="s">
        <v>18402</v>
      </c>
      <c r="B8322" s="225" t="s">
        <v>17397</v>
      </c>
    </row>
    <row r="8323" spans="1:2">
      <c r="A8323" s="225" t="s">
        <v>18405</v>
      </c>
      <c r="B8323" s="225" t="s">
        <v>18080</v>
      </c>
    </row>
    <row r="8324" spans="1:2">
      <c r="A8324" s="225" t="s">
        <v>18409</v>
      </c>
      <c r="B8324" s="225" t="s">
        <v>17403</v>
      </c>
    </row>
    <row r="8325" spans="1:2">
      <c r="A8325" s="225" t="s">
        <v>18410</v>
      </c>
      <c r="B8325" s="225" t="s">
        <v>17399</v>
      </c>
    </row>
    <row r="8326" spans="1:2">
      <c r="A8326" s="225" t="s">
        <v>18411</v>
      </c>
      <c r="B8326" s="225" t="s">
        <v>10795</v>
      </c>
    </row>
    <row r="8327" spans="1:2">
      <c r="A8327" s="225" t="s">
        <v>18414</v>
      </c>
      <c r="B8327" s="225" t="s">
        <v>3517</v>
      </c>
    </row>
    <row r="8328" spans="1:2">
      <c r="A8328" s="225" t="s">
        <v>18418</v>
      </c>
      <c r="B8328" s="225" t="s">
        <v>9703</v>
      </c>
    </row>
    <row r="8329" spans="1:2">
      <c r="A8329" s="225" t="s">
        <v>18450</v>
      </c>
      <c r="B8329" s="225" t="s">
        <v>1775</v>
      </c>
    </row>
    <row r="8330" spans="1:2">
      <c r="A8330" s="225" t="s">
        <v>18451</v>
      </c>
      <c r="B8330" s="225" t="s">
        <v>5841</v>
      </c>
    </row>
    <row r="8331" spans="1:2">
      <c r="A8331" s="225" t="s">
        <v>18452</v>
      </c>
      <c r="B8331" s="225" t="s">
        <v>9483</v>
      </c>
    </row>
    <row r="8332" spans="1:2">
      <c r="A8332" s="225" t="s">
        <v>18458</v>
      </c>
      <c r="B8332" s="225" t="s">
        <v>618</v>
      </c>
    </row>
    <row r="8333" spans="1:2">
      <c r="A8333" s="225" t="s">
        <v>18508</v>
      </c>
      <c r="B8333" s="225" t="s">
        <v>17021</v>
      </c>
    </row>
    <row r="8334" spans="1:2">
      <c r="A8334" s="225" t="s">
        <v>18512</v>
      </c>
      <c r="B8334" s="225" t="s">
        <v>17021</v>
      </c>
    </row>
    <row r="8335" spans="1:2">
      <c r="A8335" s="225" t="s">
        <v>18529</v>
      </c>
      <c r="B8335" s="225" t="s">
        <v>618</v>
      </c>
    </row>
    <row r="8336" spans="1:2">
      <c r="A8336" s="225" t="s">
        <v>18608</v>
      </c>
      <c r="B8336" s="225" t="s">
        <v>17239</v>
      </c>
    </row>
    <row r="8337" spans="1:2">
      <c r="A8337" s="225" t="s">
        <v>18609</v>
      </c>
      <c r="B8337" s="225" t="s">
        <v>17241</v>
      </c>
    </row>
    <row r="8338" spans="1:2">
      <c r="A8338" s="225" t="s">
        <v>18613</v>
      </c>
      <c r="B8338" s="225" t="s">
        <v>17348</v>
      </c>
    </row>
    <row r="8339" spans="1:2">
      <c r="A8339" s="225" t="s">
        <v>18614</v>
      </c>
      <c r="B8339" s="225" t="s">
        <v>17346</v>
      </c>
    </row>
    <row r="8340" spans="1:2">
      <c r="A8340" s="225" t="s">
        <v>18615</v>
      </c>
      <c r="B8340" s="225" t="s">
        <v>1775</v>
      </c>
    </row>
    <row r="8341" spans="1:2">
      <c r="A8341" s="225" t="s">
        <v>18616</v>
      </c>
      <c r="B8341" s="225" t="s">
        <v>17244</v>
      </c>
    </row>
    <row r="8342" spans="1:2">
      <c r="A8342" s="225" t="s">
        <v>18617</v>
      </c>
      <c r="B8342" s="225" t="s">
        <v>17299</v>
      </c>
    </row>
    <row r="8343" spans="1:2">
      <c r="A8343" s="225" t="s">
        <v>18618</v>
      </c>
      <c r="B8343" s="225" t="s">
        <v>17301</v>
      </c>
    </row>
    <row r="8344" spans="1:2">
      <c r="A8344" s="225" t="s">
        <v>18622</v>
      </c>
      <c r="B8344" s="225" t="s">
        <v>16332</v>
      </c>
    </row>
    <row r="8345" spans="1:2">
      <c r="A8345" s="225" t="s">
        <v>18623</v>
      </c>
      <c r="B8345" s="225" t="s">
        <v>17307</v>
      </c>
    </row>
    <row r="8346" spans="1:2">
      <c r="A8346" s="225" t="s">
        <v>18624</v>
      </c>
      <c r="B8346" s="225" t="s">
        <v>17309</v>
      </c>
    </row>
    <row r="8347" spans="1:2">
      <c r="A8347" s="225" t="s">
        <v>18625</v>
      </c>
      <c r="B8347" s="225" t="s">
        <v>17311</v>
      </c>
    </row>
    <row r="8348" spans="1:2">
      <c r="A8348" s="225" t="s">
        <v>18626</v>
      </c>
      <c r="B8348" s="225" t="s">
        <v>16343</v>
      </c>
    </row>
    <row r="8349" spans="1:2">
      <c r="A8349" s="225" t="s">
        <v>18627</v>
      </c>
      <c r="B8349" s="225" t="s">
        <v>15676</v>
      </c>
    </row>
    <row r="8350" spans="1:2">
      <c r="A8350" s="225" t="s">
        <v>18628</v>
      </c>
      <c r="B8350" s="225" t="s">
        <v>1852</v>
      </c>
    </row>
    <row r="8351" spans="1:2">
      <c r="A8351" s="225" t="s">
        <v>18629</v>
      </c>
      <c r="B8351" s="225" t="s">
        <v>17316</v>
      </c>
    </row>
    <row r="8352" spans="1:2">
      <c r="A8352" s="225" t="s">
        <v>18633</v>
      </c>
      <c r="B8352" s="225" t="s">
        <v>16348</v>
      </c>
    </row>
    <row r="8353" spans="1:2">
      <c r="A8353" s="225" t="s">
        <v>18634</v>
      </c>
      <c r="B8353" s="225" t="s">
        <v>17322</v>
      </c>
    </row>
    <row r="8354" spans="1:2">
      <c r="A8354" s="225" t="s">
        <v>18635</v>
      </c>
      <c r="B8354" s="225" t="s">
        <v>17324</v>
      </c>
    </row>
    <row r="8355" spans="1:2">
      <c r="A8355" s="225" t="s">
        <v>18637</v>
      </c>
      <c r="B8355" s="225" t="s">
        <v>17327</v>
      </c>
    </row>
    <row r="8356" spans="1:2">
      <c r="A8356" s="225" t="s">
        <v>18640</v>
      </c>
      <c r="B8356" s="225" t="s">
        <v>17333</v>
      </c>
    </row>
    <row r="8357" spans="1:2">
      <c r="A8357" s="225" t="s">
        <v>18642</v>
      </c>
      <c r="B8357" s="225" t="s">
        <v>15640</v>
      </c>
    </row>
    <row r="8358" spans="1:2">
      <c r="A8358" s="225" t="s">
        <v>18643</v>
      </c>
      <c r="B8358" s="225" t="s">
        <v>17339</v>
      </c>
    </row>
    <row r="8359" spans="1:2">
      <c r="A8359" s="225" t="s">
        <v>18646</v>
      </c>
      <c r="B8359" s="225" t="s">
        <v>17239</v>
      </c>
    </row>
    <row r="8360" spans="1:2">
      <c r="A8360" s="225" t="s">
        <v>18647</v>
      </c>
      <c r="B8360" s="225" t="s">
        <v>17241</v>
      </c>
    </row>
    <row r="8361" spans="1:2">
      <c r="A8361" s="225" t="s">
        <v>18648</v>
      </c>
      <c r="B8361" s="225" t="s">
        <v>1775</v>
      </c>
    </row>
    <row r="8362" spans="1:2">
      <c r="A8362" s="225" t="s">
        <v>18649</v>
      </c>
      <c r="B8362" s="225" t="s">
        <v>17244</v>
      </c>
    </row>
    <row r="8363" spans="1:2">
      <c r="A8363" s="225" t="s">
        <v>18650</v>
      </c>
      <c r="B8363" s="225" t="s">
        <v>17299</v>
      </c>
    </row>
    <row r="8364" spans="1:2">
      <c r="A8364" s="225" t="s">
        <v>18651</v>
      </c>
      <c r="B8364" s="225" t="s">
        <v>17301</v>
      </c>
    </row>
    <row r="8365" spans="1:2">
      <c r="A8365" s="225" t="s">
        <v>18652</v>
      </c>
      <c r="B8365" s="225" t="s">
        <v>17303</v>
      </c>
    </row>
    <row r="8366" spans="1:2">
      <c r="A8366" s="225" t="s">
        <v>18654</v>
      </c>
      <c r="B8366" s="225" t="s">
        <v>16332</v>
      </c>
    </row>
    <row r="8367" spans="1:2">
      <c r="A8367" s="225" t="s">
        <v>18655</v>
      </c>
      <c r="B8367" s="225" t="s">
        <v>17307</v>
      </c>
    </row>
    <row r="8368" spans="1:2">
      <c r="A8368" s="225" t="s">
        <v>18656</v>
      </c>
      <c r="B8368" s="225" t="s">
        <v>17309</v>
      </c>
    </row>
    <row r="8369" spans="1:2">
      <c r="A8369" s="225" t="s">
        <v>18657</v>
      </c>
      <c r="B8369" s="225" t="s">
        <v>17311</v>
      </c>
    </row>
    <row r="8370" spans="1:2">
      <c r="A8370" s="225" t="s">
        <v>18658</v>
      </c>
      <c r="B8370" s="225" t="s">
        <v>16343</v>
      </c>
    </row>
    <row r="8371" spans="1:2">
      <c r="A8371" s="225" t="s">
        <v>18659</v>
      </c>
      <c r="B8371" s="225" t="s">
        <v>15676</v>
      </c>
    </row>
    <row r="8372" spans="1:2">
      <c r="A8372" s="225" t="s">
        <v>18660</v>
      </c>
      <c r="B8372" s="225" t="s">
        <v>1852</v>
      </c>
    </row>
    <row r="8373" spans="1:2">
      <c r="A8373" s="225" t="s">
        <v>18661</v>
      </c>
      <c r="B8373" s="225" t="s">
        <v>17316</v>
      </c>
    </row>
    <row r="8374" spans="1:2">
      <c r="A8374" s="225" t="s">
        <v>18664</v>
      </c>
      <c r="B8374" s="225" t="s">
        <v>16348</v>
      </c>
    </row>
    <row r="8375" spans="1:2">
      <c r="A8375" s="225" t="s">
        <v>18665</v>
      </c>
      <c r="B8375" s="225" t="s">
        <v>17322</v>
      </c>
    </row>
    <row r="8376" spans="1:2">
      <c r="A8376" s="225" t="s">
        <v>18666</v>
      </c>
      <c r="B8376" s="225" t="s">
        <v>17324</v>
      </c>
    </row>
    <row r="8377" spans="1:2">
      <c r="A8377" s="225" t="s">
        <v>18668</v>
      </c>
      <c r="B8377" s="225" t="s">
        <v>17327</v>
      </c>
    </row>
    <row r="8378" spans="1:2">
      <c r="A8378" s="225" t="s">
        <v>18671</v>
      </c>
      <c r="B8378" s="225" t="s">
        <v>17333</v>
      </c>
    </row>
    <row r="8379" spans="1:2">
      <c r="A8379" s="225" t="s">
        <v>18674</v>
      </c>
      <c r="B8379" s="225" t="s">
        <v>17339</v>
      </c>
    </row>
    <row r="8380" spans="1:2">
      <c r="A8380" s="225" t="s">
        <v>18675</v>
      </c>
      <c r="B8380" s="225" t="s">
        <v>15640</v>
      </c>
    </row>
    <row r="8381" spans="1:2">
      <c r="A8381" s="225" t="s">
        <v>18677</v>
      </c>
      <c r="B8381" s="225" t="s">
        <v>17346</v>
      </c>
    </row>
    <row r="8382" spans="1:2">
      <c r="A8382" s="225" t="s">
        <v>18678</v>
      </c>
      <c r="B8382" s="225" t="s">
        <v>17348</v>
      </c>
    </row>
    <row r="8383" spans="1:2">
      <c r="A8383" s="225" t="s">
        <v>18679</v>
      </c>
      <c r="B8383" s="225" t="s">
        <v>618</v>
      </c>
    </row>
    <row r="8384" spans="1:2">
      <c r="A8384" s="225" t="s">
        <v>18684</v>
      </c>
      <c r="B8384" s="225" t="s">
        <v>17415</v>
      </c>
    </row>
    <row r="8385" spans="1:2">
      <c r="A8385" s="225" t="s">
        <v>18685</v>
      </c>
      <c r="B8385" s="225" t="s">
        <v>17417</v>
      </c>
    </row>
    <row r="8386" spans="1:2">
      <c r="A8386" s="225" t="s">
        <v>18686</v>
      </c>
      <c r="B8386" s="225" t="s">
        <v>17419</v>
      </c>
    </row>
    <row r="8387" spans="1:2">
      <c r="A8387" s="225" t="s">
        <v>18687</v>
      </c>
      <c r="B8387" s="225" t="s">
        <v>17421</v>
      </c>
    </row>
    <row r="8388" spans="1:2">
      <c r="A8388" s="225" t="s">
        <v>18688</v>
      </c>
      <c r="B8388" s="225" t="s">
        <v>17423</v>
      </c>
    </row>
    <row r="8389" spans="1:2">
      <c r="A8389" s="225" t="s">
        <v>18690</v>
      </c>
      <c r="B8389" s="225" t="s">
        <v>17413</v>
      </c>
    </row>
    <row r="8390" spans="1:2">
      <c r="A8390" s="225" t="s">
        <v>18691</v>
      </c>
      <c r="B8390" s="225" t="s">
        <v>17411</v>
      </c>
    </row>
    <row r="8391" spans="1:2">
      <c r="A8391" s="225" t="s">
        <v>18692</v>
      </c>
      <c r="B8391" s="225" t="s">
        <v>1674</v>
      </c>
    </row>
    <row r="8392" spans="1:2">
      <c r="A8392" s="225" t="s">
        <v>18693</v>
      </c>
      <c r="B8392" s="225" t="s">
        <v>17409</v>
      </c>
    </row>
    <row r="8393" spans="1:2">
      <c r="A8393" s="225" t="s">
        <v>18694</v>
      </c>
      <c r="B8393" s="225" t="s">
        <v>17407</v>
      </c>
    </row>
    <row r="8394" spans="1:2">
      <c r="A8394" s="225" t="s">
        <v>18695</v>
      </c>
      <c r="B8394" s="225" t="s">
        <v>17405</v>
      </c>
    </row>
    <row r="8395" spans="1:2">
      <c r="A8395" s="225" t="s">
        <v>18696</v>
      </c>
      <c r="B8395" s="225" t="s">
        <v>17427</v>
      </c>
    </row>
    <row r="8396" spans="1:2">
      <c r="A8396" s="225" t="s">
        <v>18717</v>
      </c>
      <c r="B8396" s="225" t="s">
        <v>3517</v>
      </c>
    </row>
    <row r="8397" spans="1:2">
      <c r="A8397" s="225" t="s">
        <v>18719</v>
      </c>
      <c r="B8397" s="225" t="s">
        <v>10795</v>
      </c>
    </row>
    <row r="8398" spans="1:2">
      <c r="A8398" s="225" t="s">
        <v>18720</v>
      </c>
      <c r="B8398" s="225" t="s">
        <v>18080</v>
      </c>
    </row>
    <row r="8399" spans="1:2">
      <c r="A8399" s="225" t="s">
        <v>18726</v>
      </c>
      <c r="B8399" s="225" t="s">
        <v>1852</v>
      </c>
    </row>
    <row r="8400" spans="1:2">
      <c r="A8400" s="225" t="s">
        <v>18738</v>
      </c>
      <c r="B8400" s="225" t="s">
        <v>17397</v>
      </c>
    </row>
    <row r="8401" spans="1:2">
      <c r="A8401" s="225" t="s">
        <v>18741</v>
      </c>
      <c r="B8401" s="225" t="s">
        <v>17399</v>
      </c>
    </row>
    <row r="8402" spans="1:2">
      <c r="A8402" s="225" t="s">
        <v>18742</v>
      </c>
      <c r="B8402" s="225" t="s">
        <v>17401</v>
      </c>
    </row>
    <row r="8403" spans="1:2">
      <c r="A8403" s="225" t="s">
        <v>18743</v>
      </c>
      <c r="B8403" s="225" t="s">
        <v>17403</v>
      </c>
    </row>
    <row r="8404" spans="1:2">
      <c r="A8404" s="225" t="s">
        <v>18753</v>
      </c>
      <c r="B8404" s="225" t="s">
        <v>618</v>
      </c>
    </row>
    <row r="8405" spans="1:2">
      <c r="A8405" s="225" t="s">
        <v>18754</v>
      </c>
      <c r="B8405" s="225" t="s">
        <v>17511</v>
      </c>
    </row>
    <row r="8406" spans="1:2">
      <c r="A8406" s="225" t="s">
        <v>18761</v>
      </c>
      <c r="B8406" s="225" t="s">
        <v>618</v>
      </c>
    </row>
    <row r="8407" spans="1:2">
      <c r="A8407" s="225" t="s">
        <v>18762</v>
      </c>
      <c r="B8407" s="225" t="s">
        <v>17511</v>
      </c>
    </row>
    <row r="8408" spans="1:2">
      <c r="A8408" s="225" t="s">
        <v>18768</v>
      </c>
      <c r="B8408" s="225" t="s">
        <v>16385</v>
      </c>
    </row>
    <row r="8409" spans="1:2">
      <c r="A8409" s="225" t="s">
        <v>18771</v>
      </c>
      <c r="B8409" s="225" t="s">
        <v>618</v>
      </c>
    </row>
    <row r="8410" spans="1:2">
      <c r="A8410" s="225" t="s">
        <v>18775</v>
      </c>
      <c r="B8410" s="225" t="s">
        <v>16385</v>
      </c>
    </row>
    <row r="8411" spans="1:2">
      <c r="A8411" s="225" t="s">
        <v>18778</v>
      </c>
      <c r="B8411" s="225" t="s">
        <v>618</v>
      </c>
    </row>
    <row r="8412" spans="1:2">
      <c r="A8412" s="225" t="s">
        <v>18779</v>
      </c>
      <c r="B8412" s="225" t="s">
        <v>1727</v>
      </c>
    </row>
    <row r="8413" spans="1:2">
      <c r="A8413" s="225" t="s">
        <v>18782</v>
      </c>
      <c r="B8413" s="225" t="s">
        <v>1740</v>
      </c>
    </row>
    <row r="8414" spans="1:2">
      <c r="A8414" s="225" t="s">
        <v>18788</v>
      </c>
      <c r="B8414" s="225" t="s">
        <v>618</v>
      </c>
    </row>
    <row r="8415" spans="1:2">
      <c r="A8415" s="225" t="s">
        <v>18790</v>
      </c>
      <c r="B8415" s="225" t="s">
        <v>1736</v>
      </c>
    </row>
    <row r="8416" spans="1:2">
      <c r="A8416" s="225" t="s">
        <v>18791</v>
      </c>
      <c r="B8416" s="225" t="s">
        <v>1727</v>
      </c>
    </row>
    <row r="8417" spans="1:2">
      <c r="A8417" s="225" t="s">
        <v>18792</v>
      </c>
      <c r="B8417" s="225" t="s">
        <v>1730</v>
      </c>
    </row>
    <row r="8418" spans="1:2">
      <c r="A8418" s="225" t="s">
        <v>18793</v>
      </c>
      <c r="B8418" s="225" t="s">
        <v>1731</v>
      </c>
    </row>
    <row r="8419" spans="1:2">
      <c r="A8419" s="225" t="s">
        <v>18794</v>
      </c>
      <c r="B8419" s="225" t="s">
        <v>1730</v>
      </c>
    </row>
    <row r="8420" spans="1:2">
      <c r="A8420" s="225" t="s">
        <v>18795</v>
      </c>
      <c r="B8420" s="225" t="s">
        <v>1731</v>
      </c>
    </row>
    <row r="8421" spans="1:2">
      <c r="A8421" s="225" t="s">
        <v>18796</v>
      </c>
      <c r="B8421" s="225" t="s">
        <v>1736</v>
      </c>
    </row>
    <row r="8422" spans="1:2">
      <c r="A8422" s="225" t="s">
        <v>18798</v>
      </c>
      <c r="B8422" s="225" t="s">
        <v>1740</v>
      </c>
    </row>
    <row r="8423" spans="1:2">
      <c r="A8423" s="225" t="s">
        <v>18803</v>
      </c>
      <c r="B8423" s="225" t="s">
        <v>618</v>
      </c>
    </row>
    <row r="8424" spans="1:2">
      <c r="A8424" s="225" t="s">
        <v>18804</v>
      </c>
      <c r="B8424" s="225" t="s">
        <v>11088</v>
      </c>
    </row>
    <row r="8425" spans="1:2">
      <c r="A8425" s="225" t="s">
        <v>18805</v>
      </c>
      <c r="B8425" s="225" t="s">
        <v>11088</v>
      </c>
    </row>
    <row r="8426" spans="1:2">
      <c r="A8426" s="225" t="s">
        <v>18806</v>
      </c>
      <c r="B8426" s="225" t="s">
        <v>16250</v>
      </c>
    </row>
    <row r="8427" spans="1:2">
      <c r="A8427" s="225" t="s">
        <v>18807</v>
      </c>
      <c r="B8427" s="225" t="s">
        <v>16250</v>
      </c>
    </row>
    <row r="8428" spans="1:2">
      <c r="A8428" s="225" t="s">
        <v>18809</v>
      </c>
      <c r="B8428" s="225" t="s">
        <v>618</v>
      </c>
    </row>
    <row r="8429" spans="1:2">
      <c r="A8429" s="225" t="s">
        <v>18815</v>
      </c>
      <c r="B8429" s="225" t="s">
        <v>1744</v>
      </c>
    </row>
    <row r="8430" spans="1:2">
      <c r="A8430" s="225" t="s">
        <v>18816</v>
      </c>
      <c r="B8430" s="225" t="s">
        <v>1740</v>
      </c>
    </row>
    <row r="8431" spans="1:2">
      <c r="A8431" s="225" t="s">
        <v>18830</v>
      </c>
      <c r="B8431" s="225" t="s">
        <v>1740</v>
      </c>
    </row>
    <row r="8432" spans="1:2">
      <c r="A8432" s="225" t="s">
        <v>18831</v>
      </c>
      <c r="B8432" s="225" t="s">
        <v>1744</v>
      </c>
    </row>
    <row r="8433" spans="1:2">
      <c r="A8433" s="225" t="s">
        <v>18837</v>
      </c>
      <c r="B8433" s="225" t="s">
        <v>618</v>
      </c>
    </row>
    <row r="8434" spans="1:2">
      <c r="A8434" s="225" t="s">
        <v>18848</v>
      </c>
      <c r="B8434" s="225" t="s">
        <v>17055</v>
      </c>
    </row>
    <row r="8435" spans="1:2">
      <c r="A8435" s="225" t="s">
        <v>18852</v>
      </c>
      <c r="B8435" s="225" t="s">
        <v>618</v>
      </c>
    </row>
    <row r="8436" spans="1:2">
      <c r="A8436" s="225" t="s">
        <v>18853</v>
      </c>
      <c r="B8436" s="225" t="s">
        <v>17692</v>
      </c>
    </row>
    <row r="8437" spans="1:2">
      <c r="A8437" s="225" t="s">
        <v>18854</v>
      </c>
      <c r="B8437" s="225" t="s">
        <v>17694</v>
      </c>
    </row>
    <row r="8438" spans="1:2">
      <c r="A8438" s="225" t="s">
        <v>18855</v>
      </c>
      <c r="B8438" s="225" t="s">
        <v>17696</v>
      </c>
    </row>
    <row r="8439" spans="1:2">
      <c r="A8439" s="225" t="s">
        <v>18856</v>
      </c>
      <c r="B8439" s="225" t="s">
        <v>17670</v>
      </c>
    </row>
    <row r="8440" spans="1:2">
      <c r="A8440" s="225" t="s">
        <v>18858</v>
      </c>
      <c r="B8440" s="225" t="s">
        <v>17055</v>
      </c>
    </row>
    <row r="8441" spans="1:2">
      <c r="A8441" s="225" t="s">
        <v>18869</v>
      </c>
      <c r="B8441" s="225" t="s">
        <v>17670</v>
      </c>
    </row>
    <row r="8442" spans="1:2">
      <c r="A8442" s="225" t="s">
        <v>18870</v>
      </c>
      <c r="B8442" s="225" t="s">
        <v>17696</v>
      </c>
    </row>
    <row r="8443" spans="1:2">
      <c r="A8443" s="225" t="s">
        <v>18871</v>
      </c>
      <c r="B8443" s="225" t="s">
        <v>17694</v>
      </c>
    </row>
    <row r="8444" spans="1:2">
      <c r="A8444" s="225" t="s">
        <v>18872</v>
      </c>
      <c r="B8444" s="225" t="s">
        <v>17692</v>
      </c>
    </row>
    <row r="8445" spans="1:2">
      <c r="A8445" s="225" t="s">
        <v>18873</v>
      </c>
      <c r="B8445" s="225" t="s">
        <v>618</v>
      </c>
    </row>
    <row r="8446" spans="1:2">
      <c r="A8446" s="225" t="s">
        <v>18877</v>
      </c>
      <c r="B8446" s="225" t="s">
        <v>618</v>
      </c>
    </row>
    <row r="8447" spans="1:2">
      <c r="A8447" s="225" t="s">
        <v>18885</v>
      </c>
      <c r="B8447" s="225" t="s">
        <v>618</v>
      </c>
    </row>
    <row r="8448" spans="1:2">
      <c r="A8448" s="225" t="s">
        <v>18886</v>
      </c>
      <c r="B8448" s="225" t="s">
        <v>1707</v>
      </c>
    </row>
    <row r="8449" spans="1:2">
      <c r="A8449" s="225" t="s">
        <v>18887</v>
      </c>
      <c r="B8449" s="225" t="s">
        <v>1707</v>
      </c>
    </row>
    <row r="8450" spans="1:2">
      <c r="A8450" s="225" t="s">
        <v>18888</v>
      </c>
      <c r="B8450" s="225" t="s">
        <v>1727</v>
      </c>
    </row>
    <row r="8451" spans="1:2">
      <c r="A8451" s="225" t="s">
        <v>18889</v>
      </c>
      <c r="B8451" s="225" t="s">
        <v>1730</v>
      </c>
    </row>
    <row r="8452" spans="1:2">
      <c r="A8452" s="225" t="s">
        <v>18890</v>
      </c>
      <c r="B8452" s="225" t="s">
        <v>1731</v>
      </c>
    </row>
    <row r="8453" spans="1:2">
      <c r="A8453" s="225" t="s">
        <v>18891</v>
      </c>
      <c r="B8453" s="225" t="s">
        <v>1736</v>
      </c>
    </row>
    <row r="8454" spans="1:2">
      <c r="A8454" s="225" t="s">
        <v>18892</v>
      </c>
      <c r="B8454" s="225" t="s">
        <v>1740</v>
      </c>
    </row>
    <row r="8455" spans="1:2">
      <c r="A8455" s="225" t="s">
        <v>18893</v>
      </c>
      <c r="B8455" s="225" t="s">
        <v>1744</v>
      </c>
    </row>
    <row r="8456" spans="1:2">
      <c r="A8456" s="225" t="s">
        <v>18894</v>
      </c>
      <c r="B8456" s="225" t="s">
        <v>1746</v>
      </c>
    </row>
    <row r="8457" spans="1:2">
      <c r="A8457" s="225" t="s">
        <v>18895</v>
      </c>
      <c r="B8457" s="225" t="s">
        <v>1747</v>
      </c>
    </row>
    <row r="8458" spans="1:2">
      <c r="A8458" s="225" t="s">
        <v>18896</v>
      </c>
      <c r="B8458" s="225" t="s">
        <v>1727</v>
      </c>
    </row>
    <row r="8459" spans="1:2">
      <c r="A8459" s="225" t="s">
        <v>18897</v>
      </c>
      <c r="B8459" s="225" t="s">
        <v>1730</v>
      </c>
    </row>
    <row r="8460" spans="1:2">
      <c r="A8460" s="225" t="s">
        <v>18898</v>
      </c>
      <c r="B8460" s="225" t="s">
        <v>1731</v>
      </c>
    </row>
    <row r="8461" spans="1:2">
      <c r="A8461" s="225" t="s">
        <v>18899</v>
      </c>
      <c r="B8461" s="225" t="s">
        <v>1736</v>
      </c>
    </row>
    <row r="8462" spans="1:2">
      <c r="A8462" s="225" t="s">
        <v>18901</v>
      </c>
      <c r="B8462" s="225" t="s">
        <v>1740</v>
      </c>
    </row>
    <row r="8463" spans="1:2">
      <c r="A8463" s="225" t="s">
        <v>18902</v>
      </c>
      <c r="B8463" s="225" t="s">
        <v>1744</v>
      </c>
    </row>
    <row r="8464" spans="1:2">
      <c r="A8464" s="225" t="s">
        <v>18903</v>
      </c>
      <c r="B8464" s="225" t="s">
        <v>1746</v>
      </c>
    </row>
    <row r="8465" spans="1:2">
      <c r="A8465" s="225" t="s">
        <v>18904</v>
      </c>
      <c r="B8465" s="225" t="s">
        <v>1747</v>
      </c>
    </row>
    <row r="8466" spans="1:2">
      <c r="A8466" s="225" t="s">
        <v>18909</v>
      </c>
      <c r="B8466" s="225" t="s">
        <v>618</v>
      </c>
    </row>
    <row r="8467" spans="1:2">
      <c r="A8467" s="225" t="s">
        <v>18912</v>
      </c>
      <c r="B8467" s="225" t="s">
        <v>618</v>
      </c>
    </row>
    <row r="8468" spans="1:2">
      <c r="A8468" s="225" t="s">
        <v>18920</v>
      </c>
      <c r="B8468" s="225" t="s">
        <v>618</v>
      </c>
    </row>
    <row r="8469" spans="1:2">
      <c r="A8469" s="225" t="s">
        <v>18925</v>
      </c>
      <c r="B8469" s="225" t="s">
        <v>618</v>
      </c>
    </row>
    <row r="8470" spans="1:2">
      <c r="A8470" s="225" t="s">
        <v>18928</v>
      </c>
      <c r="B8470" s="225" t="s">
        <v>1727</v>
      </c>
    </row>
    <row r="8471" spans="1:2">
      <c r="A8471" s="225" t="s">
        <v>18929</v>
      </c>
      <c r="B8471" s="225" t="s">
        <v>1747</v>
      </c>
    </row>
    <row r="8472" spans="1:2">
      <c r="A8472" s="225" t="s">
        <v>18930</v>
      </c>
      <c r="B8472" s="225" t="s">
        <v>1746</v>
      </c>
    </row>
    <row r="8473" spans="1:2">
      <c r="A8473" s="225" t="s">
        <v>18931</v>
      </c>
      <c r="B8473" s="225" t="s">
        <v>1744</v>
      </c>
    </row>
    <row r="8474" spans="1:2">
      <c r="A8474" s="225" t="s">
        <v>18932</v>
      </c>
      <c r="B8474" s="225" t="s">
        <v>1740</v>
      </c>
    </row>
    <row r="8475" spans="1:2">
      <c r="A8475" s="225" t="s">
        <v>18933</v>
      </c>
      <c r="B8475" s="225" t="s">
        <v>1736</v>
      </c>
    </row>
    <row r="8476" spans="1:2">
      <c r="A8476" s="225" t="s">
        <v>18934</v>
      </c>
      <c r="B8476" s="225" t="s">
        <v>1731</v>
      </c>
    </row>
    <row r="8477" spans="1:2">
      <c r="A8477" s="225" t="s">
        <v>18935</v>
      </c>
      <c r="B8477" s="225" t="s">
        <v>1730</v>
      </c>
    </row>
    <row r="8478" spans="1:2">
      <c r="A8478" s="225" t="s">
        <v>18936</v>
      </c>
      <c r="B8478" s="225" t="s">
        <v>1727</v>
      </c>
    </row>
    <row r="8479" spans="1:2">
      <c r="A8479" s="225" t="s">
        <v>18937</v>
      </c>
      <c r="B8479" s="225" t="s">
        <v>1730</v>
      </c>
    </row>
    <row r="8480" spans="1:2">
      <c r="A8480" s="225" t="s">
        <v>18938</v>
      </c>
      <c r="B8480" s="225" t="s">
        <v>14922</v>
      </c>
    </row>
    <row r="8481" spans="1:2">
      <c r="A8481" s="225" t="s">
        <v>18939</v>
      </c>
      <c r="B8481" s="225" t="s">
        <v>1736</v>
      </c>
    </row>
    <row r="8482" spans="1:2">
      <c r="A8482" s="225" t="s">
        <v>18940</v>
      </c>
      <c r="B8482" s="225" t="s">
        <v>1740</v>
      </c>
    </row>
    <row r="8483" spans="1:2">
      <c r="A8483" s="225" t="s">
        <v>18941</v>
      </c>
      <c r="B8483" s="225" t="s">
        <v>1731</v>
      </c>
    </row>
    <row r="8484" spans="1:2">
      <c r="A8484" s="225" t="s">
        <v>18942</v>
      </c>
      <c r="B8484" s="225" t="s">
        <v>1730</v>
      </c>
    </row>
    <row r="8485" spans="1:2">
      <c r="A8485" s="225" t="s">
        <v>18943</v>
      </c>
      <c r="B8485" s="225" t="s">
        <v>1727</v>
      </c>
    </row>
    <row r="8486" spans="1:2">
      <c r="A8486" s="225" t="s">
        <v>18945</v>
      </c>
      <c r="B8486" s="225" t="s">
        <v>1731</v>
      </c>
    </row>
    <row r="8487" spans="1:2">
      <c r="A8487" s="225" t="s">
        <v>18946</v>
      </c>
      <c r="B8487" s="225" t="s">
        <v>1736</v>
      </c>
    </row>
    <row r="8488" spans="1:2">
      <c r="A8488" s="225" t="s">
        <v>18947</v>
      </c>
      <c r="B8488" s="225" t="s">
        <v>1740</v>
      </c>
    </row>
    <row r="8489" spans="1:2">
      <c r="A8489" s="225" t="s">
        <v>18948</v>
      </c>
      <c r="B8489" s="225" t="s">
        <v>1744</v>
      </c>
    </row>
    <row r="8490" spans="1:2">
      <c r="A8490" s="225" t="s">
        <v>18949</v>
      </c>
      <c r="B8490" s="225" t="s">
        <v>1746</v>
      </c>
    </row>
    <row r="8491" spans="1:2">
      <c r="A8491" s="225" t="s">
        <v>18950</v>
      </c>
      <c r="B8491" s="225" t="s">
        <v>1747</v>
      </c>
    </row>
    <row r="8492" spans="1:2">
      <c r="A8492" s="225" t="s">
        <v>18951</v>
      </c>
      <c r="B8492" s="225" t="s">
        <v>18004</v>
      </c>
    </row>
    <row r="8493" spans="1:2">
      <c r="A8493" s="225" t="s">
        <v>18952</v>
      </c>
      <c r="B8493" s="225" t="s">
        <v>18004</v>
      </c>
    </row>
    <row r="8494" spans="1:2">
      <c r="A8494" s="225" t="s">
        <v>18953</v>
      </c>
      <c r="B8494" s="225" t="s">
        <v>18006</v>
      </c>
    </row>
    <row r="8495" spans="1:2">
      <c r="A8495" s="225" t="s">
        <v>18954</v>
      </c>
      <c r="B8495" s="225" t="s">
        <v>18008</v>
      </c>
    </row>
    <row r="8496" spans="1:2">
      <c r="A8496" s="225" t="s">
        <v>18955</v>
      </c>
      <c r="B8496" s="225" t="s">
        <v>18012</v>
      </c>
    </row>
    <row r="8497" spans="1:2">
      <c r="A8497" s="225" t="s">
        <v>18958</v>
      </c>
      <c r="B8497" s="225" t="s">
        <v>18018</v>
      </c>
    </row>
    <row r="8498" spans="1:2">
      <c r="A8498" s="225" t="s">
        <v>18959</v>
      </c>
      <c r="B8498" s="225" t="s">
        <v>18006</v>
      </c>
    </row>
    <row r="8499" spans="1:2">
      <c r="A8499" s="225" t="s">
        <v>18960</v>
      </c>
      <c r="B8499" s="225" t="s">
        <v>18008</v>
      </c>
    </row>
    <row r="8500" spans="1:2">
      <c r="A8500" s="225" t="s">
        <v>18961</v>
      </c>
      <c r="B8500" s="225" t="s">
        <v>18012</v>
      </c>
    </row>
    <row r="8501" spans="1:2">
      <c r="A8501" s="225" t="s">
        <v>18963</v>
      </c>
      <c r="B8501" s="225" t="s">
        <v>18018</v>
      </c>
    </row>
    <row r="8502" spans="1:2">
      <c r="A8502" s="225" t="s">
        <v>18964</v>
      </c>
      <c r="B8502" s="225" t="s">
        <v>18032</v>
      </c>
    </row>
    <row r="8503" spans="1:2">
      <c r="A8503" s="225" t="s">
        <v>18965</v>
      </c>
      <c r="B8503" s="225" t="s">
        <v>14885</v>
      </c>
    </row>
    <row r="8504" spans="1:2">
      <c r="A8504" s="225" t="s">
        <v>18966</v>
      </c>
      <c r="B8504" s="225" t="s">
        <v>1729</v>
      </c>
    </row>
    <row r="8505" spans="1:2">
      <c r="A8505" s="225" t="s">
        <v>18968</v>
      </c>
      <c r="B8505" s="225" t="s">
        <v>9703</v>
      </c>
    </row>
    <row r="8506" spans="1:2">
      <c r="A8506" s="225" t="s">
        <v>18969</v>
      </c>
      <c r="B8506" s="225" t="s">
        <v>18032</v>
      </c>
    </row>
    <row r="8507" spans="1:2">
      <c r="A8507" s="225" t="s">
        <v>18970</v>
      </c>
      <c r="B8507" s="225" t="s">
        <v>9703</v>
      </c>
    </row>
    <row r="8508" spans="1:2">
      <c r="A8508" s="225" t="s">
        <v>18972</v>
      </c>
      <c r="B8508" s="225" t="s">
        <v>1729</v>
      </c>
    </row>
    <row r="8509" spans="1:2">
      <c r="A8509" s="225" t="s">
        <v>18973</v>
      </c>
      <c r="B8509" s="225" t="s">
        <v>14885</v>
      </c>
    </row>
    <row r="8510" spans="1:2">
      <c r="A8510" s="225" t="s">
        <v>18977</v>
      </c>
      <c r="B8510" s="225" t="s">
        <v>17427</v>
      </c>
    </row>
    <row r="8511" spans="1:2">
      <c r="A8511" s="225" t="s">
        <v>18979</v>
      </c>
      <c r="B8511" s="225" t="s">
        <v>17423</v>
      </c>
    </row>
    <row r="8512" spans="1:2">
      <c r="A8512" s="225" t="s">
        <v>18980</v>
      </c>
      <c r="B8512" s="225" t="s">
        <v>17421</v>
      </c>
    </row>
    <row r="8513" spans="1:2">
      <c r="A8513" s="225" t="s">
        <v>18981</v>
      </c>
      <c r="B8513" s="225" t="s">
        <v>17419</v>
      </c>
    </row>
    <row r="8514" spans="1:2">
      <c r="A8514" s="225" t="s">
        <v>18982</v>
      </c>
      <c r="B8514" s="225" t="s">
        <v>17417</v>
      </c>
    </row>
    <row r="8515" spans="1:2">
      <c r="A8515" s="225" t="s">
        <v>18983</v>
      </c>
      <c r="B8515" s="225" t="s">
        <v>17415</v>
      </c>
    </row>
    <row r="8516" spans="1:2">
      <c r="A8516" s="225" t="s">
        <v>18984</v>
      </c>
      <c r="B8516" s="225" t="s">
        <v>17413</v>
      </c>
    </row>
    <row r="8517" spans="1:2">
      <c r="A8517" s="225" t="s">
        <v>18985</v>
      </c>
      <c r="B8517" s="225" t="s">
        <v>17411</v>
      </c>
    </row>
    <row r="8518" spans="1:2">
      <c r="A8518" s="225" t="s">
        <v>18986</v>
      </c>
      <c r="B8518" s="225" t="s">
        <v>17409</v>
      </c>
    </row>
    <row r="8519" spans="1:2">
      <c r="A8519" s="225" t="s">
        <v>18987</v>
      </c>
      <c r="B8519" s="225" t="s">
        <v>17407</v>
      </c>
    </row>
    <row r="8520" spans="1:2">
      <c r="A8520" s="225" t="s">
        <v>18988</v>
      </c>
      <c r="B8520" s="225" t="s">
        <v>17405</v>
      </c>
    </row>
    <row r="8521" spans="1:2">
      <c r="A8521" s="225" t="s">
        <v>18989</v>
      </c>
      <c r="B8521" s="225" t="s">
        <v>17403</v>
      </c>
    </row>
    <row r="8522" spans="1:2">
      <c r="A8522" s="225" t="s">
        <v>18990</v>
      </c>
      <c r="B8522" s="225" t="s">
        <v>17401</v>
      </c>
    </row>
    <row r="8523" spans="1:2">
      <c r="A8523" s="225" t="s">
        <v>18991</v>
      </c>
      <c r="B8523" s="225" t="s">
        <v>17399</v>
      </c>
    </row>
    <row r="8524" spans="1:2">
      <c r="A8524" s="225" t="s">
        <v>18994</v>
      </c>
      <c r="B8524" s="225" t="s">
        <v>17397</v>
      </c>
    </row>
    <row r="8525" spans="1:2">
      <c r="A8525" s="225" t="s">
        <v>19005</v>
      </c>
      <c r="B8525" s="225" t="s">
        <v>18080</v>
      </c>
    </row>
    <row r="8526" spans="1:2">
      <c r="A8526" s="225" t="s">
        <v>19008</v>
      </c>
      <c r="B8526" s="225" t="s">
        <v>18080</v>
      </c>
    </row>
    <row r="8527" spans="1:2">
      <c r="A8527" s="225" t="s">
        <v>19010</v>
      </c>
      <c r="B8527" s="225" t="s">
        <v>17407</v>
      </c>
    </row>
    <row r="8528" spans="1:2">
      <c r="A8528" s="225" t="s">
        <v>19011</v>
      </c>
      <c r="B8528" s="225" t="s">
        <v>17399</v>
      </c>
    </row>
    <row r="8529" spans="1:2">
      <c r="A8529" s="225" t="s">
        <v>19013</v>
      </c>
      <c r="B8529" s="225" t="s">
        <v>17401</v>
      </c>
    </row>
    <row r="8530" spans="1:2">
      <c r="A8530" s="225" t="s">
        <v>19014</v>
      </c>
      <c r="B8530" s="225" t="s">
        <v>17403</v>
      </c>
    </row>
    <row r="8531" spans="1:2">
      <c r="A8531" s="225" t="s">
        <v>19017</v>
      </c>
      <c r="B8531" s="225" t="s">
        <v>10795</v>
      </c>
    </row>
    <row r="8532" spans="1:2">
      <c r="A8532" s="225" t="s">
        <v>19019</v>
      </c>
      <c r="B8532" s="225" t="s">
        <v>3517</v>
      </c>
    </row>
    <row r="8533" spans="1:2">
      <c r="A8533" s="225" t="s">
        <v>19021</v>
      </c>
      <c r="B8533" s="225" t="s">
        <v>1674</v>
      </c>
    </row>
    <row r="8534" spans="1:2">
      <c r="A8534" s="225" t="s">
        <v>2033</v>
      </c>
      <c r="B8534" s="225" t="s">
        <v>16654</v>
      </c>
    </row>
    <row r="8535" spans="1:2">
      <c r="A8535" s="225" t="s">
        <v>16867</v>
      </c>
      <c r="B8535" s="225" t="s">
        <v>16868</v>
      </c>
    </row>
    <row r="8536" spans="1:2">
      <c r="A8536" s="225" t="s">
        <v>16869</v>
      </c>
      <c r="B8536" s="225" t="s">
        <v>16870</v>
      </c>
    </row>
    <row r="8537" spans="1:2">
      <c r="A8537" s="225" t="s">
        <v>16871</v>
      </c>
      <c r="B8537" s="225" t="s">
        <v>16872</v>
      </c>
    </row>
    <row r="8538" spans="1:2">
      <c r="A8538" s="225" t="s">
        <v>16873</v>
      </c>
      <c r="B8538" s="225" t="s">
        <v>16874</v>
      </c>
    </row>
    <row r="8539" spans="1:2">
      <c r="A8539" s="225" t="s">
        <v>16875</v>
      </c>
      <c r="B8539" s="225" t="s">
        <v>16876</v>
      </c>
    </row>
    <row r="8540" spans="1:2">
      <c r="A8540" s="225" t="s">
        <v>16877</v>
      </c>
      <c r="B8540" s="225" t="s">
        <v>16878</v>
      </c>
    </row>
    <row r="8541" spans="1:2">
      <c r="A8541" s="225" t="s">
        <v>16882</v>
      </c>
      <c r="B8541" s="225" t="s">
        <v>16868</v>
      </c>
    </row>
    <row r="8542" spans="1:2">
      <c r="A8542" s="225" t="s">
        <v>16883</v>
      </c>
      <c r="B8542" s="225" t="s">
        <v>16870</v>
      </c>
    </row>
    <row r="8543" spans="1:2">
      <c r="A8543" s="225" t="s">
        <v>16884</v>
      </c>
      <c r="B8543" s="225" t="s">
        <v>16872</v>
      </c>
    </row>
    <row r="8544" spans="1:2">
      <c r="A8544" s="225" t="s">
        <v>16885</v>
      </c>
      <c r="B8544" s="225" t="s">
        <v>16874</v>
      </c>
    </row>
    <row r="8545" spans="1:2">
      <c r="A8545" s="225" t="s">
        <v>16886</v>
      </c>
      <c r="B8545" s="225" t="s">
        <v>16876</v>
      </c>
    </row>
    <row r="8546" spans="1:2">
      <c r="A8546" s="225" t="s">
        <v>16887</v>
      </c>
      <c r="B8546" s="225" t="s">
        <v>16888</v>
      </c>
    </row>
    <row r="8547" spans="1:2">
      <c r="A8547" s="225" t="s">
        <v>16889</v>
      </c>
      <c r="B8547" s="225" t="s">
        <v>16890</v>
      </c>
    </row>
    <row r="8548" spans="1:2">
      <c r="A8548" s="225" t="s">
        <v>16891</v>
      </c>
      <c r="B8548" s="225" t="s">
        <v>16892</v>
      </c>
    </row>
    <row r="8549" spans="1:2">
      <c r="A8549" s="225" t="s">
        <v>16893</v>
      </c>
      <c r="B8549" s="225" t="s">
        <v>16894</v>
      </c>
    </row>
    <row r="8550" spans="1:2">
      <c r="A8550" s="225" t="s">
        <v>16895</v>
      </c>
      <c r="B8550" s="225" t="s">
        <v>16896</v>
      </c>
    </row>
    <row r="8551" spans="1:2">
      <c r="A8551" s="225" t="s">
        <v>16897</v>
      </c>
      <c r="B8551" s="225" t="s">
        <v>16898</v>
      </c>
    </row>
    <row r="8552" spans="1:2">
      <c r="A8552" s="225" t="s">
        <v>16899</v>
      </c>
      <c r="B8552" s="225" t="s">
        <v>16900</v>
      </c>
    </row>
    <row r="8553" spans="1:2">
      <c r="A8553" s="225" t="s">
        <v>16901</v>
      </c>
      <c r="B8553" s="225" t="s">
        <v>16902</v>
      </c>
    </row>
    <row r="8554" spans="1:2">
      <c r="A8554" s="225" t="s">
        <v>16903</v>
      </c>
      <c r="B8554" s="225" t="s">
        <v>16904</v>
      </c>
    </row>
    <row r="8555" spans="1:2">
      <c r="A8555" s="225" t="s">
        <v>16905</v>
      </c>
      <c r="B8555" s="225" t="s">
        <v>16906</v>
      </c>
    </row>
    <row r="8556" spans="1:2">
      <c r="A8556" s="225" t="s">
        <v>16907</v>
      </c>
      <c r="B8556" s="225" t="s">
        <v>16908</v>
      </c>
    </row>
    <row r="8557" spans="1:2">
      <c r="A8557" s="225" t="s">
        <v>16909</v>
      </c>
      <c r="B8557" s="225" t="s">
        <v>16910</v>
      </c>
    </row>
    <row r="8558" spans="1:2">
      <c r="A8558" s="225" t="s">
        <v>16911</v>
      </c>
      <c r="B8558" s="225" t="s">
        <v>16912</v>
      </c>
    </row>
    <row r="8559" spans="1:2">
      <c r="A8559" s="225" t="s">
        <v>16915</v>
      </c>
      <c r="B8559" s="225" t="s">
        <v>16916</v>
      </c>
    </row>
    <row r="8560" spans="1:2">
      <c r="A8560" s="225" t="s">
        <v>16917</v>
      </c>
      <c r="B8560" s="225" t="s">
        <v>16918</v>
      </c>
    </row>
    <row r="8561" spans="1:2">
      <c r="A8561" s="225" t="s">
        <v>16919</v>
      </c>
      <c r="B8561" s="225" t="s">
        <v>16920</v>
      </c>
    </row>
    <row r="8562" spans="1:2">
      <c r="A8562" s="225" t="s">
        <v>16921</v>
      </c>
      <c r="B8562" s="225" t="s">
        <v>10289</v>
      </c>
    </row>
    <row r="8563" spans="1:2">
      <c r="A8563" s="225" t="s">
        <v>16922</v>
      </c>
      <c r="B8563" s="225" t="s">
        <v>10287</v>
      </c>
    </row>
    <row r="8564" spans="1:2">
      <c r="A8564" s="225" t="s">
        <v>16923</v>
      </c>
      <c r="B8564" s="225" t="s">
        <v>16924</v>
      </c>
    </row>
    <row r="8565" spans="1:2">
      <c r="A8565" s="225" t="s">
        <v>16925</v>
      </c>
      <c r="B8565" s="225" t="s">
        <v>16892</v>
      </c>
    </row>
    <row r="8566" spans="1:2">
      <c r="A8566" s="225" t="s">
        <v>16926</v>
      </c>
      <c r="B8566" s="225" t="s">
        <v>16927</v>
      </c>
    </row>
    <row r="8567" spans="1:2">
      <c r="A8567" s="225" t="s">
        <v>16928</v>
      </c>
      <c r="B8567" s="225" t="s">
        <v>16929</v>
      </c>
    </row>
    <row r="8568" spans="1:2">
      <c r="A8568" s="225" t="s">
        <v>16930</v>
      </c>
      <c r="B8568" s="225" t="s">
        <v>16931</v>
      </c>
    </row>
    <row r="8569" spans="1:2">
      <c r="A8569" s="225" t="s">
        <v>16932</v>
      </c>
      <c r="B8569" s="225" t="s">
        <v>16933</v>
      </c>
    </row>
    <row r="8570" spans="1:2">
      <c r="A8570" s="225" t="s">
        <v>16934</v>
      </c>
      <c r="B8570" s="225" t="s">
        <v>5841</v>
      </c>
    </row>
    <row r="8571" spans="1:2">
      <c r="A8571" s="225" t="s">
        <v>16935</v>
      </c>
      <c r="B8571" s="225" t="s">
        <v>1775</v>
      </c>
    </row>
    <row r="8572" spans="1:2">
      <c r="A8572" s="225" t="s">
        <v>16936</v>
      </c>
      <c r="B8572" s="225" t="s">
        <v>16937</v>
      </c>
    </row>
    <row r="8573" spans="1:2">
      <c r="A8573" s="225" t="s">
        <v>16938</v>
      </c>
      <c r="B8573" s="225" t="s">
        <v>9483</v>
      </c>
    </row>
    <row r="8574" spans="1:2">
      <c r="A8574" s="225" t="s">
        <v>16939</v>
      </c>
      <c r="B8574" s="225" t="s">
        <v>16902</v>
      </c>
    </row>
    <row r="8575" spans="1:2">
      <c r="A8575" s="225" t="s">
        <v>16940</v>
      </c>
      <c r="B8575" s="225" t="s">
        <v>16904</v>
      </c>
    </row>
    <row r="8576" spans="1:2">
      <c r="A8576" s="225" t="s">
        <v>16941</v>
      </c>
      <c r="B8576" s="225" t="s">
        <v>16942</v>
      </c>
    </row>
    <row r="8577" spans="1:2">
      <c r="A8577" s="225" t="s">
        <v>16943</v>
      </c>
      <c r="B8577" s="225" t="s">
        <v>16944</v>
      </c>
    </row>
    <row r="8578" spans="1:2">
      <c r="A8578" s="225" t="s">
        <v>16945</v>
      </c>
      <c r="B8578" s="225" t="s">
        <v>16946</v>
      </c>
    </row>
    <row r="8579" spans="1:2">
      <c r="A8579" s="225" t="s">
        <v>16947</v>
      </c>
      <c r="B8579" s="225" t="s">
        <v>16912</v>
      </c>
    </row>
    <row r="8580" spans="1:2">
      <c r="A8580" s="225" t="s">
        <v>16948</v>
      </c>
      <c r="B8580" s="225" t="s">
        <v>16916</v>
      </c>
    </row>
    <row r="8581" spans="1:2">
      <c r="A8581" s="225" t="s">
        <v>16949</v>
      </c>
      <c r="B8581" s="225" t="s">
        <v>16918</v>
      </c>
    </row>
    <row r="8582" spans="1:2">
      <c r="A8582" s="225" t="s">
        <v>16950</v>
      </c>
      <c r="B8582" s="225" t="s">
        <v>16920</v>
      </c>
    </row>
    <row r="8583" spans="1:2">
      <c r="A8583" s="225" t="s">
        <v>16951</v>
      </c>
      <c r="B8583" s="225" t="s">
        <v>10289</v>
      </c>
    </row>
    <row r="8584" spans="1:2">
      <c r="A8584" s="225" t="s">
        <v>16952</v>
      </c>
      <c r="B8584" s="225" t="s">
        <v>10287</v>
      </c>
    </row>
    <row r="8585" spans="1:2">
      <c r="A8585" s="225" t="s">
        <v>16953</v>
      </c>
      <c r="B8585" s="225" t="s">
        <v>16954</v>
      </c>
    </row>
    <row r="8586" spans="1:2">
      <c r="A8586" s="225" t="s">
        <v>16957</v>
      </c>
      <c r="B8586" s="225" t="s">
        <v>16958</v>
      </c>
    </row>
    <row r="8587" spans="1:2">
      <c r="A8587" s="225" t="s">
        <v>16959</v>
      </c>
      <c r="B8587" s="225" t="s">
        <v>16960</v>
      </c>
    </row>
    <row r="8588" spans="1:2">
      <c r="A8588" s="225" t="s">
        <v>16961</v>
      </c>
      <c r="B8588" s="225" t="s">
        <v>1706</v>
      </c>
    </row>
    <row r="8589" spans="1:2">
      <c r="A8589" s="225" t="s">
        <v>16962</v>
      </c>
      <c r="B8589" s="225" t="s">
        <v>16963</v>
      </c>
    </row>
    <row r="8590" spans="1:2">
      <c r="A8590" s="225" t="s">
        <v>16964</v>
      </c>
      <c r="B8590" s="225" t="s">
        <v>5841</v>
      </c>
    </row>
    <row r="8591" spans="1:2">
      <c r="A8591" s="225" t="s">
        <v>16965</v>
      </c>
      <c r="B8591" s="225" t="s">
        <v>5841</v>
      </c>
    </row>
    <row r="8592" spans="1:2">
      <c r="A8592" s="225" t="s">
        <v>16966</v>
      </c>
      <c r="B8592" s="225" t="s">
        <v>1775</v>
      </c>
    </row>
    <row r="8593" spans="1:2">
      <c r="A8593" s="225" t="s">
        <v>16967</v>
      </c>
      <c r="B8593" s="225" t="s">
        <v>16968</v>
      </c>
    </row>
    <row r="8594" spans="1:2">
      <c r="A8594" s="225" t="s">
        <v>16969</v>
      </c>
      <c r="B8594" s="225" t="s">
        <v>16970</v>
      </c>
    </row>
    <row r="8595" spans="1:2">
      <c r="A8595" s="225" t="s">
        <v>16971</v>
      </c>
      <c r="B8595" s="225" t="s">
        <v>16972</v>
      </c>
    </row>
    <row r="8596" spans="1:2">
      <c r="A8596" s="225" t="s">
        <v>16975</v>
      </c>
      <c r="B8596" s="225" t="s">
        <v>16976</v>
      </c>
    </row>
    <row r="8597" spans="1:2">
      <c r="A8597" s="225" t="s">
        <v>16977</v>
      </c>
      <c r="B8597" s="225" t="s">
        <v>16978</v>
      </c>
    </row>
    <row r="8598" spans="1:2">
      <c r="A8598" s="225" t="s">
        <v>16979</v>
      </c>
      <c r="B8598" s="225" t="s">
        <v>16980</v>
      </c>
    </row>
    <row r="8599" spans="1:2">
      <c r="A8599" s="225" t="s">
        <v>16983</v>
      </c>
      <c r="B8599" s="225" t="s">
        <v>16984</v>
      </c>
    </row>
    <row r="8600" spans="1:2">
      <c r="A8600" s="225" t="s">
        <v>16989</v>
      </c>
      <c r="B8600" s="225" t="s">
        <v>16990</v>
      </c>
    </row>
    <row r="8601" spans="1:2">
      <c r="A8601" s="225" t="s">
        <v>16991</v>
      </c>
      <c r="B8601" s="225" t="s">
        <v>16992</v>
      </c>
    </row>
    <row r="8602" spans="1:2">
      <c r="A8602" s="225" t="s">
        <v>16993</v>
      </c>
      <c r="B8602" s="225" t="s">
        <v>16994</v>
      </c>
    </row>
    <row r="8603" spans="1:2">
      <c r="A8603" s="225" t="s">
        <v>16995</v>
      </c>
      <c r="B8603" s="225" t="s">
        <v>16996</v>
      </c>
    </row>
    <row r="8604" spans="1:2">
      <c r="A8604" s="225" t="s">
        <v>16997</v>
      </c>
      <c r="B8604" s="225" t="s">
        <v>16998</v>
      </c>
    </row>
    <row r="8605" spans="1:2">
      <c r="A8605" s="225" t="s">
        <v>16999</v>
      </c>
      <c r="B8605" s="225" t="s">
        <v>17000</v>
      </c>
    </row>
    <row r="8606" spans="1:2">
      <c r="A8606" s="225" t="s">
        <v>17001</v>
      </c>
      <c r="B8606" s="225" t="s">
        <v>17002</v>
      </c>
    </row>
    <row r="8607" spans="1:2">
      <c r="A8607" s="225" t="s">
        <v>17003</v>
      </c>
      <c r="B8607" s="225" t="s">
        <v>17004</v>
      </c>
    </row>
    <row r="8608" spans="1:2">
      <c r="A8608" s="225" t="s">
        <v>17005</v>
      </c>
      <c r="B8608" s="225" t="s">
        <v>9483</v>
      </c>
    </row>
    <row r="8609" spans="1:2">
      <c r="A8609" s="225" t="s">
        <v>17006</v>
      </c>
      <c r="B8609" s="225" t="s">
        <v>17007</v>
      </c>
    </row>
    <row r="8610" spans="1:2">
      <c r="A8610" s="225" t="s">
        <v>17008</v>
      </c>
      <c r="B8610" s="225" t="s">
        <v>17009</v>
      </c>
    </row>
    <row r="8611" spans="1:2">
      <c r="A8611" s="225" t="s">
        <v>17010</v>
      </c>
      <c r="B8611" s="225" t="s">
        <v>17011</v>
      </c>
    </row>
    <row r="8612" spans="1:2">
      <c r="A8612" s="225" t="s">
        <v>17012</v>
      </c>
      <c r="B8612" s="225" t="s">
        <v>17013</v>
      </c>
    </row>
    <row r="8613" spans="1:2">
      <c r="A8613" s="225" t="s">
        <v>17014</v>
      </c>
      <c r="B8613" s="225" t="s">
        <v>17015</v>
      </c>
    </row>
    <row r="8614" spans="1:2">
      <c r="A8614" s="225" t="s">
        <v>17016</v>
      </c>
      <c r="B8614" s="225" t="s">
        <v>17017</v>
      </c>
    </row>
    <row r="8615" spans="1:2">
      <c r="A8615" s="225" t="s">
        <v>17018</v>
      </c>
      <c r="B8615" s="225" t="s">
        <v>618</v>
      </c>
    </row>
    <row r="8616" spans="1:2">
      <c r="A8616" s="225" t="s">
        <v>17019</v>
      </c>
      <c r="B8616" s="225" t="s">
        <v>16970</v>
      </c>
    </row>
    <row r="8617" spans="1:2">
      <c r="A8617" s="225" t="s">
        <v>17020</v>
      </c>
      <c r="B8617" s="225" t="s">
        <v>17021</v>
      </c>
    </row>
    <row r="8618" spans="1:2">
      <c r="A8618" s="225" t="s">
        <v>17022</v>
      </c>
      <c r="B8618" s="225" t="s">
        <v>17023</v>
      </c>
    </row>
    <row r="8619" spans="1:2">
      <c r="A8619" s="225" t="s">
        <v>17024</v>
      </c>
      <c r="B8619" s="225" t="s">
        <v>17021</v>
      </c>
    </row>
    <row r="8620" spans="1:2">
      <c r="A8620" s="225" t="s">
        <v>17025</v>
      </c>
      <c r="B8620" s="225" t="s">
        <v>1707</v>
      </c>
    </row>
    <row r="8621" spans="1:2">
      <c r="A8621" s="225" t="s">
        <v>17026</v>
      </c>
      <c r="B8621" s="225" t="s">
        <v>16990</v>
      </c>
    </row>
    <row r="8622" spans="1:2">
      <c r="A8622" s="225" t="s">
        <v>17027</v>
      </c>
      <c r="B8622" s="225" t="s">
        <v>17028</v>
      </c>
    </row>
    <row r="8623" spans="1:2">
      <c r="A8623" s="225" t="s">
        <v>17029</v>
      </c>
      <c r="B8623" s="225" t="s">
        <v>1730</v>
      </c>
    </row>
    <row r="8624" spans="1:2">
      <c r="A8624" s="225" t="s">
        <v>17030</v>
      </c>
      <c r="B8624" s="225" t="s">
        <v>17031</v>
      </c>
    </row>
    <row r="8625" spans="1:2">
      <c r="A8625" s="225" t="s">
        <v>17032</v>
      </c>
      <c r="B8625" s="225" t="s">
        <v>17033</v>
      </c>
    </row>
    <row r="8626" spans="1:2">
      <c r="A8626" s="225" t="s">
        <v>17034</v>
      </c>
      <c r="B8626" s="225" t="s">
        <v>1736</v>
      </c>
    </row>
    <row r="8627" spans="1:2">
      <c r="A8627" s="225" t="s">
        <v>17035</v>
      </c>
      <c r="B8627" s="225" t="s">
        <v>17036</v>
      </c>
    </row>
    <row r="8628" spans="1:2">
      <c r="A8628" s="225" t="s">
        <v>17037</v>
      </c>
      <c r="B8628" s="225" t="s">
        <v>17021</v>
      </c>
    </row>
    <row r="8629" spans="1:2">
      <c r="A8629" s="225" t="s">
        <v>17038</v>
      </c>
      <c r="B8629" s="225" t="s">
        <v>17039</v>
      </c>
    </row>
    <row r="8630" spans="1:2">
      <c r="A8630" s="225" t="s">
        <v>17040</v>
      </c>
      <c r="B8630" s="225" t="s">
        <v>17041</v>
      </c>
    </row>
    <row r="8631" spans="1:2">
      <c r="A8631" s="225" t="s">
        <v>17042</v>
      </c>
      <c r="B8631" s="225" t="s">
        <v>17043</v>
      </c>
    </row>
    <row r="8632" spans="1:2">
      <c r="A8632" s="225" t="s">
        <v>17044</v>
      </c>
      <c r="B8632" s="225" t="s">
        <v>17045</v>
      </c>
    </row>
    <row r="8633" spans="1:2">
      <c r="A8633" s="225" t="s">
        <v>17046</v>
      </c>
      <c r="B8633" s="225" t="s">
        <v>17047</v>
      </c>
    </row>
    <row r="8634" spans="1:2">
      <c r="A8634" s="225" t="s">
        <v>17048</v>
      </c>
      <c r="B8634" s="225" t="s">
        <v>17049</v>
      </c>
    </row>
    <row r="8635" spans="1:2">
      <c r="A8635" s="225" t="s">
        <v>17050</v>
      </c>
      <c r="B8635" s="225" t="s">
        <v>17051</v>
      </c>
    </row>
    <row r="8636" spans="1:2">
      <c r="A8636" s="225" t="s">
        <v>17052</v>
      </c>
      <c r="B8636" s="225" t="s">
        <v>17053</v>
      </c>
    </row>
    <row r="8637" spans="1:2">
      <c r="A8637" s="225" t="s">
        <v>17054</v>
      </c>
      <c r="B8637" s="225" t="s">
        <v>17055</v>
      </c>
    </row>
    <row r="8638" spans="1:2">
      <c r="A8638" s="225" t="s">
        <v>17056</v>
      </c>
      <c r="B8638" s="225" t="s">
        <v>10493</v>
      </c>
    </row>
    <row r="8639" spans="1:2">
      <c r="A8639" s="225" t="s">
        <v>17057</v>
      </c>
      <c r="B8639" s="225" t="s">
        <v>10495</v>
      </c>
    </row>
    <row r="8640" spans="1:2">
      <c r="A8640" s="225" t="s">
        <v>17058</v>
      </c>
      <c r="B8640" s="225" t="s">
        <v>10497</v>
      </c>
    </row>
    <row r="8641" spans="1:2">
      <c r="A8641" s="225" t="s">
        <v>17059</v>
      </c>
      <c r="B8641" s="225" t="s">
        <v>10499</v>
      </c>
    </row>
    <row r="8642" spans="1:2">
      <c r="A8642" s="225" t="s">
        <v>17060</v>
      </c>
      <c r="B8642" s="225" t="s">
        <v>17061</v>
      </c>
    </row>
    <row r="8643" spans="1:2">
      <c r="A8643" s="225" t="s">
        <v>17062</v>
      </c>
      <c r="B8643" s="225" t="s">
        <v>17063</v>
      </c>
    </row>
    <row r="8644" spans="1:2">
      <c r="A8644" s="225" t="s">
        <v>17064</v>
      </c>
      <c r="B8644" s="225" t="s">
        <v>16756</v>
      </c>
    </row>
    <row r="8645" spans="1:2">
      <c r="A8645" s="225" t="s">
        <v>17065</v>
      </c>
      <c r="B8645" s="225" t="s">
        <v>17066</v>
      </c>
    </row>
    <row r="8646" spans="1:2">
      <c r="A8646" s="225" t="s">
        <v>17071</v>
      </c>
      <c r="B8646" s="225" t="s">
        <v>618</v>
      </c>
    </row>
    <row r="8647" spans="1:2">
      <c r="A8647" s="225" t="s">
        <v>17072</v>
      </c>
      <c r="B8647" s="225" t="s">
        <v>16827</v>
      </c>
    </row>
    <row r="8648" spans="1:2">
      <c r="A8648" s="225" t="s">
        <v>17073</v>
      </c>
      <c r="B8648" s="225" t="s">
        <v>17074</v>
      </c>
    </row>
    <row r="8649" spans="1:2">
      <c r="A8649" s="225" t="s">
        <v>17075</v>
      </c>
      <c r="B8649" s="225" t="s">
        <v>17076</v>
      </c>
    </row>
    <row r="8650" spans="1:2">
      <c r="A8650" s="225" t="s">
        <v>17077</v>
      </c>
      <c r="B8650" s="225" t="s">
        <v>16489</v>
      </c>
    </row>
    <row r="8651" spans="1:2">
      <c r="A8651" s="225" t="s">
        <v>17078</v>
      </c>
      <c r="B8651" s="225" t="s">
        <v>17079</v>
      </c>
    </row>
    <row r="8652" spans="1:2">
      <c r="A8652" s="225" t="s">
        <v>17080</v>
      </c>
      <c r="B8652" s="225" t="s">
        <v>10279</v>
      </c>
    </row>
    <row r="8653" spans="1:2">
      <c r="A8653" s="225" t="s">
        <v>17081</v>
      </c>
      <c r="B8653" s="225" t="s">
        <v>17082</v>
      </c>
    </row>
    <row r="8654" spans="1:2">
      <c r="A8654" s="225" t="s">
        <v>17083</v>
      </c>
      <c r="B8654" s="225" t="s">
        <v>17084</v>
      </c>
    </row>
    <row r="8655" spans="1:2">
      <c r="A8655" s="225" t="s">
        <v>17085</v>
      </c>
      <c r="B8655" s="225" t="s">
        <v>15765</v>
      </c>
    </row>
    <row r="8656" spans="1:2">
      <c r="A8656" s="225" t="s">
        <v>17086</v>
      </c>
      <c r="B8656" s="225" t="s">
        <v>15778</v>
      </c>
    </row>
    <row r="8657" spans="1:2">
      <c r="A8657" s="225" t="s">
        <v>17087</v>
      </c>
      <c r="B8657" s="225" t="s">
        <v>14885</v>
      </c>
    </row>
    <row r="8658" spans="1:2">
      <c r="A8658" s="225" t="s">
        <v>17088</v>
      </c>
      <c r="B8658" s="225" t="s">
        <v>10527</v>
      </c>
    </row>
    <row r="8659" spans="1:2">
      <c r="A8659" s="225" t="s">
        <v>17089</v>
      </c>
      <c r="B8659" s="225" t="s">
        <v>17090</v>
      </c>
    </row>
    <row r="8660" spans="1:2">
      <c r="A8660" s="225" t="s">
        <v>17091</v>
      </c>
      <c r="B8660" s="225" t="s">
        <v>17092</v>
      </c>
    </row>
    <row r="8661" spans="1:2">
      <c r="A8661" s="225" t="s">
        <v>17093</v>
      </c>
      <c r="B8661" s="225" t="s">
        <v>17094</v>
      </c>
    </row>
    <row r="8662" spans="1:2">
      <c r="A8662" s="225" t="s">
        <v>17095</v>
      </c>
      <c r="B8662" s="225" t="s">
        <v>17096</v>
      </c>
    </row>
    <row r="8663" spans="1:2">
      <c r="A8663" s="225" t="s">
        <v>17097</v>
      </c>
      <c r="B8663" s="225" t="s">
        <v>17098</v>
      </c>
    </row>
    <row r="8664" spans="1:2">
      <c r="A8664" s="225" t="s">
        <v>17099</v>
      </c>
      <c r="B8664" s="225" t="s">
        <v>17100</v>
      </c>
    </row>
    <row r="8665" spans="1:2">
      <c r="A8665" s="225" t="s">
        <v>17101</v>
      </c>
      <c r="B8665" s="225" t="s">
        <v>10527</v>
      </c>
    </row>
    <row r="8666" spans="1:2">
      <c r="A8666" s="225" t="s">
        <v>17102</v>
      </c>
      <c r="B8666" s="225" t="s">
        <v>1707</v>
      </c>
    </row>
    <row r="8667" spans="1:2">
      <c r="A8667" s="225" t="s">
        <v>17103</v>
      </c>
      <c r="B8667" s="225" t="s">
        <v>1727</v>
      </c>
    </row>
    <row r="8668" spans="1:2">
      <c r="A8668" s="225" t="s">
        <v>17104</v>
      </c>
      <c r="B8668" s="225" t="s">
        <v>1730</v>
      </c>
    </row>
    <row r="8669" spans="1:2">
      <c r="A8669" s="225" t="s">
        <v>17105</v>
      </c>
      <c r="B8669" s="225" t="s">
        <v>1731</v>
      </c>
    </row>
    <row r="8670" spans="1:2">
      <c r="A8670" s="225" t="s">
        <v>17106</v>
      </c>
      <c r="B8670" s="225" t="s">
        <v>1736</v>
      </c>
    </row>
    <row r="8671" spans="1:2">
      <c r="A8671" s="225" t="s">
        <v>17107</v>
      </c>
      <c r="B8671" s="225" t="s">
        <v>1740</v>
      </c>
    </row>
    <row r="8672" spans="1:2">
      <c r="A8672" s="225" t="s">
        <v>17108</v>
      </c>
      <c r="B8672" s="225" t="s">
        <v>17109</v>
      </c>
    </row>
    <row r="8673" spans="1:2">
      <c r="A8673" s="225" t="s">
        <v>17110</v>
      </c>
      <c r="B8673" s="225" t="s">
        <v>17111</v>
      </c>
    </row>
    <row r="8674" spans="1:2">
      <c r="A8674" s="225" t="s">
        <v>17112</v>
      </c>
      <c r="B8674" s="225" t="s">
        <v>17113</v>
      </c>
    </row>
    <row r="8675" spans="1:2">
      <c r="A8675" s="225" t="s">
        <v>17114</v>
      </c>
      <c r="B8675" s="225" t="s">
        <v>17115</v>
      </c>
    </row>
    <row r="8676" spans="1:2">
      <c r="A8676" s="225" t="s">
        <v>17116</v>
      </c>
      <c r="B8676" s="225" t="s">
        <v>17117</v>
      </c>
    </row>
    <row r="8677" spans="1:2">
      <c r="A8677" s="225" t="s">
        <v>17118</v>
      </c>
      <c r="B8677" s="225" t="s">
        <v>17119</v>
      </c>
    </row>
    <row r="8678" spans="1:2">
      <c r="A8678" s="225" t="s">
        <v>17120</v>
      </c>
      <c r="B8678" s="225" t="s">
        <v>17121</v>
      </c>
    </row>
    <row r="8679" spans="1:2">
      <c r="A8679" s="225" t="s">
        <v>17122</v>
      </c>
      <c r="B8679" s="225" t="s">
        <v>1706</v>
      </c>
    </row>
    <row r="8680" spans="1:2">
      <c r="A8680" s="225" t="s">
        <v>17123</v>
      </c>
      <c r="B8680" s="225" t="s">
        <v>14969</v>
      </c>
    </row>
    <row r="8681" spans="1:2">
      <c r="A8681" s="225" t="s">
        <v>17124</v>
      </c>
      <c r="B8681" s="225" t="s">
        <v>1747</v>
      </c>
    </row>
    <row r="8682" spans="1:2">
      <c r="A8682" s="225" t="s">
        <v>17125</v>
      </c>
      <c r="B8682" s="225" t="s">
        <v>1706</v>
      </c>
    </row>
    <row r="8683" spans="1:2">
      <c r="A8683" s="225" t="s">
        <v>17126</v>
      </c>
      <c r="B8683" s="225" t="s">
        <v>14969</v>
      </c>
    </row>
    <row r="8684" spans="1:2">
      <c r="A8684" s="225" t="s">
        <v>17127</v>
      </c>
      <c r="B8684" s="225" t="s">
        <v>9703</v>
      </c>
    </row>
    <row r="8685" spans="1:2">
      <c r="A8685" s="225" t="s">
        <v>17128</v>
      </c>
      <c r="B8685" s="225" t="s">
        <v>3517</v>
      </c>
    </row>
    <row r="8686" spans="1:2">
      <c r="A8686" s="225" t="s">
        <v>17129</v>
      </c>
      <c r="B8686" s="225" t="s">
        <v>10547</v>
      </c>
    </row>
    <row r="8687" spans="1:2">
      <c r="A8687" s="225" t="s">
        <v>17130</v>
      </c>
      <c r="B8687" s="225" t="s">
        <v>17131</v>
      </c>
    </row>
    <row r="8688" spans="1:2">
      <c r="A8688" s="225" t="s">
        <v>17132</v>
      </c>
      <c r="B8688" s="225" t="s">
        <v>1852</v>
      </c>
    </row>
    <row r="8689" spans="1:2">
      <c r="A8689" s="225" t="s">
        <v>17133</v>
      </c>
      <c r="B8689" s="225" t="s">
        <v>10559</v>
      </c>
    </row>
    <row r="8690" spans="1:2">
      <c r="A8690" s="225" t="s">
        <v>17134</v>
      </c>
      <c r="B8690" s="225" t="s">
        <v>17135</v>
      </c>
    </row>
    <row r="8691" spans="1:2">
      <c r="A8691" s="225" t="s">
        <v>17136</v>
      </c>
      <c r="B8691" s="225" t="s">
        <v>17137</v>
      </c>
    </row>
    <row r="8692" spans="1:2">
      <c r="A8692" s="225" t="s">
        <v>17138</v>
      </c>
      <c r="B8692" s="225" t="s">
        <v>17139</v>
      </c>
    </row>
    <row r="8693" spans="1:2">
      <c r="A8693" s="225" t="s">
        <v>17140</v>
      </c>
      <c r="B8693" s="225" t="s">
        <v>10563</v>
      </c>
    </row>
    <row r="8694" spans="1:2">
      <c r="A8694" s="225" t="s">
        <v>17141</v>
      </c>
      <c r="B8694" s="225" t="s">
        <v>10565</v>
      </c>
    </row>
    <row r="8695" spans="1:2">
      <c r="A8695" s="225" t="s">
        <v>17142</v>
      </c>
      <c r="B8695" s="225" t="s">
        <v>17143</v>
      </c>
    </row>
    <row r="8696" spans="1:2">
      <c r="A8696" s="225" t="s">
        <v>17144</v>
      </c>
      <c r="B8696" s="225" t="s">
        <v>17145</v>
      </c>
    </row>
    <row r="8697" spans="1:2">
      <c r="A8697" s="225" t="s">
        <v>17146</v>
      </c>
      <c r="B8697" s="225" t="s">
        <v>17147</v>
      </c>
    </row>
    <row r="8698" spans="1:2">
      <c r="A8698" s="225" t="s">
        <v>17148</v>
      </c>
      <c r="B8698" s="225" t="s">
        <v>17149</v>
      </c>
    </row>
    <row r="8699" spans="1:2">
      <c r="A8699" s="225" t="s">
        <v>17150</v>
      </c>
      <c r="B8699" s="225" t="s">
        <v>17151</v>
      </c>
    </row>
    <row r="8700" spans="1:2">
      <c r="A8700" s="225" t="s">
        <v>17152</v>
      </c>
      <c r="B8700" s="225" t="s">
        <v>10571</v>
      </c>
    </row>
    <row r="8701" spans="1:2">
      <c r="A8701" s="225" t="s">
        <v>17153</v>
      </c>
      <c r="B8701" s="225" t="s">
        <v>17154</v>
      </c>
    </row>
    <row r="8702" spans="1:2">
      <c r="A8702" s="225" t="s">
        <v>17155</v>
      </c>
      <c r="B8702" s="225" t="s">
        <v>10567</v>
      </c>
    </row>
    <row r="8703" spans="1:2">
      <c r="A8703" s="225" t="s">
        <v>17156</v>
      </c>
      <c r="B8703" s="225" t="s">
        <v>10565</v>
      </c>
    </row>
    <row r="8704" spans="1:2">
      <c r="A8704" s="225" t="s">
        <v>17157</v>
      </c>
      <c r="B8704" s="225" t="s">
        <v>17158</v>
      </c>
    </row>
    <row r="8705" spans="1:2">
      <c r="A8705" s="225" t="s">
        <v>17159</v>
      </c>
      <c r="B8705" s="225" t="s">
        <v>10559</v>
      </c>
    </row>
    <row r="8706" spans="1:2">
      <c r="A8706" s="225" t="s">
        <v>17160</v>
      </c>
      <c r="B8706" s="225" t="s">
        <v>17161</v>
      </c>
    </row>
    <row r="8707" spans="1:2">
      <c r="A8707" s="225" t="s">
        <v>17162</v>
      </c>
      <c r="B8707" s="225" t="s">
        <v>10567</v>
      </c>
    </row>
    <row r="8708" spans="1:2">
      <c r="A8708" s="225" t="s">
        <v>17163</v>
      </c>
      <c r="B8708" s="225" t="s">
        <v>17164</v>
      </c>
    </row>
    <row r="8709" spans="1:2">
      <c r="A8709" s="225" t="s">
        <v>17165</v>
      </c>
      <c r="B8709" s="225" t="s">
        <v>10571</v>
      </c>
    </row>
    <row r="8710" spans="1:2">
      <c r="A8710" s="225" t="s">
        <v>17166</v>
      </c>
      <c r="B8710" s="225" t="s">
        <v>17167</v>
      </c>
    </row>
    <row r="8711" spans="1:2">
      <c r="A8711" s="225" t="s">
        <v>17168</v>
      </c>
      <c r="B8711" s="225" t="s">
        <v>17169</v>
      </c>
    </row>
    <row r="8712" spans="1:2">
      <c r="A8712" s="225" t="s">
        <v>17170</v>
      </c>
      <c r="B8712" s="225" t="s">
        <v>10565</v>
      </c>
    </row>
    <row r="8713" spans="1:2">
      <c r="A8713" s="225" t="s">
        <v>17171</v>
      </c>
      <c r="B8713" s="225" t="s">
        <v>10567</v>
      </c>
    </row>
    <row r="8714" spans="1:2">
      <c r="A8714" s="225" t="s">
        <v>17172</v>
      </c>
      <c r="B8714" s="225" t="s">
        <v>17154</v>
      </c>
    </row>
    <row r="8715" spans="1:2">
      <c r="A8715" s="225" t="s">
        <v>17173</v>
      </c>
      <c r="B8715" s="225" t="s">
        <v>10571</v>
      </c>
    </row>
    <row r="8716" spans="1:2">
      <c r="A8716" s="225" t="s">
        <v>17174</v>
      </c>
      <c r="B8716" s="225" t="s">
        <v>10559</v>
      </c>
    </row>
    <row r="8717" spans="1:2">
      <c r="A8717" s="225" t="s">
        <v>17175</v>
      </c>
      <c r="B8717" s="225" t="s">
        <v>17147</v>
      </c>
    </row>
    <row r="8718" spans="1:2">
      <c r="A8718" s="225" t="s">
        <v>17176</v>
      </c>
      <c r="B8718" s="225" t="s">
        <v>17145</v>
      </c>
    </row>
    <row r="8719" spans="1:2">
      <c r="A8719" s="225" t="s">
        <v>17177</v>
      </c>
      <c r="B8719" s="225" t="s">
        <v>17143</v>
      </c>
    </row>
    <row r="8720" spans="1:2">
      <c r="A8720" s="225" t="s">
        <v>17178</v>
      </c>
      <c r="B8720" s="225" t="s">
        <v>17179</v>
      </c>
    </row>
    <row r="8721" spans="1:2">
      <c r="A8721" s="225" t="s">
        <v>17180</v>
      </c>
      <c r="B8721" s="225" t="s">
        <v>17181</v>
      </c>
    </row>
    <row r="8722" spans="1:2">
      <c r="A8722" s="225" t="s">
        <v>17182</v>
      </c>
      <c r="B8722" s="225" t="s">
        <v>17183</v>
      </c>
    </row>
    <row r="8723" spans="1:2">
      <c r="A8723" s="225" t="s">
        <v>17184</v>
      </c>
      <c r="B8723" s="225" t="s">
        <v>17185</v>
      </c>
    </row>
    <row r="8724" spans="1:2">
      <c r="A8724" s="225" t="s">
        <v>17186</v>
      </c>
      <c r="B8724" s="225" t="s">
        <v>17187</v>
      </c>
    </row>
    <row r="8725" spans="1:2">
      <c r="A8725" s="225" t="s">
        <v>17188</v>
      </c>
      <c r="B8725" s="225" t="s">
        <v>17189</v>
      </c>
    </row>
    <row r="8726" spans="1:2">
      <c r="A8726" s="225" t="s">
        <v>17192</v>
      </c>
      <c r="B8726" s="225" t="s">
        <v>17193</v>
      </c>
    </row>
    <row r="8727" spans="1:2">
      <c r="A8727" s="225" t="s">
        <v>17198</v>
      </c>
      <c r="B8727" s="225" t="s">
        <v>17185</v>
      </c>
    </row>
    <row r="8728" spans="1:2">
      <c r="A8728" s="225" t="s">
        <v>17203</v>
      </c>
      <c r="B8728" s="225" t="s">
        <v>14885</v>
      </c>
    </row>
    <row r="8729" spans="1:2">
      <c r="A8729" s="225" t="s">
        <v>17204</v>
      </c>
      <c r="B8729" s="225" t="s">
        <v>17205</v>
      </c>
    </row>
    <row r="8730" spans="1:2">
      <c r="A8730" s="225" t="s">
        <v>17206</v>
      </c>
      <c r="B8730" s="225" t="s">
        <v>17207</v>
      </c>
    </row>
    <row r="8731" spans="1:2">
      <c r="A8731" s="225" t="s">
        <v>17208</v>
      </c>
      <c r="B8731" s="225" t="s">
        <v>17209</v>
      </c>
    </row>
    <row r="8732" spans="1:2">
      <c r="A8732" s="225" t="s">
        <v>17210</v>
      </c>
      <c r="B8732" s="225" t="s">
        <v>17211</v>
      </c>
    </row>
    <row r="8733" spans="1:2">
      <c r="A8733" s="225" t="s">
        <v>17212</v>
      </c>
      <c r="B8733" s="225" t="s">
        <v>16368</v>
      </c>
    </row>
    <row r="8734" spans="1:2">
      <c r="A8734" s="225" t="s">
        <v>17213</v>
      </c>
      <c r="B8734" s="225" t="s">
        <v>17214</v>
      </c>
    </row>
    <row r="8735" spans="1:2">
      <c r="A8735" s="225" t="s">
        <v>17215</v>
      </c>
      <c r="B8735" s="225" t="s">
        <v>17216</v>
      </c>
    </row>
    <row r="8736" spans="1:2">
      <c r="A8736" s="225" t="s">
        <v>17217</v>
      </c>
      <c r="B8736" s="225" t="s">
        <v>17015</v>
      </c>
    </row>
    <row r="8737" spans="1:2">
      <c r="A8737" s="225" t="s">
        <v>17218</v>
      </c>
      <c r="B8737" s="225" t="s">
        <v>17219</v>
      </c>
    </row>
    <row r="8738" spans="1:2">
      <c r="A8738" s="225" t="s">
        <v>17220</v>
      </c>
      <c r="B8738" s="225" t="s">
        <v>17221</v>
      </c>
    </row>
    <row r="8739" spans="1:2">
      <c r="A8739" s="225" t="s">
        <v>17222</v>
      </c>
      <c r="B8739" s="225" t="s">
        <v>17223</v>
      </c>
    </row>
    <row r="8740" spans="1:2">
      <c r="A8740" s="225" t="s">
        <v>17224</v>
      </c>
      <c r="B8740" s="225" t="s">
        <v>17225</v>
      </c>
    </row>
    <row r="8741" spans="1:2">
      <c r="A8741" s="225" t="s">
        <v>17226</v>
      </c>
      <c r="B8741" s="225" t="s">
        <v>17227</v>
      </c>
    </row>
    <row r="8742" spans="1:2">
      <c r="A8742" s="225" t="s">
        <v>17228</v>
      </c>
      <c r="B8742" s="225" t="s">
        <v>17229</v>
      </c>
    </row>
    <row r="8743" spans="1:2">
      <c r="A8743" s="225" t="s">
        <v>17230</v>
      </c>
      <c r="B8743" s="225" t="s">
        <v>17231</v>
      </c>
    </row>
    <row r="8744" spans="1:2">
      <c r="A8744" s="225" t="s">
        <v>17232</v>
      </c>
      <c r="B8744" s="225" t="s">
        <v>17233</v>
      </c>
    </row>
    <row r="8745" spans="1:2">
      <c r="A8745" s="225" t="s">
        <v>17234</v>
      </c>
      <c r="B8745" s="225" t="s">
        <v>17235</v>
      </c>
    </row>
    <row r="8746" spans="1:2">
      <c r="A8746" s="225" t="s">
        <v>17236</v>
      </c>
      <c r="B8746" s="225" t="s">
        <v>17237</v>
      </c>
    </row>
    <row r="8747" spans="1:2">
      <c r="A8747" s="225" t="s">
        <v>17245</v>
      </c>
      <c r="B8747" s="225" t="s">
        <v>17246</v>
      </c>
    </row>
    <row r="8748" spans="1:2">
      <c r="A8748" s="225" t="s">
        <v>17247</v>
      </c>
      <c r="B8748" s="225" t="s">
        <v>2203</v>
      </c>
    </row>
    <row r="8749" spans="1:2">
      <c r="A8749" s="225" t="s">
        <v>17248</v>
      </c>
      <c r="B8749" s="225" t="s">
        <v>10553</v>
      </c>
    </row>
    <row r="8750" spans="1:2">
      <c r="A8750" s="225" t="s">
        <v>17249</v>
      </c>
      <c r="B8750" s="225" t="s">
        <v>17250</v>
      </c>
    </row>
    <row r="8751" spans="1:2">
      <c r="A8751" s="225" t="s">
        <v>17251</v>
      </c>
      <c r="B8751" s="225" t="s">
        <v>17252</v>
      </c>
    </row>
    <row r="8752" spans="1:2">
      <c r="A8752" s="225" t="s">
        <v>17253</v>
      </c>
      <c r="B8752" s="225" t="s">
        <v>17254</v>
      </c>
    </row>
    <row r="8753" spans="1:2">
      <c r="A8753" s="225" t="s">
        <v>17255</v>
      </c>
      <c r="B8753" s="225" t="s">
        <v>17256</v>
      </c>
    </row>
    <row r="8754" spans="1:2">
      <c r="A8754" s="225" t="s">
        <v>17257</v>
      </c>
      <c r="B8754" s="225" t="s">
        <v>17258</v>
      </c>
    </row>
    <row r="8755" spans="1:2">
      <c r="A8755" s="225" t="s">
        <v>17259</v>
      </c>
      <c r="B8755" s="225" t="s">
        <v>17260</v>
      </c>
    </row>
    <row r="8756" spans="1:2">
      <c r="A8756" s="225" t="s">
        <v>17261</v>
      </c>
      <c r="B8756" s="225" t="s">
        <v>17262</v>
      </c>
    </row>
    <row r="8757" spans="1:2">
      <c r="A8757" s="225" t="s">
        <v>17263</v>
      </c>
      <c r="B8757" s="225" t="s">
        <v>17264</v>
      </c>
    </row>
    <row r="8758" spans="1:2">
      <c r="A8758" s="225" t="s">
        <v>17265</v>
      </c>
      <c r="B8758" s="225" t="s">
        <v>17266</v>
      </c>
    </row>
    <row r="8759" spans="1:2">
      <c r="A8759" s="225" t="s">
        <v>17267</v>
      </c>
      <c r="B8759" s="225" t="s">
        <v>17268</v>
      </c>
    </row>
    <row r="8760" spans="1:2">
      <c r="A8760" s="225" t="s">
        <v>17269</v>
      </c>
      <c r="B8760" s="225" t="s">
        <v>17270</v>
      </c>
    </row>
    <row r="8761" spans="1:2">
      <c r="A8761" s="225" t="s">
        <v>17271</v>
      </c>
      <c r="B8761" s="225" t="s">
        <v>17211</v>
      </c>
    </row>
    <row r="8762" spans="1:2">
      <c r="A8762" s="225" t="s">
        <v>17272</v>
      </c>
      <c r="B8762" s="225" t="s">
        <v>17273</v>
      </c>
    </row>
    <row r="8763" spans="1:2">
      <c r="A8763" s="225" t="s">
        <v>17274</v>
      </c>
      <c r="B8763" s="225" t="s">
        <v>17275</v>
      </c>
    </row>
    <row r="8764" spans="1:2">
      <c r="A8764" s="225" t="s">
        <v>17276</v>
      </c>
      <c r="B8764" s="225" t="s">
        <v>17277</v>
      </c>
    </row>
    <row r="8765" spans="1:2">
      <c r="A8765" s="225" t="s">
        <v>17278</v>
      </c>
      <c r="B8765" s="225" t="s">
        <v>17214</v>
      </c>
    </row>
    <row r="8766" spans="1:2">
      <c r="A8766" s="225" t="s">
        <v>17279</v>
      </c>
      <c r="B8766" s="225" t="s">
        <v>10578</v>
      </c>
    </row>
    <row r="8767" spans="1:2">
      <c r="A8767" s="225" t="s">
        <v>17280</v>
      </c>
      <c r="B8767" s="225" t="s">
        <v>17074</v>
      </c>
    </row>
    <row r="8768" spans="1:2">
      <c r="A8768" s="225" t="s">
        <v>17281</v>
      </c>
      <c r="B8768" s="225" t="s">
        <v>1674</v>
      </c>
    </row>
    <row r="8769" spans="1:2">
      <c r="A8769" s="225" t="s">
        <v>17282</v>
      </c>
      <c r="B8769" s="225" t="s">
        <v>1848</v>
      </c>
    </row>
    <row r="8770" spans="1:2">
      <c r="A8770" s="225" t="s">
        <v>17283</v>
      </c>
      <c r="B8770" s="225" t="s">
        <v>17284</v>
      </c>
    </row>
    <row r="8771" spans="1:2">
      <c r="A8771" s="225" t="s">
        <v>17285</v>
      </c>
      <c r="B8771" s="225" t="s">
        <v>1775</v>
      </c>
    </row>
    <row r="8772" spans="1:2">
      <c r="A8772" s="225" t="s">
        <v>17286</v>
      </c>
      <c r="B8772" s="225" t="s">
        <v>1782</v>
      </c>
    </row>
    <row r="8773" spans="1:2">
      <c r="A8773" s="225" t="s">
        <v>17287</v>
      </c>
      <c r="B8773" s="225" t="s">
        <v>16892</v>
      </c>
    </row>
    <row r="8774" spans="1:2">
      <c r="A8774" s="225" t="s">
        <v>17288</v>
      </c>
      <c r="B8774" s="225" t="s">
        <v>17289</v>
      </c>
    </row>
    <row r="8775" spans="1:2">
      <c r="A8775" s="225" t="s">
        <v>17290</v>
      </c>
      <c r="B8775" s="225" t="s">
        <v>10464</v>
      </c>
    </row>
    <row r="8776" spans="1:2">
      <c r="A8776" s="225" t="s">
        <v>17291</v>
      </c>
      <c r="B8776" s="225" t="s">
        <v>10475</v>
      </c>
    </row>
    <row r="8777" spans="1:2">
      <c r="A8777" s="225" t="s">
        <v>17292</v>
      </c>
      <c r="B8777" s="225" t="s">
        <v>2234</v>
      </c>
    </row>
    <row r="8778" spans="1:2">
      <c r="A8778" s="225" t="s">
        <v>17293</v>
      </c>
      <c r="B8778" s="225" t="s">
        <v>17294</v>
      </c>
    </row>
    <row r="8779" spans="1:2">
      <c r="A8779" s="225" t="s">
        <v>17295</v>
      </c>
      <c r="B8779" s="225" t="s">
        <v>17296</v>
      </c>
    </row>
    <row r="8780" spans="1:2">
      <c r="A8780" s="225" t="s">
        <v>17297</v>
      </c>
      <c r="B8780" s="225" t="s">
        <v>9314</v>
      </c>
    </row>
    <row r="8781" spans="1:2">
      <c r="A8781" s="225" t="s">
        <v>17304</v>
      </c>
      <c r="B8781" s="225" t="s">
        <v>16330</v>
      </c>
    </row>
    <row r="8782" spans="1:2">
      <c r="A8782" s="225" t="s">
        <v>17317</v>
      </c>
      <c r="B8782" s="225" t="s">
        <v>17318</v>
      </c>
    </row>
    <row r="8783" spans="1:2">
      <c r="A8783" s="225" t="s">
        <v>17319</v>
      </c>
      <c r="B8783" s="225" t="s">
        <v>15029</v>
      </c>
    </row>
    <row r="8784" spans="1:2">
      <c r="A8784" s="225" t="s">
        <v>17325</v>
      </c>
      <c r="B8784" s="225" t="s">
        <v>16721</v>
      </c>
    </row>
    <row r="8785" spans="1:2">
      <c r="A8785" s="225" t="s">
        <v>17328</v>
      </c>
      <c r="B8785" s="225" t="s">
        <v>17329</v>
      </c>
    </row>
    <row r="8786" spans="1:2">
      <c r="A8786" s="225" t="s">
        <v>17330</v>
      </c>
      <c r="B8786" s="225" t="s">
        <v>17331</v>
      </c>
    </row>
    <row r="8787" spans="1:2">
      <c r="A8787" s="225" t="s">
        <v>17334</v>
      </c>
      <c r="B8787" s="225" t="s">
        <v>17335</v>
      </c>
    </row>
    <row r="8788" spans="1:2">
      <c r="A8788" s="225" t="s">
        <v>17336</v>
      </c>
      <c r="B8788" s="225" t="s">
        <v>17337</v>
      </c>
    </row>
    <row r="8789" spans="1:2">
      <c r="A8789" s="225" t="s">
        <v>17341</v>
      </c>
      <c r="B8789" s="225" t="s">
        <v>17342</v>
      </c>
    </row>
    <row r="8790" spans="1:2">
      <c r="A8790" s="225" t="s">
        <v>17343</v>
      </c>
      <c r="B8790" s="225" t="s">
        <v>17344</v>
      </c>
    </row>
    <row r="8791" spans="1:2">
      <c r="A8791" s="225" t="s">
        <v>17350</v>
      </c>
      <c r="B8791" s="225" t="s">
        <v>17351</v>
      </c>
    </row>
    <row r="8792" spans="1:2">
      <c r="A8792" s="225" t="s">
        <v>17352</v>
      </c>
      <c r="B8792" s="225" t="s">
        <v>17353</v>
      </c>
    </row>
    <row r="8793" spans="1:2">
      <c r="A8793" s="225" t="s">
        <v>17354</v>
      </c>
      <c r="B8793" s="225" t="s">
        <v>17355</v>
      </c>
    </row>
    <row r="8794" spans="1:2">
      <c r="A8794" s="225" t="s">
        <v>17356</v>
      </c>
      <c r="B8794" s="225" t="s">
        <v>17357</v>
      </c>
    </row>
    <row r="8795" spans="1:2">
      <c r="A8795" s="225" t="s">
        <v>17358</v>
      </c>
      <c r="B8795" s="225" t="s">
        <v>17359</v>
      </c>
    </row>
    <row r="8796" spans="1:2">
      <c r="A8796" s="225" t="s">
        <v>17360</v>
      </c>
      <c r="B8796" s="225" t="s">
        <v>17361</v>
      </c>
    </row>
    <row r="8797" spans="1:2">
      <c r="A8797" s="225" t="s">
        <v>17362</v>
      </c>
      <c r="B8797" s="225" t="s">
        <v>17363</v>
      </c>
    </row>
    <row r="8798" spans="1:2">
      <c r="A8798" s="225" t="s">
        <v>17364</v>
      </c>
      <c r="B8798" s="225" t="s">
        <v>17365</v>
      </c>
    </row>
    <row r="8799" spans="1:2">
      <c r="A8799" s="225" t="s">
        <v>17366</v>
      </c>
      <c r="B8799" s="225" t="s">
        <v>17367</v>
      </c>
    </row>
    <row r="8800" spans="1:2">
      <c r="A8800" s="225" t="s">
        <v>17368</v>
      </c>
      <c r="B8800" s="225" t="s">
        <v>17369</v>
      </c>
    </row>
    <row r="8801" spans="1:2">
      <c r="A8801" s="225" t="s">
        <v>17372</v>
      </c>
      <c r="B8801" s="225" t="s">
        <v>11095</v>
      </c>
    </row>
    <row r="8802" spans="1:2">
      <c r="A8802" s="225" t="s">
        <v>17373</v>
      </c>
      <c r="B8802" s="225" t="s">
        <v>17374</v>
      </c>
    </row>
    <row r="8803" spans="1:2">
      <c r="A8803" s="225" t="s">
        <v>17375</v>
      </c>
      <c r="B8803" s="225" t="s">
        <v>17376</v>
      </c>
    </row>
    <row r="8804" spans="1:2">
      <c r="A8804" s="225" t="s">
        <v>17377</v>
      </c>
      <c r="B8804" s="225" t="s">
        <v>11091</v>
      </c>
    </row>
    <row r="8805" spans="1:2">
      <c r="A8805" s="225" t="s">
        <v>17378</v>
      </c>
      <c r="B8805" s="225" t="s">
        <v>1854</v>
      </c>
    </row>
    <row r="8806" spans="1:2">
      <c r="A8806" s="225" t="s">
        <v>17380</v>
      </c>
      <c r="B8806" s="225" t="s">
        <v>17381</v>
      </c>
    </row>
    <row r="8807" spans="1:2">
      <c r="A8807" s="225" t="s">
        <v>17382</v>
      </c>
      <c r="B8807" s="225" t="s">
        <v>1845</v>
      </c>
    </row>
    <row r="8808" spans="1:2">
      <c r="A8808" s="225" t="s">
        <v>17383</v>
      </c>
      <c r="B8808" s="225" t="s">
        <v>11089</v>
      </c>
    </row>
    <row r="8809" spans="1:2">
      <c r="A8809" s="225" t="s">
        <v>17385</v>
      </c>
      <c r="B8809" s="225" t="s">
        <v>17386</v>
      </c>
    </row>
    <row r="8810" spans="1:2">
      <c r="A8810" s="225" t="s">
        <v>17388</v>
      </c>
      <c r="B8810" s="225" t="s">
        <v>17389</v>
      </c>
    </row>
    <row r="8811" spans="1:2">
      <c r="A8811" s="225" t="s">
        <v>17390</v>
      </c>
      <c r="B8811" s="225" t="s">
        <v>17391</v>
      </c>
    </row>
    <row r="8812" spans="1:2">
      <c r="A8812" s="225" t="s">
        <v>17392</v>
      </c>
      <c r="B8812" s="225" t="s">
        <v>17393</v>
      </c>
    </row>
    <row r="8813" spans="1:2">
      <c r="A8813" s="225" t="s">
        <v>17394</v>
      </c>
      <c r="B8813" s="225" t="s">
        <v>17395</v>
      </c>
    </row>
    <row r="8814" spans="1:2">
      <c r="A8814" s="225" t="s">
        <v>17424</v>
      </c>
      <c r="B8814" s="225" t="s">
        <v>17425</v>
      </c>
    </row>
    <row r="8815" spans="1:2">
      <c r="A8815" s="225" t="s">
        <v>17428</v>
      </c>
      <c r="B8815" s="225" t="s">
        <v>17429</v>
      </c>
    </row>
    <row r="8816" spans="1:2">
      <c r="A8816" s="225" t="s">
        <v>17430</v>
      </c>
      <c r="B8816" s="225" t="s">
        <v>17431</v>
      </c>
    </row>
    <row r="8817" spans="1:2">
      <c r="A8817" s="225" t="s">
        <v>17432</v>
      </c>
      <c r="B8817" s="225" t="s">
        <v>17433</v>
      </c>
    </row>
    <row r="8818" spans="1:2">
      <c r="A8818" s="225" t="s">
        <v>17434</v>
      </c>
      <c r="B8818" s="225" t="s">
        <v>17435</v>
      </c>
    </row>
    <row r="8819" spans="1:2">
      <c r="A8819" s="225" t="s">
        <v>17436</v>
      </c>
      <c r="B8819" s="225" t="s">
        <v>17437</v>
      </c>
    </row>
    <row r="8820" spans="1:2">
      <c r="A8820" s="225" t="s">
        <v>17438</v>
      </c>
      <c r="B8820" s="225" t="s">
        <v>17439</v>
      </c>
    </row>
    <row r="8821" spans="1:2">
      <c r="A8821" s="225" t="s">
        <v>17440</v>
      </c>
      <c r="B8821" s="225" t="s">
        <v>17441</v>
      </c>
    </row>
    <row r="8822" spans="1:2">
      <c r="A8822" s="225" t="s">
        <v>17443</v>
      </c>
      <c r="B8822" s="225" t="s">
        <v>17074</v>
      </c>
    </row>
    <row r="8823" spans="1:2">
      <c r="A8823" s="225" t="s">
        <v>17445</v>
      </c>
      <c r="B8823" s="225" t="s">
        <v>15666</v>
      </c>
    </row>
    <row r="8824" spans="1:2">
      <c r="A8824" s="225" t="s">
        <v>17446</v>
      </c>
      <c r="B8824" s="225" t="s">
        <v>617</v>
      </c>
    </row>
    <row r="8825" spans="1:2">
      <c r="A8825" s="225" t="s">
        <v>17447</v>
      </c>
      <c r="B8825" s="225" t="s">
        <v>1848</v>
      </c>
    </row>
    <row r="8826" spans="1:2">
      <c r="A8826" s="225" t="s">
        <v>17448</v>
      </c>
      <c r="B8826" s="225" t="s">
        <v>17449</v>
      </c>
    </row>
    <row r="8827" spans="1:2">
      <c r="A8827" s="225" t="s">
        <v>17453</v>
      </c>
      <c r="B8827" s="225" t="s">
        <v>17425</v>
      </c>
    </row>
    <row r="8828" spans="1:2">
      <c r="A8828" s="225" t="s">
        <v>17455</v>
      </c>
      <c r="B8828" s="225" t="s">
        <v>17456</v>
      </c>
    </row>
    <row r="8829" spans="1:2">
      <c r="A8829" s="225" t="s">
        <v>17457</v>
      </c>
      <c r="B8829" s="225" t="s">
        <v>17429</v>
      </c>
    </row>
    <row r="8830" spans="1:2">
      <c r="A8830" s="225" t="s">
        <v>17458</v>
      </c>
      <c r="B8830" s="225" t="s">
        <v>17459</v>
      </c>
    </row>
    <row r="8831" spans="1:2">
      <c r="A8831" s="225" t="s">
        <v>17460</v>
      </c>
      <c r="B8831" s="225" t="s">
        <v>17431</v>
      </c>
    </row>
    <row r="8832" spans="1:2">
      <c r="A8832" s="225" t="s">
        <v>17462</v>
      </c>
      <c r="B8832" s="225" t="s">
        <v>11095</v>
      </c>
    </row>
    <row r="8833" spans="1:2">
      <c r="A8833" s="225" t="s">
        <v>17463</v>
      </c>
      <c r="B8833" s="225" t="s">
        <v>17374</v>
      </c>
    </row>
    <row r="8834" spans="1:2">
      <c r="A8834" s="225" t="s">
        <v>17464</v>
      </c>
      <c r="B8834" s="225" t="s">
        <v>17376</v>
      </c>
    </row>
    <row r="8835" spans="1:2">
      <c r="A8835" s="225" t="s">
        <v>17465</v>
      </c>
      <c r="B8835" s="225" t="s">
        <v>11091</v>
      </c>
    </row>
    <row r="8836" spans="1:2">
      <c r="A8836" s="225" t="s">
        <v>17466</v>
      </c>
      <c r="B8836" s="225" t="s">
        <v>1854</v>
      </c>
    </row>
    <row r="8837" spans="1:2">
      <c r="A8837" s="225" t="s">
        <v>17467</v>
      </c>
      <c r="B8837" s="225" t="s">
        <v>17381</v>
      </c>
    </row>
    <row r="8838" spans="1:2">
      <c r="A8838" s="225" t="s">
        <v>17468</v>
      </c>
      <c r="B8838" s="225" t="s">
        <v>11089</v>
      </c>
    </row>
    <row r="8839" spans="1:2">
      <c r="A8839" s="225" t="s">
        <v>17469</v>
      </c>
      <c r="B8839" s="225" t="s">
        <v>17441</v>
      </c>
    </row>
    <row r="8840" spans="1:2">
      <c r="A8840" s="225" t="s">
        <v>17471</v>
      </c>
      <c r="B8840" s="225" t="s">
        <v>17386</v>
      </c>
    </row>
    <row r="8841" spans="1:2">
      <c r="A8841" s="225" t="s">
        <v>17473</v>
      </c>
      <c r="B8841" s="225" t="s">
        <v>17389</v>
      </c>
    </row>
    <row r="8842" spans="1:2">
      <c r="A8842" s="225" t="s">
        <v>17474</v>
      </c>
      <c r="B8842" s="225" t="s">
        <v>17475</v>
      </c>
    </row>
    <row r="8843" spans="1:2">
      <c r="A8843" s="225" t="s">
        <v>17476</v>
      </c>
      <c r="B8843" s="225" t="s">
        <v>17477</v>
      </c>
    </row>
    <row r="8844" spans="1:2">
      <c r="A8844" s="225" t="s">
        <v>17478</v>
      </c>
      <c r="B8844" s="225" t="s">
        <v>17479</v>
      </c>
    </row>
    <row r="8845" spans="1:2">
      <c r="A8845" s="225" t="s">
        <v>17491</v>
      </c>
      <c r="B8845" s="225" t="s">
        <v>1845</v>
      </c>
    </row>
    <row r="8846" spans="1:2">
      <c r="A8846" s="225" t="s">
        <v>17493</v>
      </c>
      <c r="B8846" s="225" t="s">
        <v>15666</v>
      </c>
    </row>
    <row r="8847" spans="1:2">
      <c r="A8847" s="225" t="s">
        <v>17494</v>
      </c>
      <c r="B8847" s="225" t="s">
        <v>1848</v>
      </c>
    </row>
    <row r="8848" spans="1:2">
      <c r="A8848" s="225" t="s">
        <v>17495</v>
      </c>
      <c r="B8848" s="225" t="s">
        <v>617</v>
      </c>
    </row>
    <row r="8849" spans="1:2">
      <c r="A8849" s="225" t="s">
        <v>17496</v>
      </c>
      <c r="B8849" s="225" t="s">
        <v>17497</v>
      </c>
    </row>
    <row r="8850" spans="1:2">
      <c r="A8850" s="225" t="s">
        <v>17498</v>
      </c>
      <c r="B8850" s="225" t="s">
        <v>17499</v>
      </c>
    </row>
    <row r="8851" spans="1:2">
      <c r="A8851" s="225" t="s">
        <v>17500</v>
      </c>
      <c r="B8851" s="225" t="s">
        <v>17501</v>
      </c>
    </row>
    <row r="8852" spans="1:2">
      <c r="A8852" s="225" t="s">
        <v>17502</v>
      </c>
      <c r="B8852" s="225" t="s">
        <v>17503</v>
      </c>
    </row>
    <row r="8853" spans="1:2">
      <c r="A8853" s="225" t="s">
        <v>17504</v>
      </c>
      <c r="B8853" s="225" t="s">
        <v>17505</v>
      </c>
    </row>
    <row r="8854" spans="1:2">
      <c r="A8854" s="225" t="s">
        <v>17506</v>
      </c>
      <c r="B8854" s="225" t="s">
        <v>17507</v>
      </c>
    </row>
    <row r="8855" spans="1:2">
      <c r="A8855" s="225" t="s">
        <v>17508</v>
      </c>
      <c r="B8855" s="225" t="s">
        <v>17509</v>
      </c>
    </row>
    <row r="8856" spans="1:2">
      <c r="A8856" s="225" t="s">
        <v>17512</v>
      </c>
      <c r="B8856" s="225" t="s">
        <v>17513</v>
      </c>
    </row>
    <row r="8857" spans="1:2">
      <c r="A8857" s="225" t="s">
        <v>17514</v>
      </c>
      <c r="B8857" s="225" t="s">
        <v>17515</v>
      </c>
    </row>
    <row r="8858" spans="1:2">
      <c r="A8858" s="225" t="s">
        <v>17516</v>
      </c>
      <c r="B8858" s="225" t="s">
        <v>17517</v>
      </c>
    </row>
    <row r="8859" spans="1:2">
      <c r="A8859" s="225" t="s">
        <v>17520</v>
      </c>
      <c r="B8859" s="225" t="s">
        <v>17521</v>
      </c>
    </row>
    <row r="8860" spans="1:2">
      <c r="A8860" s="225" t="s">
        <v>17522</v>
      </c>
      <c r="B8860" s="225" t="s">
        <v>17523</v>
      </c>
    </row>
    <row r="8861" spans="1:2">
      <c r="A8861" s="225" t="s">
        <v>17524</v>
      </c>
      <c r="B8861" s="225" t="s">
        <v>16298</v>
      </c>
    </row>
    <row r="8862" spans="1:2">
      <c r="A8862" s="225" t="s">
        <v>17525</v>
      </c>
      <c r="B8862" s="225" t="s">
        <v>17526</v>
      </c>
    </row>
    <row r="8863" spans="1:2">
      <c r="A8863" s="225" t="s">
        <v>17528</v>
      </c>
      <c r="B8863" s="225" t="s">
        <v>17529</v>
      </c>
    </row>
    <row r="8864" spans="1:2">
      <c r="A8864" s="225" t="s">
        <v>17530</v>
      </c>
      <c r="B8864" s="225" t="s">
        <v>17531</v>
      </c>
    </row>
    <row r="8865" spans="1:2">
      <c r="A8865" s="225" t="s">
        <v>17532</v>
      </c>
      <c r="B8865" s="225" t="s">
        <v>17533</v>
      </c>
    </row>
    <row r="8866" spans="1:2">
      <c r="A8866" s="225" t="s">
        <v>17534</v>
      </c>
      <c r="B8866" s="225" t="s">
        <v>17535</v>
      </c>
    </row>
    <row r="8867" spans="1:2">
      <c r="A8867" s="225" t="s">
        <v>17536</v>
      </c>
      <c r="B8867" s="225" t="s">
        <v>17537</v>
      </c>
    </row>
    <row r="8868" spans="1:2">
      <c r="A8868" s="225" t="s">
        <v>17538</v>
      </c>
      <c r="B8868" s="225" t="s">
        <v>17539</v>
      </c>
    </row>
    <row r="8869" spans="1:2">
      <c r="A8869" s="225" t="s">
        <v>17540</v>
      </c>
      <c r="B8869" s="225" t="s">
        <v>17541</v>
      </c>
    </row>
    <row r="8870" spans="1:2">
      <c r="A8870" s="225" t="s">
        <v>17542</v>
      </c>
      <c r="B8870" s="225" t="s">
        <v>17543</v>
      </c>
    </row>
    <row r="8871" spans="1:2">
      <c r="A8871" s="225" t="s">
        <v>17544</v>
      </c>
      <c r="B8871" s="225" t="s">
        <v>16307</v>
      </c>
    </row>
    <row r="8872" spans="1:2">
      <c r="A8872" s="225" t="s">
        <v>17545</v>
      </c>
      <c r="B8872" s="225" t="s">
        <v>17546</v>
      </c>
    </row>
    <row r="8873" spans="1:2">
      <c r="A8873" s="225" t="s">
        <v>17552</v>
      </c>
      <c r="B8873" s="225" t="s">
        <v>16015</v>
      </c>
    </row>
    <row r="8874" spans="1:2">
      <c r="A8874" s="225" t="s">
        <v>17553</v>
      </c>
      <c r="B8874" s="225" t="s">
        <v>17554</v>
      </c>
    </row>
    <row r="8875" spans="1:2">
      <c r="A8875" s="225" t="s">
        <v>17556</v>
      </c>
      <c r="B8875" s="225" t="s">
        <v>17557</v>
      </c>
    </row>
    <row r="8876" spans="1:2">
      <c r="A8876" s="225" t="s">
        <v>17558</v>
      </c>
      <c r="B8876" s="225" t="s">
        <v>17559</v>
      </c>
    </row>
    <row r="8877" spans="1:2">
      <c r="A8877" s="225" t="s">
        <v>17560</v>
      </c>
      <c r="B8877" s="225" t="s">
        <v>17561</v>
      </c>
    </row>
    <row r="8878" spans="1:2">
      <c r="A8878" s="225" t="s">
        <v>17562</v>
      </c>
      <c r="B8878" s="225" t="s">
        <v>17563</v>
      </c>
    </row>
    <row r="8879" spans="1:2">
      <c r="A8879" s="225" t="s">
        <v>17564</v>
      </c>
      <c r="B8879" s="225" t="s">
        <v>17565</v>
      </c>
    </row>
    <row r="8880" spans="1:2">
      <c r="A8880" s="225" t="s">
        <v>17566</v>
      </c>
      <c r="B8880" s="225" t="s">
        <v>17567</v>
      </c>
    </row>
    <row r="8881" spans="1:2">
      <c r="A8881" s="225" t="s">
        <v>17568</v>
      </c>
      <c r="B8881" s="225" t="s">
        <v>17569</v>
      </c>
    </row>
    <row r="8882" spans="1:2">
      <c r="A8882" s="225" t="s">
        <v>17574</v>
      </c>
      <c r="B8882" s="225" t="s">
        <v>17575</v>
      </c>
    </row>
    <row r="8883" spans="1:2">
      <c r="A8883" s="225" t="s">
        <v>17576</v>
      </c>
      <c r="B8883" s="225" t="s">
        <v>17577</v>
      </c>
    </row>
    <row r="8884" spans="1:2">
      <c r="A8884" s="225" t="s">
        <v>17578</v>
      </c>
      <c r="B8884" s="225" t="s">
        <v>17579</v>
      </c>
    </row>
    <row r="8885" spans="1:2">
      <c r="A8885" s="225" t="s">
        <v>17583</v>
      </c>
      <c r="B8885" s="225" t="s">
        <v>17584</v>
      </c>
    </row>
    <row r="8886" spans="1:2">
      <c r="A8886" s="225" t="s">
        <v>17585</v>
      </c>
      <c r="B8886" s="225" t="s">
        <v>17586</v>
      </c>
    </row>
    <row r="8887" spans="1:2">
      <c r="A8887" s="225" t="s">
        <v>17587</v>
      </c>
      <c r="B8887" s="225" t="s">
        <v>17588</v>
      </c>
    </row>
    <row r="8888" spans="1:2">
      <c r="A8888" s="225" t="s">
        <v>17589</v>
      </c>
      <c r="B8888" s="225" t="s">
        <v>17590</v>
      </c>
    </row>
    <row r="8889" spans="1:2">
      <c r="A8889" s="225" t="s">
        <v>17591</v>
      </c>
      <c r="B8889" s="225" t="s">
        <v>17592</v>
      </c>
    </row>
    <row r="8890" spans="1:2">
      <c r="A8890" s="225" t="s">
        <v>17593</v>
      </c>
      <c r="B8890" s="225" t="s">
        <v>17594</v>
      </c>
    </row>
    <row r="8891" spans="1:2">
      <c r="A8891" s="225" t="s">
        <v>17595</v>
      </c>
      <c r="B8891" s="225" t="s">
        <v>17596</v>
      </c>
    </row>
    <row r="8892" spans="1:2">
      <c r="A8892" s="225" t="s">
        <v>17597</v>
      </c>
      <c r="B8892" s="225" t="s">
        <v>17598</v>
      </c>
    </row>
    <row r="8893" spans="1:2">
      <c r="A8893" s="225" t="s">
        <v>17599</v>
      </c>
      <c r="B8893" s="225" t="s">
        <v>17600</v>
      </c>
    </row>
    <row r="8894" spans="1:2">
      <c r="A8894" s="225" t="s">
        <v>17601</v>
      </c>
      <c r="B8894" s="225" t="s">
        <v>17602</v>
      </c>
    </row>
    <row r="8895" spans="1:2">
      <c r="A8895" s="225" t="s">
        <v>17603</v>
      </c>
      <c r="B8895" s="225" t="s">
        <v>17604</v>
      </c>
    </row>
    <row r="8896" spans="1:2">
      <c r="A8896" s="225" t="s">
        <v>17605</v>
      </c>
      <c r="B8896" s="225" t="s">
        <v>17606</v>
      </c>
    </row>
    <row r="8897" spans="1:2">
      <c r="A8897" s="225" t="s">
        <v>17607</v>
      </c>
      <c r="B8897" s="225" t="s">
        <v>17608</v>
      </c>
    </row>
    <row r="8898" spans="1:2">
      <c r="A8898" s="225" t="s">
        <v>17609</v>
      </c>
      <c r="B8898" s="225" t="s">
        <v>17610</v>
      </c>
    </row>
    <row r="8899" spans="1:2">
      <c r="A8899" s="225" t="s">
        <v>17611</v>
      </c>
      <c r="B8899" s="225" t="s">
        <v>17612</v>
      </c>
    </row>
    <row r="8900" spans="1:2">
      <c r="A8900" s="225" t="s">
        <v>17613</v>
      </c>
      <c r="B8900" s="225" t="s">
        <v>17614</v>
      </c>
    </row>
    <row r="8901" spans="1:2">
      <c r="A8901" s="225" t="s">
        <v>17615</v>
      </c>
      <c r="B8901" s="225" t="s">
        <v>17616</v>
      </c>
    </row>
    <row r="8902" spans="1:2">
      <c r="A8902" s="225" t="s">
        <v>17617</v>
      </c>
      <c r="B8902" s="225" t="s">
        <v>17618</v>
      </c>
    </row>
    <row r="8903" spans="1:2">
      <c r="A8903" s="225" t="s">
        <v>17619</v>
      </c>
      <c r="B8903" s="225" t="s">
        <v>17620</v>
      </c>
    </row>
    <row r="8904" spans="1:2">
      <c r="A8904" s="225" t="s">
        <v>17621</v>
      </c>
      <c r="B8904" s="225" t="s">
        <v>17622</v>
      </c>
    </row>
    <row r="8905" spans="1:2">
      <c r="A8905" s="225" t="s">
        <v>17623</v>
      </c>
      <c r="B8905" s="225" t="s">
        <v>17624</v>
      </c>
    </row>
    <row r="8906" spans="1:2">
      <c r="A8906" s="225" t="s">
        <v>17627</v>
      </c>
      <c r="B8906" s="225" t="s">
        <v>17628</v>
      </c>
    </row>
    <row r="8907" spans="1:2">
      <c r="A8907" s="225" t="s">
        <v>17629</v>
      </c>
      <c r="B8907" s="225" t="s">
        <v>17630</v>
      </c>
    </row>
    <row r="8908" spans="1:2">
      <c r="A8908" s="225" t="s">
        <v>17631</v>
      </c>
      <c r="B8908" s="225" t="s">
        <v>17632</v>
      </c>
    </row>
    <row r="8909" spans="1:2">
      <c r="A8909" s="225" t="s">
        <v>17633</v>
      </c>
      <c r="B8909" s="225" t="s">
        <v>17634</v>
      </c>
    </row>
    <row r="8910" spans="1:2">
      <c r="A8910" s="225" t="s">
        <v>17635</v>
      </c>
      <c r="B8910" s="225" t="s">
        <v>17636</v>
      </c>
    </row>
    <row r="8911" spans="1:2">
      <c r="A8911" s="225" t="s">
        <v>17637</v>
      </c>
      <c r="B8911" s="225" t="s">
        <v>17592</v>
      </c>
    </row>
    <row r="8912" spans="1:2">
      <c r="A8912" s="225" t="s">
        <v>17638</v>
      </c>
      <c r="B8912" s="225" t="s">
        <v>17590</v>
      </c>
    </row>
    <row r="8913" spans="1:2">
      <c r="A8913" s="225" t="s">
        <v>17640</v>
      </c>
      <c r="B8913" s="225" t="s">
        <v>16942</v>
      </c>
    </row>
    <row r="8914" spans="1:2">
      <c r="A8914" s="225" t="s">
        <v>17641</v>
      </c>
      <c r="B8914" s="225" t="s">
        <v>16946</v>
      </c>
    </row>
    <row r="8915" spans="1:2">
      <c r="A8915" s="225" t="s">
        <v>17642</v>
      </c>
      <c r="B8915" s="225" t="s">
        <v>16912</v>
      </c>
    </row>
    <row r="8916" spans="1:2">
      <c r="A8916" s="225" t="s">
        <v>17643</v>
      </c>
      <c r="B8916" s="225" t="s">
        <v>17644</v>
      </c>
    </row>
    <row r="8917" spans="1:2">
      <c r="A8917" s="225" t="s">
        <v>17645</v>
      </c>
      <c r="B8917" s="225" t="s">
        <v>17646</v>
      </c>
    </row>
    <row r="8918" spans="1:2">
      <c r="A8918" s="225" t="s">
        <v>17647</v>
      </c>
      <c r="B8918" s="225" t="s">
        <v>17648</v>
      </c>
    </row>
    <row r="8919" spans="1:2">
      <c r="A8919" s="225" t="s">
        <v>17649</v>
      </c>
      <c r="B8919" s="225" t="s">
        <v>17650</v>
      </c>
    </row>
    <row r="8920" spans="1:2">
      <c r="A8920" s="225" t="s">
        <v>17651</v>
      </c>
      <c r="B8920" s="225" t="s">
        <v>17652</v>
      </c>
    </row>
    <row r="8921" spans="1:2">
      <c r="A8921" s="225" t="s">
        <v>17653</v>
      </c>
      <c r="B8921" s="225" t="s">
        <v>17654</v>
      </c>
    </row>
    <row r="8922" spans="1:2">
      <c r="A8922" s="225" t="s">
        <v>17656</v>
      </c>
      <c r="B8922" s="225" t="s">
        <v>17657</v>
      </c>
    </row>
    <row r="8923" spans="1:2">
      <c r="A8923" s="225" t="s">
        <v>17659</v>
      </c>
      <c r="B8923" s="225" t="s">
        <v>17660</v>
      </c>
    </row>
    <row r="8924" spans="1:2">
      <c r="A8924" s="225" t="s">
        <v>17661</v>
      </c>
      <c r="B8924" s="225" t="s">
        <v>17662</v>
      </c>
    </row>
    <row r="8925" spans="1:2">
      <c r="A8925" s="225" t="s">
        <v>17663</v>
      </c>
      <c r="B8925" s="225" t="s">
        <v>17664</v>
      </c>
    </row>
    <row r="8926" spans="1:2">
      <c r="A8926" s="225" t="s">
        <v>17665</v>
      </c>
      <c r="B8926" s="225" t="s">
        <v>17666</v>
      </c>
    </row>
    <row r="8927" spans="1:2">
      <c r="A8927" s="225" t="s">
        <v>17667</v>
      </c>
      <c r="B8927" s="225" t="s">
        <v>17668</v>
      </c>
    </row>
    <row r="8928" spans="1:2">
      <c r="A8928" s="225" t="s">
        <v>17671</v>
      </c>
      <c r="B8928" s="225" t="s">
        <v>17672</v>
      </c>
    </row>
    <row r="8929" spans="1:2">
      <c r="A8929" s="225" t="s">
        <v>17673</v>
      </c>
      <c r="B8929" s="225" t="s">
        <v>17674</v>
      </c>
    </row>
    <row r="8930" spans="1:2">
      <c r="A8930" s="225" t="s">
        <v>17675</v>
      </c>
      <c r="B8930" s="225" t="s">
        <v>17676</v>
      </c>
    </row>
    <row r="8931" spans="1:2">
      <c r="A8931" s="225" t="s">
        <v>17677</v>
      </c>
      <c r="B8931" s="225" t="s">
        <v>17678</v>
      </c>
    </row>
    <row r="8932" spans="1:2">
      <c r="A8932" s="225" t="s">
        <v>17679</v>
      </c>
      <c r="B8932" s="225" t="s">
        <v>17680</v>
      </c>
    </row>
    <row r="8933" spans="1:2">
      <c r="A8933" s="225" t="s">
        <v>17681</v>
      </c>
      <c r="B8933" s="225" t="s">
        <v>17682</v>
      </c>
    </row>
    <row r="8934" spans="1:2">
      <c r="A8934" s="225" t="s">
        <v>17683</v>
      </c>
      <c r="B8934" s="225" t="s">
        <v>17684</v>
      </c>
    </row>
    <row r="8935" spans="1:2">
      <c r="A8935" s="225" t="s">
        <v>17685</v>
      </c>
      <c r="B8935" s="225" t="s">
        <v>17686</v>
      </c>
    </row>
    <row r="8936" spans="1:2">
      <c r="A8936" s="225" t="s">
        <v>17687</v>
      </c>
      <c r="B8936" s="225" t="s">
        <v>17688</v>
      </c>
    </row>
    <row r="8937" spans="1:2">
      <c r="A8937" s="225" t="s">
        <v>17689</v>
      </c>
      <c r="B8937" s="225" t="s">
        <v>17690</v>
      </c>
    </row>
    <row r="8938" spans="1:2">
      <c r="A8938" s="225" t="s">
        <v>17697</v>
      </c>
      <c r="B8938" s="225" t="s">
        <v>17084</v>
      </c>
    </row>
    <row r="8939" spans="1:2">
      <c r="A8939" s="225" t="s">
        <v>17698</v>
      </c>
      <c r="B8939" s="225" t="s">
        <v>17699</v>
      </c>
    </row>
    <row r="8940" spans="1:2">
      <c r="A8940" s="225" t="s">
        <v>17700</v>
      </c>
      <c r="B8940" s="225" t="s">
        <v>17701</v>
      </c>
    </row>
    <row r="8941" spans="1:2">
      <c r="A8941" s="225" t="s">
        <v>17702</v>
      </c>
      <c r="B8941" s="225" t="s">
        <v>17703</v>
      </c>
    </row>
    <row r="8942" spans="1:2">
      <c r="A8942" s="225" t="s">
        <v>17704</v>
      </c>
      <c r="B8942" s="225" t="s">
        <v>17705</v>
      </c>
    </row>
    <row r="8943" spans="1:2">
      <c r="A8943" s="225" t="s">
        <v>17706</v>
      </c>
      <c r="B8943" s="225" t="s">
        <v>16232</v>
      </c>
    </row>
    <row r="8944" spans="1:2">
      <c r="A8944" s="225" t="s">
        <v>17707</v>
      </c>
      <c r="B8944" s="225" t="s">
        <v>17708</v>
      </c>
    </row>
    <row r="8945" spans="1:2">
      <c r="A8945" s="225" t="s">
        <v>17709</v>
      </c>
      <c r="B8945" s="225" t="s">
        <v>17710</v>
      </c>
    </row>
    <row r="8946" spans="1:2">
      <c r="A8946" s="225" t="s">
        <v>17715</v>
      </c>
      <c r="B8946" s="225" t="s">
        <v>17690</v>
      </c>
    </row>
    <row r="8947" spans="1:2">
      <c r="A8947" s="225" t="s">
        <v>17717</v>
      </c>
      <c r="B8947" s="225" t="s">
        <v>17718</v>
      </c>
    </row>
    <row r="8948" spans="1:2">
      <c r="A8948" s="225" t="s">
        <v>17719</v>
      </c>
      <c r="B8948" s="225" t="s">
        <v>17720</v>
      </c>
    </row>
    <row r="8949" spans="1:2">
      <c r="A8949" s="225" t="s">
        <v>17721</v>
      </c>
      <c r="B8949" s="225" t="s">
        <v>17722</v>
      </c>
    </row>
    <row r="8950" spans="1:2">
      <c r="A8950" s="225" t="s">
        <v>17723</v>
      </c>
      <c r="B8950" s="225" t="s">
        <v>17724</v>
      </c>
    </row>
    <row r="8951" spans="1:2">
      <c r="A8951" s="225" t="s">
        <v>17725</v>
      </c>
      <c r="B8951" s="225" t="s">
        <v>17726</v>
      </c>
    </row>
    <row r="8952" spans="1:2">
      <c r="A8952" s="225" t="s">
        <v>17731</v>
      </c>
      <c r="B8952" s="225" t="s">
        <v>17732</v>
      </c>
    </row>
    <row r="8953" spans="1:2">
      <c r="A8953" s="225" t="s">
        <v>17734</v>
      </c>
      <c r="B8953" s="225" t="s">
        <v>17735</v>
      </c>
    </row>
    <row r="8954" spans="1:2">
      <c r="A8954" s="225" t="s">
        <v>17736</v>
      </c>
      <c r="B8954" s="225" t="s">
        <v>17737</v>
      </c>
    </row>
    <row r="8955" spans="1:2">
      <c r="A8955" s="225" t="s">
        <v>17738</v>
      </c>
      <c r="B8955" s="225" t="s">
        <v>17739</v>
      </c>
    </row>
    <row r="8956" spans="1:2">
      <c r="A8956" s="225" t="s">
        <v>17740</v>
      </c>
      <c r="B8956" s="225" t="s">
        <v>17741</v>
      </c>
    </row>
    <row r="8957" spans="1:2">
      <c r="A8957" s="225" t="s">
        <v>17742</v>
      </c>
      <c r="B8957" s="225" t="s">
        <v>17743</v>
      </c>
    </row>
    <row r="8958" spans="1:2">
      <c r="A8958" s="225" t="s">
        <v>17744</v>
      </c>
      <c r="B8958" s="225" t="s">
        <v>17745</v>
      </c>
    </row>
    <row r="8959" spans="1:2">
      <c r="A8959" s="225" t="s">
        <v>17754</v>
      </c>
      <c r="B8959" s="225" t="s">
        <v>17755</v>
      </c>
    </row>
    <row r="8960" spans="1:2">
      <c r="A8960" s="225" t="s">
        <v>17756</v>
      </c>
      <c r="B8960" s="225" t="s">
        <v>17757</v>
      </c>
    </row>
    <row r="8961" spans="1:2">
      <c r="A8961" s="225" t="s">
        <v>17758</v>
      </c>
      <c r="B8961" s="225" t="s">
        <v>17759</v>
      </c>
    </row>
    <row r="8962" spans="1:2">
      <c r="A8962" s="225" t="s">
        <v>17760</v>
      </c>
      <c r="B8962" s="225" t="s">
        <v>17761</v>
      </c>
    </row>
    <row r="8963" spans="1:2">
      <c r="A8963" s="225" t="s">
        <v>17762</v>
      </c>
      <c r="B8963" s="225" t="s">
        <v>17763</v>
      </c>
    </row>
    <row r="8964" spans="1:2">
      <c r="A8964" s="225" t="s">
        <v>17764</v>
      </c>
      <c r="B8964" s="225" t="s">
        <v>17765</v>
      </c>
    </row>
    <row r="8965" spans="1:2">
      <c r="A8965" s="225" t="s">
        <v>17766</v>
      </c>
      <c r="B8965" s="225" t="s">
        <v>17767</v>
      </c>
    </row>
    <row r="8966" spans="1:2">
      <c r="A8966" s="225" t="s">
        <v>17768</v>
      </c>
      <c r="B8966" s="225" t="s">
        <v>17769</v>
      </c>
    </row>
    <row r="8967" spans="1:2">
      <c r="A8967" s="225" t="s">
        <v>17774</v>
      </c>
      <c r="B8967" s="225" t="s">
        <v>17775</v>
      </c>
    </row>
    <row r="8968" spans="1:2">
      <c r="A8968" s="225" t="s">
        <v>17776</v>
      </c>
      <c r="B8968" s="225" t="s">
        <v>17777</v>
      </c>
    </row>
    <row r="8969" spans="1:2">
      <c r="A8969" s="225" t="s">
        <v>17778</v>
      </c>
      <c r="B8969" s="225" t="s">
        <v>17779</v>
      </c>
    </row>
    <row r="8970" spans="1:2">
      <c r="A8970" s="225" t="s">
        <v>17781</v>
      </c>
      <c r="B8970" s="225" t="s">
        <v>17782</v>
      </c>
    </row>
    <row r="8971" spans="1:2">
      <c r="A8971" s="225" t="s">
        <v>17783</v>
      </c>
      <c r="B8971" s="225" t="s">
        <v>17784</v>
      </c>
    </row>
    <row r="8972" spans="1:2">
      <c r="A8972" s="225" t="s">
        <v>17785</v>
      </c>
      <c r="B8972" s="225" t="s">
        <v>17786</v>
      </c>
    </row>
    <row r="8973" spans="1:2">
      <c r="A8973" s="225" t="s">
        <v>17787</v>
      </c>
      <c r="B8973" s="225" t="s">
        <v>17788</v>
      </c>
    </row>
    <row r="8974" spans="1:2">
      <c r="A8974" s="225" t="s">
        <v>17789</v>
      </c>
      <c r="B8974" s="225" t="s">
        <v>17790</v>
      </c>
    </row>
    <row r="8975" spans="1:2">
      <c r="A8975" s="225" t="s">
        <v>17791</v>
      </c>
      <c r="B8975" s="225" t="s">
        <v>17790</v>
      </c>
    </row>
    <row r="8976" spans="1:2">
      <c r="A8976" s="225" t="s">
        <v>17792</v>
      </c>
      <c r="B8976" s="225" t="s">
        <v>17793</v>
      </c>
    </row>
    <row r="8977" spans="1:2">
      <c r="A8977" s="225" t="s">
        <v>17794</v>
      </c>
      <c r="B8977" s="225" t="s">
        <v>17795</v>
      </c>
    </row>
    <row r="8978" spans="1:2">
      <c r="A8978" s="225" t="s">
        <v>17796</v>
      </c>
      <c r="B8978" s="225" t="s">
        <v>17797</v>
      </c>
    </row>
    <row r="8979" spans="1:2">
      <c r="A8979" s="225" t="s">
        <v>17798</v>
      </c>
      <c r="B8979" s="225" t="s">
        <v>17799</v>
      </c>
    </row>
    <row r="8980" spans="1:2">
      <c r="A8980" s="225" t="s">
        <v>17802</v>
      </c>
      <c r="B8980" s="225" t="s">
        <v>17803</v>
      </c>
    </row>
    <row r="8981" spans="1:2">
      <c r="A8981" s="225" t="s">
        <v>17804</v>
      </c>
      <c r="B8981" s="225" t="s">
        <v>17805</v>
      </c>
    </row>
    <row r="8982" spans="1:2">
      <c r="A8982" s="225" t="s">
        <v>17806</v>
      </c>
      <c r="B8982" s="225" t="s">
        <v>17807</v>
      </c>
    </row>
    <row r="8983" spans="1:2">
      <c r="A8983" s="225" t="s">
        <v>17808</v>
      </c>
      <c r="B8983" s="225" t="s">
        <v>17809</v>
      </c>
    </row>
    <row r="8984" spans="1:2">
      <c r="A8984" s="225" t="s">
        <v>17810</v>
      </c>
      <c r="B8984" s="225" t="s">
        <v>17811</v>
      </c>
    </row>
    <row r="8985" spans="1:2">
      <c r="A8985" s="225" t="s">
        <v>17815</v>
      </c>
      <c r="B8985" s="225" t="s">
        <v>17816</v>
      </c>
    </row>
    <row r="8986" spans="1:2">
      <c r="A8986" s="225" t="s">
        <v>17824</v>
      </c>
      <c r="B8986" s="225" t="s">
        <v>17825</v>
      </c>
    </row>
    <row r="8987" spans="1:2">
      <c r="A8987" s="225" t="s">
        <v>17834</v>
      </c>
      <c r="B8987" s="225" t="s">
        <v>17835</v>
      </c>
    </row>
    <row r="8988" spans="1:2">
      <c r="A8988" s="225" t="s">
        <v>17836</v>
      </c>
      <c r="B8988" s="225" t="s">
        <v>17837</v>
      </c>
    </row>
    <row r="8989" spans="1:2">
      <c r="A8989" s="225" t="s">
        <v>17841</v>
      </c>
      <c r="B8989" s="225" t="s">
        <v>16783</v>
      </c>
    </row>
    <row r="8990" spans="1:2">
      <c r="A8990" s="225" t="s">
        <v>17843</v>
      </c>
      <c r="B8990" s="225" t="s">
        <v>17844</v>
      </c>
    </row>
    <row r="8991" spans="1:2">
      <c r="A8991" s="225" t="s">
        <v>17845</v>
      </c>
      <c r="B8991" s="225" t="s">
        <v>17846</v>
      </c>
    </row>
    <row r="8992" spans="1:2">
      <c r="A8992" s="225" t="s">
        <v>17848</v>
      </c>
      <c r="B8992" s="225" t="s">
        <v>17849</v>
      </c>
    </row>
    <row r="8993" spans="1:2">
      <c r="A8993" s="225" t="s">
        <v>17850</v>
      </c>
      <c r="B8993" s="225" t="s">
        <v>17337</v>
      </c>
    </row>
    <row r="8994" spans="1:2">
      <c r="A8994" s="225" t="s">
        <v>17853</v>
      </c>
      <c r="B8994" s="225" t="s">
        <v>17342</v>
      </c>
    </row>
    <row r="8995" spans="1:2">
      <c r="A8995" s="225" t="s">
        <v>17854</v>
      </c>
      <c r="B8995" s="225" t="s">
        <v>17855</v>
      </c>
    </row>
    <row r="8996" spans="1:2">
      <c r="A8996" s="225" t="s">
        <v>17858</v>
      </c>
      <c r="B8996" s="225" t="s">
        <v>4168</v>
      </c>
    </row>
    <row r="8997" spans="1:2">
      <c r="A8997" s="225" t="s">
        <v>17866</v>
      </c>
      <c r="B8997" s="225" t="s">
        <v>17825</v>
      </c>
    </row>
    <row r="8998" spans="1:2">
      <c r="A8998" s="225" t="s">
        <v>17874</v>
      </c>
      <c r="B8998" s="225" t="s">
        <v>17816</v>
      </c>
    </row>
    <row r="8999" spans="1:2">
      <c r="A8999" s="225" t="s">
        <v>17875</v>
      </c>
      <c r="B8999" s="225" t="s">
        <v>4168</v>
      </c>
    </row>
    <row r="9000" spans="1:2">
      <c r="A9000" s="225" t="s">
        <v>17878</v>
      </c>
      <c r="B9000" s="225" t="s">
        <v>17855</v>
      </c>
    </row>
    <row r="9001" spans="1:2">
      <c r="A9001" s="225" t="s">
        <v>17879</v>
      </c>
      <c r="B9001" s="225" t="s">
        <v>17880</v>
      </c>
    </row>
    <row r="9002" spans="1:2">
      <c r="A9002" s="225" t="s">
        <v>17883</v>
      </c>
      <c r="B9002" s="225" t="s">
        <v>17849</v>
      </c>
    </row>
    <row r="9003" spans="1:2">
      <c r="A9003" s="225" t="s">
        <v>17886</v>
      </c>
      <c r="B9003" s="225" t="s">
        <v>17835</v>
      </c>
    </row>
    <row r="9004" spans="1:2">
      <c r="A9004" s="225" t="s">
        <v>17887</v>
      </c>
      <c r="B9004" s="225" t="s">
        <v>17888</v>
      </c>
    </row>
    <row r="9005" spans="1:2">
      <c r="A9005" s="225" t="s">
        <v>17892</v>
      </c>
      <c r="B9005" s="225" t="s">
        <v>16783</v>
      </c>
    </row>
    <row r="9006" spans="1:2">
      <c r="A9006" s="225" t="s">
        <v>17894</v>
      </c>
      <c r="B9006" s="225" t="s">
        <v>17844</v>
      </c>
    </row>
    <row r="9007" spans="1:2">
      <c r="A9007" s="225" t="s">
        <v>17895</v>
      </c>
      <c r="B9007" s="225" t="s">
        <v>17846</v>
      </c>
    </row>
    <row r="9008" spans="1:2">
      <c r="A9008" s="225" t="s">
        <v>17898</v>
      </c>
      <c r="B9008" s="225" t="s">
        <v>17899</v>
      </c>
    </row>
    <row r="9009" spans="1:2">
      <c r="A9009" s="225" t="s">
        <v>17900</v>
      </c>
      <c r="B9009" s="225" t="s">
        <v>17901</v>
      </c>
    </row>
    <row r="9010" spans="1:2">
      <c r="A9010" s="225" t="s">
        <v>17902</v>
      </c>
      <c r="B9010" s="225" t="s">
        <v>17903</v>
      </c>
    </row>
    <row r="9011" spans="1:2">
      <c r="A9011" s="225" t="s">
        <v>17904</v>
      </c>
      <c r="B9011" s="225" t="s">
        <v>17905</v>
      </c>
    </row>
    <row r="9012" spans="1:2">
      <c r="A9012" s="225" t="s">
        <v>17906</v>
      </c>
      <c r="B9012" s="225" t="s">
        <v>17907</v>
      </c>
    </row>
    <row r="9013" spans="1:2">
      <c r="A9013" s="225" t="s">
        <v>17908</v>
      </c>
      <c r="B9013" s="225" t="s">
        <v>17909</v>
      </c>
    </row>
    <row r="9014" spans="1:2">
      <c r="A9014" s="225" t="s">
        <v>17910</v>
      </c>
      <c r="B9014" s="225" t="s">
        <v>17911</v>
      </c>
    </row>
    <row r="9015" spans="1:2">
      <c r="A9015" s="225" t="s">
        <v>17912</v>
      </c>
      <c r="B9015" s="225" t="s">
        <v>14900</v>
      </c>
    </row>
    <row r="9016" spans="1:2">
      <c r="A9016" s="225" t="s">
        <v>17914</v>
      </c>
      <c r="B9016" s="225" t="s">
        <v>17899</v>
      </c>
    </row>
    <row r="9017" spans="1:2">
      <c r="A9017" s="225" t="s">
        <v>17915</v>
      </c>
      <c r="B9017" s="225" t="s">
        <v>17901</v>
      </c>
    </row>
    <row r="9018" spans="1:2">
      <c r="A9018" s="225" t="s">
        <v>17917</v>
      </c>
      <c r="B9018" s="225" t="s">
        <v>17903</v>
      </c>
    </row>
    <row r="9019" spans="1:2">
      <c r="A9019" s="225" t="s">
        <v>17918</v>
      </c>
      <c r="B9019" s="225" t="s">
        <v>17905</v>
      </c>
    </row>
    <row r="9020" spans="1:2">
      <c r="A9020" s="225" t="s">
        <v>18009</v>
      </c>
      <c r="B9020" s="225" t="s">
        <v>18010</v>
      </c>
    </row>
    <row r="9021" spans="1:2">
      <c r="A9021" s="225" t="s">
        <v>18013</v>
      </c>
      <c r="B9021" s="225" t="s">
        <v>18014</v>
      </c>
    </row>
    <row r="9022" spans="1:2">
      <c r="A9022" s="225" t="s">
        <v>18015</v>
      </c>
      <c r="B9022" s="225" t="s">
        <v>18016</v>
      </c>
    </row>
    <row r="9023" spans="1:2">
      <c r="A9023" s="225" t="s">
        <v>18019</v>
      </c>
      <c r="B9023" s="225" t="s">
        <v>18020</v>
      </c>
    </row>
    <row r="9024" spans="1:2">
      <c r="A9024" s="225" t="s">
        <v>18022</v>
      </c>
      <c r="B9024" s="225" t="s">
        <v>18023</v>
      </c>
    </row>
    <row r="9025" spans="1:2">
      <c r="A9025" s="225" t="s">
        <v>18027</v>
      </c>
      <c r="B9025" s="225" t="s">
        <v>18020</v>
      </c>
    </row>
    <row r="9026" spans="1:2">
      <c r="A9026" s="225" t="s">
        <v>18029</v>
      </c>
      <c r="B9026" s="225" t="s">
        <v>18016</v>
      </c>
    </row>
    <row r="9027" spans="1:2">
      <c r="A9027" s="225" t="s">
        <v>18030</v>
      </c>
      <c r="B9027" s="225" t="s">
        <v>18014</v>
      </c>
    </row>
    <row r="9028" spans="1:2">
      <c r="A9028" s="225" t="s">
        <v>18034</v>
      </c>
      <c r="B9028" s="225" t="s">
        <v>16117</v>
      </c>
    </row>
    <row r="9029" spans="1:2">
      <c r="A9029" s="225" t="s">
        <v>18038</v>
      </c>
      <c r="B9029" s="225" t="s">
        <v>18039</v>
      </c>
    </row>
    <row r="9030" spans="1:2">
      <c r="A9030" s="225" t="s">
        <v>18040</v>
      </c>
      <c r="B9030" s="225" t="s">
        <v>18041</v>
      </c>
    </row>
    <row r="9031" spans="1:2">
      <c r="A9031" s="225" t="s">
        <v>18043</v>
      </c>
      <c r="B9031" s="225" t="s">
        <v>18044</v>
      </c>
    </row>
    <row r="9032" spans="1:2">
      <c r="A9032" s="225" t="s">
        <v>18047</v>
      </c>
      <c r="B9032" s="225" t="s">
        <v>18048</v>
      </c>
    </row>
    <row r="9033" spans="1:2">
      <c r="A9033" s="225" t="s">
        <v>18050</v>
      </c>
      <c r="B9033" s="225" t="s">
        <v>17439</v>
      </c>
    </row>
    <row r="9034" spans="1:2">
      <c r="A9034" s="225" t="s">
        <v>18052</v>
      </c>
      <c r="B9034" s="225" t="s">
        <v>17437</v>
      </c>
    </row>
    <row r="9035" spans="1:2">
      <c r="A9035" s="225" t="s">
        <v>18053</v>
      </c>
      <c r="B9035" s="225" t="s">
        <v>18054</v>
      </c>
    </row>
    <row r="9036" spans="1:2">
      <c r="A9036" s="225" t="s">
        <v>18055</v>
      </c>
      <c r="B9036" s="225" t="s">
        <v>18056</v>
      </c>
    </row>
    <row r="9037" spans="1:2">
      <c r="A9037" s="225" t="s">
        <v>18057</v>
      </c>
      <c r="B9037" s="225" t="s">
        <v>18058</v>
      </c>
    </row>
    <row r="9038" spans="1:2">
      <c r="A9038" s="225" t="s">
        <v>18059</v>
      </c>
      <c r="B9038" s="225" t="s">
        <v>18060</v>
      </c>
    </row>
    <row r="9039" spans="1:2">
      <c r="A9039" s="225" t="s">
        <v>18062</v>
      </c>
      <c r="B9039" s="225" t="s">
        <v>17254</v>
      </c>
    </row>
    <row r="9040" spans="1:2">
      <c r="A9040" s="225" t="s">
        <v>18077</v>
      </c>
      <c r="B9040" s="225" t="s">
        <v>17395</v>
      </c>
    </row>
    <row r="9041" spans="1:2">
      <c r="A9041" s="225" t="s">
        <v>18078</v>
      </c>
      <c r="B9041" s="225" t="s">
        <v>17393</v>
      </c>
    </row>
    <row r="9042" spans="1:2">
      <c r="A9042" s="225" t="s">
        <v>18081</v>
      </c>
      <c r="B9042" s="225" t="s">
        <v>10791</v>
      </c>
    </row>
    <row r="9043" spans="1:2">
      <c r="A9043" s="225" t="s">
        <v>18082</v>
      </c>
      <c r="B9043" s="225" t="s">
        <v>10793</v>
      </c>
    </row>
    <row r="9044" spans="1:2">
      <c r="A9044" s="225" t="s">
        <v>18084</v>
      </c>
      <c r="B9044" s="225" t="s">
        <v>18085</v>
      </c>
    </row>
    <row r="9045" spans="1:2">
      <c r="A9045" s="225" t="s">
        <v>18086</v>
      </c>
      <c r="B9045" s="225" t="s">
        <v>1670</v>
      </c>
    </row>
    <row r="9046" spans="1:2">
      <c r="A9046" s="225" t="s">
        <v>18087</v>
      </c>
      <c r="B9046" s="225" t="s">
        <v>18088</v>
      </c>
    </row>
    <row r="9047" spans="1:2">
      <c r="A9047" s="225" t="s">
        <v>18089</v>
      </c>
      <c r="B9047" s="225" t="s">
        <v>17391</v>
      </c>
    </row>
    <row r="9048" spans="1:2">
      <c r="A9048" s="225" t="s">
        <v>18091</v>
      </c>
      <c r="B9048" s="225" t="s">
        <v>18092</v>
      </c>
    </row>
    <row r="9049" spans="1:2">
      <c r="A9049" s="225" t="s">
        <v>18093</v>
      </c>
      <c r="B9049" s="225" t="s">
        <v>18094</v>
      </c>
    </row>
    <row r="9050" spans="1:2">
      <c r="A9050" s="225" t="s">
        <v>18097</v>
      </c>
      <c r="B9050" s="225" t="s">
        <v>18098</v>
      </c>
    </row>
    <row r="9051" spans="1:2">
      <c r="A9051" s="225" t="s">
        <v>18103</v>
      </c>
      <c r="B9051" s="225" t="s">
        <v>17237</v>
      </c>
    </row>
    <row r="9052" spans="1:2">
      <c r="A9052" s="225" t="s">
        <v>18111</v>
      </c>
      <c r="B9052" s="225" t="s">
        <v>16330</v>
      </c>
    </row>
    <row r="9053" spans="1:2">
      <c r="A9053" s="225" t="s">
        <v>18120</v>
      </c>
      <c r="B9053" s="225" t="s">
        <v>17318</v>
      </c>
    </row>
    <row r="9054" spans="1:2">
      <c r="A9054" s="225" t="s">
        <v>18121</v>
      </c>
      <c r="B9054" s="225" t="s">
        <v>15029</v>
      </c>
    </row>
    <row r="9055" spans="1:2">
      <c r="A9055" s="225" t="s">
        <v>18125</v>
      </c>
      <c r="B9055" s="225" t="s">
        <v>16721</v>
      </c>
    </row>
    <row r="9056" spans="1:2">
      <c r="A9056" s="225" t="s">
        <v>18127</v>
      </c>
      <c r="B9056" s="225" t="s">
        <v>17329</v>
      </c>
    </row>
    <row r="9057" spans="1:2">
      <c r="A9057" s="225" t="s">
        <v>18128</v>
      </c>
      <c r="B9057" s="225" t="s">
        <v>17331</v>
      </c>
    </row>
    <row r="9058" spans="1:2">
      <c r="A9058" s="225" t="s">
        <v>18130</v>
      </c>
      <c r="B9058" s="225" t="s">
        <v>17335</v>
      </c>
    </row>
    <row r="9059" spans="1:2">
      <c r="A9059" s="225" t="s">
        <v>18133</v>
      </c>
      <c r="B9059" s="225" t="s">
        <v>17880</v>
      </c>
    </row>
    <row r="9060" spans="1:2">
      <c r="A9060" s="225" t="s">
        <v>18134</v>
      </c>
      <c r="B9060" s="225" t="s">
        <v>17344</v>
      </c>
    </row>
    <row r="9061" spans="1:2">
      <c r="A9061" s="225" t="s">
        <v>18138</v>
      </c>
      <c r="B9061" s="225" t="s">
        <v>17351</v>
      </c>
    </row>
    <row r="9062" spans="1:2">
      <c r="A9062" s="225" t="s">
        <v>18139</v>
      </c>
      <c r="B9062" s="225" t="s">
        <v>17353</v>
      </c>
    </row>
    <row r="9063" spans="1:2">
      <c r="A9063" s="225" t="s">
        <v>18140</v>
      </c>
      <c r="B9063" s="225" t="s">
        <v>17355</v>
      </c>
    </row>
    <row r="9064" spans="1:2">
      <c r="A9064" s="225" t="s">
        <v>18141</v>
      </c>
      <c r="B9064" s="225" t="s">
        <v>17363</v>
      </c>
    </row>
    <row r="9065" spans="1:2">
      <c r="A9065" s="225" t="s">
        <v>18142</v>
      </c>
      <c r="B9065" s="225" t="s">
        <v>17367</v>
      </c>
    </row>
    <row r="9066" spans="1:2">
      <c r="A9066" s="225" t="s">
        <v>18143</v>
      </c>
      <c r="B9066" s="225" t="s">
        <v>17357</v>
      </c>
    </row>
    <row r="9067" spans="1:2">
      <c r="A9067" s="225" t="s">
        <v>18145</v>
      </c>
      <c r="B9067" s="225" t="s">
        <v>17509</v>
      </c>
    </row>
    <row r="9068" spans="1:2">
      <c r="A9068" s="225" t="s">
        <v>18146</v>
      </c>
      <c r="B9068" s="225" t="s">
        <v>17507</v>
      </c>
    </row>
    <row r="9069" spans="1:2">
      <c r="A9069" s="225" t="s">
        <v>18147</v>
      </c>
      <c r="B9069" s="225" t="s">
        <v>17505</v>
      </c>
    </row>
    <row r="9070" spans="1:2">
      <c r="A9070" s="225" t="s">
        <v>18148</v>
      </c>
      <c r="B9070" s="225" t="s">
        <v>17497</v>
      </c>
    </row>
    <row r="9071" spans="1:2">
      <c r="A9071" s="225" t="s">
        <v>18149</v>
      </c>
      <c r="B9071" s="225" t="s">
        <v>17513</v>
      </c>
    </row>
    <row r="9072" spans="1:2">
      <c r="A9072" s="225" t="s">
        <v>18150</v>
      </c>
      <c r="B9072" s="225" t="s">
        <v>18151</v>
      </c>
    </row>
    <row r="9073" spans="1:2">
      <c r="A9073" s="225" t="s">
        <v>18152</v>
      </c>
      <c r="B9073" s="225" t="s">
        <v>17499</v>
      </c>
    </row>
    <row r="9074" spans="1:2">
      <c r="A9074" s="225" t="s">
        <v>18153</v>
      </c>
      <c r="B9074" s="225" t="s">
        <v>17501</v>
      </c>
    </row>
    <row r="9075" spans="1:2">
      <c r="A9075" s="225" t="s">
        <v>18154</v>
      </c>
      <c r="B9075" s="225" t="s">
        <v>17359</v>
      </c>
    </row>
    <row r="9076" spans="1:2">
      <c r="A9076" s="225" t="s">
        <v>18155</v>
      </c>
      <c r="B9076" s="225" t="s">
        <v>17515</v>
      </c>
    </row>
    <row r="9077" spans="1:2">
      <c r="A9077" s="225" t="s">
        <v>18156</v>
      </c>
      <c r="B9077" s="225" t="s">
        <v>17517</v>
      </c>
    </row>
    <row r="9078" spans="1:2">
      <c r="A9078" s="225" t="s">
        <v>18159</v>
      </c>
      <c r="B9078" s="225" t="s">
        <v>17521</v>
      </c>
    </row>
    <row r="9079" spans="1:2">
      <c r="A9079" s="225" t="s">
        <v>18160</v>
      </c>
      <c r="B9079" s="225" t="s">
        <v>17523</v>
      </c>
    </row>
    <row r="9080" spans="1:2">
      <c r="A9080" s="225" t="s">
        <v>18161</v>
      </c>
      <c r="B9080" s="225" t="s">
        <v>16298</v>
      </c>
    </row>
    <row r="9081" spans="1:2">
      <c r="A9081" s="225" t="s">
        <v>18162</v>
      </c>
      <c r="B9081" s="225" t="s">
        <v>17526</v>
      </c>
    </row>
    <row r="9082" spans="1:2">
      <c r="A9082" s="225" t="s">
        <v>18163</v>
      </c>
      <c r="B9082" s="225" t="s">
        <v>18164</v>
      </c>
    </row>
    <row r="9083" spans="1:2">
      <c r="A9083" s="225" t="s">
        <v>18165</v>
      </c>
      <c r="B9083" s="225" t="s">
        <v>18166</v>
      </c>
    </row>
    <row r="9084" spans="1:2">
      <c r="A9084" s="225" t="s">
        <v>18167</v>
      </c>
      <c r="B9084" s="225" t="s">
        <v>17539</v>
      </c>
    </row>
    <row r="9085" spans="1:2">
      <c r="A9085" s="225" t="s">
        <v>18168</v>
      </c>
      <c r="B9085" s="225" t="s">
        <v>17541</v>
      </c>
    </row>
    <row r="9086" spans="1:2">
      <c r="A9086" s="225" t="s">
        <v>18169</v>
      </c>
      <c r="B9086" s="225" t="s">
        <v>17537</v>
      </c>
    </row>
    <row r="9087" spans="1:2">
      <c r="A9087" s="225" t="s">
        <v>18170</v>
      </c>
      <c r="B9087" s="225" t="s">
        <v>17535</v>
      </c>
    </row>
    <row r="9088" spans="1:2">
      <c r="A9088" s="225" t="s">
        <v>18171</v>
      </c>
      <c r="B9088" s="225" t="s">
        <v>17533</v>
      </c>
    </row>
    <row r="9089" spans="1:2">
      <c r="A9089" s="225" t="s">
        <v>18172</v>
      </c>
      <c r="B9089" s="225" t="s">
        <v>17543</v>
      </c>
    </row>
    <row r="9090" spans="1:2">
      <c r="A9090" s="225" t="s">
        <v>18173</v>
      </c>
      <c r="B9090" s="225" t="s">
        <v>17531</v>
      </c>
    </row>
    <row r="9091" spans="1:2">
      <c r="A9091" s="225" t="s">
        <v>18175</v>
      </c>
      <c r="B9091" s="225" t="s">
        <v>16307</v>
      </c>
    </row>
    <row r="9092" spans="1:2">
      <c r="A9092" s="225" t="s">
        <v>18176</v>
      </c>
      <c r="B9092" s="225" t="s">
        <v>17546</v>
      </c>
    </row>
    <row r="9093" spans="1:2">
      <c r="A9093" s="225" t="s">
        <v>18177</v>
      </c>
      <c r="B9093" s="225" t="s">
        <v>18166</v>
      </c>
    </row>
    <row r="9094" spans="1:2">
      <c r="A9094" s="225" t="s">
        <v>18178</v>
      </c>
      <c r="B9094" s="225" t="s">
        <v>18164</v>
      </c>
    </row>
    <row r="9095" spans="1:2">
      <c r="A9095" s="225" t="s">
        <v>18179</v>
      </c>
      <c r="B9095" s="225" t="s">
        <v>18180</v>
      </c>
    </row>
    <row r="9096" spans="1:2">
      <c r="A9096" s="225" t="s">
        <v>18183</v>
      </c>
      <c r="B9096" s="225" t="s">
        <v>17554</v>
      </c>
    </row>
    <row r="9097" spans="1:2">
      <c r="A9097" s="225" t="s">
        <v>18185</v>
      </c>
      <c r="B9097" s="225" t="s">
        <v>18186</v>
      </c>
    </row>
    <row r="9098" spans="1:2">
      <c r="A9098" s="225" t="s">
        <v>18187</v>
      </c>
      <c r="B9098" s="225" t="s">
        <v>17561</v>
      </c>
    </row>
    <row r="9099" spans="1:2">
      <c r="A9099" s="225" t="s">
        <v>18188</v>
      </c>
      <c r="B9099" s="225" t="s">
        <v>17557</v>
      </c>
    </row>
    <row r="9100" spans="1:2">
      <c r="A9100" s="225" t="s">
        <v>18189</v>
      </c>
      <c r="B9100" s="225" t="s">
        <v>18180</v>
      </c>
    </row>
    <row r="9101" spans="1:2">
      <c r="A9101" s="225" t="s">
        <v>18190</v>
      </c>
      <c r="B9101" s="225" t="s">
        <v>17567</v>
      </c>
    </row>
    <row r="9102" spans="1:2">
      <c r="A9102" s="225" t="s">
        <v>18191</v>
      </c>
      <c r="B9102" s="225" t="s">
        <v>17565</v>
      </c>
    </row>
    <row r="9103" spans="1:2">
      <c r="A9103" s="225" t="s">
        <v>18192</v>
      </c>
      <c r="B9103" s="225" t="s">
        <v>17563</v>
      </c>
    </row>
    <row r="9104" spans="1:2">
      <c r="A9104" s="225" t="s">
        <v>18198</v>
      </c>
      <c r="B9104" s="225" t="s">
        <v>17575</v>
      </c>
    </row>
    <row r="9105" spans="1:2">
      <c r="A9105" s="225" t="s">
        <v>18199</v>
      </c>
      <c r="B9105" s="225" t="s">
        <v>17577</v>
      </c>
    </row>
    <row r="9106" spans="1:2">
      <c r="A9106" s="225" t="s">
        <v>18202</v>
      </c>
      <c r="B9106" s="225" t="s">
        <v>17579</v>
      </c>
    </row>
    <row r="9107" spans="1:2">
      <c r="A9107" s="225" t="s">
        <v>18203</v>
      </c>
      <c r="B9107" s="225" t="s">
        <v>17584</v>
      </c>
    </row>
    <row r="9108" spans="1:2">
      <c r="A9108" s="225" t="s">
        <v>18204</v>
      </c>
      <c r="B9108" s="225" t="s">
        <v>17616</v>
      </c>
    </row>
    <row r="9109" spans="1:2">
      <c r="A9109" s="225" t="s">
        <v>18205</v>
      </c>
      <c r="B9109" s="225" t="s">
        <v>17614</v>
      </c>
    </row>
    <row r="9110" spans="1:2">
      <c r="A9110" s="225" t="s">
        <v>18206</v>
      </c>
      <c r="B9110" s="225" t="s">
        <v>17612</v>
      </c>
    </row>
    <row r="9111" spans="1:2">
      <c r="A9111" s="225" t="s">
        <v>18207</v>
      </c>
      <c r="B9111" s="225" t="s">
        <v>17610</v>
      </c>
    </row>
    <row r="9112" spans="1:2">
      <c r="A9112" s="225" t="s">
        <v>18208</v>
      </c>
      <c r="B9112" s="225" t="s">
        <v>17608</v>
      </c>
    </row>
    <row r="9113" spans="1:2">
      <c r="A9113" s="225" t="s">
        <v>18209</v>
      </c>
      <c r="B9113" s="225" t="s">
        <v>17606</v>
      </c>
    </row>
    <row r="9114" spans="1:2">
      <c r="A9114" s="225" t="s">
        <v>18210</v>
      </c>
      <c r="B9114" s="225" t="s">
        <v>17618</v>
      </c>
    </row>
    <row r="9115" spans="1:2">
      <c r="A9115" s="225" t="s">
        <v>18211</v>
      </c>
      <c r="B9115" s="225" t="s">
        <v>17604</v>
      </c>
    </row>
    <row r="9116" spans="1:2">
      <c r="A9116" s="225" t="s">
        <v>18212</v>
      </c>
      <c r="B9116" s="225" t="s">
        <v>17602</v>
      </c>
    </row>
    <row r="9117" spans="1:2">
      <c r="A9117" s="225" t="s">
        <v>18213</v>
      </c>
      <c r="B9117" s="225" t="s">
        <v>17600</v>
      </c>
    </row>
    <row r="9118" spans="1:2">
      <c r="A9118" s="225" t="s">
        <v>18214</v>
      </c>
      <c r="B9118" s="225" t="s">
        <v>17598</v>
      </c>
    </row>
    <row r="9119" spans="1:2">
      <c r="A9119" s="225" t="s">
        <v>18215</v>
      </c>
      <c r="B9119" s="225" t="s">
        <v>17596</v>
      </c>
    </row>
    <row r="9120" spans="1:2">
      <c r="A9120" s="225" t="s">
        <v>18216</v>
      </c>
      <c r="B9120" s="225" t="s">
        <v>18217</v>
      </c>
    </row>
    <row r="9121" spans="1:2">
      <c r="A9121" s="225" t="s">
        <v>18218</v>
      </c>
      <c r="B9121" s="225" t="s">
        <v>18219</v>
      </c>
    </row>
    <row r="9122" spans="1:2">
      <c r="A9122" s="225" t="s">
        <v>18220</v>
      </c>
      <c r="B9122" s="225" t="s">
        <v>17620</v>
      </c>
    </row>
    <row r="9123" spans="1:2">
      <c r="A9123" s="225" t="s">
        <v>18221</v>
      </c>
      <c r="B9123" s="225" t="s">
        <v>17586</v>
      </c>
    </row>
    <row r="9124" spans="1:2">
      <c r="A9124" s="225" t="s">
        <v>18222</v>
      </c>
      <c r="B9124" s="225" t="s">
        <v>17622</v>
      </c>
    </row>
    <row r="9125" spans="1:2">
      <c r="A9125" s="225" t="s">
        <v>18223</v>
      </c>
      <c r="B9125" s="225" t="s">
        <v>17624</v>
      </c>
    </row>
    <row r="9126" spans="1:2">
      <c r="A9126" s="225" t="s">
        <v>18226</v>
      </c>
      <c r="B9126" s="225" t="s">
        <v>17628</v>
      </c>
    </row>
    <row r="9127" spans="1:2">
      <c r="A9127" s="225" t="s">
        <v>18227</v>
      </c>
      <c r="B9127" s="225" t="s">
        <v>17630</v>
      </c>
    </row>
    <row r="9128" spans="1:2">
      <c r="A9128" s="225" t="s">
        <v>18228</v>
      </c>
      <c r="B9128" s="225" t="s">
        <v>17632</v>
      </c>
    </row>
    <row r="9129" spans="1:2">
      <c r="A9129" s="225" t="s">
        <v>18229</v>
      </c>
      <c r="B9129" s="225" t="s">
        <v>17634</v>
      </c>
    </row>
    <row r="9130" spans="1:2">
      <c r="A9130" s="225" t="s">
        <v>18230</v>
      </c>
      <c r="B9130" s="225" t="s">
        <v>17636</v>
      </c>
    </row>
    <row r="9131" spans="1:2">
      <c r="A9131" s="225" t="s">
        <v>18231</v>
      </c>
      <c r="B9131" s="225" t="s">
        <v>18232</v>
      </c>
    </row>
    <row r="9132" spans="1:2">
      <c r="A9132" s="225" t="s">
        <v>18233</v>
      </c>
      <c r="B9132" s="225" t="s">
        <v>17644</v>
      </c>
    </row>
    <row r="9133" spans="1:2">
      <c r="A9133" s="225" t="s">
        <v>18234</v>
      </c>
      <c r="B9133" s="225" t="s">
        <v>17646</v>
      </c>
    </row>
    <row r="9134" spans="1:2">
      <c r="A9134" s="225" t="s">
        <v>18236</v>
      </c>
      <c r="B9134" s="225" t="s">
        <v>17648</v>
      </c>
    </row>
    <row r="9135" spans="1:2">
      <c r="A9135" s="225" t="s">
        <v>18237</v>
      </c>
      <c r="B9135" s="225" t="s">
        <v>17652</v>
      </c>
    </row>
    <row r="9136" spans="1:2">
      <c r="A9136" s="225" t="s">
        <v>18238</v>
      </c>
      <c r="B9136" s="225" t="s">
        <v>17660</v>
      </c>
    </row>
    <row r="9137" spans="1:2">
      <c r="A9137" s="225" t="s">
        <v>18239</v>
      </c>
      <c r="B9137" s="225" t="s">
        <v>17084</v>
      </c>
    </row>
    <row r="9138" spans="1:2">
      <c r="A9138" s="225" t="s">
        <v>18240</v>
      </c>
      <c r="B9138" s="225" t="s">
        <v>17688</v>
      </c>
    </row>
    <row r="9139" spans="1:2">
      <c r="A9139" s="225" t="s">
        <v>18241</v>
      </c>
      <c r="B9139" s="225" t="s">
        <v>17686</v>
      </c>
    </row>
    <row r="9140" spans="1:2">
      <c r="A9140" s="225" t="s">
        <v>18242</v>
      </c>
      <c r="B9140" s="225" t="s">
        <v>17684</v>
      </c>
    </row>
    <row r="9141" spans="1:2">
      <c r="A9141" s="225" t="s">
        <v>18243</v>
      </c>
      <c r="B9141" s="225" t="s">
        <v>17682</v>
      </c>
    </row>
    <row r="9142" spans="1:2">
      <c r="A9142" s="225" t="s">
        <v>18244</v>
      </c>
      <c r="B9142" s="225" t="s">
        <v>17680</v>
      </c>
    </row>
    <row r="9143" spans="1:2">
      <c r="A9143" s="225" t="s">
        <v>18245</v>
      </c>
      <c r="B9143" s="225" t="s">
        <v>17678</v>
      </c>
    </row>
    <row r="9144" spans="1:2">
      <c r="A9144" s="225" t="s">
        <v>18246</v>
      </c>
      <c r="B9144" s="225" t="s">
        <v>18247</v>
      </c>
    </row>
    <row r="9145" spans="1:2">
      <c r="A9145" s="225" t="s">
        <v>18248</v>
      </c>
      <c r="B9145" s="225" t="s">
        <v>17674</v>
      </c>
    </row>
    <row r="9146" spans="1:2">
      <c r="A9146" s="225" t="s">
        <v>18249</v>
      </c>
      <c r="B9146" s="225" t="s">
        <v>17672</v>
      </c>
    </row>
    <row r="9147" spans="1:2">
      <c r="A9147" s="225" t="s">
        <v>18250</v>
      </c>
      <c r="B9147" s="225" t="s">
        <v>17668</v>
      </c>
    </row>
    <row r="9148" spans="1:2">
      <c r="A9148" s="225" t="s">
        <v>18251</v>
      </c>
      <c r="B9148" s="225" t="s">
        <v>17666</v>
      </c>
    </row>
    <row r="9149" spans="1:2">
      <c r="A9149" s="225" t="s">
        <v>18252</v>
      </c>
      <c r="B9149" s="225" t="s">
        <v>16121</v>
      </c>
    </row>
    <row r="9150" spans="1:2">
      <c r="A9150" s="225" t="s">
        <v>18253</v>
      </c>
      <c r="B9150" s="225" t="s">
        <v>17664</v>
      </c>
    </row>
    <row r="9151" spans="1:2">
      <c r="A9151" s="225" t="s">
        <v>18258</v>
      </c>
      <c r="B9151" s="225" t="s">
        <v>17690</v>
      </c>
    </row>
    <row r="9152" spans="1:2">
      <c r="A9152" s="225" t="s">
        <v>18259</v>
      </c>
      <c r="B9152" s="225" t="s">
        <v>17662</v>
      </c>
    </row>
    <row r="9153" spans="1:2">
      <c r="A9153" s="225" t="s">
        <v>18260</v>
      </c>
      <c r="B9153" s="225" t="s">
        <v>17699</v>
      </c>
    </row>
    <row r="9154" spans="1:2">
      <c r="A9154" s="225" t="s">
        <v>18261</v>
      </c>
      <c r="B9154" s="225" t="s">
        <v>17701</v>
      </c>
    </row>
    <row r="9155" spans="1:2">
      <c r="A9155" s="225" t="s">
        <v>18262</v>
      </c>
      <c r="B9155" s="225" t="s">
        <v>17703</v>
      </c>
    </row>
    <row r="9156" spans="1:2">
      <c r="A9156" s="225" t="s">
        <v>18263</v>
      </c>
      <c r="B9156" s="225" t="s">
        <v>17705</v>
      </c>
    </row>
    <row r="9157" spans="1:2">
      <c r="A9157" s="225" t="s">
        <v>18264</v>
      </c>
      <c r="B9157" s="225" t="s">
        <v>16232</v>
      </c>
    </row>
    <row r="9158" spans="1:2">
      <c r="A9158" s="225" t="s">
        <v>18265</v>
      </c>
      <c r="B9158" s="225" t="s">
        <v>17708</v>
      </c>
    </row>
    <row r="9159" spans="1:2">
      <c r="A9159" s="225" t="s">
        <v>18266</v>
      </c>
      <c r="B9159" s="225" t="s">
        <v>16121</v>
      </c>
    </row>
    <row r="9160" spans="1:2">
      <c r="A9160" s="225" t="s">
        <v>18267</v>
      </c>
      <c r="B9160" s="225" t="s">
        <v>17710</v>
      </c>
    </row>
    <row r="9161" spans="1:2">
      <c r="A9161" s="225" t="s">
        <v>18272</v>
      </c>
      <c r="B9161" s="225" t="s">
        <v>17690</v>
      </c>
    </row>
    <row r="9162" spans="1:2">
      <c r="A9162" s="225" t="s">
        <v>18273</v>
      </c>
      <c r="B9162" s="225" t="s">
        <v>17732</v>
      </c>
    </row>
    <row r="9163" spans="1:2">
      <c r="A9163" s="225" t="s">
        <v>18274</v>
      </c>
      <c r="B9163" s="225" t="s">
        <v>17718</v>
      </c>
    </row>
    <row r="9164" spans="1:2">
      <c r="A9164" s="225" t="s">
        <v>18275</v>
      </c>
      <c r="B9164" s="225" t="s">
        <v>17720</v>
      </c>
    </row>
    <row r="9165" spans="1:2">
      <c r="A9165" s="225" t="s">
        <v>18276</v>
      </c>
      <c r="B9165" s="225" t="s">
        <v>17722</v>
      </c>
    </row>
    <row r="9166" spans="1:2">
      <c r="A9166" s="225" t="s">
        <v>18277</v>
      </c>
      <c r="B9166" s="225" t="s">
        <v>17724</v>
      </c>
    </row>
    <row r="9167" spans="1:2">
      <c r="A9167" s="225" t="s">
        <v>18282</v>
      </c>
      <c r="B9167" s="225" t="s">
        <v>17732</v>
      </c>
    </row>
    <row r="9168" spans="1:2">
      <c r="A9168" s="225" t="s">
        <v>18283</v>
      </c>
      <c r="B9168" s="225" t="s">
        <v>17741</v>
      </c>
    </row>
    <row r="9169" spans="1:2">
      <c r="A9169" s="225" t="s">
        <v>18284</v>
      </c>
      <c r="B9169" s="225" t="s">
        <v>17739</v>
      </c>
    </row>
    <row r="9170" spans="1:2">
      <c r="A9170" s="225" t="s">
        <v>18285</v>
      </c>
      <c r="B9170" s="225" t="s">
        <v>17745</v>
      </c>
    </row>
    <row r="9171" spans="1:2">
      <c r="A9171" s="225" t="s">
        <v>18286</v>
      </c>
      <c r="B9171" s="225" t="s">
        <v>17743</v>
      </c>
    </row>
    <row r="9172" spans="1:2">
      <c r="A9172" s="225" t="s">
        <v>18287</v>
      </c>
      <c r="B9172" s="225" t="s">
        <v>17735</v>
      </c>
    </row>
    <row r="9173" spans="1:2">
      <c r="A9173" s="225" t="s">
        <v>18288</v>
      </c>
      <c r="B9173" s="225" t="s">
        <v>17737</v>
      </c>
    </row>
    <row r="9174" spans="1:2">
      <c r="A9174" s="225" t="s">
        <v>18289</v>
      </c>
      <c r="B9174" s="225" t="s">
        <v>17726</v>
      </c>
    </row>
    <row r="9175" spans="1:2">
      <c r="A9175" s="225" t="s">
        <v>18295</v>
      </c>
      <c r="B9175" s="225" t="s">
        <v>17759</v>
      </c>
    </row>
    <row r="9176" spans="1:2">
      <c r="A9176" s="225" t="s">
        <v>18296</v>
      </c>
      <c r="B9176" s="225" t="s">
        <v>17757</v>
      </c>
    </row>
    <row r="9177" spans="1:2">
      <c r="A9177" s="225" t="s">
        <v>18297</v>
      </c>
      <c r="B9177" s="225" t="s">
        <v>17755</v>
      </c>
    </row>
    <row r="9178" spans="1:2">
      <c r="A9178" s="225" t="s">
        <v>18300</v>
      </c>
      <c r="B9178" s="225" t="s">
        <v>18301</v>
      </c>
    </row>
    <row r="9179" spans="1:2">
      <c r="A9179" s="225" t="s">
        <v>18302</v>
      </c>
      <c r="B9179" s="225" t="s">
        <v>17767</v>
      </c>
    </row>
    <row r="9180" spans="1:2">
      <c r="A9180" s="225" t="s">
        <v>18303</v>
      </c>
      <c r="B9180" s="225" t="s">
        <v>17765</v>
      </c>
    </row>
    <row r="9181" spans="1:2">
      <c r="A9181" s="225" t="s">
        <v>18304</v>
      </c>
      <c r="B9181" s="225" t="s">
        <v>17763</v>
      </c>
    </row>
    <row r="9182" spans="1:2">
      <c r="A9182" s="225" t="s">
        <v>18305</v>
      </c>
      <c r="B9182" s="225" t="s">
        <v>17761</v>
      </c>
    </row>
    <row r="9183" spans="1:2">
      <c r="A9183" s="225" t="s">
        <v>18307</v>
      </c>
      <c r="B9183" s="225" t="s">
        <v>17769</v>
      </c>
    </row>
    <row r="9184" spans="1:2">
      <c r="A9184" s="225" t="s">
        <v>18310</v>
      </c>
      <c r="B9184" s="225" t="s">
        <v>18311</v>
      </c>
    </row>
    <row r="9185" spans="1:2">
      <c r="A9185" s="225" t="s">
        <v>18313</v>
      </c>
      <c r="B9185" s="225" t="s">
        <v>18301</v>
      </c>
    </row>
    <row r="9186" spans="1:2">
      <c r="A9186" s="225" t="s">
        <v>18314</v>
      </c>
      <c r="B9186" s="225" t="s">
        <v>17775</v>
      </c>
    </row>
    <row r="9187" spans="1:2">
      <c r="A9187" s="225" t="s">
        <v>18315</v>
      </c>
      <c r="B9187" s="225" t="s">
        <v>17777</v>
      </c>
    </row>
    <row r="9188" spans="1:2">
      <c r="A9188" s="225" t="s">
        <v>18316</v>
      </c>
      <c r="B9188" s="225" t="s">
        <v>17779</v>
      </c>
    </row>
    <row r="9189" spans="1:2">
      <c r="A9189" s="225" t="s">
        <v>18318</v>
      </c>
      <c r="B9189" s="225" t="s">
        <v>18319</v>
      </c>
    </row>
    <row r="9190" spans="1:2">
      <c r="A9190" s="225" t="s">
        <v>18320</v>
      </c>
      <c r="B9190" s="225" t="s">
        <v>18321</v>
      </c>
    </row>
    <row r="9191" spans="1:2">
      <c r="A9191" s="225" t="s">
        <v>18322</v>
      </c>
      <c r="B9191" s="225" t="s">
        <v>17790</v>
      </c>
    </row>
    <row r="9192" spans="1:2">
      <c r="A9192" s="225" t="s">
        <v>18323</v>
      </c>
      <c r="B9192" s="225" t="s">
        <v>17788</v>
      </c>
    </row>
    <row r="9193" spans="1:2">
      <c r="A9193" s="225" t="s">
        <v>18324</v>
      </c>
      <c r="B9193" s="225" t="s">
        <v>17782</v>
      </c>
    </row>
    <row r="9194" spans="1:2">
      <c r="A9194" s="225" t="s">
        <v>18325</v>
      </c>
      <c r="B9194" s="225" t="s">
        <v>18326</v>
      </c>
    </row>
    <row r="9195" spans="1:2">
      <c r="A9195" s="225" t="s">
        <v>18327</v>
      </c>
      <c r="B9195" s="225" t="s">
        <v>17795</v>
      </c>
    </row>
    <row r="9196" spans="1:2">
      <c r="A9196" s="225" t="s">
        <v>18328</v>
      </c>
      <c r="B9196" s="225" t="s">
        <v>17797</v>
      </c>
    </row>
    <row r="9197" spans="1:2">
      <c r="A9197" s="225" t="s">
        <v>18329</v>
      </c>
      <c r="B9197" s="225" t="s">
        <v>17803</v>
      </c>
    </row>
    <row r="9198" spans="1:2">
      <c r="A9198" s="225" t="s">
        <v>18330</v>
      </c>
      <c r="B9198" s="225" t="s">
        <v>18331</v>
      </c>
    </row>
    <row r="9199" spans="1:2">
      <c r="A9199" s="225" t="s">
        <v>18332</v>
      </c>
      <c r="B9199" s="225" t="s">
        <v>17805</v>
      </c>
    </row>
    <row r="9200" spans="1:2">
      <c r="A9200" s="225" t="s">
        <v>18333</v>
      </c>
      <c r="B9200" s="225" t="s">
        <v>17807</v>
      </c>
    </row>
    <row r="9201" spans="1:2">
      <c r="A9201" s="225" t="s">
        <v>18334</v>
      </c>
      <c r="B9201" s="225" t="s">
        <v>17809</v>
      </c>
    </row>
    <row r="9202" spans="1:2">
      <c r="A9202" s="225" t="s">
        <v>18335</v>
      </c>
      <c r="B9202" s="225" t="s">
        <v>18336</v>
      </c>
    </row>
    <row r="9203" spans="1:2">
      <c r="A9203" s="225" t="s">
        <v>18337</v>
      </c>
      <c r="B9203" s="225" t="s">
        <v>17799</v>
      </c>
    </row>
    <row r="9204" spans="1:2">
      <c r="A9204" s="225" t="s">
        <v>18341</v>
      </c>
      <c r="B9204" s="225" t="s">
        <v>17909</v>
      </c>
    </row>
    <row r="9205" spans="1:2">
      <c r="A9205" s="225" t="s">
        <v>18342</v>
      </c>
      <c r="B9205" s="225" t="s">
        <v>17907</v>
      </c>
    </row>
    <row r="9206" spans="1:2">
      <c r="A9206" s="225" t="s">
        <v>18343</v>
      </c>
      <c r="B9206" s="225" t="s">
        <v>17905</v>
      </c>
    </row>
    <row r="9207" spans="1:2">
      <c r="A9207" s="225" t="s">
        <v>18344</v>
      </c>
      <c r="B9207" s="225" t="s">
        <v>17903</v>
      </c>
    </row>
    <row r="9208" spans="1:2">
      <c r="A9208" s="225" t="s">
        <v>18345</v>
      </c>
      <c r="B9208" s="225" t="s">
        <v>17901</v>
      </c>
    </row>
    <row r="9209" spans="1:2">
      <c r="A9209" s="225" t="s">
        <v>18346</v>
      </c>
      <c r="B9209" s="225" t="s">
        <v>17899</v>
      </c>
    </row>
    <row r="9210" spans="1:2">
      <c r="A9210" s="225" t="s">
        <v>18348</v>
      </c>
      <c r="B9210" s="225" t="s">
        <v>17901</v>
      </c>
    </row>
    <row r="9211" spans="1:2">
      <c r="A9211" s="225" t="s">
        <v>18350</v>
      </c>
      <c r="B9211" s="225" t="s">
        <v>17903</v>
      </c>
    </row>
    <row r="9212" spans="1:2">
      <c r="A9212" s="225" t="s">
        <v>18351</v>
      </c>
      <c r="B9212" s="225" t="s">
        <v>17905</v>
      </c>
    </row>
    <row r="9213" spans="1:2">
      <c r="A9213" s="225" t="s">
        <v>18352</v>
      </c>
      <c r="B9213" s="225" t="s">
        <v>17899</v>
      </c>
    </row>
    <row r="9214" spans="1:2">
      <c r="A9214" s="225" t="s">
        <v>18354</v>
      </c>
      <c r="B9214" s="225" t="s">
        <v>14900</v>
      </c>
    </row>
    <row r="9215" spans="1:2">
      <c r="A9215" s="225" t="s">
        <v>18372</v>
      </c>
      <c r="B9215" s="225" t="s">
        <v>16117</v>
      </c>
    </row>
    <row r="9216" spans="1:2">
      <c r="A9216" s="225" t="s">
        <v>18374</v>
      </c>
      <c r="B9216" s="225" t="s">
        <v>18041</v>
      </c>
    </row>
    <row r="9217" spans="1:2">
      <c r="A9217" s="225" t="s">
        <v>18376</v>
      </c>
      <c r="B9217" s="225" t="s">
        <v>18044</v>
      </c>
    </row>
    <row r="9218" spans="1:2">
      <c r="A9218" s="225" t="s">
        <v>18377</v>
      </c>
      <c r="B9218" s="225" t="s">
        <v>18039</v>
      </c>
    </row>
    <row r="9219" spans="1:2">
      <c r="A9219" s="225" t="s">
        <v>18381</v>
      </c>
      <c r="B9219" s="225" t="s">
        <v>18058</v>
      </c>
    </row>
    <row r="9220" spans="1:2">
      <c r="A9220" s="225" t="s">
        <v>18382</v>
      </c>
      <c r="B9220" s="225" t="s">
        <v>18383</v>
      </c>
    </row>
    <row r="9221" spans="1:2">
      <c r="A9221" s="225" t="s">
        <v>18385</v>
      </c>
      <c r="B9221" s="225" t="s">
        <v>18060</v>
      </c>
    </row>
    <row r="9222" spans="1:2">
      <c r="A9222" s="225" t="s">
        <v>18386</v>
      </c>
      <c r="B9222" s="225" t="s">
        <v>17456</v>
      </c>
    </row>
    <row r="9223" spans="1:2">
      <c r="A9223" s="225" t="s">
        <v>18388</v>
      </c>
      <c r="B9223" s="225" t="s">
        <v>17254</v>
      </c>
    </row>
    <row r="9224" spans="1:2">
      <c r="A9224" s="225" t="s">
        <v>18392</v>
      </c>
      <c r="B9224" s="225" t="s">
        <v>17449</v>
      </c>
    </row>
    <row r="9225" spans="1:2">
      <c r="A9225" s="225" t="s">
        <v>18403</v>
      </c>
      <c r="B9225" s="225" t="s">
        <v>17479</v>
      </c>
    </row>
    <row r="9226" spans="1:2">
      <c r="A9226" s="225" t="s">
        <v>18404</v>
      </c>
      <c r="B9226" s="225" t="s">
        <v>17477</v>
      </c>
    </row>
    <row r="9227" spans="1:2">
      <c r="A9227" s="225" t="s">
        <v>18406</v>
      </c>
      <c r="B9227" s="225" t="s">
        <v>10791</v>
      </c>
    </row>
    <row r="9228" spans="1:2">
      <c r="A9228" s="225" t="s">
        <v>18407</v>
      </c>
      <c r="B9228" s="225" t="s">
        <v>10793</v>
      </c>
    </row>
    <row r="9229" spans="1:2">
      <c r="A9229" s="225" t="s">
        <v>18408</v>
      </c>
      <c r="B9229" s="225" t="s">
        <v>18092</v>
      </c>
    </row>
    <row r="9230" spans="1:2">
      <c r="A9230" s="225" t="s">
        <v>18412</v>
      </c>
      <c r="B9230" s="225" t="s">
        <v>17475</v>
      </c>
    </row>
    <row r="9231" spans="1:2">
      <c r="A9231" s="225" t="s">
        <v>18413</v>
      </c>
      <c r="B9231" s="225" t="s">
        <v>1670</v>
      </c>
    </row>
    <row r="9232" spans="1:2">
      <c r="A9232" s="225" t="s">
        <v>18415</v>
      </c>
      <c r="B9232" s="225" t="s">
        <v>17167</v>
      </c>
    </row>
    <row r="9233" spans="1:2">
      <c r="A9233" s="225" t="s">
        <v>18416</v>
      </c>
      <c r="B9233" s="225" t="s">
        <v>18417</v>
      </c>
    </row>
    <row r="9234" spans="1:2">
      <c r="A9234" s="225" t="s">
        <v>18419</v>
      </c>
      <c r="B9234" s="225" t="s">
        <v>18420</v>
      </c>
    </row>
    <row r="9235" spans="1:2">
      <c r="A9235" s="225" t="s">
        <v>18421</v>
      </c>
      <c r="B9235" s="225" t="s">
        <v>18422</v>
      </c>
    </row>
    <row r="9236" spans="1:2">
      <c r="A9236" s="225" t="s">
        <v>18423</v>
      </c>
      <c r="B9236" s="225" t="s">
        <v>18424</v>
      </c>
    </row>
    <row r="9237" spans="1:2">
      <c r="A9237" s="225" t="s">
        <v>18425</v>
      </c>
      <c r="B9237" s="225" t="s">
        <v>11109</v>
      </c>
    </row>
    <row r="9238" spans="1:2">
      <c r="A9238" s="225" t="s">
        <v>18426</v>
      </c>
      <c r="B9238" s="225" t="s">
        <v>17233</v>
      </c>
    </row>
    <row r="9239" spans="1:2">
      <c r="A9239" s="225" t="s">
        <v>18427</v>
      </c>
      <c r="B9239" s="225" t="s">
        <v>18428</v>
      </c>
    </row>
    <row r="9240" spans="1:2">
      <c r="A9240" s="225" t="s">
        <v>18429</v>
      </c>
      <c r="B9240" s="225" t="s">
        <v>18430</v>
      </c>
    </row>
    <row r="9241" spans="1:2">
      <c r="A9241" s="225" t="s">
        <v>18431</v>
      </c>
      <c r="B9241" s="225" t="s">
        <v>17074</v>
      </c>
    </row>
    <row r="9242" spans="1:2">
      <c r="A9242" s="225" t="s">
        <v>18432</v>
      </c>
      <c r="B9242" s="225" t="s">
        <v>11113</v>
      </c>
    </row>
    <row r="9243" spans="1:2">
      <c r="A9243" s="225" t="s">
        <v>18433</v>
      </c>
      <c r="B9243" s="225" t="s">
        <v>18434</v>
      </c>
    </row>
    <row r="9244" spans="1:2">
      <c r="A9244" s="225" t="s">
        <v>18435</v>
      </c>
      <c r="B9244" s="225" t="s">
        <v>18436</v>
      </c>
    </row>
    <row r="9245" spans="1:2">
      <c r="A9245" s="225" t="s">
        <v>18437</v>
      </c>
      <c r="B9245" s="225" t="s">
        <v>10578</v>
      </c>
    </row>
    <row r="9246" spans="1:2">
      <c r="A9246" s="225" t="s">
        <v>18438</v>
      </c>
      <c r="B9246" s="225" t="s">
        <v>11114</v>
      </c>
    </row>
    <row r="9247" spans="1:2">
      <c r="A9247" s="225" t="s">
        <v>18439</v>
      </c>
      <c r="B9247" s="225" t="s">
        <v>11104</v>
      </c>
    </row>
    <row r="9248" spans="1:2">
      <c r="A9248" s="225" t="s">
        <v>18440</v>
      </c>
      <c r="B9248" s="225" t="s">
        <v>18441</v>
      </c>
    </row>
    <row r="9249" spans="1:2">
      <c r="A9249" s="225" t="s">
        <v>18442</v>
      </c>
      <c r="B9249" s="225" t="s">
        <v>18443</v>
      </c>
    </row>
    <row r="9250" spans="1:2">
      <c r="A9250" s="225" t="s">
        <v>18444</v>
      </c>
      <c r="B9250" s="225" t="s">
        <v>18445</v>
      </c>
    </row>
    <row r="9251" spans="1:2">
      <c r="A9251" s="225" t="s">
        <v>18446</v>
      </c>
      <c r="B9251" s="225" t="s">
        <v>18447</v>
      </c>
    </row>
    <row r="9252" spans="1:2">
      <c r="A9252" s="225" t="s">
        <v>18448</v>
      </c>
      <c r="B9252" s="225" t="s">
        <v>18449</v>
      </c>
    </row>
    <row r="9253" spans="1:2">
      <c r="A9253" s="225" t="s">
        <v>18453</v>
      </c>
      <c r="B9253" s="225" t="s">
        <v>17009</v>
      </c>
    </row>
    <row r="9254" spans="1:2">
      <c r="A9254" s="225" t="s">
        <v>18454</v>
      </c>
      <c r="B9254" s="225" t="s">
        <v>18455</v>
      </c>
    </row>
    <row r="9255" spans="1:2">
      <c r="A9255" s="225" t="s">
        <v>18456</v>
      </c>
      <c r="B9255" s="225" t="s">
        <v>18457</v>
      </c>
    </row>
    <row r="9256" spans="1:2">
      <c r="A9256" s="225" t="s">
        <v>18459</v>
      </c>
      <c r="B9256" s="225" t="s">
        <v>16970</v>
      </c>
    </row>
    <row r="9257" spans="1:2">
      <c r="A9257" s="225" t="s">
        <v>18460</v>
      </c>
      <c r="B9257" s="225" t="s">
        <v>18461</v>
      </c>
    </row>
    <row r="9258" spans="1:2">
      <c r="A9258" s="225" t="s">
        <v>18462</v>
      </c>
      <c r="B9258" s="225" t="s">
        <v>10283</v>
      </c>
    </row>
    <row r="9259" spans="1:2">
      <c r="A9259" s="225" t="s">
        <v>18463</v>
      </c>
      <c r="B9259" s="225" t="s">
        <v>18464</v>
      </c>
    </row>
    <row r="9260" spans="1:2">
      <c r="A9260" s="225" t="s">
        <v>18465</v>
      </c>
      <c r="B9260" s="225" t="s">
        <v>18466</v>
      </c>
    </row>
    <row r="9261" spans="1:2">
      <c r="A9261" s="225" t="s">
        <v>18467</v>
      </c>
      <c r="B9261" s="225" t="s">
        <v>18468</v>
      </c>
    </row>
    <row r="9262" spans="1:2">
      <c r="A9262" s="225" t="s">
        <v>18469</v>
      </c>
      <c r="B9262" s="225" t="s">
        <v>18470</v>
      </c>
    </row>
    <row r="9263" spans="1:2">
      <c r="A9263" s="225" t="s">
        <v>18471</v>
      </c>
      <c r="B9263" s="225" t="s">
        <v>18472</v>
      </c>
    </row>
    <row r="9264" spans="1:2">
      <c r="A9264" s="225" t="s">
        <v>18473</v>
      </c>
      <c r="B9264" s="225" t="s">
        <v>18474</v>
      </c>
    </row>
    <row r="9265" spans="1:2">
      <c r="A9265" s="225" t="s">
        <v>18475</v>
      </c>
      <c r="B9265" s="225" t="s">
        <v>18476</v>
      </c>
    </row>
    <row r="9266" spans="1:2">
      <c r="A9266" s="225" t="s">
        <v>18477</v>
      </c>
      <c r="B9266" s="225" t="s">
        <v>18478</v>
      </c>
    </row>
    <row r="9267" spans="1:2">
      <c r="A9267" s="225" t="s">
        <v>18479</v>
      </c>
      <c r="B9267" s="225" t="s">
        <v>18480</v>
      </c>
    </row>
    <row r="9268" spans="1:2">
      <c r="A9268" s="225" t="s">
        <v>18481</v>
      </c>
      <c r="B9268" s="225" t="s">
        <v>18482</v>
      </c>
    </row>
    <row r="9269" spans="1:2">
      <c r="A9269" s="225" t="s">
        <v>18483</v>
      </c>
      <c r="B9269" s="225" t="s">
        <v>18484</v>
      </c>
    </row>
    <row r="9270" spans="1:2">
      <c r="A9270" s="225" t="s">
        <v>18485</v>
      </c>
      <c r="B9270" s="225" t="s">
        <v>18486</v>
      </c>
    </row>
    <row r="9271" spans="1:2">
      <c r="A9271" s="225" t="s">
        <v>18487</v>
      </c>
      <c r="B9271" s="225" t="s">
        <v>18488</v>
      </c>
    </row>
    <row r="9272" spans="1:2">
      <c r="A9272" s="225" t="s">
        <v>18489</v>
      </c>
      <c r="B9272" s="225" t="s">
        <v>18490</v>
      </c>
    </row>
    <row r="9273" spans="1:2">
      <c r="A9273" s="225" t="s">
        <v>18491</v>
      </c>
      <c r="B9273" s="225" t="s">
        <v>18492</v>
      </c>
    </row>
    <row r="9274" spans="1:2">
      <c r="A9274" s="225" t="s">
        <v>18493</v>
      </c>
      <c r="B9274" s="225" t="s">
        <v>18494</v>
      </c>
    </row>
    <row r="9275" spans="1:2">
      <c r="A9275" s="225" t="s">
        <v>18495</v>
      </c>
      <c r="B9275" s="225" t="s">
        <v>18496</v>
      </c>
    </row>
    <row r="9276" spans="1:2">
      <c r="A9276" s="225" t="s">
        <v>18497</v>
      </c>
      <c r="B9276" s="225" t="s">
        <v>18498</v>
      </c>
    </row>
    <row r="9277" spans="1:2">
      <c r="A9277" s="225" t="s">
        <v>18499</v>
      </c>
      <c r="B9277" s="225" t="s">
        <v>18500</v>
      </c>
    </row>
    <row r="9278" spans="1:2">
      <c r="A9278" s="225" t="s">
        <v>18501</v>
      </c>
      <c r="B9278" s="225" t="s">
        <v>18502</v>
      </c>
    </row>
    <row r="9279" spans="1:2">
      <c r="A9279" s="225" t="s">
        <v>18503</v>
      </c>
      <c r="B9279" s="225" t="s">
        <v>18504</v>
      </c>
    </row>
    <row r="9280" spans="1:2">
      <c r="A9280" s="225" t="s">
        <v>18505</v>
      </c>
      <c r="B9280" s="225" t="s">
        <v>18506</v>
      </c>
    </row>
    <row r="9281" spans="1:2">
      <c r="A9281" s="225" t="s">
        <v>18507</v>
      </c>
      <c r="B9281" s="225" t="s">
        <v>18494</v>
      </c>
    </row>
    <row r="9282" spans="1:2">
      <c r="A9282" s="225" t="s">
        <v>18509</v>
      </c>
      <c r="B9282" s="225" t="s">
        <v>17023</v>
      </c>
    </row>
    <row r="9283" spans="1:2">
      <c r="A9283" s="225" t="s">
        <v>18510</v>
      </c>
      <c r="B9283" s="225" t="s">
        <v>18511</v>
      </c>
    </row>
    <row r="9284" spans="1:2">
      <c r="A9284" s="225" t="s">
        <v>18513</v>
      </c>
      <c r="B9284" s="225" t="s">
        <v>17023</v>
      </c>
    </row>
    <row r="9285" spans="1:2">
      <c r="A9285" s="225" t="s">
        <v>18514</v>
      </c>
      <c r="B9285" s="225" t="s">
        <v>18515</v>
      </c>
    </row>
    <row r="9286" spans="1:2">
      <c r="A9286" s="225" t="s">
        <v>18516</v>
      </c>
      <c r="B9286" s="225" t="s">
        <v>18517</v>
      </c>
    </row>
    <row r="9287" spans="1:2">
      <c r="A9287" s="225" t="s">
        <v>18518</v>
      </c>
      <c r="B9287" s="225" t="s">
        <v>18511</v>
      </c>
    </row>
    <row r="9288" spans="1:2">
      <c r="A9288" s="225" t="s">
        <v>18519</v>
      </c>
      <c r="B9288" s="225" t="s">
        <v>18520</v>
      </c>
    </row>
    <row r="9289" spans="1:2">
      <c r="A9289" s="225" t="s">
        <v>18521</v>
      </c>
      <c r="B9289" s="225" t="s">
        <v>18522</v>
      </c>
    </row>
    <row r="9290" spans="1:2">
      <c r="A9290" s="225" t="s">
        <v>18523</v>
      </c>
      <c r="B9290" s="225" t="s">
        <v>16313</v>
      </c>
    </row>
    <row r="9291" spans="1:2">
      <c r="A9291" s="225" t="s">
        <v>18524</v>
      </c>
      <c r="B9291" s="225" t="s">
        <v>18525</v>
      </c>
    </row>
    <row r="9292" spans="1:2">
      <c r="A9292" s="225" t="s">
        <v>18526</v>
      </c>
      <c r="B9292" s="225" t="s">
        <v>18527</v>
      </c>
    </row>
    <row r="9293" spans="1:2">
      <c r="A9293" s="225" t="s">
        <v>18528</v>
      </c>
      <c r="B9293" s="225" t="s">
        <v>16313</v>
      </c>
    </row>
    <row r="9294" spans="1:2">
      <c r="A9294" s="225" t="s">
        <v>18530</v>
      </c>
      <c r="B9294" s="225" t="s">
        <v>18531</v>
      </c>
    </row>
    <row r="9295" spans="1:2">
      <c r="A9295" s="225" t="s">
        <v>18532</v>
      </c>
      <c r="B9295" s="225" t="s">
        <v>17063</v>
      </c>
    </row>
    <row r="9296" spans="1:2">
      <c r="A9296" s="225" t="s">
        <v>18533</v>
      </c>
      <c r="B9296" s="225" t="s">
        <v>11113</v>
      </c>
    </row>
    <row r="9297" spans="1:2">
      <c r="A9297" s="225" t="s">
        <v>18534</v>
      </c>
      <c r="B9297" s="225" t="s">
        <v>18535</v>
      </c>
    </row>
    <row r="9298" spans="1:2">
      <c r="A9298" s="225" t="s">
        <v>18536</v>
      </c>
      <c r="B9298" s="225" t="s">
        <v>10578</v>
      </c>
    </row>
    <row r="9299" spans="1:2">
      <c r="A9299" s="225" t="s">
        <v>18537</v>
      </c>
      <c r="B9299" s="225" t="s">
        <v>11114</v>
      </c>
    </row>
    <row r="9300" spans="1:2">
      <c r="A9300" s="225" t="s">
        <v>18538</v>
      </c>
      <c r="B9300" s="225" t="s">
        <v>11104</v>
      </c>
    </row>
    <row r="9301" spans="1:2">
      <c r="A9301" s="225" t="s">
        <v>18539</v>
      </c>
      <c r="B9301" s="225" t="s">
        <v>18436</v>
      </c>
    </row>
    <row r="9302" spans="1:2">
      <c r="A9302" s="225" t="s">
        <v>18540</v>
      </c>
      <c r="B9302" s="225" t="s">
        <v>18430</v>
      </c>
    </row>
    <row r="9303" spans="1:2">
      <c r="A9303" s="225" t="s">
        <v>18541</v>
      </c>
      <c r="B9303" s="225" t="s">
        <v>18428</v>
      </c>
    </row>
    <row r="9304" spans="1:2">
      <c r="A9304" s="225" t="s">
        <v>18542</v>
      </c>
      <c r="B9304" s="225" t="s">
        <v>17233</v>
      </c>
    </row>
    <row r="9305" spans="1:2">
      <c r="A9305" s="225" t="s">
        <v>18543</v>
      </c>
      <c r="B9305" s="225" t="s">
        <v>14887</v>
      </c>
    </row>
    <row r="9306" spans="1:2">
      <c r="A9306" s="225" t="s">
        <v>18544</v>
      </c>
      <c r="B9306" s="225" t="s">
        <v>18545</v>
      </c>
    </row>
    <row r="9307" spans="1:2">
      <c r="A9307" s="225" t="s">
        <v>18546</v>
      </c>
      <c r="B9307" s="225" t="s">
        <v>14889</v>
      </c>
    </row>
    <row r="9308" spans="1:2">
      <c r="A9308" s="225" t="s">
        <v>18547</v>
      </c>
      <c r="B9308" s="225" t="s">
        <v>14891</v>
      </c>
    </row>
    <row r="9309" spans="1:2">
      <c r="A9309" s="225" t="s">
        <v>18548</v>
      </c>
      <c r="B9309" s="225" t="s">
        <v>14889</v>
      </c>
    </row>
    <row r="9310" spans="1:2">
      <c r="A9310" s="225" t="s">
        <v>18549</v>
      </c>
      <c r="B9310" s="225" t="s">
        <v>18550</v>
      </c>
    </row>
    <row r="9311" spans="1:2">
      <c r="A9311" s="225" t="s">
        <v>18551</v>
      </c>
      <c r="B9311" s="225" t="s">
        <v>18552</v>
      </c>
    </row>
    <row r="9312" spans="1:2">
      <c r="A9312" s="225" t="s">
        <v>18553</v>
      </c>
      <c r="B9312" s="225" t="s">
        <v>18554</v>
      </c>
    </row>
    <row r="9313" spans="1:2">
      <c r="A9313" s="225" t="s">
        <v>18555</v>
      </c>
      <c r="B9313" s="225" t="s">
        <v>18556</v>
      </c>
    </row>
    <row r="9314" spans="1:2">
      <c r="A9314" s="225" t="s">
        <v>18557</v>
      </c>
      <c r="B9314" s="225" t="s">
        <v>16972</v>
      </c>
    </row>
    <row r="9315" spans="1:2">
      <c r="A9315" s="225" t="s">
        <v>18558</v>
      </c>
      <c r="B9315" s="225" t="s">
        <v>16980</v>
      </c>
    </row>
    <row r="9316" spans="1:2">
      <c r="A9316" s="225" t="s">
        <v>18559</v>
      </c>
      <c r="B9316" s="225" t="s">
        <v>18560</v>
      </c>
    </row>
    <row r="9317" spans="1:2">
      <c r="A9317" s="225" t="s">
        <v>18561</v>
      </c>
      <c r="B9317" s="225" t="s">
        <v>18562</v>
      </c>
    </row>
    <row r="9318" spans="1:2">
      <c r="A9318" s="225" t="s">
        <v>18563</v>
      </c>
      <c r="B9318" s="225" t="s">
        <v>18564</v>
      </c>
    </row>
    <row r="9319" spans="1:2">
      <c r="A9319" s="225" t="s">
        <v>18565</v>
      </c>
      <c r="B9319" s="225" t="s">
        <v>16970</v>
      </c>
    </row>
    <row r="9320" spans="1:2">
      <c r="A9320" s="225" t="s">
        <v>18566</v>
      </c>
      <c r="B9320" s="225" t="s">
        <v>18461</v>
      </c>
    </row>
    <row r="9321" spans="1:2">
      <c r="A9321" s="225" t="s">
        <v>18567</v>
      </c>
      <c r="B9321" s="225" t="s">
        <v>2388</v>
      </c>
    </row>
    <row r="9322" spans="1:2">
      <c r="A9322" s="225" t="s">
        <v>18568</v>
      </c>
      <c r="B9322" s="225" t="s">
        <v>18569</v>
      </c>
    </row>
    <row r="9323" spans="1:2">
      <c r="A9323" s="225" t="s">
        <v>18570</v>
      </c>
      <c r="B9323" s="225" t="s">
        <v>2234</v>
      </c>
    </row>
    <row r="9324" spans="1:2">
      <c r="A9324" s="225" t="s">
        <v>18571</v>
      </c>
      <c r="B9324" s="225" t="s">
        <v>18572</v>
      </c>
    </row>
    <row r="9325" spans="1:2">
      <c r="A9325" s="225" t="s">
        <v>18573</v>
      </c>
      <c r="B9325" s="225" t="s">
        <v>18574</v>
      </c>
    </row>
    <row r="9326" spans="1:2">
      <c r="A9326" s="225" t="s">
        <v>18575</v>
      </c>
      <c r="B9326" s="225" t="s">
        <v>18576</v>
      </c>
    </row>
    <row r="9327" spans="1:2">
      <c r="A9327" s="225" t="s">
        <v>18577</v>
      </c>
      <c r="B9327" s="225" t="s">
        <v>10287</v>
      </c>
    </row>
    <row r="9328" spans="1:2">
      <c r="A9328" s="225" t="s">
        <v>18578</v>
      </c>
      <c r="B9328" s="225" t="s">
        <v>18579</v>
      </c>
    </row>
    <row r="9329" spans="1:2">
      <c r="A9329" s="225" t="s">
        <v>18580</v>
      </c>
      <c r="B9329" s="225" t="s">
        <v>18581</v>
      </c>
    </row>
    <row r="9330" spans="1:2">
      <c r="A9330" s="225" t="s">
        <v>18582</v>
      </c>
      <c r="B9330" s="225" t="s">
        <v>18583</v>
      </c>
    </row>
    <row r="9331" spans="1:2">
      <c r="A9331" s="225" t="s">
        <v>18584</v>
      </c>
      <c r="B9331" s="225" t="s">
        <v>18585</v>
      </c>
    </row>
    <row r="9332" spans="1:2">
      <c r="A9332" s="225" t="s">
        <v>18586</v>
      </c>
      <c r="B9332" s="225" t="s">
        <v>18550</v>
      </c>
    </row>
    <row r="9333" spans="1:2">
      <c r="A9333" s="225" t="s">
        <v>18587</v>
      </c>
      <c r="B9333" s="225" t="s">
        <v>18585</v>
      </c>
    </row>
    <row r="9334" spans="1:2">
      <c r="A9334" s="225" t="s">
        <v>18588</v>
      </c>
      <c r="B9334" s="225" t="s">
        <v>18583</v>
      </c>
    </row>
    <row r="9335" spans="1:2">
      <c r="A9335" s="225" t="s">
        <v>18589</v>
      </c>
      <c r="B9335" s="225" t="s">
        <v>18581</v>
      </c>
    </row>
    <row r="9336" spans="1:2">
      <c r="A9336" s="225" t="s">
        <v>18590</v>
      </c>
      <c r="B9336" s="225" t="s">
        <v>18579</v>
      </c>
    </row>
    <row r="9337" spans="1:2">
      <c r="A9337" s="225" t="s">
        <v>18591</v>
      </c>
      <c r="B9337" s="225" t="s">
        <v>18592</v>
      </c>
    </row>
    <row r="9338" spans="1:2">
      <c r="A9338" s="225" t="s">
        <v>18593</v>
      </c>
      <c r="B9338" s="225" t="s">
        <v>15810</v>
      </c>
    </row>
    <row r="9339" spans="1:2">
      <c r="A9339" s="225" t="s">
        <v>18594</v>
      </c>
      <c r="B9339" s="225" t="s">
        <v>18595</v>
      </c>
    </row>
    <row r="9340" spans="1:2">
      <c r="A9340" s="225" t="s">
        <v>18596</v>
      </c>
      <c r="B9340" s="225" t="s">
        <v>18597</v>
      </c>
    </row>
    <row r="9341" spans="1:2">
      <c r="A9341" s="225" t="s">
        <v>18598</v>
      </c>
      <c r="B9341" s="225" t="s">
        <v>15810</v>
      </c>
    </row>
    <row r="9342" spans="1:2">
      <c r="A9342" s="225" t="s">
        <v>18599</v>
      </c>
      <c r="B9342" s="225" t="s">
        <v>18600</v>
      </c>
    </row>
    <row r="9343" spans="1:2">
      <c r="A9343" s="225" t="s">
        <v>18601</v>
      </c>
      <c r="B9343" s="225" t="s">
        <v>18602</v>
      </c>
    </row>
    <row r="9344" spans="1:2">
      <c r="A9344" s="225" t="s">
        <v>18603</v>
      </c>
      <c r="B9344" s="225" t="s">
        <v>15810</v>
      </c>
    </row>
    <row r="9345" spans="1:2">
      <c r="A9345" s="225" t="s">
        <v>18604</v>
      </c>
      <c r="B9345" s="225" t="s">
        <v>18605</v>
      </c>
    </row>
    <row r="9346" spans="1:2">
      <c r="A9346" s="225" t="s">
        <v>18606</v>
      </c>
      <c r="B9346" s="225" t="s">
        <v>17237</v>
      </c>
    </row>
    <row r="9347" spans="1:2">
      <c r="A9347" s="225" t="s">
        <v>18607</v>
      </c>
      <c r="B9347" s="225" t="s">
        <v>17816</v>
      </c>
    </row>
    <row r="9348" spans="1:2">
      <c r="A9348" s="225" t="s">
        <v>18610</v>
      </c>
      <c r="B9348" s="225" t="s">
        <v>18611</v>
      </c>
    </row>
    <row r="9349" spans="1:2">
      <c r="A9349" s="225" t="s">
        <v>18612</v>
      </c>
      <c r="B9349" s="225" t="s">
        <v>4168</v>
      </c>
    </row>
    <row r="9350" spans="1:2">
      <c r="A9350" s="225" t="s">
        <v>18619</v>
      </c>
      <c r="B9350" s="225" t="s">
        <v>18620</v>
      </c>
    </row>
    <row r="9351" spans="1:2">
      <c r="A9351" s="225" t="s">
        <v>18621</v>
      </c>
      <c r="B9351" s="225" t="s">
        <v>16330</v>
      </c>
    </row>
    <row r="9352" spans="1:2">
      <c r="A9352" s="225" t="s">
        <v>18630</v>
      </c>
      <c r="B9352" s="225" t="s">
        <v>18631</v>
      </c>
    </row>
    <row r="9353" spans="1:2">
      <c r="A9353" s="225" t="s">
        <v>18632</v>
      </c>
      <c r="B9353" s="225" t="s">
        <v>15029</v>
      </c>
    </row>
    <row r="9354" spans="1:2">
      <c r="A9354" s="225" t="s">
        <v>18636</v>
      </c>
      <c r="B9354" s="225" t="s">
        <v>16783</v>
      </c>
    </row>
    <row r="9355" spans="1:2">
      <c r="A9355" s="225" t="s">
        <v>18638</v>
      </c>
      <c r="B9355" s="225" t="s">
        <v>17329</v>
      </c>
    </row>
    <row r="9356" spans="1:2">
      <c r="A9356" s="225" t="s">
        <v>18639</v>
      </c>
      <c r="B9356" s="225" t="s">
        <v>17846</v>
      </c>
    </row>
    <row r="9357" spans="1:2">
      <c r="A9357" s="225" t="s">
        <v>18641</v>
      </c>
      <c r="B9357" s="225" t="s">
        <v>17880</v>
      </c>
    </row>
    <row r="9358" spans="1:2">
      <c r="A9358" s="225" t="s">
        <v>18644</v>
      </c>
      <c r="B9358" s="225" t="s">
        <v>17337</v>
      </c>
    </row>
    <row r="9359" spans="1:2">
      <c r="A9359" s="225" t="s">
        <v>18645</v>
      </c>
      <c r="B9359" s="225" t="s">
        <v>17849</v>
      </c>
    </row>
    <row r="9360" spans="1:2">
      <c r="A9360" s="225" t="s">
        <v>18653</v>
      </c>
      <c r="B9360" s="225" t="s">
        <v>16330</v>
      </c>
    </row>
    <row r="9361" spans="1:2">
      <c r="A9361" s="225" t="s">
        <v>18662</v>
      </c>
      <c r="B9361" s="225" t="s">
        <v>17318</v>
      </c>
    </row>
    <row r="9362" spans="1:2">
      <c r="A9362" s="225" t="s">
        <v>18663</v>
      </c>
      <c r="B9362" s="225" t="s">
        <v>15029</v>
      </c>
    </row>
    <row r="9363" spans="1:2">
      <c r="A9363" s="225" t="s">
        <v>18667</v>
      </c>
      <c r="B9363" s="225" t="s">
        <v>16721</v>
      </c>
    </row>
    <row r="9364" spans="1:2">
      <c r="A9364" s="225" t="s">
        <v>18669</v>
      </c>
      <c r="B9364" s="225" t="s">
        <v>17329</v>
      </c>
    </row>
    <row r="9365" spans="1:2">
      <c r="A9365" s="225" t="s">
        <v>18670</v>
      </c>
      <c r="B9365" s="225" t="s">
        <v>17331</v>
      </c>
    </row>
    <row r="9366" spans="1:2">
      <c r="A9366" s="225" t="s">
        <v>18672</v>
      </c>
      <c r="B9366" s="225" t="s">
        <v>17335</v>
      </c>
    </row>
    <row r="9367" spans="1:2">
      <c r="A9367" s="225" t="s">
        <v>18673</v>
      </c>
      <c r="B9367" s="225" t="s">
        <v>17337</v>
      </c>
    </row>
    <row r="9368" spans="1:2">
      <c r="A9368" s="225" t="s">
        <v>18676</v>
      </c>
      <c r="B9368" s="225" t="s">
        <v>17880</v>
      </c>
    </row>
    <row r="9369" spans="1:2">
      <c r="A9369" s="225" t="s">
        <v>18680</v>
      </c>
      <c r="B9369" s="225" t="s">
        <v>18681</v>
      </c>
    </row>
    <row r="9370" spans="1:2">
      <c r="A9370" s="225" t="s">
        <v>18682</v>
      </c>
      <c r="B9370" s="225" t="s">
        <v>18683</v>
      </c>
    </row>
    <row r="9371" spans="1:2">
      <c r="A9371" s="225" t="s">
        <v>18689</v>
      </c>
      <c r="B9371" s="225" t="s">
        <v>17425</v>
      </c>
    </row>
    <row r="9372" spans="1:2">
      <c r="A9372" s="225" t="s">
        <v>18697</v>
      </c>
      <c r="B9372" s="225" t="s">
        <v>17429</v>
      </c>
    </row>
    <row r="9373" spans="1:2">
      <c r="A9373" s="225" t="s">
        <v>18698</v>
      </c>
      <c r="B9373" s="225" t="s">
        <v>17431</v>
      </c>
    </row>
    <row r="9374" spans="1:2">
      <c r="A9374" s="225" t="s">
        <v>18699</v>
      </c>
      <c r="B9374" s="225" t="s">
        <v>18700</v>
      </c>
    </row>
    <row r="9375" spans="1:2">
      <c r="A9375" s="225" t="s">
        <v>18701</v>
      </c>
      <c r="B9375" s="225" t="s">
        <v>11095</v>
      </c>
    </row>
    <row r="9376" spans="1:2">
      <c r="A9376" s="225" t="s">
        <v>18702</v>
      </c>
      <c r="B9376" s="225" t="s">
        <v>18703</v>
      </c>
    </row>
    <row r="9377" spans="1:2">
      <c r="A9377" s="225" t="s">
        <v>18704</v>
      </c>
      <c r="B9377" s="225" t="s">
        <v>17376</v>
      </c>
    </row>
    <row r="9378" spans="1:2">
      <c r="A9378" s="225" t="s">
        <v>18705</v>
      </c>
      <c r="B9378" s="225" t="s">
        <v>11091</v>
      </c>
    </row>
    <row r="9379" spans="1:2">
      <c r="A9379" s="225" t="s">
        <v>18706</v>
      </c>
      <c r="B9379" s="225" t="s">
        <v>18707</v>
      </c>
    </row>
    <row r="9380" spans="1:2">
      <c r="A9380" s="225" t="s">
        <v>18708</v>
      </c>
      <c r="B9380" s="225" t="s">
        <v>17381</v>
      </c>
    </row>
    <row r="9381" spans="1:2">
      <c r="A9381" s="225" t="s">
        <v>18709</v>
      </c>
      <c r="B9381" s="225" t="s">
        <v>18710</v>
      </c>
    </row>
    <row r="9382" spans="1:2">
      <c r="A9382" s="225" t="s">
        <v>18711</v>
      </c>
      <c r="B9382" s="225" t="s">
        <v>1845</v>
      </c>
    </row>
    <row r="9383" spans="1:2">
      <c r="A9383" s="225" t="s">
        <v>18712</v>
      </c>
      <c r="B9383" s="225" t="s">
        <v>18713</v>
      </c>
    </row>
    <row r="9384" spans="1:2">
      <c r="A9384" s="225" t="s">
        <v>18714</v>
      </c>
      <c r="B9384" s="225" t="s">
        <v>18683</v>
      </c>
    </row>
    <row r="9385" spans="1:2">
      <c r="A9385" s="225" t="s">
        <v>18715</v>
      </c>
      <c r="B9385" s="225" t="s">
        <v>1848</v>
      </c>
    </row>
    <row r="9386" spans="1:2">
      <c r="A9386" s="225" t="s">
        <v>18716</v>
      </c>
      <c r="B9386" s="225" t="s">
        <v>617</v>
      </c>
    </row>
    <row r="9387" spans="1:2">
      <c r="A9387" s="225" t="s">
        <v>18718</v>
      </c>
      <c r="B9387" s="225" t="s">
        <v>1670</v>
      </c>
    </row>
    <row r="9388" spans="1:2">
      <c r="A9388" s="225" t="s">
        <v>18721</v>
      </c>
      <c r="B9388" s="225" t="s">
        <v>15666</v>
      </c>
    </row>
    <row r="9389" spans="1:2">
      <c r="A9389" s="225" t="s">
        <v>18722</v>
      </c>
      <c r="B9389" s="225" t="s">
        <v>18723</v>
      </c>
    </row>
    <row r="9390" spans="1:2">
      <c r="A9390" s="225" t="s">
        <v>18724</v>
      </c>
      <c r="B9390" s="225" t="s">
        <v>18725</v>
      </c>
    </row>
    <row r="9391" spans="1:2">
      <c r="A9391" s="225" t="s">
        <v>18727</v>
      </c>
      <c r="B9391" s="225" t="s">
        <v>18728</v>
      </c>
    </row>
    <row r="9392" spans="1:2">
      <c r="A9392" s="225" t="s">
        <v>18729</v>
      </c>
      <c r="B9392" s="225" t="s">
        <v>18730</v>
      </c>
    </row>
    <row r="9393" spans="1:2">
      <c r="A9393" s="225" t="s">
        <v>18731</v>
      </c>
      <c r="B9393" s="225" t="s">
        <v>18732</v>
      </c>
    </row>
    <row r="9394" spans="1:2">
      <c r="A9394" s="225" t="s">
        <v>18733</v>
      </c>
      <c r="B9394" s="225" t="s">
        <v>18734</v>
      </c>
    </row>
    <row r="9395" spans="1:2">
      <c r="A9395" s="225" t="s">
        <v>18735</v>
      </c>
      <c r="B9395" s="225" t="s">
        <v>17395</v>
      </c>
    </row>
    <row r="9396" spans="1:2">
      <c r="A9396" s="225" t="s">
        <v>18736</v>
      </c>
      <c r="B9396" s="225" t="s">
        <v>17477</v>
      </c>
    </row>
    <row r="9397" spans="1:2">
      <c r="A9397" s="225" t="s">
        <v>18737</v>
      </c>
      <c r="B9397" s="225" t="s">
        <v>17479</v>
      </c>
    </row>
    <row r="9398" spans="1:2">
      <c r="A9398" s="225" t="s">
        <v>18739</v>
      </c>
      <c r="B9398" s="225" t="s">
        <v>18740</v>
      </c>
    </row>
    <row r="9399" spans="1:2">
      <c r="A9399" s="225" t="s">
        <v>18744</v>
      </c>
      <c r="B9399" s="225" t="s">
        <v>18683</v>
      </c>
    </row>
    <row r="9400" spans="1:2">
      <c r="A9400" s="225" t="s">
        <v>18745</v>
      </c>
      <c r="B9400" s="225" t="s">
        <v>17351</v>
      </c>
    </row>
    <row r="9401" spans="1:2">
      <c r="A9401" s="225" t="s">
        <v>18746</v>
      </c>
      <c r="B9401" s="225" t="s">
        <v>17353</v>
      </c>
    </row>
    <row r="9402" spans="1:2">
      <c r="A9402" s="225" t="s">
        <v>18747</v>
      </c>
      <c r="B9402" s="225" t="s">
        <v>17355</v>
      </c>
    </row>
    <row r="9403" spans="1:2">
      <c r="A9403" s="225" t="s">
        <v>18748</v>
      </c>
      <c r="B9403" s="225" t="s">
        <v>17351</v>
      </c>
    </row>
    <row r="9404" spans="1:2">
      <c r="A9404" s="225" t="s">
        <v>18749</v>
      </c>
      <c r="B9404" s="225" t="s">
        <v>17357</v>
      </c>
    </row>
    <row r="9405" spans="1:2">
      <c r="A9405" s="225" t="s">
        <v>18750</v>
      </c>
      <c r="B9405" s="225" t="s">
        <v>17359</v>
      </c>
    </row>
    <row r="9406" spans="1:2">
      <c r="A9406" s="225" t="s">
        <v>18751</v>
      </c>
      <c r="B9406" s="225" t="s">
        <v>17515</v>
      </c>
    </row>
    <row r="9407" spans="1:2">
      <c r="A9407" s="225" t="s">
        <v>18752</v>
      </c>
      <c r="B9407" s="225" t="s">
        <v>17517</v>
      </c>
    </row>
    <row r="9408" spans="1:2">
      <c r="A9408" s="225" t="s">
        <v>18755</v>
      </c>
      <c r="B9408" s="225" t="s">
        <v>17353</v>
      </c>
    </row>
    <row r="9409" spans="1:2">
      <c r="A9409" s="225" t="s">
        <v>18756</v>
      </c>
      <c r="B9409" s="225" t="s">
        <v>17355</v>
      </c>
    </row>
    <row r="9410" spans="1:2">
      <c r="A9410" s="225" t="s">
        <v>18757</v>
      </c>
      <c r="B9410" s="225" t="s">
        <v>17357</v>
      </c>
    </row>
    <row r="9411" spans="1:2">
      <c r="A9411" s="225" t="s">
        <v>18758</v>
      </c>
      <c r="B9411" s="225" t="s">
        <v>17359</v>
      </c>
    </row>
    <row r="9412" spans="1:2">
      <c r="A9412" s="225" t="s">
        <v>18759</v>
      </c>
      <c r="B9412" s="225" t="s">
        <v>17515</v>
      </c>
    </row>
    <row r="9413" spans="1:2">
      <c r="A9413" s="225" t="s">
        <v>18760</v>
      </c>
      <c r="B9413" s="225" t="s">
        <v>17517</v>
      </c>
    </row>
    <row r="9414" spans="1:2">
      <c r="A9414" s="225" t="s">
        <v>18763</v>
      </c>
      <c r="B9414" s="225" t="s">
        <v>17521</v>
      </c>
    </row>
    <row r="9415" spans="1:2">
      <c r="A9415" s="225" t="s">
        <v>18764</v>
      </c>
      <c r="B9415" s="225" t="s">
        <v>17521</v>
      </c>
    </row>
    <row r="9416" spans="1:2">
      <c r="A9416" s="225" t="s">
        <v>18765</v>
      </c>
      <c r="B9416" s="225" t="s">
        <v>17523</v>
      </c>
    </row>
    <row r="9417" spans="1:2">
      <c r="A9417" s="225" t="s">
        <v>18766</v>
      </c>
      <c r="B9417" s="225" t="s">
        <v>16298</v>
      </c>
    </row>
    <row r="9418" spans="1:2">
      <c r="A9418" s="225" t="s">
        <v>18767</v>
      </c>
      <c r="B9418" s="225" t="s">
        <v>17526</v>
      </c>
    </row>
    <row r="9419" spans="1:2">
      <c r="A9419" s="225" t="s">
        <v>18769</v>
      </c>
      <c r="B9419" s="225" t="s">
        <v>16307</v>
      </c>
    </row>
    <row r="9420" spans="1:2">
      <c r="A9420" s="225" t="s">
        <v>18770</v>
      </c>
      <c r="B9420" s="225" t="s">
        <v>17546</v>
      </c>
    </row>
    <row r="9421" spans="1:2">
      <c r="A9421" s="225" t="s">
        <v>18772</v>
      </c>
      <c r="B9421" s="225" t="s">
        <v>17523</v>
      </c>
    </row>
    <row r="9422" spans="1:2">
      <c r="A9422" s="225" t="s">
        <v>18773</v>
      </c>
      <c r="B9422" s="225" t="s">
        <v>16298</v>
      </c>
    </row>
    <row r="9423" spans="1:2">
      <c r="A9423" s="225" t="s">
        <v>18774</v>
      </c>
      <c r="B9423" s="225" t="s">
        <v>17526</v>
      </c>
    </row>
    <row r="9424" spans="1:2">
      <c r="A9424" s="225" t="s">
        <v>18776</v>
      </c>
      <c r="B9424" s="225" t="s">
        <v>16307</v>
      </c>
    </row>
    <row r="9425" spans="1:2">
      <c r="A9425" s="225" t="s">
        <v>18777</v>
      </c>
      <c r="B9425" s="225" t="s">
        <v>17546</v>
      </c>
    </row>
    <row r="9426" spans="1:2">
      <c r="A9426" s="225" t="s">
        <v>18780</v>
      </c>
      <c r="B9426" s="225" t="s">
        <v>18781</v>
      </c>
    </row>
    <row r="9427" spans="1:2">
      <c r="A9427" s="225" t="s">
        <v>18783</v>
      </c>
      <c r="B9427" s="225" t="s">
        <v>1749</v>
      </c>
    </row>
    <row r="9428" spans="1:2">
      <c r="A9428" s="225" t="s">
        <v>18784</v>
      </c>
      <c r="B9428" s="225" t="s">
        <v>18785</v>
      </c>
    </row>
    <row r="9429" spans="1:2">
      <c r="A9429" s="225" t="s">
        <v>18786</v>
      </c>
      <c r="B9429" s="225" t="s">
        <v>18787</v>
      </c>
    </row>
    <row r="9430" spans="1:2">
      <c r="A9430" s="225" t="s">
        <v>18789</v>
      </c>
      <c r="B9430" s="225" t="s">
        <v>16015</v>
      </c>
    </row>
    <row r="9431" spans="1:2">
      <c r="A9431" s="225" t="s">
        <v>18797</v>
      </c>
      <c r="B9431" s="225" t="s">
        <v>16015</v>
      </c>
    </row>
    <row r="9432" spans="1:2">
      <c r="A9432" s="225" t="s">
        <v>18799</v>
      </c>
      <c r="B9432" s="225" t="s">
        <v>18781</v>
      </c>
    </row>
    <row r="9433" spans="1:2">
      <c r="A9433" s="225" t="s">
        <v>18800</v>
      </c>
      <c r="B9433" s="225" t="s">
        <v>1749</v>
      </c>
    </row>
    <row r="9434" spans="1:2">
      <c r="A9434" s="225" t="s">
        <v>18801</v>
      </c>
      <c r="B9434" s="225" t="s">
        <v>18785</v>
      </c>
    </row>
    <row r="9435" spans="1:2">
      <c r="A9435" s="225" t="s">
        <v>18802</v>
      </c>
      <c r="B9435" s="225" t="s">
        <v>18787</v>
      </c>
    </row>
    <row r="9436" spans="1:2">
      <c r="A9436" s="225" t="s">
        <v>18808</v>
      </c>
      <c r="B9436" s="225" t="s">
        <v>17575</v>
      </c>
    </row>
    <row r="9437" spans="1:2">
      <c r="A9437" s="225" t="s">
        <v>18810</v>
      </c>
      <c r="B9437" s="225" t="s">
        <v>17636</v>
      </c>
    </row>
    <row r="9438" spans="1:2">
      <c r="A9438" s="225" t="s">
        <v>18811</v>
      </c>
      <c r="B9438" s="225" t="s">
        <v>17634</v>
      </c>
    </row>
    <row r="9439" spans="1:2">
      <c r="A9439" s="225" t="s">
        <v>18812</v>
      </c>
      <c r="B9439" s="225" t="s">
        <v>17632</v>
      </c>
    </row>
    <row r="9440" spans="1:2">
      <c r="A9440" s="225" t="s">
        <v>18813</v>
      </c>
      <c r="B9440" s="225" t="s">
        <v>17630</v>
      </c>
    </row>
    <row r="9441" spans="1:2">
      <c r="A9441" s="225" t="s">
        <v>18814</v>
      </c>
      <c r="B9441" s="225" t="s">
        <v>17628</v>
      </c>
    </row>
    <row r="9442" spans="1:2">
      <c r="A9442" s="225" t="s">
        <v>18817</v>
      </c>
      <c r="B9442" s="225" t="s">
        <v>17624</v>
      </c>
    </row>
    <row r="9443" spans="1:2">
      <c r="A9443" s="225" t="s">
        <v>18818</v>
      </c>
      <c r="B9443" s="225" t="s">
        <v>17622</v>
      </c>
    </row>
    <row r="9444" spans="1:2">
      <c r="A9444" s="225" t="s">
        <v>18819</v>
      </c>
      <c r="B9444" s="225" t="s">
        <v>17586</v>
      </c>
    </row>
    <row r="9445" spans="1:2">
      <c r="A9445" s="225" t="s">
        <v>18820</v>
      </c>
      <c r="B9445" s="225" t="s">
        <v>17584</v>
      </c>
    </row>
    <row r="9446" spans="1:2">
      <c r="A9446" s="225" t="s">
        <v>18821</v>
      </c>
      <c r="B9446" s="225" t="s">
        <v>17579</v>
      </c>
    </row>
    <row r="9447" spans="1:2">
      <c r="A9447" s="225" t="s">
        <v>18822</v>
      </c>
      <c r="B9447" s="225" t="s">
        <v>17577</v>
      </c>
    </row>
    <row r="9448" spans="1:2">
      <c r="A9448" s="225" t="s">
        <v>18823</v>
      </c>
      <c r="B9448" s="225" t="s">
        <v>17575</v>
      </c>
    </row>
    <row r="9449" spans="1:2">
      <c r="A9449" s="225" t="s">
        <v>18824</v>
      </c>
      <c r="B9449" s="225" t="s">
        <v>17577</v>
      </c>
    </row>
    <row r="9450" spans="1:2">
      <c r="A9450" s="225" t="s">
        <v>18825</v>
      </c>
      <c r="B9450" s="225" t="s">
        <v>17579</v>
      </c>
    </row>
    <row r="9451" spans="1:2">
      <c r="A9451" s="225" t="s">
        <v>18826</v>
      </c>
      <c r="B9451" s="225" t="s">
        <v>17584</v>
      </c>
    </row>
    <row r="9452" spans="1:2">
      <c r="A9452" s="225" t="s">
        <v>18827</v>
      </c>
      <c r="B9452" s="225" t="s">
        <v>17586</v>
      </c>
    </row>
    <row r="9453" spans="1:2">
      <c r="A9453" s="225" t="s">
        <v>18828</v>
      </c>
      <c r="B9453" s="225" t="s">
        <v>17622</v>
      </c>
    </row>
    <row r="9454" spans="1:2">
      <c r="A9454" s="225" t="s">
        <v>18829</v>
      </c>
      <c r="B9454" s="225" t="s">
        <v>17624</v>
      </c>
    </row>
    <row r="9455" spans="1:2">
      <c r="A9455" s="225" t="s">
        <v>18832</v>
      </c>
      <c r="B9455" s="225" t="s">
        <v>17628</v>
      </c>
    </row>
    <row r="9456" spans="1:2">
      <c r="A9456" s="225" t="s">
        <v>18833</v>
      </c>
      <c r="B9456" s="225" t="s">
        <v>17630</v>
      </c>
    </row>
    <row r="9457" spans="1:2">
      <c r="A9457" s="225" t="s">
        <v>18834</v>
      </c>
      <c r="B9457" s="225" t="s">
        <v>17632</v>
      </c>
    </row>
    <row r="9458" spans="1:2">
      <c r="A9458" s="225" t="s">
        <v>18835</v>
      </c>
      <c r="B9458" s="225" t="s">
        <v>17634</v>
      </c>
    </row>
    <row r="9459" spans="1:2">
      <c r="A9459" s="225" t="s">
        <v>18836</v>
      </c>
      <c r="B9459" s="225" t="s">
        <v>17636</v>
      </c>
    </row>
    <row r="9460" spans="1:2">
      <c r="A9460" s="225" t="s">
        <v>18838</v>
      </c>
      <c r="B9460" s="225" t="s">
        <v>17644</v>
      </c>
    </row>
    <row r="9461" spans="1:2">
      <c r="A9461" s="225" t="s">
        <v>18839</v>
      </c>
      <c r="B9461" s="225" t="s">
        <v>17701</v>
      </c>
    </row>
    <row r="9462" spans="1:2">
      <c r="A9462" s="225" t="s">
        <v>18840</v>
      </c>
      <c r="B9462" s="225" t="s">
        <v>17703</v>
      </c>
    </row>
    <row r="9463" spans="1:2">
      <c r="A9463" s="225" t="s">
        <v>18841</v>
      </c>
      <c r="B9463" s="225" t="s">
        <v>17705</v>
      </c>
    </row>
    <row r="9464" spans="1:2">
      <c r="A9464" s="225" t="s">
        <v>18842</v>
      </c>
      <c r="B9464" s="225" t="s">
        <v>16232</v>
      </c>
    </row>
    <row r="9465" spans="1:2">
      <c r="A9465" s="225" t="s">
        <v>18843</v>
      </c>
      <c r="B9465" s="225" t="s">
        <v>17708</v>
      </c>
    </row>
    <row r="9466" spans="1:2">
      <c r="A9466" s="225" t="s">
        <v>18844</v>
      </c>
      <c r="B9466" s="225" t="s">
        <v>16121</v>
      </c>
    </row>
    <row r="9467" spans="1:2">
      <c r="A9467" s="225" t="s">
        <v>18845</v>
      </c>
      <c r="B9467" s="225" t="s">
        <v>17699</v>
      </c>
    </row>
    <row r="9468" spans="1:2">
      <c r="A9468" s="225" t="s">
        <v>18846</v>
      </c>
      <c r="B9468" s="225" t="s">
        <v>17662</v>
      </c>
    </row>
    <row r="9469" spans="1:2">
      <c r="A9469" s="225" t="s">
        <v>18847</v>
      </c>
      <c r="B9469" s="225" t="s">
        <v>17660</v>
      </c>
    </row>
    <row r="9470" spans="1:2">
      <c r="A9470" s="225" t="s">
        <v>18849</v>
      </c>
      <c r="B9470" s="225" t="s">
        <v>17646</v>
      </c>
    </row>
    <row r="9471" spans="1:2">
      <c r="A9471" s="225" t="s">
        <v>18850</v>
      </c>
      <c r="B9471" s="225" t="s">
        <v>17710</v>
      </c>
    </row>
    <row r="9472" spans="1:2">
      <c r="A9472" s="225" t="s">
        <v>18851</v>
      </c>
      <c r="B9472" s="225" t="s">
        <v>17644</v>
      </c>
    </row>
    <row r="9473" spans="1:2">
      <c r="A9473" s="225" t="s">
        <v>18857</v>
      </c>
      <c r="B9473" s="225" t="s">
        <v>17646</v>
      </c>
    </row>
    <row r="9474" spans="1:2">
      <c r="A9474" s="225" t="s">
        <v>18859</v>
      </c>
      <c r="B9474" s="225" t="s">
        <v>17660</v>
      </c>
    </row>
    <row r="9475" spans="1:2">
      <c r="A9475" s="225" t="s">
        <v>18860</v>
      </c>
      <c r="B9475" s="225" t="s">
        <v>17662</v>
      </c>
    </row>
    <row r="9476" spans="1:2">
      <c r="A9476" s="225" t="s">
        <v>18861</v>
      </c>
      <c r="B9476" s="225" t="s">
        <v>17699</v>
      </c>
    </row>
    <row r="9477" spans="1:2">
      <c r="A9477" s="225" t="s">
        <v>18862</v>
      </c>
      <c r="B9477" s="225" t="s">
        <v>17701</v>
      </c>
    </row>
    <row r="9478" spans="1:2">
      <c r="A9478" s="225" t="s">
        <v>18863</v>
      </c>
      <c r="B9478" s="225" t="s">
        <v>17703</v>
      </c>
    </row>
    <row r="9479" spans="1:2">
      <c r="A9479" s="225" t="s">
        <v>18864</v>
      </c>
      <c r="B9479" s="225" t="s">
        <v>17705</v>
      </c>
    </row>
    <row r="9480" spans="1:2">
      <c r="A9480" s="225" t="s">
        <v>18865</v>
      </c>
      <c r="B9480" s="225" t="s">
        <v>16232</v>
      </c>
    </row>
    <row r="9481" spans="1:2">
      <c r="A9481" s="225" t="s">
        <v>18866</v>
      </c>
      <c r="B9481" s="225" t="s">
        <v>17708</v>
      </c>
    </row>
    <row r="9482" spans="1:2">
      <c r="A9482" s="225" t="s">
        <v>18867</v>
      </c>
      <c r="B9482" s="225" t="s">
        <v>16121</v>
      </c>
    </row>
    <row r="9483" spans="1:2">
      <c r="A9483" s="225" t="s">
        <v>18868</v>
      </c>
      <c r="B9483" s="225" t="s">
        <v>17710</v>
      </c>
    </row>
    <row r="9484" spans="1:2">
      <c r="A9484" s="225" t="s">
        <v>18874</v>
      </c>
      <c r="B9484" s="225" t="s">
        <v>17718</v>
      </c>
    </row>
    <row r="9485" spans="1:2">
      <c r="A9485" s="225" t="s">
        <v>18875</v>
      </c>
      <c r="B9485" s="225" t="s">
        <v>17718</v>
      </c>
    </row>
    <row r="9486" spans="1:2">
      <c r="A9486" s="225" t="s">
        <v>18876</v>
      </c>
      <c r="B9486" s="225" t="s">
        <v>17720</v>
      </c>
    </row>
    <row r="9487" spans="1:2">
      <c r="A9487" s="225" t="s">
        <v>18878</v>
      </c>
      <c r="B9487" s="225" t="s">
        <v>17726</v>
      </c>
    </row>
    <row r="9488" spans="1:2">
      <c r="A9488" s="225" t="s">
        <v>18879</v>
      </c>
      <c r="B9488" s="225" t="s">
        <v>17724</v>
      </c>
    </row>
    <row r="9489" spans="1:2">
      <c r="A9489" s="225" t="s">
        <v>18880</v>
      </c>
      <c r="B9489" s="225" t="s">
        <v>17722</v>
      </c>
    </row>
    <row r="9490" spans="1:2">
      <c r="A9490" s="225" t="s">
        <v>18881</v>
      </c>
      <c r="B9490" s="225" t="s">
        <v>17720</v>
      </c>
    </row>
    <row r="9491" spans="1:2">
      <c r="A9491" s="225" t="s">
        <v>18882</v>
      </c>
      <c r="B9491" s="225" t="s">
        <v>17722</v>
      </c>
    </row>
    <row r="9492" spans="1:2">
      <c r="A9492" s="225" t="s">
        <v>18883</v>
      </c>
      <c r="B9492" s="225" t="s">
        <v>17724</v>
      </c>
    </row>
    <row r="9493" spans="1:2">
      <c r="A9493" s="225" t="s">
        <v>18884</v>
      </c>
      <c r="B9493" s="225" t="s">
        <v>17726</v>
      </c>
    </row>
    <row r="9494" spans="1:2">
      <c r="A9494" s="225" t="s">
        <v>18900</v>
      </c>
      <c r="B9494" s="225" t="s">
        <v>17769</v>
      </c>
    </row>
    <row r="9495" spans="1:2">
      <c r="A9495" s="225" t="s">
        <v>18905</v>
      </c>
      <c r="B9495" s="225" t="s">
        <v>17775</v>
      </c>
    </row>
    <row r="9496" spans="1:2">
      <c r="A9496" s="225" t="s">
        <v>18906</v>
      </c>
      <c r="B9496" s="225" t="s">
        <v>17775</v>
      </c>
    </row>
    <row r="9497" spans="1:2">
      <c r="A9497" s="225" t="s">
        <v>18907</v>
      </c>
      <c r="B9497" s="225" t="s">
        <v>17777</v>
      </c>
    </row>
    <row r="9498" spans="1:2">
      <c r="A9498" s="225" t="s">
        <v>18908</v>
      </c>
      <c r="B9498" s="225" t="s">
        <v>17779</v>
      </c>
    </row>
    <row r="9499" spans="1:2">
      <c r="A9499" s="225" t="s">
        <v>18910</v>
      </c>
      <c r="B9499" s="225" t="s">
        <v>17777</v>
      </c>
    </row>
    <row r="9500" spans="1:2">
      <c r="A9500" s="225" t="s">
        <v>18911</v>
      </c>
      <c r="B9500" s="225" t="s">
        <v>17779</v>
      </c>
    </row>
    <row r="9501" spans="1:2">
      <c r="A9501" s="225" t="s">
        <v>18913</v>
      </c>
      <c r="B9501" s="225" t="s">
        <v>17782</v>
      </c>
    </row>
    <row r="9502" spans="1:2">
      <c r="A9502" s="225" t="s">
        <v>18914</v>
      </c>
      <c r="B9502" s="225" t="s">
        <v>17797</v>
      </c>
    </row>
    <row r="9503" spans="1:2">
      <c r="A9503" s="225" t="s">
        <v>18915</v>
      </c>
      <c r="B9503" s="225" t="s">
        <v>17782</v>
      </c>
    </row>
    <row r="9504" spans="1:2">
      <c r="A9504" s="225" t="s">
        <v>18916</v>
      </c>
      <c r="B9504" s="225" t="s">
        <v>18917</v>
      </c>
    </row>
    <row r="9505" spans="1:2">
      <c r="A9505" s="225" t="s">
        <v>18918</v>
      </c>
      <c r="B9505" s="225" t="s">
        <v>17795</v>
      </c>
    </row>
    <row r="9506" spans="1:2">
      <c r="A9506" s="225" t="s">
        <v>18919</v>
      </c>
      <c r="B9506" s="225" t="s">
        <v>17799</v>
      </c>
    </row>
    <row r="9507" spans="1:2">
      <c r="A9507" s="225" t="s">
        <v>18921</v>
      </c>
      <c r="B9507" s="225" t="s">
        <v>18917</v>
      </c>
    </row>
    <row r="9508" spans="1:2">
      <c r="A9508" s="225" t="s">
        <v>18922</v>
      </c>
      <c r="B9508" s="225" t="s">
        <v>17795</v>
      </c>
    </row>
    <row r="9509" spans="1:2">
      <c r="A9509" s="225" t="s">
        <v>18923</v>
      </c>
      <c r="B9509" s="225" t="s">
        <v>17797</v>
      </c>
    </row>
    <row r="9510" spans="1:2">
      <c r="A9510" s="225" t="s">
        <v>18924</v>
      </c>
      <c r="B9510" s="225" t="s">
        <v>17799</v>
      </c>
    </row>
    <row r="9511" spans="1:2">
      <c r="A9511" s="225" t="s">
        <v>18926</v>
      </c>
      <c r="B9511" s="225" t="s">
        <v>18927</v>
      </c>
    </row>
    <row r="9512" spans="1:2">
      <c r="A9512" s="225" t="s">
        <v>18944</v>
      </c>
      <c r="B9512" s="225" t="s">
        <v>14900</v>
      </c>
    </row>
    <row r="9513" spans="1:2">
      <c r="A9513" s="225" t="s">
        <v>18956</v>
      </c>
      <c r="B9513" s="225" t="s">
        <v>18957</v>
      </c>
    </row>
    <row r="9514" spans="1:2">
      <c r="A9514" s="225" t="s">
        <v>18962</v>
      </c>
      <c r="B9514" s="225" t="s">
        <v>18020</v>
      </c>
    </row>
    <row r="9515" spans="1:2">
      <c r="A9515" s="225" t="s">
        <v>18967</v>
      </c>
      <c r="B9515" s="225" t="s">
        <v>16117</v>
      </c>
    </row>
    <row r="9516" spans="1:2">
      <c r="A9516" s="225" t="s">
        <v>18971</v>
      </c>
      <c r="B9516" s="225" t="s">
        <v>16117</v>
      </c>
    </row>
    <row r="9517" spans="1:2">
      <c r="A9517" s="225" t="s">
        <v>18974</v>
      </c>
      <c r="B9517" s="225" t="s">
        <v>18700</v>
      </c>
    </row>
    <row r="9518" spans="1:2">
      <c r="A9518" s="225" t="s">
        <v>18975</v>
      </c>
      <c r="B9518" s="225" t="s">
        <v>18058</v>
      </c>
    </row>
    <row r="9519" spans="1:2">
      <c r="A9519" s="225" t="s">
        <v>18976</v>
      </c>
      <c r="B9519" s="225" t="s">
        <v>18060</v>
      </c>
    </row>
    <row r="9520" spans="1:2">
      <c r="A9520" s="225" t="s">
        <v>18978</v>
      </c>
      <c r="B9520" s="225" t="s">
        <v>17254</v>
      </c>
    </row>
    <row r="9521" spans="1:2">
      <c r="A9521" s="225" t="s">
        <v>18992</v>
      </c>
      <c r="B9521" s="225" t="s">
        <v>18993</v>
      </c>
    </row>
    <row r="9522" spans="1:2">
      <c r="A9522" s="225" t="s">
        <v>18995</v>
      </c>
      <c r="B9522" s="225" t="s">
        <v>17479</v>
      </c>
    </row>
    <row r="9523" spans="1:2">
      <c r="A9523" s="225" t="s">
        <v>18996</v>
      </c>
      <c r="B9523" s="225" t="s">
        <v>17477</v>
      </c>
    </row>
    <row r="9524" spans="1:2">
      <c r="A9524" s="225" t="s">
        <v>18997</v>
      </c>
      <c r="B9524" s="225" t="s">
        <v>17395</v>
      </c>
    </row>
    <row r="9525" spans="1:2">
      <c r="A9525" s="225" t="s">
        <v>18998</v>
      </c>
      <c r="B9525" s="225" t="s">
        <v>18999</v>
      </c>
    </row>
    <row r="9526" spans="1:2">
      <c r="A9526" s="225" t="s">
        <v>19000</v>
      </c>
      <c r="B9526" s="225" t="s">
        <v>18732</v>
      </c>
    </row>
    <row r="9527" spans="1:2">
      <c r="A9527" s="225" t="s">
        <v>19001</v>
      </c>
      <c r="B9527" s="225" t="s">
        <v>18730</v>
      </c>
    </row>
    <row r="9528" spans="1:2">
      <c r="A9528" s="225" t="s">
        <v>19002</v>
      </c>
      <c r="B9528" s="225" t="s">
        <v>18728</v>
      </c>
    </row>
    <row r="9529" spans="1:2">
      <c r="A9529" s="225" t="s">
        <v>19003</v>
      </c>
      <c r="B9529" s="225" t="s">
        <v>18725</v>
      </c>
    </row>
    <row r="9530" spans="1:2">
      <c r="A9530" s="225" t="s">
        <v>19004</v>
      </c>
      <c r="B9530" s="225" t="s">
        <v>18723</v>
      </c>
    </row>
    <row r="9531" spans="1:2">
      <c r="A9531" s="225" t="s">
        <v>19006</v>
      </c>
      <c r="B9531" s="225" t="s">
        <v>19007</v>
      </c>
    </row>
    <row r="9532" spans="1:2">
      <c r="A9532" s="225" t="s">
        <v>19009</v>
      </c>
      <c r="B9532" s="225" t="s">
        <v>18085</v>
      </c>
    </row>
    <row r="9533" spans="1:2">
      <c r="A9533" s="225" t="s">
        <v>19012</v>
      </c>
      <c r="B9533" s="225" t="s">
        <v>18098</v>
      </c>
    </row>
    <row r="9534" spans="1:2">
      <c r="A9534" s="225" t="s">
        <v>19015</v>
      </c>
      <c r="B9534" s="225" t="s">
        <v>18094</v>
      </c>
    </row>
    <row r="9535" spans="1:2">
      <c r="A9535" s="225" t="s">
        <v>19016</v>
      </c>
      <c r="B9535" s="225" t="s">
        <v>18092</v>
      </c>
    </row>
    <row r="9536" spans="1:2">
      <c r="A9536" s="225" t="s">
        <v>19018</v>
      </c>
      <c r="B9536" s="225" t="s">
        <v>1670</v>
      </c>
    </row>
    <row r="9537" spans="1:2">
      <c r="A9537" s="225" t="s">
        <v>19020</v>
      </c>
      <c r="B9537" s="225" t="s">
        <v>18600</v>
      </c>
    </row>
    <row r="9538" spans="1:2">
      <c r="A9538" s="225" t="s">
        <v>19022</v>
      </c>
      <c r="B9538" s="225" t="s">
        <v>19023</v>
      </c>
    </row>
    <row r="9539" spans="1:2">
      <c r="A9539" s="225" t="s">
        <v>19024</v>
      </c>
      <c r="B9539" s="225" t="s">
        <v>18600</v>
      </c>
    </row>
    <row r="9540" spans="1:2">
      <c r="A9540" s="225" t="s">
        <v>19025</v>
      </c>
      <c r="B9540" s="225" t="s">
        <v>19026</v>
      </c>
    </row>
    <row r="9541" spans="1:2">
      <c r="A9541" s="225" t="s">
        <v>19027</v>
      </c>
      <c r="B9541" s="225" t="s">
        <v>19028</v>
      </c>
    </row>
    <row r="9542" spans="1:2">
      <c r="A9542" s="225" t="s">
        <v>19029</v>
      </c>
      <c r="B9542" s="225" t="s">
        <v>19030</v>
      </c>
    </row>
    <row r="9543" spans="1:2">
      <c r="A9543" s="225" t="s">
        <v>19031</v>
      </c>
      <c r="B9543" s="225" t="s">
        <v>2235</v>
      </c>
    </row>
    <row r="9544" spans="1:2">
      <c r="A9544" s="225" t="s">
        <v>19032</v>
      </c>
      <c r="B9544" s="225" t="s">
        <v>2234</v>
      </c>
    </row>
    <row r="9545" spans="1:2">
      <c r="A9545" s="225" t="s">
        <v>19033</v>
      </c>
      <c r="B9545" s="225" t="s">
        <v>2235</v>
      </c>
    </row>
    <row r="9546" spans="1:2">
      <c r="A9546" s="225" t="s">
        <v>19034</v>
      </c>
      <c r="B9546" s="225" t="s">
        <v>2232</v>
      </c>
    </row>
    <row r="9547" spans="1:2">
      <c r="A9547" s="225" t="s">
        <v>19035</v>
      </c>
      <c r="B9547" s="225" t="s">
        <v>2229</v>
      </c>
    </row>
    <row r="9548" spans="1:2">
      <c r="A9548" s="225" t="s">
        <v>19036</v>
      </c>
      <c r="B9548" s="225" t="s">
        <v>2220</v>
      </c>
    </row>
    <row r="9549" spans="1:2">
      <c r="A9549" s="225" t="s">
        <v>19037</v>
      </c>
      <c r="B9549" s="225" t="s">
        <v>19038</v>
      </c>
    </row>
    <row r="9550" spans="1:2">
      <c r="A9550" s="225" t="s">
        <v>19039</v>
      </c>
      <c r="B9550" s="225" t="s">
        <v>2221</v>
      </c>
    </row>
    <row r="9551" spans="1:2">
      <c r="A9551" s="225" t="s">
        <v>19040</v>
      </c>
      <c r="B9551" s="225" t="s">
        <v>2207</v>
      </c>
    </row>
    <row r="9552" spans="1:2">
      <c r="A9552" s="225" t="s">
        <v>19041</v>
      </c>
      <c r="B9552" s="225" t="s">
        <v>2206</v>
      </c>
    </row>
    <row r="9553" spans="1:2">
      <c r="A9553" s="225" t="s">
        <v>19042</v>
      </c>
      <c r="B9553" s="225" t="s">
        <v>19043</v>
      </c>
    </row>
    <row r="9554" spans="1:2">
      <c r="A9554" s="225" t="s">
        <v>19044</v>
      </c>
      <c r="B9554" s="225" t="s">
        <v>2209</v>
      </c>
    </row>
    <row r="9555" spans="1:2">
      <c r="A9555" s="225" t="s">
        <v>19045</v>
      </c>
      <c r="B9555" s="225" t="s">
        <v>2200</v>
      </c>
    </row>
    <row r="9556" spans="1:2">
      <c r="A9556" s="225" t="s">
        <v>19046</v>
      </c>
      <c r="B9556" s="225" t="s">
        <v>19047</v>
      </c>
    </row>
    <row r="9557" spans="1:2">
      <c r="A9557" s="225" t="s">
        <v>19048</v>
      </c>
      <c r="B9557" s="225" t="s">
        <v>19049</v>
      </c>
    </row>
    <row r="9558" spans="1:2">
      <c r="A9558" s="225" t="s">
        <v>14868</v>
      </c>
      <c r="B9558" s="225" t="s">
        <v>9483</v>
      </c>
    </row>
    <row r="9559" spans="1:2">
      <c r="A9559" s="225" t="s">
        <v>14869</v>
      </c>
      <c r="B9559" s="225" t="s">
        <v>14870</v>
      </c>
    </row>
    <row r="9560" spans="1:2">
      <c r="A9560" s="225" t="s">
        <v>14871</v>
      </c>
      <c r="B9560" s="225" t="s">
        <v>9483</v>
      </c>
    </row>
    <row r="9561" spans="1:2">
      <c r="A9561" s="225" t="s">
        <v>14872</v>
      </c>
      <c r="B9561" s="225" t="s">
        <v>14870</v>
      </c>
    </row>
    <row r="9562" spans="1:2">
      <c r="A9562" s="225" t="s">
        <v>14875</v>
      </c>
      <c r="B9562" s="225" t="s">
        <v>14876</v>
      </c>
    </row>
    <row r="9563" spans="1:2">
      <c r="A9563" s="225" t="s">
        <v>14877</v>
      </c>
      <c r="B9563" s="225" t="s">
        <v>14878</v>
      </c>
    </row>
    <row r="9564" spans="1:2">
      <c r="A9564" s="225" t="s">
        <v>14886</v>
      </c>
      <c r="B9564" s="225" t="s">
        <v>14887</v>
      </c>
    </row>
    <row r="9565" spans="1:2">
      <c r="A9565" s="225" t="s">
        <v>14888</v>
      </c>
      <c r="B9565" s="225" t="s">
        <v>14889</v>
      </c>
    </row>
    <row r="9566" spans="1:2">
      <c r="A9566" s="225" t="s">
        <v>14890</v>
      </c>
      <c r="B9566" s="225" t="s">
        <v>14891</v>
      </c>
    </row>
    <row r="9567" spans="1:2">
      <c r="A9567" s="225" t="s">
        <v>14914</v>
      </c>
      <c r="B9567" s="225" t="s">
        <v>14915</v>
      </c>
    </row>
    <row r="9568" spans="1:2">
      <c r="A9568" s="225" t="s">
        <v>14916</v>
      </c>
      <c r="B9568" s="225" t="s">
        <v>10547</v>
      </c>
    </row>
    <row r="9569" spans="1:2">
      <c r="A9569" s="225" t="s">
        <v>14917</v>
      </c>
      <c r="B9569" s="225" t="s">
        <v>14918</v>
      </c>
    </row>
    <row r="9570" spans="1:2">
      <c r="A9570" s="225" t="s">
        <v>14919</v>
      </c>
      <c r="B9570" s="225" t="s">
        <v>14920</v>
      </c>
    </row>
    <row r="9571" spans="1:2">
      <c r="A9571" s="225" t="s">
        <v>14921</v>
      </c>
      <c r="B9571" s="225" t="s">
        <v>14922</v>
      </c>
    </row>
    <row r="9572" spans="1:2">
      <c r="A9572" s="225" t="s">
        <v>14923</v>
      </c>
      <c r="B9572" s="225" t="s">
        <v>14924</v>
      </c>
    </row>
    <row r="9573" spans="1:2">
      <c r="A9573" s="225" t="s">
        <v>14925</v>
      </c>
      <c r="B9573" s="225" t="s">
        <v>14926</v>
      </c>
    </row>
    <row r="9574" spans="1:2">
      <c r="A9574" s="225" t="s">
        <v>14927</v>
      </c>
      <c r="B9574" s="225" t="s">
        <v>14928</v>
      </c>
    </row>
    <row r="9575" spans="1:2">
      <c r="A9575" s="225" t="s">
        <v>14929</v>
      </c>
      <c r="B9575" s="225" t="s">
        <v>14930</v>
      </c>
    </row>
    <row r="9576" spans="1:2">
      <c r="A9576" s="225" t="s">
        <v>14931</v>
      </c>
      <c r="B9576" s="225" t="s">
        <v>14918</v>
      </c>
    </row>
    <row r="9577" spans="1:2">
      <c r="A9577" s="225" t="s">
        <v>14932</v>
      </c>
      <c r="B9577" s="225" t="s">
        <v>14920</v>
      </c>
    </row>
    <row r="9578" spans="1:2">
      <c r="A9578" s="225" t="s">
        <v>14933</v>
      </c>
      <c r="B9578" s="225" t="s">
        <v>14922</v>
      </c>
    </row>
    <row r="9579" spans="1:2">
      <c r="A9579" s="225" t="s">
        <v>14934</v>
      </c>
      <c r="B9579" s="225" t="s">
        <v>14924</v>
      </c>
    </row>
    <row r="9580" spans="1:2">
      <c r="A9580" s="225" t="s">
        <v>14935</v>
      </c>
      <c r="B9580" s="225" t="s">
        <v>14926</v>
      </c>
    </row>
    <row r="9581" spans="1:2">
      <c r="A9581" s="225" t="s">
        <v>14936</v>
      </c>
      <c r="B9581" s="225" t="s">
        <v>14928</v>
      </c>
    </row>
    <row r="9582" spans="1:2">
      <c r="A9582" s="225" t="s">
        <v>14937</v>
      </c>
      <c r="B9582" s="225" t="s">
        <v>14930</v>
      </c>
    </row>
    <row r="9583" spans="1:2">
      <c r="A9583" s="225" t="s">
        <v>14938</v>
      </c>
      <c r="B9583" s="225" t="s">
        <v>14918</v>
      </c>
    </row>
    <row r="9584" spans="1:2">
      <c r="A9584" s="225" t="s">
        <v>14939</v>
      </c>
      <c r="B9584" s="225" t="s">
        <v>14920</v>
      </c>
    </row>
    <row r="9585" spans="1:2">
      <c r="A9585" s="225" t="s">
        <v>14940</v>
      </c>
      <c r="B9585" s="225" t="s">
        <v>14922</v>
      </c>
    </row>
    <row r="9586" spans="1:2">
      <c r="A9586" s="225" t="s">
        <v>14941</v>
      </c>
      <c r="B9586" s="225" t="s">
        <v>14924</v>
      </c>
    </row>
    <row r="9587" spans="1:2">
      <c r="A9587" s="225" t="s">
        <v>14942</v>
      </c>
      <c r="B9587" s="225" t="s">
        <v>14926</v>
      </c>
    </row>
    <row r="9588" spans="1:2">
      <c r="A9588" s="225" t="s">
        <v>14943</v>
      </c>
      <c r="B9588" s="225" t="s">
        <v>14928</v>
      </c>
    </row>
    <row r="9589" spans="1:2">
      <c r="A9589" s="225" t="s">
        <v>14944</v>
      </c>
      <c r="B9589" s="225" t="s">
        <v>14930</v>
      </c>
    </row>
    <row r="9590" spans="1:2">
      <c r="A9590" s="225" t="s">
        <v>14953</v>
      </c>
      <c r="B9590" s="225" t="s">
        <v>9483</v>
      </c>
    </row>
    <row r="9591" spans="1:2">
      <c r="A9591" s="225" t="s">
        <v>15065</v>
      </c>
      <c r="B9591" s="225" t="s">
        <v>14870</v>
      </c>
    </row>
    <row r="9592" spans="1:2">
      <c r="A9592" s="225" t="s">
        <v>14952</v>
      </c>
      <c r="B9592" s="225" t="s">
        <v>15066</v>
      </c>
    </row>
    <row r="9593" spans="1:2">
      <c r="A9593" s="225" t="s">
        <v>14950</v>
      </c>
      <c r="B9593" s="225" t="s">
        <v>1782</v>
      </c>
    </row>
    <row r="9594" spans="1:2">
      <c r="A9594" s="225" t="s">
        <v>15067</v>
      </c>
      <c r="B9594" s="225" t="s">
        <v>15066</v>
      </c>
    </row>
    <row r="9595" spans="1:2">
      <c r="A9595" s="225" t="s">
        <v>15068</v>
      </c>
      <c r="B9595" s="225" t="s">
        <v>1782</v>
      </c>
    </row>
    <row r="9596" spans="1:2">
      <c r="A9596" s="225" t="s">
        <v>15069</v>
      </c>
      <c r="B9596" s="225" t="s">
        <v>14870</v>
      </c>
    </row>
    <row r="9597" spans="1:2">
      <c r="A9597" s="225" t="s">
        <v>14951</v>
      </c>
      <c r="B9597" s="225" t="s">
        <v>9483</v>
      </c>
    </row>
    <row r="9598" spans="1:2">
      <c r="A9598" s="225" t="s">
        <v>15070</v>
      </c>
      <c r="B9598" s="225" t="s">
        <v>1782</v>
      </c>
    </row>
    <row r="9599" spans="1:2">
      <c r="A9599" s="225" t="s">
        <v>14949</v>
      </c>
      <c r="B9599" s="225" t="s">
        <v>2230</v>
      </c>
    </row>
    <row r="9600" spans="1:2">
      <c r="A9600" s="225" t="s">
        <v>14945</v>
      </c>
      <c r="B9600" s="225" t="s">
        <v>2203</v>
      </c>
    </row>
    <row r="9601" spans="1:2">
      <c r="A9601" s="225" t="s">
        <v>14946</v>
      </c>
      <c r="B9601" s="225" t="s">
        <v>2199</v>
      </c>
    </row>
    <row r="9602" spans="1:2">
      <c r="A9602" s="225" t="s">
        <v>16913</v>
      </c>
      <c r="B9602" s="225" t="s">
        <v>16914</v>
      </c>
    </row>
    <row r="9603" spans="1:2">
      <c r="A9603" s="225" t="s">
        <v>16955</v>
      </c>
      <c r="B9603" s="225" t="s">
        <v>16956</v>
      </c>
    </row>
    <row r="9604" spans="1:2">
      <c r="A9604" s="225" t="s">
        <v>16973</v>
      </c>
      <c r="B9604" s="225" t="s">
        <v>16974</v>
      </c>
    </row>
    <row r="9605" spans="1:2">
      <c r="A9605" s="225" t="s">
        <v>16981</v>
      </c>
      <c r="B9605" s="225" t="s">
        <v>16982</v>
      </c>
    </row>
    <row r="9606" spans="1:2">
      <c r="A9606" s="225" t="s">
        <v>16985</v>
      </c>
      <c r="B9606" s="225" t="s">
        <v>16986</v>
      </c>
    </row>
    <row r="9607" spans="1:2">
      <c r="A9607" s="225" t="s">
        <v>16987</v>
      </c>
      <c r="B9607" s="225" t="s">
        <v>16988</v>
      </c>
    </row>
    <row r="9608" spans="1:2">
      <c r="A9608" s="225" t="s">
        <v>17067</v>
      </c>
      <c r="B9608" s="225" t="s">
        <v>17068</v>
      </c>
    </row>
    <row r="9609" spans="1:2">
      <c r="A9609" s="225" t="s">
        <v>17069</v>
      </c>
      <c r="B9609" s="225" t="s">
        <v>17070</v>
      </c>
    </row>
    <row r="9610" spans="1:2">
      <c r="A9610" s="225" t="s">
        <v>17190</v>
      </c>
      <c r="B9610" s="225" t="s">
        <v>17191</v>
      </c>
    </row>
    <row r="9611" spans="1:2">
      <c r="A9611" s="225" t="s">
        <v>17194</v>
      </c>
      <c r="B9611" s="225" t="s">
        <v>17195</v>
      </c>
    </row>
    <row r="9612" spans="1:2">
      <c r="A9612" s="225" t="s">
        <v>17196</v>
      </c>
      <c r="B9612" s="225" t="s">
        <v>17197</v>
      </c>
    </row>
    <row r="9613" spans="1:2">
      <c r="A9613" s="225" t="s">
        <v>17199</v>
      </c>
      <c r="B9613" s="225" t="s">
        <v>17200</v>
      </c>
    </row>
    <row r="9614" spans="1:2">
      <c r="A9614" s="225" t="s">
        <v>17201</v>
      </c>
      <c r="B9614" s="225" t="s">
        <v>17202</v>
      </c>
    </row>
    <row r="9615" spans="1:2">
      <c r="A9615" s="225" t="s">
        <v>5431</v>
      </c>
      <c r="B9615" s="225" t="s">
        <v>5431</v>
      </c>
    </row>
    <row r="9616" spans="1:2">
      <c r="A9616" s="225" t="s">
        <v>5432</v>
      </c>
      <c r="B9616" s="225" t="s">
        <v>5431</v>
      </c>
    </row>
    <row r="9617" spans="1:2">
      <c r="A9617" s="225" t="s">
        <v>5433</v>
      </c>
      <c r="B9617" s="225" t="s">
        <v>5433</v>
      </c>
    </row>
    <row r="9618" spans="1:2">
      <c r="A9618" s="225" t="s">
        <v>5434</v>
      </c>
      <c r="B9618" s="225" t="s">
        <v>5433</v>
      </c>
    </row>
    <row r="9619" spans="1:2">
      <c r="A9619" s="225" t="s">
        <v>1591</v>
      </c>
      <c r="B9619" s="225" t="s">
        <v>1591</v>
      </c>
    </row>
    <row r="9620" spans="1:2">
      <c r="A9620" s="225" t="s">
        <v>5435</v>
      </c>
      <c r="B9620" s="225" t="s">
        <v>1591</v>
      </c>
    </row>
    <row r="9621" spans="1:2">
      <c r="A9621" s="225" t="s">
        <v>1610</v>
      </c>
      <c r="B9621" s="225" t="s">
        <v>1956</v>
      </c>
    </row>
    <row r="9622" spans="1:2">
      <c r="A9622" s="225" t="s">
        <v>3983</v>
      </c>
      <c r="B9622" s="225" t="s">
        <v>1140</v>
      </c>
    </row>
    <row r="9623" spans="1:2">
      <c r="A9623" s="225" t="s">
        <v>3986</v>
      </c>
      <c r="B9623" s="225" t="s">
        <v>3984</v>
      </c>
    </row>
    <row r="9624" spans="1:2">
      <c r="A9624" s="225" t="s">
        <v>3987</v>
      </c>
      <c r="B9624" s="225" t="s">
        <v>3984</v>
      </c>
    </row>
    <row r="9625" spans="1:2">
      <c r="A9625" s="225" t="s">
        <v>3988</v>
      </c>
      <c r="B9625" s="225" t="s">
        <v>3984</v>
      </c>
    </row>
    <row r="9626" spans="1:2">
      <c r="A9626" s="225" t="s">
        <v>3989</v>
      </c>
      <c r="B9626" s="225" t="s">
        <v>3984</v>
      </c>
    </row>
    <row r="9627" spans="1:2">
      <c r="A9627" s="225" t="s">
        <v>3990</v>
      </c>
      <c r="B9627" s="225" t="s">
        <v>3984</v>
      </c>
    </row>
    <row r="9628" spans="1:2">
      <c r="A9628" s="225" t="s">
        <v>3982</v>
      </c>
      <c r="B9628" s="225" t="s">
        <v>1140</v>
      </c>
    </row>
    <row r="9629" spans="1:2">
      <c r="A9629" s="225" t="s">
        <v>3743</v>
      </c>
      <c r="B9629" s="225" t="s">
        <v>3337</v>
      </c>
    </row>
    <row r="9630" spans="1:2">
      <c r="A9630" s="225" t="s">
        <v>3744</v>
      </c>
      <c r="B9630" s="225" t="s">
        <v>3337</v>
      </c>
    </row>
    <row r="9631" spans="1:2">
      <c r="A9631" s="225" t="s">
        <v>3746</v>
      </c>
      <c r="B9631" s="225" t="s">
        <v>3339</v>
      </c>
    </row>
    <row r="9632" spans="1:2">
      <c r="A9632" s="225" t="s">
        <v>3747</v>
      </c>
      <c r="B9632" s="225" t="s">
        <v>3339</v>
      </c>
    </row>
    <row r="9633" spans="1:2">
      <c r="A9633" s="225" t="s">
        <v>3749</v>
      </c>
      <c r="B9633" s="225" t="s">
        <v>3341</v>
      </c>
    </row>
    <row r="9634" spans="1:2">
      <c r="A9634" s="225" t="s">
        <v>3750</v>
      </c>
      <c r="B9634" s="225" t="s">
        <v>3341</v>
      </c>
    </row>
    <row r="9635" spans="1:2">
      <c r="A9635" s="225" t="s">
        <v>3740</v>
      </c>
      <c r="B9635" s="225" t="s">
        <v>3335</v>
      </c>
    </row>
    <row r="9636" spans="1:2">
      <c r="A9636" s="225" t="s">
        <v>3741</v>
      </c>
      <c r="B9636" s="225" t="s">
        <v>3335</v>
      </c>
    </row>
    <row r="9637" spans="1:2">
      <c r="A9637" s="225" t="s">
        <v>3764</v>
      </c>
      <c r="B9637" s="225" t="s">
        <v>1860</v>
      </c>
    </row>
    <row r="9638" spans="1:2">
      <c r="A9638" s="225" t="s">
        <v>3765</v>
      </c>
      <c r="B9638" s="225" t="s">
        <v>1860</v>
      </c>
    </row>
    <row r="9639" spans="1:2">
      <c r="A9639" s="225" t="s">
        <v>3762</v>
      </c>
      <c r="B9639" s="225" t="s">
        <v>3761</v>
      </c>
    </row>
    <row r="9640" spans="1:2">
      <c r="A9640" s="225" t="s">
        <v>2482</v>
      </c>
      <c r="B9640" s="225" t="s">
        <v>2235</v>
      </c>
    </row>
    <row r="9641" spans="1:2">
      <c r="A9641" s="225" t="s">
        <v>2483</v>
      </c>
      <c r="B9641" s="225" t="s">
        <v>2235</v>
      </c>
    </row>
    <row r="9642" spans="1:2">
      <c r="A9642" s="225" t="s">
        <v>1607</v>
      </c>
      <c r="B9642" s="225" t="s">
        <v>3457</v>
      </c>
    </row>
    <row r="9643" spans="1:2">
      <c r="A9643" s="225" t="s">
        <v>1598</v>
      </c>
      <c r="B9643" s="225" t="s">
        <v>3306</v>
      </c>
    </row>
    <row r="9644" spans="1:2">
      <c r="A9644" s="225" t="s">
        <v>1602</v>
      </c>
      <c r="B9644" s="225" t="s">
        <v>3258</v>
      </c>
    </row>
    <row r="9645" spans="1:2">
      <c r="A9645" s="225" t="s">
        <v>3468</v>
      </c>
      <c r="B9645" s="225" t="s">
        <v>3467</v>
      </c>
    </row>
    <row r="9646" spans="1:2">
      <c r="A9646" s="225" t="s">
        <v>4074</v>
      </c>
      <c r="B9646" s="225" t="s">
        <v>4073</v>
      </c>
    </row>
    <row r="9647" spans="1:2">
      <c r="A9647" s="225" t="s">
        <v>4075</v>
      </c>
      <c r="B9647" s="225" t="s">
        <v>4073</v>
      </c>
    </row>
    <row r="9648" spans="1:2">
      <c r="A9648" s="225" t="s">
        <v>4076</v>
      </c>
      <c r="B9648" s="225" t="s">
        <v>4073</v>
      </c>
    </row>
    <row r="9649" spans="1:2">
      <c r="A9649" s="225" t="s">
        <v>4078</v>
      </c>
      <c r="B9649" s="225" t="s">
        <v>4077</v>
      </c>
    </row>
    <row r="9650" spans="1:2">
      <c r="A9650" s="225" t="s">
        <v>4079</v>
      </c>
      <c r="B9650" s="225" t="s">
        <v>4077</v>
      </c>
    </row>
    <row r="9651" spans="1:2">
      <c r="A9651" s="225" t="s">
        <v>4080</v>
      </c>
      <c r="B9651" s="225" t="s">
        <v>4077</v>
      </c>
    </row>
    <row r="9652" spans="1:2">
      <c r="A9652" s="225" t="s">
        <v>3698</v>
      </c>
      <c r="B9652" s="225" t="s">
        <v>3697</v>
      </c>
    </row>
    <row r="9653" spans="1:2">
      <c r="A9653" s="225" t="s">
        <v>3699</v>
      </c>
      <c r="B9653" s="225" t="s">
        <v>3697</v>
      </c>
    </row>
    <row r="9654" spans="1:2">
      <c r="A9654" s="225" t="s">
        <v>3720</v>
      </c>
      <c r="B9654" s="225" t="s">
        <v>3719</v>
      </c>
    </row>
    <row r="9655" spans="1:2">
      <c r="A9655" s="225" t="s">
        <v>3715</v>
      </c>
      <c r="B9655" s="225" t="s">
        <v>3713</v>
      </c>
    </row>
    <row r="9656" spans="1:2">
      <c r="A9656" s="225" t="s">
        <v>1592</v>
      </c>
      <c r="B9656" s="225" t="s">
        <v>2475</v>
      </c>
    </row>
    <row r="9657" spans="1:2">
      <c r="A9657" s="225" t="s">
        <v>1594</v>
      </c>
      <c r="B9657" s="225" t="s">
        <v>3467</v>
      </c>
    </row>
    <row r="9658" spans="1:2">
      <c r="A9658" s="225" t="s">
        <v>3714</v>
      </c>
      <c r="B9658" s="225" t="s">
        <v>3713</v>
      </c>
    </row>
    <row r="9659" spans="1:2">
      <c r="A9659" s="225" t="s">
        <v>1604</v>
      </c>
      <c r="B9659" s="225" t="s">
        <v>1140</v>
      </c>
    </row>
    <row r="9660" spans="1:2">
      <c r="A9660" s="225" t="s">
        <v>1606</v>
      </c>
      <c r="B9660" s="225" t="s">
        <v>1956</v>
      </c>
    </row>
    <row r="9661" spans="1:2">
      <c r="A9661" s="225" t="s">
        <v>3763</v>
      </c>
      <c r="B9661" s="225" t="s">
        <v>3761</v>
      </c>
    </row>
    <row r="9662" spans="1:2">
      <c r="A9662" s="225" t="s">
        <v>1595</v>
      </c>
      <c r="B9662" s="225" t="s">
        <v>7878</v>
      </c>
    </row>
    <row r="9663" spans="1:2">
      <c r="A9663" s="225" t="s">
        <v>11247</v>
      </c>
      <c r="B9663" s="225" t="s">
        <v>2235</v>
      </c>
    </row>
    <row r="9664" spans="1:2">
      <c r="A9664" s="225" t="s">
        <v>1597</v>
      </c>
      <c r="B9664" s="225" t="s">
        <v>2235</v>
      </c>
    </row>
    <row r="9665" spans="1:2">
      <c r="A9665" s="225" t="s">
        <v>1593</v>
      </c>
      <c r="B9665" s="225" t="s">
        <v>2475</v>
      </c>
    </row>
    <row r="9666" spans="1:2">
      <c r="A9666" s="225" t="s">
        <v>3893</v>
      </c>
      <c r="B9666" s="225" t="s">
        <v>3892</v>
      </c>
    </row>
    <row r="9667" spans="1:2">
      <c r="A9667" s="225" t="s">
        <v>3894</v>
      </c>
      <c r="B9667" s="225" t="s">
        <v>3892</v>
      </c>
    </row>
    <row r="9668" spans="1:2">
      <c r="A9668" s="225" t="s">
        <v>3469</v>
      </c>
      <c r="B9668" s="225" t="s">
        <v>3467</v>
      </c>
    </row>
    <row r="9669" spans="1:2">
      <c r="A9669" s="225" t="s">
        <v>1599</v>
      </c>
      <c r="B9669" s="225" t="s">
        <v>2475</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2605"/>
  <sheetViews>
    <sheetView workbookViewId="0">
      <selection sqref="A1:B2602"/>
    </sheetView>
  </sheetViews>
  <sheetFormatPr baseColWidth="10" defaultRowHeight="15"/>
  <cols>
    <col min="1" max="1" width="16.140625" style="27" bestFit="1" customWidth="1"/>
    <col min="2" max="3" width="81.140625" customWidth="1"/>
  </cols>
  <sheetData>
    <row r="1" spans="1:2">
      <c r="A1" s="513" t="s">
        <v>11614</v>
      </c>
      <c r="B1" s="512" t="s">
        <v>2036</v>
      </c>
    </row>
    <row r="2" spans="1:2">
      <c r="A2" s="513" t="s">
        <v>12102</v>
      </c>
      <c r="B2" s="512" t="s">
        <v>12103</v>
      </c>
    </row>
    <row r="3" spans="1:2">
      <c r="A3" s="513" t="s">
        <v>12257</v>
      </c>
      <c r="B3" s="512" t="s">
        <v>12166</v>
      </c>
    </row>
    <row r="4" spans="1:2">
      <c r="A4" s="513" t="s">
        <v>12192</v>
      </c>
      <c r="B4" s="512" t="s">
        <v>12193</v>
      </c>
    </row>
    <row r="5" spans="1:2">
      <c r="A5" s="513" t="s">
        <v>12194</v>
      </c>
      <c r="B5" s="512" t="s">
        <v>12193</v>
      </c>
    </row>
    <row r="6" spans="1:2">
      <c r="A6" s="513" t="s">
        <v>13619</v>
      </c>
      <c r="B6" s="512" t="s">
        <v>11910</v>
      </c>
    </row>
    <row r="7" spans="1:2">
      <c r="A7" s="513" t="s">
        <v>13624</v>
      </c>
      <c r="B7" s="512" t="s">
        <v>11910</v>
      </c>
    </row>
    <row r="8" spans="1:2">
      <c r="A8" s="513" t="s">
        <v>13629</v>
      </c>
      <c r="B8" s="512" t="s">
        <v>11910</v>
      </c>
    </row>
    <row r="9" spans="1:2">
      <c r="A9" s="513" t="s">
        <v>13635</v>
      </c>
      <c r="B9" s="512" t="s">
        <v>11910</v>
      </c>
    </row>
    <row r="10" spans="1:2">
      <c r="A10" s="513" t="s">
        <v>13641</v>
      </c>
      <c r="B10" s="512" t="s">
        <v>11910</v>
      </c>
    </row>
    <row r="11" spans="1:2">
      <c r="A11" s="513" t="s">
        <v>13891</v>
      </c>
      <c r="B11" s="512" t="s">
        <v>8373</v>
      </c>
    </row>
    <row r="12" spans="1:2">
      <c r="A12" s="513" t="s">
        <v>13892</v>
      </c>
      <c r="B12" s="512" t="s">
        <v>13893</v>
      </c>
    </row>
    <row r="13" spans="1:2">
      <c r="A13" s="513" t="s">
        <v>13894</v>
      </c>
      <c r="B13" s="512" t="s">
        <v>13895</v>
      </c>
    </row>
    <row r="14" spans="1:2">
      <c r="A14" s="513" t="s">
        <v>13896</v>
      </c>
      <c r="B14" s="512" t="s">
        <v>13897</v>
      </c>
    </row>
    <row r="15" spans="1:2">
      <c r="A15" s="513" t="s">
        <v>13898</v>
      </c>
      <c r="B15" s="512" t="s">
        <v>13899</v>
      </c>
    </row>
    <row r="16" spans="1:2">
      <c r="A16" s="513" t="s">
        <v>13900</v>
      </c>
      <c r="B16" s="512" t="s">
        <v>13901</v>
      </c>
    </row>
    <row r="17" spans="1:2">
      <c r="A17" s="513" t="s">
        <v>13902</v>
      </c>
      <c r="B17" s="512" t="s">
        <v>13901</v>
      </c>
    </row>
    <row r="18" spans="1:2">
      <c r="A18" s="513" t="s">
        <v>13936</v>
      </c>
      <c r="B18" s="512" t="s">
        <v>8373</v>
      </c>
    </row>
    <row r="19" spans="1:2">
      <c r="A19" s="513" t="s">
        <v>13937</v>
      </c>
      <c r="B19" s="512" t="s">
        <v>13893</v>
      </c>
    </row>
    <row r="20" spans="1:2">
      <c r="A20" s="513" t="s">
        <v>13938</v>
      </c>
      <c r="B20" s="512" t="s">
        <v>13895</v>
      </c>
    </row>
    <row r="21" spans="1:2">
      <c r="A21" s="513" t="s">
        <v>13939</v>
      </c>
      <c r="B21" s="512" t="s">
        <v>13897</v>
      </c>
    </row>
    <row r="22" spans="1:2">
      <c r="A22" s="513" t="s">
        <v>13940</v>
      </c>
      <c r="B22" s="512" t="s">
        <v>13899</v>
      </c>
    </row>
    <row r="23" spans="1:2">
      <c r="A23" s="513" t="s">
        <v>13941</v>
      </c>
      <c r="B23" s="512" t="s">
        <v>13901</v>
      </c>
    </row>
    <row r="24" spans="1:2">
      <c r="A24" s="513" t="s">
        <v>13942</v>
      </c>
      <c r="B24" s="512" t="s">
        <v>13901</v>
      </c>
    </row>
    <row r="25" spans="1:2">
      <c r="A25" s="513" t="s">
        <v>13943</v>
      </c>
      <c r="B25" s="512" t="s">
        <v>13944</v>
      </c>
    </row>
    <row r="26" spans="1:2">
      <c r="A26" s="513" t="s">
        <v>13945</v>
      </c>
      <c r="B26" s="512" t="s">
        <v>13946</v>
      </c>
    </row>
    <row r="27" spans="1:2">
      <c r="A27" s="513" t="s">
        <v>13947</v>
      </c>
      <c r="B27" s="512" t="s">
        <v>13948</v>
      </c>
    </row>
    <row r="28" spans="1:2">
      <c r="A28" s="513" t="s">
        <v>13949</v>
      </c>
      <c r="B28" s="512" t="s">
        <v>8373</v>
      </c>
    </row>
    <row r="29" spans="1:2">
      <c r="A29" s="513" t="s">
        <v>13950</v>
      </c>
      <c r="B29" s="512" t="s">
        <v>13944</v>
      </c>
    </row>
    <row r="30" spans="1:2">
      <c r="A30" s="513" t="s">
        <v>13951</v>
      </c>
      <c r="B30" s="512" t="s">
        <v>13946</v>
      </c>
    </row>
    <row r="31" spans="1:2">
      <c r="A31" s="513" t="s">
        <v>13952</v>
      </c>
      <c r="B31" s="512" t="s">
        <v>13948</v>
      </c>
    </row>
    <row r="32" spans="1:2">
      <c r="A32" s="513" t="s">
        <v>13953</v>
      </c>
      <c r="B32" s="512" t="s">
        <v>13893</v>
      </c>
    </row>
    <row r="33" spans="1:2">
      <c r="A33" s="513" t="s">
        <v>13954</v>
      </c>
      <c r="B33" s="512" t="s">
        <v>13944</v>
      </c>
    </row>
    <row r="34" spans="1:2">
      <c r="A34" s="513" t="s">
        <v>13955</v>
      </c>
      <c r="B34" s="512" t="s">
        <v>13946</v>
      </c>
    </row>
    <row r="35" spans="1:2">
      <c r="A35" s="513" t="s">
        <v>13956</v>
      </c>
      <c r="B35" s="512" t="s">
        <v>13948</v>
      </c>
    </row>
    <row r="36" spans="1:2">
      <c r="A36" s="513" t="s">
        <v>13957</v>
      </c>
      <c r="B36" s="512" t="s">
        <v>13895</v>
      </c>
    </row>
    <row r="37" spans="1:2">
      <c r="A37" s="513" t="s">
        <v>13958</v>
      </c>
      <c r="B37" s="512" t="s">
        <v>13944</v>
      </c>
    </row>
    <row r="38" spans="1:2">
      <c r="A38" s="513" t="s">
        <v>13959</v>
      </c>
      <c r="B38" s="512" t="s">
        <v>13946</v>
      </c>
    </row>
    <row r="39" spans="1:2">
      <c r="A39" s="513" t="s">
        <v>13960</v>
      </c>
      <c r="B39" s="512" t="s">
        <v>13948</v>
      </c>
    </row>
    <row r="40" spans="1:2">
      <c r="A40" s="513" t="s">
        <v>13961</v>
      </c>
      <c r="B40" s="512" t="s">
        <v>13897</v>
      </c>
    </row>
    <row r="41" spans="1:2">
      <c r="A41" s="513" t="s">
        <v>13962</v>
      </c>
      <c r="B41" s="512" t="s">
        <v>13944</v>
      </c>
    </row>
    <row r="42" spans="1:2">
      <c r="A42" s="513" t="s">
        <v>13963</v>
      </c>
      <c r="B42" s="512" t="s">
        <v>13946</v>
      </c>
    </row>
    <row r="43" spans="1:2">
      <c r="A43" s="513" t="s">
        <v>13964</v>
      </c>
      <c r="B43" s="512" t="s">
        <v>13948</v>
      </c>
    </row>
    <row r="44" spans="1:2">
      <c r="A44" s="513" t="s">
        <v>13965</v>
      </c>
      <c r="B44" s="512" t="s">
        <v>13899</v>
      </c>
    </row>
    <row r="45" spans="1:2">
      <c r="A45" s="513" t="s">
        <v>13966</v>
      </c>
      <c r="B45" s="512" t="s">
        <v>13944</v>
      </c>
    </row>
    <row r="46" spans="1:2">
      <c r="A46" s="513" t="s">
        <v>13967</v>
      </c>
      <c r="B46" s="512" t="s">
        <v>13946</v>
      </c>
    </row>
    <row r="47" spans="1:2">
      <c r="A47" s="513" t="s">
        <v>13968</v>
      </c>
      <c r="B47" s="512" t="s">
        <v>13948</v>
      </c>
    </row>
    <row r="48" spans="1:2">
      <c r="A48" s="513" t="s">
        <v>13969</v>
      </c>
      <c r="B48" s="512" t="s">
        <v>13901</v>
      </c>
    </row>
    <row r="49" spans="1:2">
      <c r="A49" s="513" t="s">
        <v>13970</v>
      </c>
      <c r="B49" s="512" t="s">
        <v>13971</v>
      </c>
    </row>
    <row r="50" spans="1:2">
      <c r="A50" s="513" t="s">
        <v>13972</v>
      </c>
      <c r="B50" s="512" t="s">
        <v>13973</v>
      </c>
    </row>
    <row r="51" spans="1:2">
      <c r="A51" s="513" t="s">
        <v>13974</v>
      </c>
      <c r="B51" s="512" t="s">
        <v>13975</v>
      </c>
    </row>
    <row r="52" spans="1:2">
      <c r="A52" s="513" t="s">
        <v>13976</v>
      </c>
      <c r="B52" s="512" t="s">
        <v>13977</v>
      </c>
    </row>
    <row r="53" spans="1:2">
      <c r="A53" s="513" t="s">
        <v>13978</v>
      </c>
      <c r="B53" s="512" t="s">
        <v>13979</v>
      </c>
    </row>
    <row r="54" spans="1:2">
      <c r="A54" s="513" t="s">
        <v>13980</v>
      </c>
      <c r="B54" s="512" t="s">
        <v>13981</v>
      </c>
    </row>
    <row r="55" spans="1:2">
      <c r="A55" s="513" t="s">
        <v>13982</v>
      </c>
      <c r="B55" s="512" t="s">
        <v>13983</v>
      </c>
    </row>
    <row r="56" spans="1:2">
      <c r="A56" s="513" t="s">
        <v>13984</v>
      </c>
      <c r="B56" s="512" t="s">
        <v>8373</v>
      </c>
    </row>
    <row r="57" spans="1:2">
      <c r="A57" s="513" t="s">
        <v>13985</v>
      </c>
      <c r="B57" s="512" t="s">
        <v>13971</v>
      </c>
    </row>
    <row r="58" spans="1:2">
      <c r="A58" s="513" t="s">
        <v>13986</v>
      </c>
      <c r="B58" s="512" t="s">
        <v>13973</v>
      </c>
    </row>
    <row r="59" spans="1:2">
      <c r="A59" s="513" t="s">
        <v>13987</v>
      </c>
      <c r="B59" s="512" t="s">
        <v>13975</v>
      </c>
    </row>
    <row r="60" spans="1:2">
      <c r="A60" s="513" t="s">
        <v>13988</v>
      </c>
      <c r="B60" s="512" t="s">
        <v>13977</v>
      </c>
    </row>
    <row r="61" spans="1:2">
      <c r="A61" s="513" t="s">
        <v>13989</v>
      </c>
      <c r="B61" s="512" t="s">
        <v>13979</v>
      </c>
    </row>
    <row r="62" spans="1:2">
      <c r="A62" s="513" t="s">
        <v>13990</v>
      </c>
      <c r="B62" s="512" t="s">
        <v>13981</v>
      </c>
    </row>
    <row r="63" spans="1:2">
      <c r="A63" s="513" t="s">
        <v>13991</v>
      </c>
      <c r="B63" s="512" t="s">
        <v>13983</v>
      </c>
    </row>
    <row r="64" spans="1:2">
      <c r="A64" s="513" t="s">
        <v>13992</v>
      </c>
      <c r="B64" s="512" t="s">
        <v>13893</v>
      </c>
    </row>
    <row r="65" spans="1:2">
      <c r="A65" s="513" t="s">
        <v>13993</v>
      </c>
      <c r="B65" s="512" t="s">
        <v>13971</v>
      </c>
    </row>
    <row r="66" spans="1:2">
      <c r="A66" s="513" t="s">
        <v>13994</v>
      </c>
      <c r="B66" s="512" t="s">
        <v>13973</v>
      </c>
    </row>
    <row r="67" spans="1:2">
      <c r="A67" s="513" t="s">
        <v>13995</v>
      </c>
      <c r="B67" s="512" t="s">
        <v>13975</v>
      </c>
    </row>
    <row r="68" spans="1:2">
      <c r="A68" s="513" t="s">
        <v>13996</v>
      </c>
      <c r="B68" s="512" t="s">
        <v>13977</v>
      </c>
    </row>
    <row r="69" spans="1:2">
      <c r="A69" s="513" t="s">
        <v>13997</v>
      </c>
      <c r="B69" s="512" t="s">
        <v>13979</v>
      </c>
    </row>
    <row r="70" spans="1:2">
      <c r="A70" s="513" t="s">
        <v>13998</v>
      </c>
      <c r="B70" s="512" t="s">
        <v>13981</v>
      </c>
    </row>
    <row r="71" spans="1:2">
      <c r="A71" s="513" t="s">
        <v>13999</v>
      </c>
      <c r="B71" s="512" t="s">
        <v>13983</v>
      </c>
    </row>
    <row r="72" spans="1:2">
      <c r="A72" s="513" t="s">
        <v>14000</v>
      </c>
      <c r="B72" s="512" t="s">
        <v>13895</v>
      </c>
    </row>
    <row r="73" spans="1:2">
      <c r="A73" s="513" t="s">
        <v>14001</v>
      </c>
      <c r="B73" s="512" t="s">
        <v>13971</v>
      </c>
    </row>
    <row r="74" spans="1:2">
      <c r="A74" s="513" t="s">
        <v>14002</v>
      </c>
      <c r="B74" s="512" t="s">
        <v>13973</v>
      </c>
    </row>
    <row r="75" spans="1:2">
      <c r="A75" s="513" t="s">
        <v>14003</v>
      </c>
      <c r="B75" s="512" t="s">
        <v>13975</v>
      </c>
    </row>
    <row r="76" spans="1:2">
      <c r="A76" s="513" t="s">
        <v>14004</v>
      </c>
      <c r="B76" s="512" t="s">
        <v>13977</v>
      </c>
    </row>
    <row r="77" spans="1:2">
      <c r="A77" s="513" t="s">
        <v>14005</v>
      </c>
      <c r="B77" s="512" t="s">
        <v>13979</v>
      </c>
    </row>
    <row r="78" spans="1:2">
      <c r="A78" s="513" t="s">
        <v>14006</v>
      </c>
      <c r="B78" s="512" t="s">
        <v>13981</v>
      </c>
    </row>
    <row r="79" spans="1:2">
      <c r="A79" s="513" t="s">
        <v>14007</v>
      </c>
      <c r="B79" s="512" t="s">
        <v>13983</v>
      </c>
    </row>
    <row r="80" spans="1:2">
      <c r="A80" s="513" t="s">
        <v>14008</v>
      </c>
      <c r="B80" s="512" t="s">
        <v>13897</v>
      </c>
    </row>
    <row r="81" spans="1:2">
      <c r="A81" s="513" t="s">
        <v>14009</v>
      </c>
      <c r="B81" s="512" t="s">
        <v>13971</v>
      </c>
    </row>
    <row r="82" spans="1:2">
      <c r="A82" s="513" t="s">
        <v>14010</v>
      </c>
      <c r="B82" s="512" t="s">
        <v>13973</v>
      </c>
    </row>
    <row r="83" spans="1:2">
      <c r="A83" s="513" t="s">
        <v>14011</v>
      </c>
      <c r="B83" s="512" t="s">
        <v>13975</v>
      </c>
    </row>
    <row r="84" spans="1:2">
      <c r="A84" s="513" t="s">
        <v>14012</v>
      </c>
      <c r="B84" s="512" t="s">
        <v>13977</v>
      </c>
    </row>
    <row r="85" spans="1:2">
      <c r="A85" s="513" t="s">
        <v>14013</v>
      </c>
      <c r="B85" s="512" t="s">
        <v>13979</v>
      </c>
    </row>
    <row r="86" spans="1:2">
      <c r="A86" s="513" t="s">
        <v>14014</v>
      </c>
      <c r="B86" s="512" t="s">
        <v>13981</v>
      </c>
    </row>
    <row r="87" spans="1:2">
      <c r="A87" s="513" t="s">
        <v>14015</v>
      </c>
      <c r="B87" s="512" t="s">
        <v>13983</v>
      </c>
    </row>
    <row r="88" spans="1:2">
      <c r="A88" s="513" t="s">
        <v>14016</v>
      </c>
      <c r="B88" s="512" t="s">
        <v>13899</v>
      </c>
    </row>
    <row r="89" spans="1:2">
      <c r="A89" s="513" t="s">
        <v>14017</v>
      </c>
      <c r="B89" s="512" t="s">
        <v>13971</v>
      </c>
    </row>
    <row r="90" spans="1:2">
      <c r="A90" s="513" t="s">
        <v>14018</v>
      </c>
      <c r="B90" s="512" t="s">
        <v>13973</v>
      </c>
    </row>
    <row r="91" spans="1:2">
      <c r="A91" s="513" t="s">
        <v>14019</v>
      </c>
      <c r="B91" s="512" t="s">
        <v>13975</v>
      </c>
    </row>
    <row r="92" spans="1:2">
      <c r="A92" s="513" t="s">
        <v>14020</v>
      </c>
      <c r="B92" s="512" t="s">
        <v>13977</v>
      </c>
    </row>
    <row r="93" spans="1:2">
      <c r="A93" s="513" t="s">
        <v>14021</v>
      </c>
      <c r="B93" s="512" t="s">
        <v>13979</v>
      </c>
    </row>
    <row r="94" spans="1:2">
      <c r="A94" s="513" t="s">
        <v>14022</v>
      </c>
      <c r="B94" s="512" t="s">
        <v>13981</v>
      </c>
    </row>
    <row r="95" spans="1:2">
      <c r="A95" s="513" t="s">
        <v>14023</v>
      </c>
      <c r="B95" s="512" t="s">
        <v>13983</v>
      </c>
    </row>
    <row r="96" spans="1:2">
      <c r="A96" s="513" t="s">
        <v>14024</v>
      </c>
      <c r="B96" s="512" t="s">
        <v>13901</v>
      </c>
    </row>
    <row r="97" spans="1:2">
      <c r="A97" s="513" t="s">
        <v>14028</v>
      </c>
      <c r="B97" s="512" t="s">
        <v>14029</v>
      </c>
    </row>
    <row r="98" spans="1:2">
      <c r="A98" s="513" t="s">
        <v>12203</v>
      </c>
      <c r="B98" s="512" t="s">
        <v>12196</v>
      </c>
    </row>
    <row r="99" spans="1:2">
      <c r="A99" s="513" t="s">
        <v>12204</v>
      </c>
      <c r="B99" s="512" t="s">
        <v>12202</v>
      </c>
    </row>
    <row r="100" spans="1:2">
      <c r="A100" s="513" t="s">
        <v>12205</v>
      </c>
      <c r="B100" s="512" t="s">
        <v>12196</v>
      </c>
    </row>
    <row r="101" spans="1:2">
      <c r="A101" s="513" t="s">
        <v>12206</v>
      </c>
      <c r="B101" s="512" t="s">
        <v>12196</v>
      </c>
    </row>
    <row r="102" spans="1:2">
      <c r="A102" s="513" t="s">
        <v>12207</v>
      </c>
      <c r="B102" s="512" t="s">
        <v>12196</v>
      </c>
    </row>
    <row r="103" spans="1:2">
      <c r="A103" s="513" t="s">
        <v>12208</v>
      </c>
      <c r="B103" s="513" t="s">
        <v>12196</v>
      </c>
    </row>
    <row r="104" spans="1:2">
      <c r="A104" s="513" t="s">
        <v>12425</v>
      </c>
      <c r="B104" s="513" t="s">
        <v>12426</v>
      </c>
    </row>
    <row r="105" spans="1:2">
      <c r="A105" s="513" t="s">
        <v>12427</v>
      </c>
      <c r="B105" s="513" t="s">
        <v>12426</v>
      </c>
    </row>
    <row r="106" spans="1:2">
      <c r="A106" s="513" t="s">
        <v>12519</v>
      </c>
      <c r="B106" s="513" t="s">
        <v>12355</v>
      </c>
    </row>
    <row r="107" spans="1:2">
      <c r="A107" s="513" t="s">
        <v>12520</v>
      </c>
      <c r="B107" s="513" t="s">
        <v>12357</v>
      </c>
    </row>
    <row r="108" spans="1:2">
      <c r="A108" s="513" t="s">
        <v>12521</v>
      </c>
      <c r="B108" s="513" t="s">
        <v>12359</v>
      </c>
    </row>
    <row r="109" spans="1:2">
      <c r="A109" s="513" t="s">
        <v>12522</v>
      </c>
      <c r="B109" s="513" t="s">
        <v>12359</v>
      </c>
    </row>
    <row r="110" spans="1:2">
      <c r="A110" s="513" t="s">
        <v>12523</v>
      </c>
      <c r="B110" s="513" t="s">
        <v>12351</v>
      </c>
    </row>
    <row r="111" spans="1:2">
      <c r="A111" s="513" t="s">
        <v>12524</v>
      </c>
      <c r="B111" s="513" t="s">
        <v>12353</v>
      </c>
    </row>
    <row r="112" spans="1:2">
      <c r="A112" s="513" t="s">
        <v>12525</v>
      </c>
      <c r="B112" s="513" t="s">
        <v>12355</v>
      </c>
    </row>
    <row r="113" spans="1:2">
      <c r="A113" s="513" t="s">
        <v>12526</v>
      </c>
      <c r="B113" s="513" t="s">
        <v>12357</v>
      </c>
    </row>
    <row r="114" spans="1:2">
      <c r="A114" s="513" t="s">
        <v>12527</v>
      </c>
      <c r="B114" s="513" t="s">
        <v>12359</v>
      </c>
    </row>
    <row r="115" spans="1:2">
      <c r="A115" s="513" t="s">
        <v>12528</v>
      </c>
      <c r="B115" s="513" t="s">
        <v>12359</v>
      </c>
    </row>
    <row r="116" spans="1:2">
      <c r="A116" s="513" t="s">
        <v>12529</v>
      </c>
      <c r="B116" s="513" t="s">
        <v>12530</v>
      </c>
    </row>
    <row r="117" spans="1:2">
      <c r="A117" s="513" t="s">
        <v>12531</v>
      </c>
      <c r="B117" s="513" t="s">
        <v>12532</v>
      </c>
    </row>
    <row r="118" spans="1:2">
      <c r="A118" s="513" t="s">
        <v>12533</v>
      </c>
      <c r="B118" s="513" t="s">
        <v>12355</v>
      </c>
    </row>
    <row r="119" spans="1:2">
      <c r="A119" s="513" t="s">
        <v>12534</v>
      </c>
      <c r="B119" s="513" t="s">
        <v>12535</v>
      </c>
    </row>
    <row r="120" spans="1:2">
      <c r="A120" s="513" t="s">
        <v>12536</v>
      </c>
      <c r="B120" s="513" t="s">
        <v>12537</v>
      </c>
    </row>
    <row r="121" spans="1:2">
      <c r="A121" s="513" t="s">
        <v>12538</v>
      </c>
      <c r="B121" s="513" t="s">
        <v>12539</v>
      </c>
    </row>
    <row r="122" spans="1:2">
      <c r="A122" s="513" t="s">
        <v>12540</v>
      </c>
      <c r="B122" s="513" t="s">
        <v>12359</v>
      </c>
    </row>
    <row r="123" spans="1:2">
      <c r="A123" s="513" t="s">
        <v>12541</v>
      </c>
      <c r="B123" s="513" t="s">
        <v>12359</v>
      </c>
    </row>
    <row r="124" spans="1:2">
      <c r="A124" s="513" t="s">
        <v>12542</v>
      </c>
      <c r="B124" s="513" t="s">
        <v>12351</v>
      </c>
    </row>
    <row r="125" spans="1:2">
      <c r="A125" s="513" t="s">
        <v>12543</v>
      </c>
      <c r="B125" s="513" t="s">
        <v>12353</v>
      </c>
    </row>
    <row r="126" spans="1:2">
      <c r="A126" s="513" t="s">
        <v>12544</v>
      </c>
      <c r="B126" s="513" t="s">
        <v>12355</v>
      </c>
    </row>
    <row r="127" spans="1:2">
      <c r="A127" s="513" t="s">
        <v>12545</v>
      </c>
      <c r="B127" s="513" t="s">
        <v>12357</v>
      </c>
    </row>
    <row r="128" spans="1:2">
      <c r="A128" s="513" t="s">
        <v>12546</v>
      </c>
      <c r="B128" s="513" t="s">
        <v>12359</v>
      </c>
    </row>
    <row r="129" spans="1:2">
      <c r="A129" s="513" t="s">
        <v>12547</v>
      </c>
      <c r="B129" s="513" t="s">
        <v>12359</v>
      </c>
    </row>
    <row r="130" spans="1:2">
      <c r="A130" s="513" t="s">
        <v>12577</v>
      </c>
      <c r="B130" s="513" t="s">
        <v>12388</v>
      </c>
    </row>
    <row r="131" spans="1:2">
      <c r="A131" s="513" t="s">
        <v>12548</v>
      </c>
      <c r="B131" s="513" t="s">
        <v>12351</v>
      </c>
    </row>
    <row r="132" spans="1:2">
      <c r="A132" s="513" t="s">
        <v>12549</v>
      </c>
      <c r="B132" s="513" t="s">
        <v>12353</v>
      </c>
    </row>
    <row r="133" spans="1:2">
      <c r="A133" s="513" t="s">
        <v>12550</v>
      </c>
      <c r="B133" s="513" t="s">
        <v>12355</v>
      </c>
    </row>
    <row r="134" spans="1:2">
      <c r="A134" s="513" t="s">
        <v>12551</v>
      </c>
      <c r="B134" s="513" t="s">
        <v>12357</v>
      </c>
    </row>
    <row r="135" spans="1:2">
      <c r="A135" s="513" t="s">
        <v>12552</v>
      </c>
      <c r="B135" s="513" t="s">
        <v>12359</v>
      </c>
    </row>
    <row r="136" spans="1:2">
      <c r="A136" s="513" t="s">
        <v>12553</v>
      </c>
      <c r="B136" s="513" t="s">
        <v>12359</v>
      </c>
    </row>
    <row r="137" spans="1:2">
      <c r="A137" s="513" t="s">
        <v>12554</v>
      </c>
      <c r="B137" s="513" t="s">
        <v>6250</v>
      </c>
    </row>
    <row r="138" spans="1:2">
      <c r="A138" s="513" t="s">
        <v>12555</v>
      </c>
      <c r="B138" s="513" t="s">
        <v>6250</v>
      </c>
    </row>
    <row r="139" spans="1:2">
      <c r="A139" s="513" t="s">
        <v>12556</v>
      </c>
      <c r="B139" s="513" t="s">
        <v>12351</v>
      </c>
    </row>
    <row r="140" spans="1:2">
      <c r="A140" s="513" t="s">
        <v>12557</v>
      </c>
      <c r="B140" s="513" t="s">
        <v>12353</v>
      </c>
    </row>
    <row r="141" spans="1:2">
      <c r="A141" s="513" t="s">
        <v>12558</v>
      </c>
      <c r="B141" s="513" t="s">
        <v>12355</v>
      </c>
    </row>
    <row r="142" spans="1:2">
      <c r="A142" s="513" t="s">
        <v>12559</v>
      </c>
      <c r="B142" s="513" t="s">
        <v>12357</v>
      </c>
    </row>
    <row r="143" spans="1:2">
      <c r="A143" s="513" t="s">
        <v>12560</v>
      </c>
      <c r="B143" s="513" t="s">
        <v>12359</v>
      </c>
    </row>
    <row r="144" spans="1:2">
      <c r="A144" s="513" t="s">
        <v>12561</v>
      </c>
      <c r="B144" s="513" t="s">
        <v>12359</v>
      </c>
    </row>
    <row r="145" spans="1:2">
      <c r="A145" s="513" t="s">
        <v>12562</v>
      </c>
      <c r="B145" s="513" t="s">
        <v>12362</v>
      </c>
    </row>
    <row r="146" spans="1:2">
      <c r="A146" s="513" t="s">
        <v>12563</v>
      </c>
      <c r="B146" s="513" t="s">
        <v>12364</v>
      </c>
    </row>
    <row r="147" spans="1:2">
      <c r="A147" s="513" t="s">
        <v>12564</v>
      </c>
      <c r="B147" s="513" t="s">
        <v>12366</v>
      </c>
    </row>
    <row r="148" spans="1:2">
      <c r="A148" s="513" t="s">
        <v>12565</v>
      </c>
      <c r="B148" s="513" t="s">
        <v>12366</v>
      </c>
    </row>
    <row r="149" spans="1:2">
      <c r="A149" s="513" t="s">
        <v>12566</v>
      </c>
      <c r="B149" s="513" t="s">
        <v>12369</v>
      </c>
    </row>
    <row r="150" spans="1:2">
      <c r="A150" s="513" t="s">
        <v>12567</v>
      </c>
      <c r="B150" s="513" t="s">
        <v>12371</v>
      </c>
    </row>
    <row r="151" spans="1:2">
      <c r="A151" s="513" t="s">
        <v>12568</v>
      </c>
      <c r="B151" s="513" t="s">
        <v>12373</v>
      </c>
    </row>
    <row r="152" spans="1:2">
      <c r="A152" s="513" t="s">
        <v>12569</v>
      </c>
      <c r="B152" s="513" t="s">
        <v>12373</v>
      </c>
    </row>
    <row r="153" spans="1:2">
      <c r="A153" s="513" t="s">
        <v>12570</v>
      </c>
      <c r="B153" s="513" t="s">
        <v>12376</v>
      </c>
    </row>
    <row r="154" spans="1:2">
      <c r="A154" s="513" t="s">
        <v>12571</v>
      </c>
      <c r="B154" s="513" t="s">
        <v>12378</v>
      </c>
    </row>
    <row r="155" spans="1:2">
      <c r="A155" s="513" t="s">
        <v>12572</v>
      </c>
      <c r="B155" s="513" t="s">
        <v>12380</v>
      </c>
    </row>
    <row r="156" spans="1:2">
      <c r="A156" s="513" t="s">
        <v>12573</v>
      </c>
      <c r="B156" s="513" t="s">
        <v>12380</v>
      </c>
    </row>
    <row r="157" spans="1:2">
      <c r="A157" s="513" t="s">
        <v>12574</v>
      </c>
      <c r="B157" s="513" t="s">
        <v>12383</v>
      </c>
    </row>
    <row r="158" spans="1:2">
      <c r="A158" s="513" t="s">
        <v>12575</v>
      </c>
      <c r="B158" s="513" t="s">
        <v>12385</v>
      </c>
    </row>
    <row r="159" spans="1:2">
      <c r="A159" s="513" t="s">
        <v>12576</v>
      </c>
      <c r="B159" s="513" t="s">
        <v>12385</v>
      </c>
    </row>
    <row r="160" spans="1:2">
      <c r="A160" s="513" t="s">
        <v>13319</v>
      </c>
      <c r="B160" s="513" t="s">
        <v>11908</v>
      </c>
    </row>
    <row r="161" spans="1:2">
      <c r="A161" s="513" t="s">
        <v>13324</v>
      </c>
      <c r="B161" s="513" t="s">
        <v>11908</v>
      </c>
    </row>
    <row r="162" spans="1:2">
      <c r="A162" s="513" t="s">
        <v>13329</v>
      </c>
      <c r="B162" s="513" t="s">
        <v>11908</v>
      </c>
    </row>
    <row r="163" spans="1:2">
      <c r="A163" s="513" t="s">
        <v>13339</v>
      </c>
      <c r="B163" s="513" t="s">
        <v>11908</v>
      </c>
    </row>
    <row r="164" spans="1:2">
      <c r="A164" s="513" t="s">
        <v>13344</v>
      </c>
      <c r="B164" s="513" t="s">
        <v>11908</v>
      </c>
    </row>
    <row r="165" spans="1:2">
      <c r="A165" s="513" t="s">
        <v>13349</v>
      </c>
      <c r="B165" s="513" t="s">
        <v>11908</v>
      </c>
    </row>
    <row r="166" spans="1:2">
      <c r="A166" s="513" t="s">
        <v>13354</v>
      </c>
      <c r="B166" s="513" t="s">
        <v>11908</v>
      </c>
    </row>
    <row r="167" spans="1:2">
      <c r="A167" s="513" t="s">
        <v>13359</v>
      </c>
      <c r="B167" s="513" t="s">
        <v>11908</v>
      </c>
    </row>
    <row r="168" spans="1:2">
      <c r="A168" s="513" t="s">
        <v>13364</v>
      </c>
      <c r="B168" s="513" t="s">
        <v>11908</v>
      </c>
    </row>
    <row r="169" spans="1:2">
      <c r="A169" s="513" t="s">
        <v>13369</v>
      </c>
      <c r="B169" s="513" t="s">
        <v>11908</v>
      </c>
    </row>
    <row r="170" spans="1:2">
      <c r="A170" s="513" t="s">
        <v>13374</v>
      </c>
      <c r="B170" s="513" t="s">
        <v>11908</v>
      </c>
    </row>
    <row r="171" spans="1:2">
      <c r="A171" s="513" t="s">
        <v>13379</v>
      </c>
      <c r="B171" s="513" t="s">
        <v>11908</v>
      </c>
    </row>
    <row r="172" spans="1:2">
      <c r="A172" s="513" t="s">
        <v>13384</v>
      </c>
      <c r="B172" s="513" t="s">
        <v>11908</v>
      </c>
    </row>
    <row r="173" spans="1:2">
      <c r="A173" s="513" t="s">
        <v>13389</v>
      </c>
      <c r="B173" s="513" t="s">
        <v>11908</v>
      </c>
    </row>
    <row r="174" spans="1:2">
      <c r="A174" s="513" t="s">
        <v>13394</v>
      </c>
      <c r="B174" s="513" t="s">
        <v>11908</v>
      </c>
    </row>
    <row r="175" spans="1:2">
      <c r="A175" s="513" t="s">
        <v>13399</v>
      </c>
      <c r="B175" s="513" t="s">
        <v>11908</v>
      </c>
    </row>
    <row r="176" spans="1:2">
      <c r="A176" s="513" t="s">
        <v>13404</v>
      </c>
      <c r="B176" s="513" t="s">
        <v>11908</v>
      </c>
    </row>
    <row r="177" spans="1:2">
      <c r="A177" s="513" t="s">
        <v>13409</v>
      </c>
      <c r="B177" s="513" t="s">
        <v>11908</v>
      </c>
    </row>
    <row r="178" spans="1:2">
      <c r="A178" s="513" t="s">
        <v>13414</v>
      </c>
      <c r="B178" s="513" t="s">
        <v>11908</v>
      </c>
    </row>
    <row r="179" spans="1:2">
      <c r="A179" s="513" t="s">
        <v>13419</v>
      </c>
      <c r="B179" s="513" t="s">
        <v>11908</v>
      </c>
    </row>
    <row r="180" spans="1:2">
      <c r="A180" s="513" t="s">
        <v>13424</v>
      </c>
      <c r="B180" s="513" t="s">
        <v>11908</v>
      </c>
    </row>
    <row r="181" spans="1:2">
      <c r="A181" s="513" t="s">
        <v>13429</v>
      </c>
      <c r="B181" s="513" t="s">
        <v>11908</v>
      </c>
    </row>
    <row r="182" spans="1:2">
      <c r="A182" s="513" t="s">
        <v>13434</v>
      </c>
      <c r="B182" s="513" t="s">
        <v>11908</v>
      </c>
    </row>
    <row r="183" spans="1:2">
      <c r="A183" s="513" t="s">
        <v>13439</v>
      </c>
      <c r="B183" s="513" t="s">
        <v>11908</v>
      </c>
    </row>
    <row r="184" spans="1:2">
      <c r="A184" s="513" t="s">
        <v>13456</v>
      </c>
      <c r="B184" s="513" t="s">
        <v>11908</v>
      </c>
    </row>
    <row r="185" spans="1:2">
      <c r="A185" s="513" t="s">
        <v>13460</v>
      </c>
      <c r="B185" s="513" t="s">
        <v>11908</v>
      </c>
    </row>
    <row r="186" spans="1:2">
      <c r="A186" s="513" t="s">
        <v>13464</v>
      </c>
      <c r="B186" s="513" t="s">
        <v>11908</v>
      </c>
    </row>
    <row r="187" spans="1:2">
      <c r="A187" s="513" t="s">
        <v>13472</v>
      </c>
      <c r="B187" s="513" t="s">
        <v>11908</v>
      </c>
    </row>
    <row r="188" spans="1:2">
      <c r="A188" s="513" t="s">
        <v>13476</v>
      </c>
      <c r="B188" s="513" t="s">
        <v>11908</v>
      </c>
    </row>
    <row r="189" spans="1:2">
      <c r="A189" s="513" t="s">
        <v>13480</v>
      </c>
      <c r="B189" s="513" t="s">
        <v>11908</v>
      </c>
    </row>
    <row r="190" spans="1:2">
      <c r="A190" s="513" t="s">
        <v>13484</v>
      </c>
      <c r="B190" s="513" t="s">
        <v>11908</v>
      </c>
    </row>
    <row r="191" spans="1:2">
      <c r="A191" s="513" t="s">
        <v>13488</v>
      </c>
      <c r="B191" s="513" t="s">
        <v>11908</v>
      </c>
    </row>
    <row r="192" spans="1:2">
      <c r="A192" s="513" t="s">
        <v>13493</v>
      </c>
      <c r="B192" s="513" t="s">
        <v>11908</v>
      </c>
    </row>
    <row r="193" spans="1:2">
      <c r="A193" s="513" t="s">
        <v>13498</v>
      </c>
      <c r="B193" s="513" t="s">
        <v>11908</v>
      </c>
    </row>
    <row r="194" spans="1:2">
      <c r="A194" s="513" t="s">
        <v>13503</v>
      </c>
      <c r="B194" s="513" t="s">
        <v>11908</v>
      </c>
    </row>
    <row r="195" spans="1:2">
      <c r="A195" s="513" t="s">
        <v>13507</v>
      </c>
      <c r="B195" s="513" t="s">
        <v>11908</v>
      </c>
    </row>
    <row r="196" spans="1:2">
      <c r="A196" s="513" t="s">
        <v>13511</v>
      </c>
      <c r="B196" s="513" t="s">
        <v>11908</v>
      </c>
    </row>
    <row r="197" spans="1:2">
      <c r="A197" s="513" t="s">
        <v>13515</v>
      </c>
      <c r="B197" s="513" t="s">
        <v>11908</v>
      </c>
    </row>
    <row r="198" spans="1:2">
      <c r="A198" s="513" t="s">
        <v>13519</v>
      </c>
      <c r="B198" s="513" t="s">
        <v>11908</v>
      </c>
    </row>
    <row r="199" spans="1:2">
      <c r="A199" s="513" t="s">
        <v>13523</v>
      </c>
      <c r="B199" s="513" t="s">
        <v>11908</v>
      </c>
    </row>
    <row r="200" spans="1:2">
      <c r="A200" s="513" t="s">
        <v>13527</v>
      </c>
      <c r="B200" s="513" t="s">
        <v>11908</v>
      </c>
    </row>
    <row r="201" spans="1:2">
      <c r="A201" s="513" t="s">
        <v>13531</v>
      </c>
      <c r="B201" s="513" t="s">
        <v>11908</v>
      </c>
    </row>
    <row r="202" spans="1:2">
      <c r="A202" s="513" t="s">
        <v>13535</v>
      </c>
      <c r="B202" s="513" t="s">
        <v>11908</v>
      </c>
    </row>
    <row r="203" spans="1:2">
      <c r="A203" s="513" t="s">
        <v>13539</v>
      </c>
      <c r="B203" s="513" t="s">
        <v>11908</v>
      </c>
    </row>
    <row r="204" spans="1:2">
      <c r="A204" s="513" t="s">
        <v>13543</v>
      </c>
      <c r="B204" s="513" t="s">
        <v>11908</v>
      </c>
    </row>
    <row r="205" spans="1:2">
      <c r="A205" s="513" t="s">
        <v>13547</v>
      </c>
      <c r="B205" s="513" t="s">
        <v>11908</v>
      </c>
    </row>
    <row r="206" spans="1:2">
      <c r="A206" s="513" t="s">
        <v>13551</v>
      </c>
      <c r="B206" s="513" t="s">
        <v>11908</v>
      </c>
    </row>
    <row r="207" spans="1:2">
      <c r="A207" s="513" t="s">
        <v>13555</v>
      </c>
      <c r="B207" s="513" t="s">
        <v>11908</v>
      </c>
    </row>
    <row r="208" spans="1:2">
      <c r="A208" s="513" t="s">
        <v>13578</v>
      </c>
      <c r="B208" s="513" t="s">
        <v>11908</v>
      </c>
    </row>
    <row r="209" spans="1:2">
      <c r="A209" s="513" t="s">
        <v>13582</v>
      </c>
      <c r="B209" s="513" t="s">
        <v>11908</v>
      </c>
    </row>
    <row r="210" spans="1:2">
      <c r="A210" s="513" t="s">
        <v>13586</v>
      </c>
      <c r="B210" s="513" t="s">
        <v>11906</v>
      </c>
    </row>
    <row r="211" spans="1:2">
      <c r="A211" s="513" t="s">
        <v>13587</v>
      </c>
      <c r="B211" s="513" t="s">
        <v>11908</v>
      </c>
    </row>
    <row r="212" spans="1:2">
      <c r="A212" s="513" t="s">
        <v>13595</v>
      </c>
      <c r="B212" s="513" t="s">
        <v>11908</v>
      </c>
    </row>
    <row r="213" spans="1:2">
      <c r="A213" s="513" t="s">
        <v>13598</v>
      </c>
      <c r="B213" s="513" t="s">
        <v>11906</v>
      </c>
    </row>
    <row r="214" spans="1:2">
      <c r="A214" s="513" t="s">
        <v>13599</v>
      </c>
      <c r="B214" s="513" t="s">
        <v>11908</v>
      </c>
    </row>
    <row r="215" spans="1:2">
      <c r="A215" s="513" t="s">
        <v>13559</v>
      </c>
      <c r="B215" s="513" t="s">
        <v>11908</v>
      </c>
    </row>
    <row r="216" spans="1:2">
      <c r="A216" s="513" t="s">
        <v>13563</v>
      </c>
      <c r="B216" s="513" t="s">
        <v>11908</v>
      </c>
    </row>
    <row r="217" spans="1:2">
      <c r="A217" s="513" t="s">
        <v>13610</v>
      </c>
      <c r="B217" s="513" t="s">
        <v>11906</v>
      </c>
    </row>
    <row r="218" spans="1:2">
      <c r="A218" s="513" t="s">
        <v>12304</v>
      </c>
      <c r="B218" s="513" t="s">
        <v>12131</v>
      </c>
    </row>
    <row r="219" spans="1:2">
      <c r="A219" s="513" t="s">
        <v>12258</v>
      </c>
      <c r="B219" s="513" t="s">
        <v>12166</v>
      </c>
    </row>
    <row r="220" spans="1:2">
      <c r="A220" s="513" t="s">
        <v>12259</v>
      </c>
      <c r="B220" s="513" t="s">
        <v>12166</v>
      </c>
    </row>
    <row r="221" spans="1:2">
      <c r="A221" s="513" t="s">
        <v>12260</v>
      </c>
      <c r="B221" s="513" t="s">
        <v>12166</v>
      </c>
    </row>
    <row r="222" spans="1:2">
      <c r="A222" s="513" t="s">
        <v>12261</v>
      </c>
      <c r="B222" s="513" t="s">
        <v>12166</v>
      </c>
    </row>
    <row r="223" spans="1:2">
      <c r="A223" s="513" t="s">
        <v>12248</v>
      </c>
      <c r="B223" s="513" t="s">
        <v>12150</v>
      </c>
    </row>
    <row r="224" spans="1:2">
      <c r="A224" s="513" t="s">
        <v>12249</v>
      </c>
      <c r="B224" s="513" t="s">
        <v>12152</v>
      </c>
    </row>
    <row r="225" spans="1:2">
      <c r="A225" s="513" t="s">
        <v>12250</v>
      </c>
      <c r="B225" s="513" t="s">
        <v>12154</v>
      </c>
    </row>
    <row r="226" spans="1:2">
      <c r="A226" s="513" t="s">
        <v>12252</v>
      </c>
      <c r="B226" s="513" t="s">
        <v>12157</v>
      </c>
    </row>
    <row r="227" spans="1:2">
      <c r="A227" s="513" t="s">
        <v>12253</v>
      </c>
      <c r="B227" s="513" t="s">
        <v>12159</v>
      </c>
    </row>
    <row r="228" spans="1:2">
      <c r="A228" s="513" t="s">
        <v>12254</v>
      </c>
      <c r="B228" s="513" t="s">
        <v>12161</v>
      </c>
    </row>
    <row r="229" spans="1:2">
      <c r="A229" s="513" t="s">
        <v>12256</v>
      </c>
      <c r="B229" s="513" t="s">
        <v>12164</v>
      </c>
    </row>
    <row r="230" spans="1:2">
      <c r="A230" s="513" t="s">
        <v>12262</v>
      </c>
      <c r="B230" s="513" t="s">
        <v>12168</v>
      </c>
    </row>
    <row r="231" spans="1:2">
      <c r="A231" s="513" t="s">
        <v>12264</v>
      </c>
      <c r="B231" s="513" t="s">
        <v>12171</v>
      </c>
    </row>
    <row r="232" spans="1:2">
      <c r="A232" s="513" t="s">
        <v>12265</v>
      </c>
      <c r="B232" s="513" t="s">
        <v>11766</v>
      </c>
    </row>
    <row r="233" spans="1:2">
      <c r="A233" s="513" t="s">
        <v>12267</v>
      </c>
      <c r="B233" s="513" t="s">
        <v>11762</v>
      </c>
    </row>
    <row r="234" spans="1:2">
      <c r="A234" s="513" t="s">
        <v>13602</v>
      </c>
      <c r="B234" s="513" t="s">
        <v>11906</v>
      </c>
    </row>
    <row r="235" spans="1:2">
      <c r="A235" s="513" t="s">
        <v>13603</v>
      </c>
      <c r="B235" s="513" t="s">
        <v>11908</v>
      </c>
    </row>
    <row r="236" spans="1:2">
      <c r="A236" s="513" t="s">
        <v>13606</v>
      </c>
      <c r="B236" s="513" t="s">
        <v>11906</v>
      </c>
    </row>
    <row r="237" spans="1:2">
      <c r="A237" s="513" t="s">
        <v>13607</v>
      </c>
      <c r="B237" s="513" t="s">
        <v>11908</v>
      </c>
    </row>
    <row r="238" spans="1:2">
      <c r="A238" s="513" t="s">
        <v>13611</v>
      </c>
      <c r="B238" s="513" t="s">
        <v>11908</v>
      </c>
    </row>
    <row r="239" spans="1:2">
      <c r="A239" s="513" t="s">
        <v>13444</v>
      </c>
      <c r="B239" s="513" t="s">
        <v>11908</v>
      </c>
    </row>
    <row r="240" spans="1:2">
      <c r="A240" s="513" t="s">
        <v>13449</v>
      </c>
      <c r="B240" s="513" t="s">
        <v>11908</v>
      </c>
    </row>
    <row r="241" spans="1:2">
      <c r="A241" s="513" t="s">
        <v>13566</v>
      </c>
      <c r="B241" s="513" t="s">
        <v>11906</v>
      </c>
    </row>
    <row r="242" spans="1:2">
      <c r="A242" s="513" t="s">
        <v>13567</v>
      </c>
      <c r="B242" s="513" t="s">
        <v>11908</v>
      </c>
    </row>
    <row r="243" spans="1:2">
      <c r="A243" s="513" t="s">
        <v>12328</v>
      </c>
      <c r="B243" s="513" t="s">
        <v>12329</v>
      </c>
    </row>
    <row r="244" spans="1:2">
      <c r="A244" s="513" t="s">
        <v>12764</v>
      </c>
      <c r="B244" s="513" t="s">
        <v>12737</v>
      </c>
    </row>
    <row r="245" spans="1:2">
      <c r="A245" s="513" t="s">
        <v>12765</v>
      </c>
      <c r="B245" s="513" t="s">
        <v>12739</v>
      </c>
    </row>
    <row r="246" spans="1:2">
      <c r="A246" s="513" t="s">
        <v>13333</v>
      </c>
      <c r="B246" s="513" t="s">
        <v>11906</v>
      </c>
    </row>
    <row r="247" spans="1:2">
      <c r="A247" s="513" t="s">
        <v>12332</v>
      </c>
      <c r="B247" s="513" t="s">
        <v>12333</v>
      </c>
    </row>
    <row r="248" spans="1:2">
      <c r="A248" s="513" t="s">
        <v>12334</v>
      </c>
      <c r="B248" s="513" t="s">
        <v>12335</v>
      </c>
    </row>
    <row r="249" spans="1:2">
      <c r="A249" s="513" t="s">
        <v>12766</v>
      </c>
      <c r="B249" s="513" t="s">
        <v>12741</v>
      </c>
    </row>
    <row r="250" spans="1:2">
      <c r="A250" s="513" t="s">
        <v>13334</v>
      </c>
      <c r="B250" s="513" t="s">
        <v>11908</v>
      </c>
    </row>
    <row r="251" spans="1:2">
      <c r="A251" s="513" t="s">
        <v>13467</v>
      </c>
      <c r="B251" s="513" t="s">
        <v>11906</v>
      </c>
    </row>
    <row r="252" spans="1:2">
      <c r="A252" s="513" t="s">
        <v>13468</v>
      </c>
      <c r="B252" s="513" t="s">
        <v>11908</v>
      </c>
    </row>
    <row r="253" spans="1:2">
      <c r="A253" s="513" t="s">
        <v>13846</v>
      </c>
      <c r="B253" s="513" t="s">
        <v>11908</v>
      </c>
    </row>
    <row r="254" spans="1:2">
      <c r="A254" s="513" t="s">
        <v>13850</v>
      </c>
      <c r="B254" s="513" t="s">
        <v>11908</v>
      </c>
    </row>
    <row r="255" spans="1:2">
      <c r="A255" s="513" t="s">
        <v>13854</v>
      </c>
      <c r="B255" s="513" t="s">
        <v>11908</v>
      </c>
    </row>
    <row r="256" spans="1:2">
      <c r="A256" s="513" t="s">
        <v>13859</v>
      </c>
      <c r="B256" s="513" t="s">
        <v>11908</v>
      </c>
    </row>
    <row r="257" spans="1:2">
      <c r="A257" s="513" t="s">
        <v>13864</v>
      </c>
      <c r="B257" s="513" t="s">
        <v>11908</v>
      </c>
    </row>
    <row r="258" spans="1:2">
      <c r="A258" s="513" t="s">
        <v>13868</v>
      </c>
      <c r="B258" s="513" t="s">
        <v>11906</v>
      </c>
    </row>
    <row r="259" spans="1:2">
      <c r="A259" s="513" t="s">
        <v>13869</v>
      </c>
      <c r="B259" s="513" t="s">
        <v>11908</v>
      </c>
    </row>
    <row r="260" spans="1:2">
      <c r="A260" s="513" t="s">
        <v>14161</v>
      </c>
      <c r="B260" s="513" t="s">
        <v>14162</v>
      </c>
    </row>
    <row r="261" spans="1:2">
      <c r="A261" s="513" t="s">
        <v>14163</v>
      </c>
      <c r="B261" s="513" t="s">
        <v>14164</v>
      </c>
    </row>
    <row r="262" spans="1:2">
      <c r="A262" s="513" t="s">
        <v>14165</v>
      </c>
      <c r="B262" s="513" t="s">
        <v>14166</v>
      </c>
    </row>
    <row r="263" spans="1:2">
      <c r="A263" s="513" t="s">
        <v>14037</v>
      </c>
      <c r="B263" s="513" t="s">
        <v>14038</v>
      </c>
    </row>
    <row r="264" spans="1:2">
      <c r="A264" s="513" t="s">
        <v>14039</v>
      </c>
      <c r="B264" s="513" t="s">
        <v>14040</v>
      </c>
    </row>
    <row r="265" spans="1:2">
      <c r="A265" s="513" t="s">
        <v>12237</v>
      </c>
      <c r="B265" s="513" t="s">
        <v>5646</v>
      </c>
    </row>
    <row r="266" spans="1:2">
      <c r="A266" s="513" t="s">
        <v>12104</v>
      </c>
      <c r="B266" s="513" t="s">
        <v>12105</v>
      </c>
    </row>
    <row r="267" spans="1:2">
      <c r="A267" s="513" t="s">
        <v>12238</v>
      </c>
      <c r="B267" s="513" t="s">
        <v>12239</v>
      </c>
    </row>
    <row r="268" spans="1:2">
      <c r="A268" s="513" t="s">
        <v>12240</v>
      </c>
      <c r="B268" s="513" t="s">
        <v>12241</v>
      </c>
    </row>
    <row r="269" spans="1:2">
      <c r="A269" s="513" t="s">
        <v>12242</v>
      </c>
      <c r="B269" s="513" t="s">
        <v>12243</v>
      </c>
    </row>
    <row r="270" spans="1:2">
      <c r="A270" s="513" t="s">
        <v>12244</v>
      </c>
      <c r="B270" s="513" t="s">
        <v>12243</v>
      </c>
    </row>
    <row r="271" spans="1:2">
      <c r="A271" s="513" t="s">
        <v>12348</v>
      </c>
      <c r="B271" s="513" t="s">
        <v>5831</v>
      </c>
    </row>
    <row r="272" spans="1:2">
      <c r="A272" s="513" t="s">
        <v>12349</v>
      </c>
      <c r="B272" s="513" t="s">
        <v>5831</v>
      </c>
    </row>
    <row r="273" spans="1:2">
      <c r="A273" s="513" t="s">
        <v>12350</v>
      </c>
      <c r="B273" s="513" t="s">
        <v>12351</v>
      </c>
    </row>
    <row r="274" spans="1:2">
      <c r="A274" s="513" t="s">
        <v>12352</v>
      </c>
      <c r="B274" s="513" t="s">
        <v>12353</v>
      </c>
    </row>
    <row r="275" spans="1:2">
      <c r="A275" s="513" t="s">
        <v>12354</v>
      </c>
      <c r="B275" s="513" t="s">
        <v>12355</v>
      </c>
    </row>
    <row r="276" spans="1:2">
      <c r="A276" s="513" t="s">
        <v>12356</v>
      </c>
      <c r="B276" s="513" t="s">
        <v>12357</v>
      </c>
    </row>
    <row r="277" spans="1:2">
      <c r="A277" s="513" t="s">
        <v>12358</v>
      </c>
      <c r="B277" s="513" t="s">
        <v>12359</v>
      </c>
    </row>
    <row r="278" spans="1:2">
      <c r="A278" s="513" t="s">
        <v>12360</v>
      </c>
      <c r="B278" s="513" t="s">
        <v>12359</v>
      </c>
    </row>
    <row r="279" spans="1:2">
      <c r="A279" s="513" t="s">
        <v>12361</v>
      </c>
      <c r="B279" s="513" t="s">
        <v>12362</v>
      </c>
    </row>
    <row r="280" spans="1:2">
      <c r="A280" s="513" t="s">
        <v>12363</v>
      </c>
      <c r="B280" s="513" t="s">
        <v>12364</v>
      </c>
    </row>
    <row r="281" spans="1:2">
      <c r="A281" s="513" t="s">
        <v>12365</v>
      </c>
      <c r="B281" s="513" t="s">
        <v>12366</v>
      </c>
    </row>
    <row r="282" spans="1:2">
      <c r="A282" s="513" t="s">
        <v>12367</v>
      </c>
      <c r="B282" s="513" t="s">
        <v>12366</v>
      </c>
    </row>
    <row r="283" spans="1:2">
      <c r="A283" s="513" t="s">
        <v>12368</v>
      </c>
      <c r="B283" s="513" t="s">
        <v>12369</v>
      </c>
    </row>
    <row r="284" spans="1:2">
      <c r="A284" s="513" t="s">
        <v>12370</v>
      </c>
      <c r="B284" s="513" t="s">
        <v>12371</v>
      </c>
    </row>
    <row r="285" spans="1:2">
      <c r="A285" s="513" t="s">
        <v>12372</v>
      </c>
      <c r="B285" s="513" t="s">
        <v>12373</v>
      </c>
    </row>
    <row r="286" spans="1:2">
      <c r="A286" s="513" t="s">
        <v>12374</v>
      </c>
      <c r="B286" s="513" t="s">
        <v>12373</v>
      </c>
    </row>
    <row r="287" spans="1:2">
      <c r="A287" s="513" t="s">
        <v>12375</v>
      </c>
      <c r="B287" s="513" t="s">
        <v>12376</v>
      </c>
    </row>
    <row r="288" spans="1:2">
      <c r="A288" s="513" t="s">
        <v>12377</v>
      </c>
      <c r="B288" s="513" t="s">
        <v>12378</v>
      </c>
    </row>
    <row r="289" spans="1:2">
      <c r="A289" s="513" t="s">
        <v>12379</v>
      </c>
      <c r="B289" s="513" t="s">
        <v>12380</v>
      </c>
    </row>
    <row r="290" spans="1:2">
      <c r="A290" s="513" t="s">
        <v>12381</v>
      </c>
      <c r="B290" s="513" t="s">
        <v>12380</v>
      </c>
    </row>
    <row r="291" spans="1:2">
      <c r="A291" s="513" t="s">
        <v>12382</v>
      </c>
      <c r="B291" s="513" t="s">
        <v>12383</v>
      </c>
    </row>
    <row r="292" spans="1:2">
      <c r="A292" s="513" t="s">
        <v>12384</v>
      </c>
      <c r="B292" s="513" t="s">
        <v>12385</v>
      </c>
    </row>
    <row r="293" spans="1:2">
      <c r="A293" s="513" t="s">
        <v>12386</v>
      </c>
      <c r="B293" s="513" t="s">
        <v>12385</v>
      </c>
    </row>
    <row r="294" spans="1:2">
      <c r="A294" s="513" t="s">
        <v>12387</v>
      </c>
      <c r="B294" s="513" t="s">
        <v>12388</v>
      </c>
    </row>
    <row r="295" spans="1:2">
      <c r="A295" s="513" t="s">
        <v>12389</v>
      </c>
      <c r="B295" s="513" t="s">
        <v>12390</v>
      </c>
    </row>
    <row r="296" spans="1:2">
      <c r="A296" s="513" t="s">
        <v>12391</v>
      </c>
      <c r="B296" s="513" t="s">
        <v>12392</v>
      </c>
    </row>
    <row r="297" spans="1:2">
      <c r="A297" s="513" t="s">
        <v>12393</v>
      </c>
      <c r="B297" s="513" t="s">
        <v>12394</v>
      </c>
    </row>
    <row r="298" spans="1:2">
      <c r="A298" s="513" t="s">
        <v>12397</v>
      </c>
      <c r="B298" s="513" t="s">
        <v>12398</v>
      </c>
    </row>
    <row r="299" spans="1:2">
      <c r="A299" s="513" t="s">
        <v>12399</v>
      </c>
      <c r="B299" s="513" t="s">
        <v>12400</v>
      </c>
    </row>
    <row r="300" spans="1:2">
      <c r="A300" s="513" t="s">
        <v>12401</v>
      </c>
      <c r="B300" s="513" t="s">
        <v>12402</v>
      </c>
    </row>
    <row r="301" spans="1:2">
      <c r="A301" s="513" t="s">
        <v>12403</v>
      </c>
      <c r="B301" s="513" t="s">
        <v>12404</v>
      </c>
    </row>
    <row r="302" spans="1:2">
      <c r="A302" s="513" t="s">
        <v>12405</v>
      </c>
      <c r="B302" s="513" t="s">
        <v>12406</v>
      </c>
    </row>
    <row r="303" spans="1:2">
      <c r="A303" s="513" t="s">
        <v>12407</v>
      </c>
      <c r="B303" s="513" t="s">
        <v>12408</v>
      </c>
    </row>
    <row r="304" spans="1:2">
      <c r="A304" s="513" t="s">
        <v>12409</v>
      </c>
      <c r="B304" s="513" t="s">
        <v>12410</v>
      </c>
    </row>
    <row r="305" spans="1:2">
      <c r="A305" s="513" t="s">
        <v>12411</v>
      </c>
      <c r="B305" s="513" t="s">
        <v>12412</v>
      </c>
    </row>
    <row r="306" spans="1:2">
      <c r="A306" s="513" t="s">
        <v>12413</v>
      </c>
      <c r="B306" s="513" t="s">
        <v>12414</v>
      </c>
    </row>
    <row r="307" spans="1:2">
      <c r="A307" s="513" t="s">
        <v>12415</v>
      </c>
      <c r="B307" s="513" t="s">
        <v>12416</v>
      </c>
    </row>
    <row r="308" spans="1:2">
      <c r="A308" s="513" t="s">
        <v>12417</v>
      </c>
      <c r="B308" s="513" t="s">
        <v>12418</v>
      </c>
    </row>
    <row r="309" spans="1:2">
      <c r="A309" s="513" t="s">
        <v>12419</v>
      </c>
      <c r="B309" s="513" t="s">
        <v>12420</v>
      </c>
    </row>
    <row r="310" spans="1:2">
      <c r="A310" s="513" t="s">
        <v>12421</v>
      </c>
      <c r="B310" s="513" t="s">
        <v>12422</v>
      </c>
    </row>
    <row r="311" spans="1:2">
      <c r="A311" s="513" t="s">
        <v>12423</v>
      </c>
      <c r="B311" s="513" t="s">
        <v>12424</v>
      </c>
    </row>
    <row r="312" spans="1:2">
      <c r="A312" s="513" t="s">
        <v>12428</v>
      </c>
      <c r="B312" s="513" t="s">
        <v>12429</v>
      </c>
    </row>
    <row r="313" spans="1:2">
      <c r="A313" s="513" t="s">
        <v>12430</v>
      </c>
      <c r="B313" s="513" t="s">
        <v>12431</v>
      </c>
    </row>
    <row r="314" spans="1:2">
      <c r="A314" s="513" t="s">
        <v>12432</v>
      </c>
      <c r="B314" s="513" t="s">
        <v>12433</v>
      </c>
    </row>
    <row r="315" spans="1:2">
      <c r="A315" s="513" t="s">
        <v>12434</v>
      </c>
      <c r="B315" s="513" t="s">
        <v>12435</v>
      </c>
    </row>
    <row r="316" spans="1:2">
      <c r="A316" s="513" t="s">
        <v>12436</v>
      </c>
      <c r="B316" s="513" t="s">
        <v>12437</v>
      </c>
    </row>
    <row r="317" spans="1:2">
      <c r="A317" s="513" t="s">
        <v>12438</v>
      </c>
      <c r="B317" s="513" t="s">
        <v>12439</v>
      </c>
    </row>
    <row r="318" spans="1:2">
      <c r="A318" s="513" t="s">
        <v>12440</v>
      </c>
      <c r="B318" s="513" t="s">
        <v>12441</v>
      </c>
    </row>
    <row r="319" spans="1:2">
      <c r="A319" s="513" t="s">
        <v>12444</v>
      </c>
      <c r="B319" s="513" t="s">
        <v>12443</v>
      </c>
    </row>
    <row r="320" spans="1:2">
      <c r="A320" s="513" t="s">
        <v>13673</v>
      </c>
      <c r="B320" s="513" t="s">
        <v>13674</v>
      </c>
    </row>
    <row r="321" spans="1:2">
      <c r="A321" s="513" t="s">
        <v>12330</v>
      </c>
      <c r="B321" s="513" t="s">
        <v>12329</v>
      </c>
    </row>
    <row r="322" spans="1:2">
      <c r="A322" s="513" t="s">
        <v>12331</v>
      </c>
      <c r="B322" s="513" t="s">
        <v>12329</v>
      </c>
    </row>
    <row r="323" spans="1:2">
      <c r="A323" s="513" t="s">
        <v>13571</v>
      </c>
      <c r="B323" s="513" t="s">
        <v>11906</v>
      </c>
    </row>
    <row r="324" spans="1:2">
      <c r="A324" s="513" t="s">
        <v>13572</v>
      </c>
      <c r="B324" s="513" t="s">
        <v>11908</v>
      </c>
    </row>
    <row r="325" spans="1:2">
      <c r="A325" s="513" t="s">
        <v>13675</v>
      </c>
      <c r="B325" s="513" t="s">
        <v>7185</v>
      </c>
    </row>
    <row r="326" spans="1:2">
      <c r="A326" s="513" t="s">
        <v>13678</v>
      </c>
      <c r="B326" s="513" t="s">
        <v>13677</v>
      </c>
    </row>
    <row r="327" spans="1:2">
      <c r="A327" s="513" t="s">
        <v>13725</v>
      </c>
      <c r="B327" s="513" t="s">
        <v>13726</v>
      </c>
    </row>
    <row r="328" spans="1:2">
      <c r="A328" s="513" t="s">
        <v>13727</v>
      </c>
      <c r="B328" s="513" t="s">
        <v>13728</v>
      </c>
    </row>
    <row r="329" spans="1:2">
      <c r="A329" s="513" t="s">
        <v>13729</v>
      </c>
      <c r="B329" s="513" t="s">
        <v>13730</v>
      </c>
    </row>
    <row r="330" spans="1:2">
      <c r="A330" s="513" t="s">
        <v>13731</v>
      </c>
      <c r="B330" s="513" t="s">
        <v>13732</v>
      </c>
    </row>
    <row r="331" spans="1:2">
      <c r="A331" s="513" t="s">
        <v>13733</v>
      </c>
      <c r="B331" s="513" t="s">
        <v>13734</v>
      </c>
    </row>
    <row r="332" spans="1:2">
      <c r="A332" s="513" t="s">
        <v>13735</v>
      </c>
      <c r="B332" s="513" t="s">
        <v>13736</v>
      </c>
    </row>
    <row r="333" spans="1:2">
      <c r="A333" s="513" t="s">
        <v>13737</v>
      </c>
      <c r="B333" s="513" t="s">
        <v>13738</v>
      </c>
    </row>
    <row r="334" spans="1:2">
      <c r="A334" s="513" t="s">
        <v>13739</v>
      </c>
      <c r="B334" s="513" t="s">
        <v>13740</v>
      </c>
    </row>
    <row r="335" spans="1:2">
      <c r="A335" s="513" t="s">
        <v>13741</v>
      </c>
      <c r="B335" s="513" t="s">
        <v>13742</v>
      </c>
    </row>
    <row r="336" spans="1:2">
      <c r="A336" s="513" t="s">
        <v>13665</v>
      </c>
      <c r="B336" s="513" t="s">
        <v>7170</v>
      </c>
    </row>
    <row r="337" spans="1:2">
      <c r="A337" s="513" t="s">
        <v>13666</v>
      </c>
      <c r="B337" s="513" t="s">
        <v>7150</v>
      </c>
    </row>
    <row r="338" spans="1:2">
      <c r="A338" s="513" t="s">
        <v>14077</v>
      </c>
      <c r="B338" s="513" t="s">
        <v>14078</v>
      </c>
    </row>
    <row r="339" spans="1:2">
      <c r="A339" s="513" t="s">
        <v>14079</v>
      </c>
      <c r="B339" s="513" t="s">
        <v>14080</v>
      </c>
    </row>
    <row r="340" spans="1:2">
      <c r="A340" s="513" t="s">
        <v>14091</v>
      </c>
      <c r="B340" s="513" t="s">
        <v>14092</v>
      </c>
    </row>
    <row r="341" spans="1:2">
      <c r="A341" s="513" t="s">
        <v>12445</v>
      </c>
      <c r="B341" s="513" t="s">
        <v>12351</v>
      </c>
    </row>
    <row r="342" spans="1:2">
      <c r="A342" s="513" t="s">
        <v>12395</v>
      </c>
      <c r="B342" s="513" t="s">
        <v>12396</v>
      </c>
    </row>
    <row r="343" spans="1:2">
      <c r="A343" s="513" t="s">
        <v>12442</v>
      </c>
      <c r="B343" s="513" t="s">
        <v>12443</v>
      </c>
    </row>
    <row r="344" spans="1:2">
      <c r="A344" s="513" t="s">
        <v>12446</v>
      </c>
      <c r="B344" s="513" t="s">
        <v>12353</v>
      </c>
    </row>
    <row r="345" spans="1:2">
      <c r="A345" s="513" t="s">
        <v>12518</v>
      </c>
      <c r="B345" s="513" t="s">
        <v>12353</v>
      </c>
    </row>
    <row r="346" spans="1:2">
      <c r="A346" s="513" t="s">
        <v>12447</v>
      </c>
      <c r="B346" s="513" t="s">
        <v>12355</v>
      </c>
    </row>
    <row r="347" spans="1:2">
      <c r="A347" s="513" t="s">
        <v>12448</v>
      </c>
      <c r="B347" s="513" t="s">
        <v>12357</v>
      </c>
    </row>
    <row r="348" spans="1:2">
      <c r="A348" s="513" t="s">
        <v>12449</v>
      </c>
      <c r="B348" s="513" t="s">
        <v>12359</v>
      </c>
    </row>
    <row r="349" spans="1:2">
      <c r="A349" s="513" t="s">
        <v>12450</v>
      </c>
      <c r="B349" s="513" t="s">
        <v>12359</v>
      </c>
    </row>
    <row r="350" spans="1:2">
      <c r="A350" s="513" t="s">
        <v>12451</v>
      </c>
      <c r="B350" s="513" t="s">
        <v>12452</v>
      </c>
    </row>
    <row r="351" spans="1:2">
      <c r="A351" s="513" t="s">
        <v>12453</v>
      </c>
      <c r="B351" s="513" t="s">
        <v>12454</v>
      </c>
    </row>
    <row r="352" spans="1:2">
      <c r="A352" s="513" t="s">
        <v>12455</v>
      </c>
      <c r="B352" s="513" t="s">
        <v>12456</v>
      </c>
    </row>
    <row r="353" spans="1:2">
      <c r="A353" s="513" t="s">
        <v>12457</v>
      </c>
      <c r="B353" s="513" t="s">
        <v>12458</v>
      </c>
    </row>
    <row r="354" spans="1:2">
      <c r="A354" s="513" t="s">
        <v>12459</v>
      </c>
      <c r="B354" s="513" t="s">
        <v>12460</v>
      </c>
    </row>
    <row r="355" spans="1:2">
      <c r="A355" s="513" t="s">
        <v>12461</v>
      </c>
      <c r="B355" s="513" t="s">
        <v>12462</v>
      </c>
    </row>
    <row r="356" spans="1:2">
      <c r="A356" s="513" t="s">
        <v>12463</v>
      </c>
      <c r="B356" s="513" t="s">
        <v>12464</v>
      </c>
    </row>
    <row r="357" spans="1:2">
      <c r="A357" s="513" t="s">
        <v>12465</v>
      </c>
      <c r="B357" s="513" t="s">
        <v>12466</v>
      </c>
    </row>
    <row r="358" spans="1:2">
      <c r="A358" s="513" t="s">
        <v>12468</v>
      </c>
      <c r="B358" s="513" t="s">
        <v>12362</v>
      </c>
    </row>
    <row r="359" spans="1:2">
      <c r="A359" s="513" t="s">
        <v>12469</v>
      </c>
      <c r="B359" s="513" t="s">
        <v>12364</v>
      </c>
    </row>
    <row r="360" spans="1:2">
      <c r="A360" s="513" t="s">
        <v>12470</v>
      </c>
      <c r="B360" s="513" t="s">
        <v>12366</v>
      </c>
    </row>
    <row r="361" spans="1:2">
      <c r="A361" s="513" t="s">
        <v>12471</v>
      </c>
      <c r="B361" s="513" t="s">
        <v>12366</v>
      </c>
    </row>
    <row r="362" spans="1:2">
      <c r="A362" s="513" t="s">
        <v>12472</v>
      </c>
      <c r="B362" s="513" t="s">
        <v>12473</v>
      </c>
    </row>
    <row r="363" spans="1:2">
      <c r="A363" s="513" t="s">
        <v>12474</v>
      </c>
      <c r="B363" s="513" t="s">
        <v>12475</v>
      </c>
    </row>
    <row r="364" spans="1:2">
      <c r="A364" s="513" t="s">
        <v>12476</v>
      </c>
      <c r="B364" s="513" t="s">
        <v>12373</v>
      </c>
    </row>
    <row r="365" spans="1:2">
      <c r="A365" s="513" t="s">
        <v>12477</v>
      </c>
      <c r="B365" s="513" t="s">
        <v>12373</v>
      </c>
    </row>
    <row r="366" spans="1:2">
      <c r="A366" s="513" t="s">
        <v>12478</v>
      </c>
      <c r="B366" s="513" t="s">
        <v>12376</v>
      </c>
    </row>
    <row r="367" spans="1:2">
      <c r="A367" s="513" t="s">
        <v>12479</v>
      </c>
      <c r="B367" s="513" t="s">
        <v>12378</v>
      </c>
    </row>
    <row r="368" spans="1:2">
      <c r="A368" s="513" t="s">
        <v>12480</v>
      </c>
      <c r="B368" s="513" t="s">
        <v>12380</v>
      </c>
    </row>
    <row r="369" spans="1:2">
      <c r="A369" s="513" t="s">
        <v>12481</v>
      </c>
      <c r="B369" s="513" t="s">
        <v>12380</v>
      </c>
    </row>
    <row r="370" spans="1:2">
      <c r="A370" s="513" t="s">
        <v>12482</v>
      </c>
      <c r="B370" s="513" t="s">
        <v>12483</v>
      </c>
    </row>
    <row r="371" spans="1:2">
      <c r="A371" s="513" t="s">
        <v>12484</v>
      </c>
      <c r="B371" s="513" t="s">
        <v>12485</v>
      </c>
    </row>
    <row r="372" spans="1:2">
      <c r="A372" s="513" t="s">
        <v>12486</v>
      </c>
      <c r="B372" s="513" t="s">
        <v>12485</v>
      </c>
    </row>
    <row r="373" spans="1:2">
      <c r="A373" s="513" t="s">
        <v>12487</v>
      </c>
      <c r="B373" s="513" t="s">
        <v>12388</v>
      </c>
    </row>
    <row r="374" spans="1:2">
      <c r="A374" s="513" t="s">
        <v>12488</v>
      </c>
      <c r="B374" s="513" t="s">
        <v>12390</v>
      </c>
    </row>
    <row r="375" spans="1:2">
      <c r="A375" s="513" t="s">
        <v>12489</v>
      </c>
      <c r="B375" s="513" t="s">
        <v>12392</v>
      </c>
    </row>
    <row r="376" spans="1:2">
      <c r="A376" s="513" t="s">
        <v>12490</v>
      </c>
      <c r="B376" s="513" t="s">
        <v>12394</v>
      </c>
    </row>
    <row r="377" spans="1:2">
      <c r="A377" s="513" t="s">
        <v>12491</v>
      </c>
      <c r="B377" s="513" t="s">
        <v>12396</v>
      </c>
    </row>
    <row r="378" spans="1:2">
      <c r="A378" s="513" t="s">
        <v>12492</v>
      </c>
      <c r="B378" s="513" t="s">
        <v>12398</v>
      </c>
    </row>
    <row r="379" spans="1:2">
      <c r="A379" s="513" t="s">
        <v>12493</v>
      </c>
      <c r="B379" s="513" t="s">
        <v>12400</v>
      </c>
    </row>
    <row r="380" spans="1:2">
      <c r="A380" s="513" t="s">
        <v>12494</v>
      </c>
      <c r="B380" s="513" t="s">
        <v>12402</v>
      </c>
    </row>
    <row r="381" spans="1:2">
      <c r="A381" s="513" t="s">
        <v>12495</v>
      </c>
      <c r="B381" s="513" t="s">
        <v>12404</v>
      </c>
    </row>
    <row r="382" spans="1:2">
      <c r="A382" s="513" t="s">
        <v>12496</v>
      </c>
      <c r="B382" s="513" t="s">
        <v>12406</v>
      </c>
    </row>
    <row r="383" spans="1:2">
      <c r="A383" s="513" t="s">
        <v>12497</v>
      </c>
      <c r="B383" s="513" t="s">
        <v>12408</v>
      </c>
    </row>
    <row r="384" spans="1:2">
      <c r="A384" s="513" t="s">
        <v>12498</v>
      </c>
      <c r="B384" s="513" t="s">
        <v>12410</v>
      </c>
    </row>
    <row r="385" spans="1:2">
      <c r="A385" s="513" t="s">
        <v>12499</v>
      </c>
      <c r="B385" s="513" t="s">
        <v>12412</v>
      </c>
    </row>
    <row r="386" spans="1:2">
      <c r="A386" s="513" t="s">
        <v>12500</v>
      </c>
      <c r="B386" s="513" t="s">
        <v>12414</v>
      </c>
    </row>
    <row r="387" spans="1:2">
      <c r="A387" s="513" t="s">
        <v>12501</v>
      </c>
      <c r="B387" s="513" t="s">
        <v>12416</v>
      </c>
    </row>
    <row r="388" spans="1:2">
      <c r="A388" s="513" t="s">
        <v>12502</v>
      </c>
      <c r="B388" s="513" t="s">
        <v>12418</v>
      </c>
    </row>
    <row r="389" spans="1:2">
      <c r="A389" s="513" t="s">
        <v>12503</v>
      </c>
      <c r="B389" s="513" t="s">
        <v>12420</v>
      </c>
    </row>
    <row r="390" spans="1:2">
      <c r="A390" s="513" t="s">
        <v>12504</v>
      </c>
      <c r="B390" s="513" t="s">
        <v>12422</v>
      </c>
    </row>
    <row r="391" spans="1:2">
      <c r="A391" s="513" t="s">
        <v>12505</v>
      </c>
      <c r="B391" s="513" t="s">
        <v>12424</v>
      </c>
    </row>
    <row r="392" spans="1:2">
      <c r="A392" s="513" t="s">
        <v>12506</v>
      </c>
      <c r="B392" s="513" t="s">
        <v>12426</v>
      </c>
    </row>
    <row r="393" spans="1:2">
      <c r="A393" s="513" t="s">
        <v>12507</v>
      </c>
      <c r="B393" s="513" t="s">
        <v>12426</v>
      </c>
    </row>
    <row r="394" spans="1:2">
      <c r="A394" s="513" t="s">
        <v>12467</v>
      </c>
      <c r="B394" s="513" t="s">
        <v>12466</v>
      </c>
    </row>
    <row r="395" spans="1:2">
      <c r="A395" s="513" t="s">
        <v>12508</v>
      </c>
      <c r="B395" s="513" t="s">
        <v>12429</v>
      </c>
    </row>
    <row r="396" spans="1:2">
      <c r="A396" s="513" t="s">
        <v>12509</v>
      </c>
      <c r="B396" s="513" t="s">
        <v>12431</v>
      </c>
    </row>
    <row r="397" spans="1:2">
      <c r="A397" s="513" t="s">
        <v>12510</v>
      </c>
      <c r="B397" s="513" t="s">
        <v>12433</v>
      </c>
    </row>
    <row r="398" spans="1:2">
      <c r="A398" s="513" t="s">
        <v>12511</v>
      </c>
      <c r="B398" s="513" t="s">
        <v>12435</v>
      </c>
    </row>
    <row r="399" spans="1:2">
      <c r="A399" s="513" t="s">
        <v>12512</v>
      </c>
      <c r="B399" s="513" t="s">
        <v>12437</v>
      </c>
    </row>
    <row r="400" spans="1:2">
      <c r="A400" s="513" t="s">
        <v>12513</v>
      </c>
      <c r="B400" s="513" t="s">
        <v>12439</v>
      </c>
    </row>
    <row r="401" spans="1:2">
      <c r="A401" s="513" t="s">
        <v>12514</v>
      </c>
      <c r="B401" s="513" t="s">
        <v>12441</v>
      </c>
    </row>
    <row r="402" spans="1:2">
      <c r="A402" s="513" t="s">
        <v>12515</v>
      </c>
      <c r="B402" s="513" t="s">
        <v>12443</v>
      </c>
    </row>
    <row r="403" spans="1:2">
      <c r="A403" s="513" t="s">
        <v>12516</v>
      </c>
      <c r="B403" s="513" t="s">
        <v>12443</v>
      </c>
    </row>
    <row r="404" spans="1:2">
      <c r="A404" s="513" t="s">
        <v>12517</v>
      </c>
      <c r="B404" s="513" t="s">
        <v>12351</v>
      </c>
    </row>
    <row r="405" spans="1:2">
      <c r="A405" s="513" t="s">
        <v>11904</v>
      </c>
      <c r="B405" s="513" t="s">
        <v>11840</v>
      </c>
    </row>
    <row r="406" spans="1:2">
      <c r="A406" s="513" t="s">
        <v>11907</v>
      </c>
      <c r="B406" s="513" t="s">
        <v>11908</v>
      </c>
    </row>
    <row r="407" spans="1:2">
      <c r="A407" s="513" t="s">
        <v>11909</v>
      </c>
      <c r="B407" s="513" t="s">
        <v>11910</v>
      </c>
    </row>
    <row r="408" spans="1:2">
      <c r="A408" s="513" t="s">
        <v>11911</v>
      </c>
      <c r="B408" s="513" t="s">
        <v>11842</v>
      </c>
    </row>
    <row r="409" spans="1:2">
      <c r="A409" s="513" t="s">
        <v>11912</v>
      </c>
      <c r="B409" s="513" t="s">
        <v>11906</v>
      </c>
    </row>
    <row r="410" spans="1:2">
      <c r="A410" s="513" t="s">
        <v>11913</v>
      </c>
      <c r="B410" s="513" t="s">
        <v>11908</v>
      </c>
    </row>
    <row r="411" spans="1:2">
      <c r="A411" s="513" t="s">
        <v>11914</v>
      </c>
      <c r="B411" s="513" t="s">
        <v>11910</v>
      </c>
    </row>
    <row r="412" spans="1:2">
      <c r="A412" s="513" t="s">
        <v>11915</v>
      </c>
      <c r="B412" s="513" t="s">
        <v>11838</v>
      </c>
    </row>
    <row r="413" spans="1:2">
      <c r="A413" s="513" t="s">
        <v>11916</v>
      </c>
      <c r="B413" s="513" t="s">
        <v>11906</v>
      </c>
    </row>
    <row r="414" spans="1:2">
      <c r="A414" s="513" t="s">
        <v>11917</v>
      </c>
      <c r="B414" s="513" t="s">
        <v>11908</v>
      </c>
    </row>
    <row r="415" spans="1:2">
      <c r="A415" s="513" t="s">
        <v>11918</v>
      </c>
      <c r="B415" s="513" t="s">
        <v>11910</v>
      </c>
    </row>
    <row r="416" spans="1:2">
      <c r="A416" s="513" t="s">
        <v>11919</v>
      </c>
      <c r="B416" s="513" t="s">
        <v>11920</v>
      </c>
    </row>
    <row r="417" spans="1:2">
      <c r="A417" s="513" t="s">
        <v>11921</v>
      </c>
      <c r="B417" s="513" t="s">
        <v>11922</v>
      </c>
    </row>
    <row r="418" spans="1:2">
      <c r="A418" s="513" t="s">
        <v>11923</v>
      </c>
      <c r="B418" s="513" t="s">
        <v>7113</v>
      </c>
    </row>
    <row r="419" spans="1:2">
      <c r="A419" s="513" t="s">
        <v>11924</v>
      </c>
      <c r="B419" s="513" t="s">
        <v>7185</v>
      </c>
    </row>
    <row r="420" spans="1:2">
      <c r="A420" s="513" t="s">
        <v>11925</v>
      </c>
      <c r="B420" s="513" t="s">
        <v>11926</v>
      </c>
    </row>
    <row r="421" spans="1:2">
      <c r="A421" s="513" t="s">
        <v>11927</v>
      </c>
      <c r="B421" s="513" t="s">
        <v>11928</v>
      </c>
    </row>
    <row r="422" spans="1:2">
      <c r="A422" s="513" t="s">
        <v>11929</v>
      </c>
      <c r="B422" s="513" t="s">
        <v>11930</v>
      </c>
    </row>
    <row r="423" spans="1:2">
      <c r="A423" s="513" t="s">
        <v>11931</v>
      </c>
      <c r="B423" s="513" t="s">
        <v>11932</v>
      </c>
    </row>
    <row r="424" spans="1:2">
      <c r="A424" s="513" t="s">
        <v>11933</v>
      </c>
      <c r="B424" s="513" t="s">
        <v>11934</v>
      </c>
    </row>
    <row r="425" spans="1:2">
      <c r="A425" s="513" t="s">
        <v>11935</v>
      </c>
      <c r="B425" s="513" t="s">
        <v>11936</v>
      </c>
    </row>
    <row r="426" spans="1:2">
      <c r="A426" s="513" t="s">
        <v>11937</v>
      </c>
      <c r="B426" s="513" t="s">
        <v>11938</v>
      </c>
    </row>
    <row r="427" spans="1:2">
      <c r="A427" s="513" t="s">
        <v>11939</v>
      </c>
      <c r="B427" s="513" t="s">
        <v>11940</v>
      </c>
    </row>
    <row r="428" spans="1:2">
      <c r="A428" s="513" t="s">
        <v>11941</v>
      </c>
      <c r="B428" s="513" t="s">
        <v>11942</v>
      </c>
    </row>
    <row r="429" spans="1:2">
      <c r="A429" s="513" t="s">
        <v>11943</v>
      </c>
      <c r="B429" s="513" t="s">
        <v>11906</v>
      </c>
    </row>
    <row r="430" spans="1:2">
      <c r="A430" s="513" t="s">
        <v>11945</v>
      </c>
      <c r="B430" s="513" t="s">
        <v>11910</v>
      </c>
    </row>
    <row r="431" spans="1:2">
      <c r="A431" s="513" t="s">
        <v>11946</v>
      </c>
      <c r="B431" s="513" t="s">
        <v>11947</v>
      </c>
    </row>
    <row r="432" spans="1:2">
      <c r="A432" s="513" t="s">
        <v>11948</v>
      </c>
      <c r="B432" s="513" t="s">
        <v>11906</v>
      </c>
    </row>
    <row r="433" spans="1:2">
      <c r="A433" s="513" t="s">
        <v>11950</v>
      </c>
      <c r="B433" s="513" t="s">
        <v>11910</v>
      </c>
    </row>
    <row r="434" spans="1:2">
      <c r="A434" s="513" t="s">
        <v>11951</v>
      </c>
      <c r="B434" s="513" t="s">
        <v>11952</v>
      </c>
    </row>
    <row r="435" spans="1:2">
      <c r="A435" s="513" t="s">
        <v>11953</v>
      </c>
      <c r="B435" s="513" t="s">
        <v>11906</v>
      </c>
    </row>
    <row r="436" spans="1:2">
      <c r="A436" s="513" t="s">
        <v>11955</v>
      </c>
      <c r="B436" s="513" t="s">
        <v>11910</v>
      </c>
    </row>
    <row r="437" spans="1:2">
      <c r="A437" s="513" t="s">
        <v>11956</v>
      </c>
      <c r="B437" s="513" t="s">
        <v>11957</v>
      </c>
    </row>
    <row r="438" spans="1:2">
      <c r="A438" s="513" t="s">
        <v>11958</v>
      </c>
      <c r="B438" s="513" t="s">
        <v>11957</v>
      </c>
    </row>
    <row r="439" spans="1:2">
      <c r="A439" s="513" t="s">
        <v>11959</v>
      </c>
      <c r="B439" s="513" t="s">
        <v>11906</v>
      </c>
    </row>
    <row r="440" spans="1:2">
      <c r="A440" s="513" t="s">
        <v>13461</v>
      </c>
      <c r="B440" s="513" t="s">
        <v>11910</v>
      </c>
    </row>
    <row r="441" spans="1:2">
      <c r="A441" s="513" t="s">
        <v>11961</v>
      </c>
      <c r="B441" s="513" t="s">
        <v>11910</v>
      </c>
    </row>
    <row r="442" spans="1:2">
      <c r="A442" s="513" t="s">
        <v>11962</v>
      </c>
      <c r="B442" s="513" t="s">
        <v>11963</v>
      </c>
    </row>
    <row r="443" spans="1:2">
      <c r="A443" s="513" t="s">
        <v>11964</v>
      </c>
      <c r="B443" s="513" t="s">
        <v>11963</v>
      </c>
    </row>
    <row r="444" spans="1:2">
      <c r="A444" s="513" t="s">
        <v>13462</v>
      </c>
      <c r="B444" s="513" t="s">
        <v>13327</v>
      </c>
    </row>
    <row r="445" spans="1:2">
      <c r="A445" s="513" t="s">
        <v>13463</v>
      </c>
      <c r="B445" s="513" t="s">
        <v>11906</v>
      </c>
    </row>
    <row r="446" spans="1:2">
      <c r="A446" s="513" t="s">
        <v>11967</v>
      </c>
      <c r="B446" s="513" t="s">
        <v>11910</v>
      </c>
    </row>
    <row r="447" spans="1:2">
      <c r="A447" s="513" t="s">
        <v>11968</v>
      </c>
      <c r="B447" s="513" t="s">
        <v>11969</v>
      </c>
    </row>
    <row r="448" spans="1:2">
      <c r="A448" s="513" t="s">
        <v>13465</v>
      </c>
      <c r="B448" s="513" t="s">
        <v>11910</v>
      </c>
    </row>
    <row r="449" spans="1:2">
      <c r="A449" s="513" t="s">
        <v>11972</v>
      </c>
      <c r="B449" s="513" t="s">
        <v>11910</v>
      </c>
    </row>
    <row r="450" spans="1:2">
      <c r="A450" s="513" t="s">
        <v>11973</v>
      </c>
      <c r="B450" s="513" t="s">
        <v>11974</v>
      </c>
    </row>
    <row r="451" spans="1:2">
      <c r="A451" s="513" t="s">
        <v>11975</v>
      </c>
      <c r="B451" s="513" t="s">
        <v>11906</v>
      </c>
    </row>
    <row r="452" spans="1:2">
      <c r="A452" s="513" t="s">
        <v>13466</v>
      </c>
      <c r="B452" s="513" t="s">
        <v>13332</v>
      </c>
    </row>
    <row r="453" spans="1:2">
      <c r="A453" s="513" t="s">
        <v>11977</v>
      </c>
      <c r="B453" s="513" t="s">
        <v>11910</v>
      </c>
    </row>
    <row r="454" spans="1:2">
      <c r="A454" s="513" t="s">
        <v>11978</v>
      </c>
      <c r="B454" s="513" t="s">
        <v>11979</v>
      </c>
    </row>
    <row r="455" spans="1:2">
      <c r="A455" s="513" t="s">
        <v>11980</v>
      </c>
      <c r="B455" s="513" t="s">
        <v>11906</v>
      </c>
    </row>
    <row r="456" spans="1:2">
      <c r="A456" s="513" t="s">
        <v>11982</v>
      </c>
      <c r="B456" s="513" t="s">
        <v>11910</v>
      </c>
    </row>
    <row r="457" spans="1:2">
      <c r="A457" s="513" t="s">
        <v>11983</v>
      </c>
      <c r="B457" s="513" t="s">
        <v>11984</v>
      </c>
    </row>
    <row r="458" spans="1:2">
      <c r="A458" s="513" t="s">
        <v>11985</v>
      </c>
      <c r="B458" s="513" t="s">
        <v>11984</v>
      </c>
    </row>
    <row r="459" spans="1:2">
      <c r="A459" s="513" t="s">
        <v>11988</v>
      </c>
      <c r="B459" s="513" t="s">
        <v>11910</v>
      </c>
    </row>
    <row r="460" spans="1:2">
      <c r="A460" s="513" t="s">
        <v>11989</v>
      </c>
      <c r="B460" s="513" t="s">
        <v>11990</v>
      </c>
    </row>
    <row r="461" spans="1:2">
      <c r="A461" s="513" t="s">
        <v>11991</v>
      </c>
      <c r="B461" s="513" t="s">
        <v>11990</v>
      </c>
    </row>
    <row r="462" spans="1:2">
      <c r="A462" s="513" t="s">
        <v>11994</v>
      </c>
      <c r="B462" s="513" t="s">
        <v>11910</v>
      </c>
    </row>
    <row r="463" spans="1:2">
      <c r="A463" s="513" t="s">
        <v>11995</v>
      </c>
      <c r="B463" s="513" t="s">
        <v>11996</v>
      </c>
    </row>
    <row r="464" spans="1:2">
      <c r="A464" s="513" t="s">
        <v>11997</v>
      </c>
      <c r="B464" s="513" t="s">
        <v>11996</v>
      </c>
    </row>
    <row r="465" spans="1:2">
      <c r="A465" s="513" t="s">
        <v>12000</v>
      </c>
      <c r="B465" s="513" t="s">
        <v>11910</v>
      </c>
    </row>
    <row r="466" spans="1:2">
      <c r="A466" s="513" t="s">
        <v>12001</v>
      </c>
      <c r="B466" s="513" t="s">
        <v>12002</v>
      </c>
    </row>
    <row r="467" spans="1:2">
      <c r="A467" s="513" t="s">
        <v>12003</v>
      </c>
      <c r="B467" s="513" t="s">
        <v>12002</v>
      </c>
    </row>
    <row r="468" spans="1:2">
      <c r="A468" s="513" t="s">
        <v>13469</v>
      </c>
      <c r="B468" s="513" t="s">
        <v>11910</v>
      </c>
    </row>
    <row r="469" spans="1:2">
      <c r="A469" s="513" t="s">
        <v>12006</v>
      </c>
      <c r="B469" s="513" t="s">
        <v>11910</v>
      </c>
    </row>
    <row r="470" spans="1:2">
      <c r="A470" s="513" t="s">
        <v>12007</v>
      </c>
      <c r="B470" s="513" t="s">
        <v>12008</v>
      </c>
    </row>
    <row r="471" spans="1:2">
      <c r="A471" s="513" t="s">
        <v>12009</v>
      </c>
      <c r="B471" s="513" t="s">
        <v>12008</v>
      </c>
    </row>
    <row r="472" spans="1:2">
      <c r="A472" s="513" t="s">
        <v>13470</v>
      </c>
      <c r="B472" s="513" t="s">
        <v>13337</v>
      </c>
    </row>
    <row r="473" spans="1:2">
      <c r="A473" s="513" t="s">
        <v>13471</v>
      </c>
      <c r="B473" s="513" t="s">
        <v>11906</v>
      </c>
    </row>
    <row r="474" spans="1:2">
      <c r="A474" s="513" t="s">
        <v>12012</v>
      </c>
      <c r="B474" s="513" t="s">
        <v>11910</v>
      </c>
    </row>
    <row r="475" spans="1:2">
      <c r="A475" s="513" t="s">
        <v>12013</v>
      </c>
      <c r="B475" s="513" t="s">
        <v>12014</v>
      </c>
    </row>
    <row r="476" spans="1:2">
      <c r="A476" s="513" t="s">
        <v>12015</v>
      </c>
      <c r="B476" s="513" t="s">
        <v>12014</v>
      </c>
    </row>
    <row r="477" spans="1:2">
      <c r="A477" s="513" t="s">
        <v>13473</v>
      </c>
      <c r="B477" s="513" t="s">
        <v>11910</v>
      </c>
    </row>
    <row r="478" spans="1:2">
      <c r="A478" s="513" t="s">
        <v>12018</v>
      </c>
      <c r="B478" s="513" t="s">
        <v>11910</v>
      </c>
    </row>
    <row r="479" spans="1:2">
      <c r="A479" s="513" t="s">
        <v>12019</v>
      </c>
      <c r="B479" s="513" t="s">
        <v>12020</v>
      </c>
    </row>
    <row r="480" spans="1:2">
      <c r="A480" s="513" t="s">
        <v>13474</v>
      </c>
      <c r="B480" s="513" t="s">
        <v>13342</v>
      </c>
    </row>
    <row r="481" spans="1:2">
      <c r="A481" s="513" t="s">
        <v>13475</v>
      </c>
      <c r="B481" s="513" t="s">
        <v>11906</v>
      </c>
    </row>
    <row r="482" spans="1:2">
      <c r="A482" s="513" t="s">
        <v>12023</v>
      </c>
      <c r="B482" s="513" t="s">
        <v>11910</v>
      </c>
    </row>
    <row r="483" spans="1:2">
      <c r="A483" s="513" t="s">
        <v>12024</v>
      </c>
      <c r="B483" s="513" t="s">
        <v>12025</v>
      </c>
    </row>
    <row r="484" spans="1:2">
      <c r="A484" s="513" t="s">
        <v>12026</v>
      </c>
      <c r="B484" s="513" t="s">
        <v>12025</v>
      </c>
    </row>
    <row r="485" spans="1:2">
      <c r="A485" s="513" t="s">
        <v>12029</v>
      </c>
      <c r="B485" s="513" t="s">
        <v>11910</v>
      </c>
    </row>
    <row r="486" spans="1:2">
      <c r="A486" s="513" t="s">
        <v>12030</v>
      </c>
      <c r="B486" s="513" t="s">
        <v>12031</v>
      </c>
    </row>
    <row r="487" spans="1:2">
      <c r="A487" s="513" t="s">
        <v>12032</v>
      </c>
      <c r="B487" s="513" t="s">
        <v>12031</v>
      </c>
    </row>
    <row r="488" spans="1:2">
      <c r="A488" s="513" t="s">
        <v>12035</v>
      </c>
      <c r="B488" s="513" t="s">
        <v>11910</v>
      </c>
    </row>
    <row r="489" spans="1:2">
      <c r="A489" s="513" t="s">
        <v>12036</v>
      </c>
      <c r="B489" s="513" t="s">
        <v>12037</v>
      </c>
    </row>
    <row r="490" spans="1:2">
      <c r="A490" s="513" t="s">
        <v>12038</v>
      </c>
      <c r="B490" s="513" t="s">
        <v>12037</v>
      </c>
    </row>
    <row r="491" spans="1:2">
      <c r="A491" s="513" t="s">
        <v>12041</v>
      </c>
      <c r="B491" s="513" t="s">
        <v>11910</v>
      </c>
    </row>
    <row r="492" spans="1:2">
      <c r="A492" s="513" t="s">
        <v>12042</v>
      </c>
      <c r="B492" s="513" t="s">
        <v>12043</v>
      </c>
    </row>
    <row r="493" spans="1:2">
      <c r="A493" s="513" t="s">
        <v>12044</v>
      </c>
      <c r="B493" s="513" t="s">
        <v>12043</v>
      </c>
    </row>
    <row r="494" spans="1:2">
      <c r="A494" s="513" t="s">
        <v>12047</v>
      </c>
      <c r="B494" s="513" t="s">
        <v>11910</v>
      </c>
    </row>
    <row r="495" spans="1:2">
      <c r="A495" s="513" t="s">
        <v>12048</v>
      </c>
      <c r="B495" s="513" t="s">
        <v>12049</v>
      </c>
    </row>
    <row r="496" spans="1:2">
      <c r="A496" s="513" t="s">
        <v>12050</v>
      </c>
      <c r="B496" s="513" t="s">
        <v>12049</v>
      </c>
    </row>
    <row r="497" spans="1:2">
      <c r="A497" s="513" t="s">
        <v>12053</v>
      </c>
      <c r="B497" s="513" t="s">
        <v>11910</v>
      </c>
    </row>
    <row r="498" spans="1:2">
      <c r="A498" s="513" t="s">
        <v>12054</v>
      </c>
      <c r="B498" s="513" t="s">
        <v>12055</v>
      </c>
    </row>
    <row r="499" spans="1:2">
      <c r="A499" s="513" t="s">
        <v>12056</v>
      </c>
      <c r="B499" s="513" t="s">
        <v>12055</v>
      </c>
    </row>
    <row r="500" spans="1:2">
      <c r="A500" s="513" t="s">
        <v>12057</v>
      </c>
      <c r="B500" s="513" t="s">
        <v>11906</v>
      </c>
    </row>
    <row r="501" spans="1:2">
      <c r="A501" s="513" t="s">
        <v>12059</v>
      </c>
      <c r="B501" s="513" t="s">
        <v>11910</v>
      </c>
    </row>
    <row r="502" spans="1:2">
      <c r="A502" s="513" t="s">
        <v>12060</v>
      </c>
      <c r="B502" s="513" t="s">
        <v>11942</v>
      </c>
    </row>
    <row r="503" spans="1:2">
      <c r="A503" s="513" t="s">
        <v>12061</v>
      </c>
      <c r="B503" s="513" t="s">
        <v>12062</v>
      </c>
    </row>
    <row r="504" spans="1:2">
      <c r="A504" s="513" t="s">
        <v>12063</v>
      </c>
      <c r="B504" s="513" t="s">
        <v>12062</v>
      </c>
    </row>
    <row r="505" spans="1:2">
      <c r="A505" s="513" t="s">
        <v>12064</v>
      </c>
      <c r="B505" s="513" t="s">
        <v>12065</v>
      </c>
    </row>
    <row r="506" spans="1:2">
      <c r="A506" s="513" t="s">
        <v>12066</v>
      </c>
      <c r="B506" s="513" t="s">
        <v>12067</v>
      </c>
    </row>
    <row r="507" spans="1:2">
      <c r="A507" s="513" t="s">
        <v>12068</v>
      </c>
      <c r="B507" s="513" t="s">
        <v>12069</v>
      </c>
    </row>
    <row r="508" spans="1:2">
      <c r="A508" s="513" t="s">
        <v>12070</v>
      </c>
      <c r="B508" s="513" t="s">
        <v>12071</v>
      </c>
    </row>
    <row r="509" spans="1:2">
      <c r="A509" s="513" t="s">
        <v>12072</v>
      </c>
      <c r="B509" s="513" t="s">
        <v>12071</v>
      </c>
    </row>
    <row r="510" spans="1:2">
      <c r="A510" s="513" t="s">
        <v>12073</v>
      </c>
      <c r="B510" s="513" t="s">
        <v>12074</v>
      </c>
    </row>
    <row r="511" spans="1:2">
      <c r="A511" s="513" t="s">
        <v>12075</v>
      </c>
      <c r="B511" s="513" t="s">
        <v>12076</v>
      </c>
    </row>
    <row r="512" spans="1:2">
      <c r="A512" s="513" t="s">
        <v>12077</v>
      </c>
      <c r="B512" s="513" t="s">
        <v>12078</v>
      </c>
    </row>
    <row r="513" spans="1:2">
      <c r="A513" s="513" t="s">
        <v>12079</v>
      </c>
      <c r="B513" s="513" t="s">
        <v>12080</v>
      </c>
    </row>
    <row r="514" spans="1:2">
      <c r="A514" s="513" t="s">
        <v>12081</v>
      </c>
      <c r="B514" s="513" t="s">
        <v>12082</v>
      </c>
    </row>
    <row r="515" spans="1:2">
      <c r="A515" s="513" t="s">
        <v>12083</v>
      </c>
      <c r="B515" s="513" t="s">
        <v>12084</v>
      </c>
    </row>
    <row r="516" spans="1:2">
      <c r="A516" s="513" t="s">
        <v>12085</v>
      </c>
      <c r="B516" s="513" t="s">
        <v>12084</v>
      </c>
    </row>
    <row r="517" spans="1:2">
      <c r="A517" s="513" t="s">
        <v>12086</v>
      </c>
      <c r="B517" s="513" t="s">
        <v>12087</v>
      </c>
    </row>
    <row r="518" spans="1:2">
      <c r="A518" s="513" t="s">
        <v>12088</v>
      </c>
      <c r="B518" s="513" t="s">
        <v>12089</v>
      </c>
    </row>
    <row r="519" spans="1:2">
      <c r="A519" s="513" t="s">
        <v>12090</v>
      </c>
      <c r="B519" s="513" t="s">
        <v>12089</v>
      </c>
    </row>
    <row r="520" spans="1:2">
      <c r="A520" s="513" t="s">
        <v>12091</v>
      </c>
      <c r="B520" s="513" t="s">
        <v>12092</v>
      </c>
    </row>
    <row r="521" spans="1:2">
      <c r="A521" s="513" t="s">
        <v>12093</v>
      </c>
      <c r="B521" s="513" t="s">
        <v>12094</v>
      </c>
    </row>
    <row r="522" spans="1:2">
      <c r="A522" s="513" t="s">
        <v>12095</v>
      </c>
      <c r="B522" s="513" t="s">
        <v>12094</v>
      </c>
    </row>
    <row r="523" spans="1:2">
      <c r="A523" s="513" t="s">
        <v>12098</v>
      </c>
      <c r="B523" s="513" t="s">
        <v>12099</v>
      </c>
    </row>
    <row r="524" spans="1:2">
      <c r="A524" s="513" t="s">
        <v>12100</v>
      </c>
      <c r="B524" s="513" t="s">
        <v>12101</v>
      </c>
    </row>
    <row r="525" spans="1:2">
      <c r="A525" s="513" t="s">
        <v>12108</v>
      </c>
      <c r="B525" s="513" t="s">
        <v>12109</v>
      </c>
    </row>
    <row r="526" spans="1:2">
      <c r="A526" s="513" t="s">
        <v>12110</v>
      </c>
      <c r="B526" s="513" t="s">
        <v>12109</v>
      </c>
    </row>
    <row r="527" spans="1:2">
      <c r="A527" s="513" t="s">
        <v>12111</v>
      </c>
      <c r="B527" s="513" t="s">
        <v>12062</v>
      </c>
    </row>
    <row r="528" spans="1:2">
      <c r="A528" s="513" t="s">
        <v>12112</v>
      </c>
      <c r="B528" s="513" t="s">
        <v>12113</v>
      </c>
    </row>
    <row r="529" spans="1:2">
      <c r="A529" s="513" t="s">
        <v>12114</v>
      </c>
      <c r="B529" s="513" t="s">
        <v>12115</v>
      </c>
    </row>
    <row r="530" spans="1:2">
      <c r="A530" s="513" t="s">
        <v>12116</v>
      </c>
      <c r="B530" s="513" t="s">
        <v>12117</v>
      </c>
    </row>
    <row r="531" spans="1:2">
      <c r="A531" s="513" t="s">
        <v>12118</v>
      </c>
      <c r="B531" s="513" t="s">
        <v>12119</v>
      </c>
    </row>
    <row r="532" spans="1:2">
      <c r="A532" s="513" t="s">
        <v>12120</v>
      </c>
      <c r="B532" s="513" t="s">
        <v>5522</v>
      </c>
    </row>
    <row r="533" spans="1:2">
      <c r="A533" s="513" t="s">
        <v>12123</v>
      </c>
      <c r="B533" s="513" t="s">
        <v>12124</v>
      </c>
    </row>
    <row r="534" spans="1:2">
      <c r="A534" s="513" t="s">
        <v>12125</v>
      </c>
      <c r="B534" s="513" t="s">
        <v>12062</v>
      </c>
    </row>
    <row r="535" spans="1:2">
      <c r="A535" s="513" t="s">
        <v>12126</v>
      </c>
      <c r="B535" s="513" t="s">
        <v>12065</v>
      </c>
    </row>
    <row r="536" spans="1:2">
      <c r="A536" s="513" t="s">
        <v>12127</v>
      </c>
      <c r="B536" s="513" t="s">
        <v>12067</v>
      </c>
    </row>
    <row r="537" spans="1:2">
      <c r="A537" s="513" t="s">
        <v>12128</v>
      </c>
      <c r="B537" s="513" t="s">
        <v>12129</v>
      </c>
    </row>
    <row r="538" spans="1:2">
      <c r="A538" s="513" t="s">
        <v>12130</v>
      </c>
      <c r="B538" s="513" t="s">
        <v>12131</v>
      </c>
    </row>
    <row r="539" spans="1:2">
      <c r="A539" s="513" t="s">
        <v>12132</v>
      </c>
      <c r="B539" s="513" t="s">
        <v>12133</v>
      </c>
    </row>
    <row r="540" spans="1:2">
      <c r="A540" s="513" t="s">
        <v>12134</v>
      </c>
      <c r="B540" s="513" t="s">
        <v>12071</v>
      </c>
    </row>
    <row r="541" spans="1:2">
      <c r="A541" s="513" t="s">
        <v>12135</v>
      </c>
      <c r="B541" s="513" t="s">
        <v>12071</v>
      </c>
    </row>
    <row r="542" spans="1:2">
      <c r="A542" s="513" t="s">
        <v>12136</v>
      </c>
      <c r="B542" s="513" t="s">
        <v>12074</v>
      </c>
    </row>
    <row r="543" spans="1:2">
      <c r="A543" s="513" t="s">
        <v>12137</v>
      </c>
      <c r="B543" s="513" t="s">
        <v>12076</v>
      </c>
    </row>
    <row r="544" spans="1:2">
      <c r="A544" s="513" t="s">
        <v>12138</v>
      </c>
      <c r="B544" s="513" t="s">
        <v>12078</v>
      </c>
    </row>
    <row r="545" spans="1:2">
      <c r="A545" s="513" t="s">
        <v>12139</v>
      </c>
      <c r="B545" s="513" t="s">
        <v>12080</v>
      </c>
    </row>
    <row r="546" spans="1:2">
      <c r="A546" s="513" t="s">
        <v>12140</v>
      </c>
      <c r="B546" s="513" t="s">
        <v>12082</v>
      </c>
    </row>
    <row r="547" spans="1:2">
      <c r="A547" s="513" t="s">
        <v>12141</v>
      </c>
      <c r="B547" s="513" t="s">
        <v>12084</v>
      </c>
    </row>
    <row r="548" spans="1:2">
      <c r="A548" s="513" t="s">
        <v>12142</v>
      </c>
      <c r="B548" s="513" t="s">
        <v>12084</v>
      </c>
    </row>
    <row r="549" spans="1:2">
      <c r="A549" s="513" t="s">
        <v>12143</v>
      </c>
      <c r="B549" s="513" t="s">
        <v>12087</v>
      </c>
    </row>
    <row r="550" spans="1:2">
      <c r="A550" s="513" t="s">
        <v>12144</v>
      </c>
      <c r="B550" s="513" t="s">
        <v>12089</v>
      </c>
    </row>
    <row r="551" spans="1:2">
      <c r="A551" s="513" t="s">
        <v>12145</v>
      </c>
      <c r="B551" s="513" t="s">
        <v>12089</v>
      </c>
    </row>
    <row r="552" spans="1:2">
      <c r="A552" s="513" t="s">
        <v>12146</v>
      </c>
      <c r="B552" s="513" t="s">
        <v>12092</v>
      </c>
    </row>
    <row r="553" spans="1:2">
      <c r="A553" s="513" t="s">
        <v>12147</v>
      </c>
      <c r="B553" s="513" t="s">
        <v>12094</v>
      </c>
    </row>
    <row r="554" spans="1:2">
      <c r="A554" s="513" t="s">
        <v>12148</v>
      </c>
      <c r="B554" s="513" t="s">
        <v>12094</v>
      </c>
    </row>
    <row r="555" spans="1:2">
      <c r="A555" s="513" t="s">
        <v>12149</v>
      </c>
      <c r="B555" s="513" t="s">
        <v>12150</v>
      </c>
    </row>
    <row r="556" spans="1:2">
      <c r="A556" s="513" t="s">
        <v>12151</v>
      </c>
      <c r="B556" s="513" t="s">
        <v>12152</v>
      </c>
    </row>
    <row r="557" spans="1:2">
      <c r="A557" s="513" t="s">
        <v>12153</v>
      </c>
      <c r="B557" s="513" t="s">
        <v>12154</v>
      </c>
    </row>
    <row r="558" spans="1:2">
      <c r="A558" s="513" t="s">
        <v>11616</v>
      </c>
      <c r="B558" s="513" t="s">
        <v>2479</v>
      </c>
    </row>
    <row r="559" spans="1:2">
      <c r="A559" s="513" t="s">
        <v>11617</v>
      </c>
      <c r="B559" s="513" t="s">
        <v>11618</v>
      </c>
    </row>
    <row r="560" spans="1:2">
      <c r="A560" s="513" t="s">
        <v>11619</v>
      </c>
      <c r="B560" s="513" t="s">
        <v>11620</v>
      </c>
    </row>
    <row r="561" spans="1:2">
      <c r="A561" s="513" t="s">
        <v>11621</v>
      </c>
      <c r="B561" s="513" t="s">
        <v>11622</v>
      </c>
    </row>
    <row r="562" spans="1:2">
      <c r="A562" s="513" t="s">
        <v>11623</v>
      </c>
      <c r="B562" s="513" t="s">
        <v>11624</v>
      </c>
    </row>
    <row r="563" spans="1:2">
      <c r="A563" s="513" t="s">
        <v>11625</v>
      </c>
      <c r="B563" s="513" t="s">
        <v>11626</v>
      </c>
    </row>
    <row r="564" spans="1:2">
      <c r="A564" s="513" t="s">
        <v>11627</v>
      </c>
      <c r="B564" s="513" t="s">
        <v>11628</v>
      </c>
    </row>
    <row r="565" spans="1:2">
      <c r="A565" s="513" t="s">
        <v>11629</v>
      </c>
      <c r="B565" s="513" t="s">
        <v>11630</v>
      </c>
    </row>
    <row r="566" spans="1:2">
      <c r="A566" s="513" t="s">
        <v>11631</v>
      </c>
      <c r="B566" s="513" t="s">
        <v>11632</v>
      </c>
    </row>
    <row r="567" spans="1:2">
      <c r="A567" s="513" t="s">
        <v>11633</v>
      </c>
      <c r="B567" s="513" t="s">
        <v>11634</v>
      </c>
    </row>
    <row r="568" spans="1:2">
      <c r="A568" s="513" t="s">
        <v>11635</v>
      </c>
      <c r="B568" s="513" t="s">
        <v>11620</v>
      </c>
    </row>
    <row r="569" spans="1:2">
      <c r="A569" s="513" t="s">
        <v>11636</v>
      </c>
      <c r="B569" s="513" t="s">
        <v>11622</v>
      </c>
    </row>
    <row r="570" spans="1:2">
      <c r="A570" s="513" t="s">
        <v>11637</v>
      </c>
      <c r="B570" s="513" t="s">
        <v>11624</v>
      </c>
    </row>
    <row r="571" spans="1:2">
      <c r="A571" s="513" t="s">
        <v>11638</v>
      </c>
      <c r="B571" s="513" t="s">
        <v>11626</v>
      </c>
    </row>
    <row r="572" spans="1:2">
      <c r="A572" s="513" t="s">
        <v>11639</v>
      </c>
      <c r="B572" s="513" t="s">
        <v>11628</v>
      </c>
    </row>
    <row r="573" spans="1:2">
      <c r="A573" s="513" t="s">
        <v>11640</v>
      </c>
      <c r="B573" s="513" t="s">
        <v>11630</v>
      </c>
    </row>
    <row r="574" spans="1:2">
      <c r="A574" s="513" t="s">
        <v>11641</v>
      </c>
      <c r="B574" s="513" t="s">
        <v>11632</v>
      </c>
    </row>
    <row r="575" spans="1:2">
      <c r="A575" s="513" t="s">
        <v>11642</v>
      </c>
      <c r="B575" s="513" t="s">
        <v>11643</v>
      </c>
    </row>
    <row r="576" spans="1:2">
      <c r="A576" s="513" t="s">
        <v>11644</v>
      </c>
      <c r="B576" s="513" t="s">
        <v>11620</v>
      </c>
    </row>
    <row r="577" spans="1:2">
      <c r="A577" s="513" t="s">
        <v>11645</v>
      </c>
      <c r="B577" s="513" t="s">
        <v>11622</v>
      </c>
    </row>
    <row r="578" spans="1:2">
      <c r="A578" s="513" t="s">
        <v>11646</v>
      </c>
      <c r="B578" s="513" t="s">
        <v>11624</v>
      </c>
    </row>
    <row r="579" spans="1:2">
      <c r="A579" s="513" t="s">
        <v>11647</v>
      </c>
      <c r="B579" s="513" t="s">
        <v>11626</v>
      </c>
    </row>
    <row r="580" spans="1:2">
      <c r="A580" s="513" t="s">
        <v>11648</v>
      </c>
      <c r="B580" s="513" t="s">
        <v>11628</v>
      </c>
    </row>
    <row r="581" spans="1:2">
      <c r="A581" s="513" t="s">
        <v>11649</v>
      </c>
      <c r="B581" s="513" t="s">
        <v>11630</v>
      </c>
    </row>
    <row r="582" spans="1:2">
      <c r="A582" s="513" t="s">
        <v>11650</v>
      </c>
      <c r="B582" s="513" t="s">
        <v>11632</v>
      </c>
    </row>
    <row r="583" spans="1:2">
      <c r="A583" s="513" t="s">
        <v>11651</v>
      </c>
      <c r="B583" s="513" t="s">
        <v>11652</v>
      </c>
    </row>
    <row r="584" spans="1:2">
      <c r="A584" s="513" t="s">
        <v>11653</v>
      </c>
      <c r="B584" s="513" t="s">
        <v>11620</v>
      </c>
    </row>
    <row r="585" spans="1:2">
      <c r="A585" s="513" t="s">
        <v>11654</v>
      </c>
      <c r="B585" s="513" t="s">
        <v>11622</v>
      </c>
    </row>
    <row r="586" spans="1:2">
      <c r="A586" s="513" t="s">
        <v>11655</v>
      </c>
      <c r="B586" s="513" t="s">
        <v>11624</v>
      </c>
    </row>
    <row r="587" spans="1:2">
      <c r="A587" s="513" t="s">
        <v>11656</v>
      </c>
      <c r="B587" s="513" t="s">
        <v>11626</v>
      </c>
    </row>
    <row r="588" spans="1:2">
      <c r="A588" s="513" t="s">
        <v>11657</v>
      </c>
      <c r="B588" s="513" t="s">
        <v>11628</v>
      </c>
    </row>
    <row r="589" spans="1:2">
      <c r="A589" s="513" t="s">
        <v>11658</v>
      </c>
      <c r="B589" s="513" t="s">
        <v>11630</v>
      </c>
    </row>
    <row r="590" spans="1:2">
      <c r="A590" s="513" t="s">
        <v>11659</v>
      </c>
      <c r="B590" s="513" t="s">
        <v>11632</v>
      </c>
    </row>
    <row r="591" spans="1:2">
      <c r="A591" s="513" t="s">
        <v>11660</v>
      </c>
      <c r="B591" s="513" t="s">
        <v>11661</v>
      </c>
    </row>
    <row r="592" spans="1:2">
      <c r="A592" s="513" t="s">
        <v>11662</v>
      </c>
      <c r="B592" s="513" t="s">
        <v>11620</v>
      </c>
    </row>
    <row r="593" spans="1:2">
      <c r="A593" s="513" t="s">
        <v>11663</v>
      </c>
      <c r="B593" s="513" t="s">
        <v>11622</v>
      </c>
    </row>
    <row r="594" spans="1:2">
      <c r="A594" s="513" t="s">
        <v>11664</v>
      </c>
      <c r="B594" s="513" t="s">
        <v>11624</v>
      </c>
    </row>
    <row r="595" spans="1:2">
      <c r="A595" s="513" t="s">
        <v>11665</v>
      </c>
      <c r="B595" s="513" t="s">
        <v>11626</v>
      </c>
    </row>
    <row r="596" spans="1:2">
      <c r="A596" s="513" t="s">
        <v>11666</v>
      </c>
      <c r="B596" s="513" t="s">
        <v>11628</v>
      </c>
    </row>
    <row r="597" spans="1:2">
      <c r="A597" s="513" t="s">
        <v>11667</v>
      </c>
      <c r="B597" s="513" t="s">
        <v>11630</v>
      </c>
    </row>
    <row r="598" spans="1:2">
      <c r="A598" s="513" t="s">
        <v>11668</v>
      </c>
      <c r="B598" s="513" t="s">
        <v>11632</v>
      </c>
    </row>
    <row r="599" spans="1:2">
      <c r="A599" s="513" t="s">
        <v>11669</v>
      </c>
      <c r="B599" s="513" t="s">
        <v>11670</v>
      </c>
    </row>
    <row r="600" spans="1:2">
      <c r="A600" s="513" t="s">
        <v>11671</v>
      </c>
      <c r="B600" s="513" t="s">
        <v>11620</v>
      </c>
    </row>
    <row r="601" spans="1:2">
      <c r="A601" s="513" t="s">
        <v>11672</v>
      </c>
      <c r="B601" s="513" t="s">
        <v>11622</v>
      </c>
    </row>
    <row r="602" spans="1:2">
      <c r="A602" s="513" t="s">
        <v>11673</v>
      </c>
      <c r="B602" s="513" t="s">
        <v>11624</v>
      </c>
    </row>
    <row r="603" spans="1:2">
      <c r="A603" s="513" t="s">
        <v>11674</v>
      </c>
      <c r="B603" s="513" t="s">
        <v>11626</v>
      </c>
    </row>
    <row r="604" spans="1:2">
      <c r="A604" s="513" t="s">
        <v>11675</v>
      </c>
      <c r="B604" s="513" t="s">
        <v>11628</v>
      </c>
    </row>
    <row r="605" spans="1:2">
      <c r="A605" s="513" t="s">
        <v>11676</v>
      </c>
      <c r="B605" s="513" t="s">
        <v>11630</v>
      </c>
    </row>
    <row r="606" spans="1:2">
      <c r="A606" s="513" t="s">
        <v>11677</v>
      </c>
      <c r="B606" s="513" t="s">
        <v>11632</v>
      </c>
    </row>
    <row r="607" spans="1:2">
      <c r="A607" s="513" t="s">
        <v>11678</v>
      </c>
      <c r="B607" s="513" t="s">
        <v>11679</v>
      </c>
    </row>
    <row r="608" spans="1:2">
      <c r="A608" s="513" t="s">
        <v>11680</v>
      </c>
      <c r="B608" s="513" t="s">
        <v>11620</v>
      </c>
    </row>
    <row r="609" spans="1:2">
      <c r="A609" s="513" t="s">
        <v>11681</v>
      </c>
      <c r="B609" s="513" t="s">
        <v>11622</v>
      </c>
    </row>
    <row r="610" spans="1:2">
      <c r="A610" s="513" t="s">
        <v>11682</v>
      </c>
      <c r="B610" s="513" t="s">
        <v>11624</v>
      </c>
    </row>
    <row r="611" spans="1:2">
      <c r="A611" s="513" t="s">
        <v>11683</v>
      </c>
      <c r="B611" s="513" t="s">
        <v>11626</v>
      </c>
    </row>
    <row r="612" spans="1:2">
      <c r="A612" s="513" t="s">
        <v>11684</v>
      </c>
      <c r="B612" s="513" t="s">
        <v>11628</v>
      </c>
    </row>
    <row r="613" spans="1:2">
      <c r="A613" s="513" t="s">
        <v>11685</v>
      </c>
      <c r="B613" s="513" t="s">
        <v>11630</v>
      </c>
    </row>
    <row r="614" spans="1:2">
      <c r="A614" s="513" t="s">
        <v>11686</v>
      </c>
      <c r="B614" s="513" t="s">
        <v>11632</v>
      </c>
    </row>
    <row r="615" spans="1:2">
      <c r="A615" s="513" t="s">
        <v>11687</v>
      </c>
      <c r="B615" s="513" t="s">
        <v>11688</v>
      </c>
    </row>
    <row r="616" spans="1:2">
      <c r="A616" s="513" t="s">
        <v>11689</v>
      </c>
      <c r="B616" s="513" t="s">
        <v>11620</v>
      </c>
    </row>
    <row r="617" spans="1:2">
      <c r="A617" s="513" t="s">
        <v>11690</v>
      </c>
      <c r="B617" s="513" t="s">
        <v>11622</v>
      </c>
    </row>
    <row r="618" spans="1:2">
      <c r="A618" s="513" t="s">
        <v>11691</v>
      </c>
      <c r="B618" s="513" t="s">
        <v>11624</v>
      </c>
    </row>
    <row r="619" spans="1:2">
      <c r="A619" s="513" t="s">
        <v>11692</v>
      </c>
      <c r="B619" s="513" t="s">
        <v>11626</v>
      </c>
    </row>
    <row r="620" spans="1:2">
      <c r="A620" s="513" t="s">
        <v>11693</v>
      </c>
      <c r="B620" s="513" t="s">
        <v>11628</v>
      </c>
    </row>
    <row r="621" spans="1:2">
      <c r="A621" s="513" t="s">
        <v>11694</v>
      </c>
      <c r="B621" s="513" t="s">
        <v>11630</v>
      </c>
    </row>
    <row r="622" spans="1:2">
      <c r="A622" s="513" t="s">
        <v>11695</v>
      </c>
      <c r="B622" s="513" t="s">
        <v>11632</v>
      </c>
    </row>
    <row r="623" spans="1:2">
      <c r="A623" s="513" t="s">
        <v>11696</v>
      </c>
      <c r="B623" s="513" t="s">
        <v>11697</v>
      </c>
    </row>
    <row r="624" spans="1:2">
      <c r="A624" s="513" t="s">
        <v>11698</v>
      </c>
      <c r="B624" s="513" t="s">
        <v>11620</v>
      </c>
    </row>
    <row r="625" spans="1:2">
      <c r="A625" s="513" t="s">
        <v>11699</v>
      </c>
      <c r="B625" s="513" t="s">
        <v>11622</v>
      </c>
    </row>
    <row r="626" spans="1:2">
      <c r="A626" s="513" t="s">
        <v>11700</v>
      </c>
      <c r="B626" s="513" t="s">
        <v>11624</v>
      </c>
    </row>
    <row r="627" spans="1:2">
      <c r="A627" s="513" t="s">
        <v>11701</v>
      </c>
      <c r="B627" s="513" t="s">
        <v>11626</v>
      </c>
    </row>
    <row r="628" spans="1:2">
      <c r="A628" s="513" t="s">
        <v>11702</v>
      </c>
      <c r="B628" s="513" t="s">
        <v>11628</v>
      </c>
    </row>
    <row r="629" spans="1:2">
      <c r="A629" s="513" t="s">
        <v>11703</v>
      </c>
      <c r="B629" s="513" t="s">
        <v>11630</v>
      </c>
    </row>
    <row r="630" spans="1:2">
      <c r="A630" s="513" t="s">
        <v>11704</v>
      </c>
      <c r="B630" s="513" t="s">
        <v>11632</v>
      </c>
    </row>
    <row r="631" spans="1:2">
      <c r="A631" s="513" t="s">
        <v>11705</v>
      </c>
      <c r="B631" s="513" t="s">
        <v>11706</v>
      </c>
    </row>
    <row r="632" spans="1:2">
      <c r="A632" s="513" t="s">
        <v>11707</v>
      </c>
      <c r="B632" s="513" t="s">
        <v>11620</v>
      </c>
    </row>
    <row r="633" spans="1:2">
      <c r="A633" s="513" t="s">
        <v>11708</v>
      </c>
      <c r="B633" s="513" t="s">
        <v>11622</v>
      </c>
    </row>
    <row r="634" spans="1:2">
      <c r="A634" s="513" t="s">
        <v>11709</v>
      </c>
      <c r="B634" s="513" t="s">
        <v>11624</v>
      </c>
    </row>
    <row r="635" spans="1:2">
      <c r="A635" s="513" t="s">
        <v>11710</v>
      </c>
      <c r="B635" s="513" t="s">
        <v>11626</v>
      </c>
    </row>
    <row r="636" spans="1:2">
      <c r="A636" s="513" t="s">
        <v>11711</v>
      </c>
      <c r="B636" s="513" t="s">
        <v>11628</v>
      </c>
    </row>
    <row r="637" spans="1:2">
      <c r="A637" s="513" t="s">
        <v>11712</v>
      </c>
      <c r="B637" s="513" t="s">
        <v>11630</v>
      </c>
    </row>
    <row r="638" spans="1:2">
      <c r="A638" s="513" t="s">
        <v>11713</v>
      </c>
      <c r="B638" s="513" t="s">
        <v>11632</v>
      </c>
    </row>
    <row r="639" spans="1:2">
      <c r="A639" s="513" t="s">
        <v>11714</v>
      </c>
      <c r="B639" s="513" t="s">
        <v>11715</v>
      </c>
    </row>
    <row r="640" spans="1:2">
      <c r="A640" s="513" t="s">
        <v>11716</v>
      </c>
      <c r="B640" s="513" t="s">
        <v>11620</v>
      </c>
    </row>
    <row r="641" spans="1:2">
      <c r="A641" s="513" t="s">
        <v>11717</v>
      </c>
      <c r="B641" s="513" t="s">
        <v>11622</v>
      </c>
    </row>
    <row r="642" spans="1:2">
      <c r="A642" s="513" t="s">
        <v>11718</v>
      </c>
      <c r="B642" s="513" t="s">
        <v>11624</v>
      </c>
    </row>
    <row r="643" spans="1:2">
      <c r="A643" s="513" t="s">
        <v>11719</v>
      </c>
      <c r="B643" s="513" t="s">
        <v>11626</v>
      </c>
    </row>
    <row r="644" spans="1:2">
      <c r="A644" s="513" t="s">
        <v>11720</v>
      </c>
      <c r="B644" s="513" t="s">
        <v>11628</v>
      </c>
    </row>
    <row r="645" spans="1:2">
      <c r="A645" s="513" t="s">
        <v>11721</v>
      </c>
      <c r="B645" s="513" t="s">
        <v>11630</v>
      </c>
    </row>
    <row r="646" spans="1:2">
      <c r="A646" s="513" t="s">
        <v>11722</v>
      </c>
      <c r="B646" s="513" t="s">
        <v>11632</v>
      </c>
    </row>
    <row r="647" spans="1:2">
      <c r="A647" s="513" t="s">
        <v>11723</v>
      </c>
      <c r="B647" s="513" t="s">
        <v>11724</v>
      </c>
    </row>
    <row r="648" spans="1:2">
      <c r="A648" s="513" t="s">
        <v>11725</v>
      </c>
      <c r="B648" s="513" t="s">
        <v>11620</v>
      </c>
    </row>
    <row r="649" spans="1:2">
      <c r="A649" s="513" t="s">
        <v>11726</v>
      </c>
      <c r="B649" s="513" t="s">
        <v>11622</v>
      </c>
    </row>
    <row r="650" spans="1:2">
      <c r="A650" s="513" t="s">
        <v>11727</v>
      </c>
      <c r="B650" s="513" t="s">
        <v>11624</v>
      </c>
    </row>
    <row r="651" spans="1:2">
      <c r="A651" s="513" t="s">
        <v>11728</v>
      </c>
      <c r="B651" s="513" t="s">
        <v>11626</v>
      </c>
    </row>
    <row r="652" spans="1:2">
      <c r="A652" s="513" t="s">
        <v>11729</v>
      </c>
      <c r="B652" s="513" t="s">
        <v>11628</v>
      </c>
    </row>
    <row r="653" spans="1:2">
      <c r="A653" s="513" t="s">
        <v>11730</v>
      </c>
      <c r="B653" s="513" t="s">
        <v>11630</v>
      </c>
    </row>
    <row r="654" spans="1:2">
      <c r="A654" s="513" t="s">
        <v>11731</v>
      </c>
      <c r="B654" s="513" t="s">
        <v>11632</v>
      </c>
    </row>
    <row r="655" spans="1:2">
      <c r="A655" s="513" t="s">
        <v>11732</v>
      </c>
      <c r="B655" s="513" t="s">
        <v>11733</v>
      </c>
    </row>
    <row r="656" spans="1:2">
      <c r="A656" s="513" t="s">
        <v>11734</v>
      </c>
      <c r="B656" s="513" t="s">
        <v>11620</v>
      </c>
    </row>
    <row r="657" spans="1:2">
      <c r="A657" s="513" t="s">
        <v>11735</v>
      </c>
      <c r="B657" s="513" t="s">
        <v>11622</v>
      </c>
    </row>
    <row r="658" spans="1:2">
      <c r="A658" s="513" t="s">
        <v>11736</v>
      </c>
      <c r="B658" s="513" t="s">
        <v>11624</v>
      </c>
    </row>
    <row r="659" spans="1:2">
      <c r="A659" s="513" t="s">
        <v>11737</v>
      </c>
      <c r="B659" s="513" t="s">
        <v>11626</v>
      </c>
    </row>
    <row r="660" spans="1:2">
      <c r="A660" s="513" t="s">
        <v>11738</v>
      </c>
      <c r="B660" s="513" t="s">
        <v>11628</v>
      </c>
    </row>
    <row r="661" spans="1:2">
      <c r="A661" s="513" t="s">
        <v>11739</v>
      </c>
      <c r="B661" s="513" t="s">
        <v>11630</v>
      </c>
    </row>
    <row r="662" spans="1:2">
      <c r="A662" s="513" t="s">
        <v>11740</v>
      </c>
      <c r="B662" s="513" t="s">
        <v>11632</v>
      </c>
    </row>
    <row r="663" spans="1:2">
      <c r="A663" s="513" t="s">
        <v>11741</v>
      </c>
      <c r="B663" s="513" t="s">
        <v>11742</v>
      </c>
    </row>
    <row r="664" spans="1:2">
      <c r="A664" s="513" t="s">
        <v>11743</v>
      </c>
      <c r="B664" s="513" t="s">
        <v>11620</v>
      </c>
    </row>
    <row r="665" spans="1:2">
      <c r="A665" s="513" t="s">
        <v>11744</v>
      </c>
      <c r="B665" s="513" t="s">
        <v>11622</v>
      </c>
    </row>
    <row r="666" spans="1:2">
      <c r="A666" s="513" t="s">
        <v>11745</v>
      </c>
      <c r="B666" s="513" t="s">
        <v>11624</v>
      </c>
    </row>
    <row r="667" spans="1:2">
      <c r="A667" s="513" t="s">
        <v>11746</v>
      </c>
      <c r="B667" s="513" t="s">
        <v>11626</v>
      </c>
    </row>
    <row r="668" spans="1:2">
      <c r="A668" s="513" t="s">
        <v>11747</v>
      </c>
      <c r="B668" s="513" t="s">
        <v>11628</v>
      </c>
    </row>
    <row r="669" spans="1:2">
      <c r="A669" s="513" t="s">
        <v>11748</v>
      </c>
      <c r="B669" s="513" t="s">
        <v>11630</v>
      </c>
    </row>
    <row r="670" spans="1:2">
      <c r="A670" s="513" t="s">
        <v>11749</v>
      </c>
      <c r="B670" s="513" t="s">
        <v>11632</v>
      </c>
    </row>
    <row r="671" spans="1:2">
      <c r="A671" s="513" t="s">
        <v>11750</v>
      </c>
      <c r="B671" s="513" t="s">
        <v>11751</v>
      </c>
    </row>
    <row r="672" spans="1:2">
      <c r="A672" s="513" t="s">
        <v>11752</v>
      </c>
      <c r="B672" s="513" t="s">
        <v>11620</v>
      </c>
    </row>
    <row r="673" spans="1:2">
      <c r="A673" s="513" t="s">
        <v>11753</v>
      </c>
      <c r="B673" s="513" t="s">
        <v>11622</v>
      </c>
    </row>
    <row r="674" spans="1:2">
      <c r="A674" s="513" t="s">
        <v>11754</v>
      </c>
      <c r="B674" s="513" t="s">
        <v>11624</v>
      </c>
    </row>
    <row r="675" spans="1:2">
      <c r="A675" s="513" t="s">
        <v>11755</v>
      </c>
      <c r="B675" s="513" t="s">
        <v>11626</v>
      </c>
    </row>
    <row r="676" spans="1:2">
      <c r="A676" s="513" t="s">
        <v>11756</v>
      </c>
      <c r="B676" s="513" t="s">
        <v>11628</v>
      </c>
    </row>
    <row r="677" spans="1:2">
      <c r="A677" s="513" t="s">
        <v>11757</v>
      </c>
      <c r="B677" s="513" t="s">
        <v>11630</v>
      </c>
    </row>
    <row r="678" spans="1:2">
      <c r="A678" s="513" t="s">
        <v>11758</v>
      </c>
      <c r="B678" s="513" t="s">
        <v>11632</v>
      </c>
    </row>
    <row r="679" spans="1:2">
      <c r="A679" s="513" t="s">
        <v>11759</v>
      </c>
      <c r="B679" s="513" t="s">
        <v>11760</v>
      </c>
    </row>
    <row r="680" spans="1:2">
      <c r="A680" s="513" t="s">
        <v>11761</v>
      </c>
      <c r="B680" s="513" t="s">
        <v>11762</v>
      </c>
    </row>
    <row r="681" spans="1:2">
      <c r="A681" s="513" t="s">
        <v>11763</v>
      </c>
      <c r="B681" s="513" t="s">
        <v>11764</v>
      </c>
    </row>
    <row r="682" spans="1:2">
      <c r="A682" s="513" t="s">
        <v>11765</v>
      </c>
      <c r="B682" s="513" t="s">
        <v>11766</v>
      </c>
    </row>
    <row r="683" spans="1:2">
      <c r="A683" s="513" t="s">
        <v>11767</v>
      </c>
      <c r="B683" s="513" t="s">
        <v>11762</v>
      </c>
    </row>
    <row r="684" spans="1:2">
      <c r="A684" s="513" t="s">
        <v>11768</v>
      </c>
      <c r="B684" s="513" t="s">
        <v>11769</v>
      </c>
    </row>
    <row r="685" spans="1:2">
      <c r="A685" s="513" t="s">
        <v>11770</v>
      </c>
      <c r="B685" s="513" t="s">
        <v>11771</v>
      </c>
    </row>
    <row r="686" spans="1:2">
      <c r="A686" s="513" t="s">
        <v>11772</v>
      </c>
      <c r="B686" s="513" t="s">
        <v>11762</v>
      </c>
    </row>
    <row r="687" spans="1:2">
      <c r="A687" s="513" t="s">
        <v>11773</v>
      </c>
      <c r="B687" s="513" t="s">
        <v>11764</v>
      </c>
    </row>
    <row r="688" spans="1:2">
      <c r="A688" s="513" t="s">
        <v>11774</v>
      </c>
      <c r="B688" s="513" t="s">
        <v>11766</v>
      </c>
    </row>
    <row r="689" spans="1:2">
      <c r="A689" s="513" t="s">
        <v>11775</v>
      </c>
      <c r="B689" s="513" t="s">
        <v>11762</v>
      </c>
    </row>
    <row r="690" spans="1:2">
      <c r="A690" s="513" t="s">
        <v>11776</v>
      </c>
      <c r="B690" s="513" t="s">
        <v>3016</v>
      </c>
    </row>
    <row r="691" spans="1:2">
      <c r="A691" s="513" t="s">
        <v>11777</v>
      </c>
      <c r="B691" s="513" t="s">
        <v>11778</v>
      </c>
    </row>
    <row r="692" spans="1:2">
      <c r="A692" s="513" t="s">
        <v>11779</v>
      </c>
      <c r="B692" s="513" t="s">
        <v>11780</v>
      </c>
    </row>
    <row r="693" spans="1:2">
      <c r="A693" s="513" t="s">
        <v>11781</v>
      </c>
      <c r="B693" s="513" t="s">
        <v>11782</v>
      </c>
    </row>
    <row r="694" spans="1:2">
      <c r="A694" s="513" t="s">
        <v>11783</v>
      </c>
      <c r="B694" s="513" t="s">
        <v>11784</v>
      </c>
    </row>
    <row r="695" spans="1:2">
      <c r="A695" s="513" t="s">
        <v>11785</v>
      </c>
      <c r="B695" s="513" t="s">
        <v>4946</v>
      </c>
    </row>
    <row r="696" spans="1:2">
      <c r="A696" s="513" t="s">
        <v>12195</v>
      </c>
      <c r="B696" s="513" t="s">
        <v>12196</v>
      </c>
    </row>
    <row r="697" spans="1:2">
      <c r="A697" s="513" t="s">
        <v>12197</v>
      </c>
      <c r="B697" s="513" t="s">
        <v>12198</v>
      </c>
    </row>
    <row r="698" spans="1:2">
      <c r="A698" s="513" t="s">
        <v>12199</v>
      </c>
      <c r="B698" s="513" t="s">
        <v>12200</v>
      </c>
    </row>
    <row r="699" spans="1:2">
      <c r="A699" s="513" t="s">
        <v>12201</v>
      </c>
      <c r="B699" s="513" t="s">
        <v>12202</v>
      </c>
    </row>
    <row r="700" spans="1:2">
      <c r="A700" s="513" t="s">
        <v>12316</v>
      </c>
      <c r="B700" s="513" t="s">
        <v>12317</v>
      </c>
    </row>
    <row r="701" spans="1:2">
      <c r="A701" s="513" t="s">
        <v>12318</v>
      </c>
      <c r="B701" s="513" t="s">
        <v>12319</v>
      </c>
    </row>
    <row r="702" spans="1:2">
      <c r="A702" s="513" t="s">
        <v>12320</v>
      </c>
      <c r="B702" s="513" t="s">
        <v>12321</v>
      </c>
    </row>
    <row r="703" spans="1:2">
      <c r="A703" s="513" t="s">
        <v>12322</v>
      </c>
      <c r="B703" s="513" t="s">
        <v>12317</v>
      </c>
    </row>
    <row r="704" spans="1:2">
      <c r="A704" s="513" t="s">
        <v>12323</v>
      </c>
      <c r="B704" s="513" t="s">
        <v>12319</v>
      </c>
    </row>
    <row r="705" spans="1:2">
      <c r="A705" s="513" t="s">
        <v>12324</v>
      </c>
      <c r="B705" s="513" t="s">
        <v>12325</v>
      </c>
    </row>
    <row r="706" spans="1:2">
      <c r="A706" s="513" t="s">
        <v>12705</v>
      </c>
      <c r="B706" s="513" t="s">
        <v>12706</v>
      </c>
    </row>
    <row r="707" spans="1:2">
      <c r="A707" s="513" t="s">
        <v>12707</v>
      </c>
      <c r="B707" s="513" t="s">
        <v>12708</v>
      </c>
    </row>
    <row r="708" spans="1:2">
      <c r="A708" s="513" t="s">
        <v>12709</v>
      </c>
      <c r="B708" s="513" t="s">
        <v>12710</v>
      </c>
    </row>
    <row r="709" spans="1:2">
      <c r="A709" s="513" t="s">
        <v>11837</v>
      </c>
      <c r="B709" s="513" t="s">
        <v>11838</v>
      </c>
    </row>
    <row r="710" spans="1:2">
      <c r="A710" s="513" t="s">
        <v>11839</v>
      </c>
      <c r="B710" s="513" t="s">
        <v>11840</v>
      </c>
    </row>
    <row r="711" spans="1:2">
      <c r="A711" s="513" t="s">
        <v>11841</v>
      </c>
      <c r="B711" s="513" t="s">
        <v>11842</v>
      </c>
    </row>
    <row r="712" spans="1:2">
      <c r="A712" s="513" t="s">
        <v>11843</v>
      </c>
      <c r="B712" s="513" t="s">
        <v>11838</v>
      </c>
    </row>
    <row r="713" spans="1:2">
      <c r="A713" s="513" t="s">
        <v>11844</v>
      </c>
      <c r="B713" s="513" t="s">
        <v>11838</v>
      </c>
    </row>
    <row r="714" spans="1:2">
      <c r="A714" s="513" t="s">
        <v>11845</v>
      </c>
      <c r="B714" s="513" t="s">
        <v>11840</v>
      </c>
    </row>
    <row r="715" spans="1:2">
      <c r="A715" s="513" t="s">
        <v>11846</v>
      </c>
      <c r="B715" s="513" t="s">
        <v>11842</v>
      </c>
    </row>
    <row r="716" spans="1:2">
      <c r="A716" s="513" t="s">
        <v>11847</v>
      </c>
      <c r="B716" s="513" t="s">
        <v>11838</v>
      </c>
    </row>
    <row r="717" spans="1:2">
      <c r="A717" s="513" t="s">
        <v>11848</v>
      </c>
      <c r="B717" s="513" t="s">
        <v>11840</v>
      </c>
    </row>
    <row r="718" spans="1:2">
      <c r="A718" s="513" t="s">
        <v>11849</v>
      </c>
      <c r="B718" s="513" t="s">
        <v>11850</v>
      </c>
    </row>
    <row r="719" spans="1:2">
      <c r="A719" s="513" t="s">
        <v>11851</v>
      </c>
      <c r="B719" s="513" t="s">
        <v>11852</v>
      </c>
    </row>
    <row r="720" spans="1:2">
      <c r="A720" s="513" t="s">
        <v>11853</v>
      </c>
      <c r="B720" s="513" t="s">
        <v>11854</v>
      </c>
    </row>
    <row r="721" spans="1:2">
      <c r="A721" s="513" t="s">
        <v>11855</v>
      </c>
      <c r="B721" s="513" t="s">
        <v>11842</v>
      </c>
    </row>
    <row r="722" spans="1:2">
      <c r="A722" s="513" t="s">
        <v>11856</v>
      </c>
      <c r="B722" s="513" t="s">
        <v>11850</v>
      </c>
    </row>
    <row r="723" spans="1:2">
      <c r="A723" s="513" t="s">
        <v>11857</v>
      </c>
      <c r="B723" s="513" t="s">
        <v>11852</v>
      </c>
    </row>
    <row r="724" spans="1:2">
      <c r="A724" s="513" t="s">
        <v>11858</v>
      </c>
      <c r="B724" s="513" t="s">
        <v>11854</v>
      </c>
    </row>
    <row r="725" spans="1:2">
      <c r="A725" s="513" t="s">
        <v>11859</v>
      </c>
      <c r="B725" s="513" t="s">
        <v>11838</v>
      </c>
    </row>
    <row r="726" spans="1:2">
      <c r="A726" s="513" t="s">
        <v>11860</v>
      </c>
      <c r="B726" s="513" t="s">
        <v>11850</v>
      </c>
    </row>
    <row r="727" spans="1:2">
      <c r="A727" s="513" t="s">
        <v>11861</v>
      </c>
      <c r="B727" s="513" t="s">
        <v>11852</v>
      </c>
    </row>
    <row r="728" spans="1:2">
      <c r="A728" s="513" t="s">
        <v>11862</v>
      </c>
      <c r="B728" s="513" t="s">
        <v>11854</v>
      </c>
    </row>
    <row r="729" spans="1:2">
      <c r="A729" s="513" t="s">
        <v>11863</v>
      </c>
      <c r="B729" s="513" t="s">
        <v>11840</v>
      </c>
    </row>
    <row r="730" spans="1:2">
      <c r="A730" s="513" t="s">
        <v>11864</v>
      </c>
      <c r="B730" s="513" t="s">
        <v>11865</v>
      </c>
    </row>
    <row r="731" spans="1:2">
      <c r="A731" s="513" t="s">
        <v>11866</v>
      </c>
      <c r="B731" s="513" t="s">
        <v>11867</v>
      </c>
    </row>
    <row r="732" spans="1:2">
      <c r="A732" s="513" t="s">
        <v>11868</v>
      </c>
      <c r="B732" s="513" t="s">
        <v>11869</v>
      </c>
    </row>
    <row r="733" spans="1:2">
      <c r="A733" s="513" t="s">
        <v>11870</v>
      </c>
      <c r="B733" s="513" t="s">
        <v>11871</v>
      </c>
    </row>
    <row r="734" spans="1:2">
      <c r="A734" s="513" t="s">
        <v>11872</v>
      </c>
      <c r="B734" s="513" t="s">
        <v>11873</v>
      </c>
    </row>
    <row r="735" spans="1:2">
      <c r="A735" s="513" t="s">
        <v>11874</v>
      </c>
      <c r="B735" s="513" t="s">
        <v>11875</v>
      </c>
    </row>
    <row r="736" spans="1:2">
      <c r="A736" s="513" t="s">
        <v>11876</v>
      </c>
      <c r="B736" s="513" t="s">
        <v>11877</v>
      </c>
    </row>
    <row r="737" spans="1:2">
      <c r="A737" s="513" t="s">
        <v>11878</v>
      </c>
      <c r="B737" s="513" t="s">
        <v>11879</v>
      </c>
    </row>
    <row r="738" spans="1:2">
      <c r="A738" s="513" t="s">
        <v>11880</v>
      </c>
      <c r="B738" s="513" t="s">
        <v>11881</v>
      </c>
    </row>
    <row r="739" spans="1:2">
      <c r="A739" s="513" t="s">
        <v>11882</v>
      </c>
      <c r="B739" s="513" t="s">
        <v>11842</v>
      </c>
    </row>
    <row r="740" spans="1:2">
      <c r="A740" s="513" t="s">
        <v>11883</v>
      </c>
      <c r="B740" s="513" t="s">
        <v>11865</v>
      </c>
    </row>
    <row r="741" spans="1:2">
      <c r="A741" s="513" t="s">
        <v>11884</v>
      </c>
      <c r="B741" s="513" t="s">
        <v>11867</v>
      </c>
    </row>
    <row r="742" spans="1:2">
      <c r="A742" s="513" t="s">
        <v>11885</v>
      </c>
      <c r="B742" s="513" t="s">
        <v>11869</v>
      </c>
    </row>
    <row r="743" spans="1:2">
      <c r="A743" s="513" t="s">
        <v>11886</v>
      </c>
      <c r="B743" s="513" t="s">
        <v>11871</v>
      </c>
    </row>
    <row r="744" spans="1:2">
      <c r="A744" s="513" t="s">
        <v>11887</v>
      </c>
      <c r="B744" s="513" t="s">
        <v>11888</v>
      </c>
    </row>
    <row r="745" spans="1:2">
      <c r="A745" s="513" t="s">
        <v>11889</v>
      </c>
      <c r="B745" s="513" t="s">
        <v>11890</v>
      </c>
    </row>
    <row r="746" spans="1:2">
      <c r="A746" s="513" t="s">
        <v>11891</v>
      </c>
      <c r="B746" s="513" t="s">
        <v>11877</v>
      </c>
    </row>
    <row r="747" spans="1:2">
      <c r="A747" s="513" t="s">
        <v>11892</v>
      </c>
      <c r="B747" s="513" t="s">
        <v>11879</v>
      </c>
    </row>
    <row r="748" spans="1:2">
      <c r="A748" s="513" t="s">
        <v>11893</v>
      </c>
      <c r="B748" s="513" t="s">
        <v>11881</v>
      </c>
    </row>
    <row r="749" spans="1:2">
      <c r="A749" s="513" t="s">
        <v>11894</v>
      </c>
      <c r="B749" s="513" t="s">
        <v>11838</v>
      </c>
    </row>
    <row r="750" spans="1:2">
      <c r="A750" s="513" t="s">
        <v>11895</v>
      </c>
      <c r="B750" s="513" t="s">
        <v>11865</v>
      </c>
    </row>
    <row r="751" spans="1:2">
      <c r="A751" s="513" t="s">
        <v>11896</v>
      </c>
      <c r="B751" s="513" t="s">
        <v>11867</v>
      </c>
    </row>
    <row r="752" spans="1:2">
      <c r="A752" s="513" t="s">
        <v>11897</v>
      </c>
      <c r="B752" s="513" t="s">
        <v>11869</v>
      </c>
    </row>
    <row r="753" spans="1:2">
      <c r="A753" s="513" t="s">
        <v>11898</v>
      </c>
      <c r="B753" s="513" t="s">
        <v>11871</v>
      </c>
    </row>
    <row r="754" spans="1:2">
      <c r="A754" s="513" t="s">
        <v>11899</v>
      </c>
      <c r="B754" s="513" t="s">
        <v>11888</v>
      </c>
    </row>
    <row r="755" spans="1:2">
      <c r="A755" s="513" t="s">
        <v>11900</v>
      </c>
      <c r="B755" s="513" t="s">
        <v>11890</v>
      </c>
    </row>
    <row r="756" spans="1:2">
      <c r="A756" s="513" t="s">
        <v>11901</v>
      </c>
      <c r="B756" s="513" t="s">
        <v>11877</v>
      </c>
    </row>
    <row r="757" spans="1:2">
      <c r="A757" s="513" t="s">
        <v>11902</v>
      </c>
      <c r="B757" s="513" t="s">
        <v>11879</v>
      </c>
    </row>
    <row r="758" spans="1:2">
      <c r="A758" s="513" t="s">
        <v>11903</v>
      </c>
      <c r="B758" s="513" t="s">
        <v>11881</v>
      </c>
    </row>
    <row r="759" spans="1:2">
      <c r="A759" s="513" t="s">
        <v>12711</v>
      </c>
      <c r="B759" s="513" t="s">
        <v>12712</v>
      </c>
    </row>
    <row r="760" spans="1:2">
      <c r="A760" s="513" t="s">
        <v>12713</v>
      </c>
      <c r="B760" s="513" t="s">
        <v>12714</v>
      </c>
    </row>
    <row r="761" spans="1:2">
      <c r="A761" s="513" t="s">
        <v>12715</v>
      </c>
      <c r="B761" s="513" t="s">
        <v>12716</v>
      </c>
    </row>
    <row r="762" spans="1:2">
      <c r="A762" s="513" t="s">
        <v>12717</v>
      </c>
      <c r="B762" s="513" t="s">
        <v>12718</v>
      </c>
    </row>
    <row r="763" spans="1:2">
      <c r="A763" s="513" t="s">
        <v>12719</v>
      </c>
      <c r="B763" s="513" t="s">
        <v>12720</v>
      </c>
    </row>
    <row r="764" spans="1:2">
      <c r="A764" s="513" t="s">
        <v>12721</v>
      </c>
      <c r="B764" s="513" t="s">
        <v>12722</v>
      </c>
    </row>
    <row r="765" spans="1:2">
      <c r="A765" s="513" t="s">
        <v>12723</v>
      </c>
      <c r="B765" s="513" t="s">
        <v>12724</v>
      </c>
    </row>
    <row r="766" spans="1:2">
      <c r="A766" s="513" t="s">
        <v>12725</v>
      </c>
      <c r="B766" s="513" t="s">
        <v>12706</v>
      </c>
    </row>
    <row r="767" spans="1:2">
      <c r="A767" s="513" t="s">
        <v>12726</v>
      </c>
      <c r="B767" s="513" t="s">
        <v>12708</v>
      </c>
    </row>
    <row r="768" spans="1:2">
      <c r="A768" s="513" t="s">
        <v>12727</v>
      </c>
      <c r="B768" s="513" t="s">
        <v>12710</v>
      </c>
    </row>
    <row r="769" spans="1:2">
      <c r="A769" s="513" t="s">
        <v>12728</v>
      </c>
      <c r="B769" s="513" t="s">
        <v>12712</v>
      </c>
    </row>
    <row r="770" spans="1:2">
      <c r="A770" s="513" t="s">
        <v>12729</v>
      </c>
      <c r="B770" s="513" t="s">
        <v>12714</v>
      </c>
    </row>
    <row r="771" spans="1:2">
      <c r="A771" s="513" t="s">
        <v>12730</v>
      </c>
      <c r="B771" s="513" t="s">
        <v>12716</v>
      </c>
    </row>
    <row r="772" spans="1:2">
      <c r="A772" s="513" t="s">
        <v>12731</v>
      </c>
      <c r="B772" s="513" t="s">
        <v>12718</v>
      </c>
    </row>
    <row r="773" spans="1:2">
      <c r="A773" s="513" t="s">
        <v>12732</v>
      </c>
      <c r="B773" s="513" t="s">
        <v>12720</v>
      </c>
    </row>
    <row r="774" spans="1:2">
      <c r="A774" s="513" t="s">
        <v>12733</v>
      </c>
      <c r="B774" s="513" t="s">
        <v>12722</v>
      </c>
    </row>
    <row r="775" spans="1:2">
      <c r="A775" s="513" t="s">
        <v>12734</v>
      </c>
      <c r="B775" s="513" t="s">
        <v>12724</v>
      </c>
    </row>
    <row r="776" spans="1:2">
      <c r="A776" s="513" t="s">
        <v>14135</v>
      </c>
      <c r="B776" s="513" t="s">
        <v>13784</v>
      </c>
    </row>
    <row r="777" spans="1:2">
      <c r="A777" s="513" t="s">
        <v>14136</v>
      </c>
      <c r="B777" s="513" t="s">
        <v>14137</v>
      </c>
    </row>
    <row r="778" spans="1:2">
      <c r="A778" s="513" t="s">
        <v>13316</v>
      </c>
      <c r="B778" s="513" t="s">
        <v>13317</v>
      </c>
    </row>
    <row r="779" spans="1:2">
      <c r="A779" s="513" t="s">
        <v>12155</v>
      </c>
      <c r="B779" s="513" t="s">
        <v>12154</v>
      </c>
    </row>
    <row r="780" spans="1:2">
      <c r="A780" s="513" t="s">
        <v>12156</v>
      </c>
      <c r="B780" s="513" t="s">
        <v>12157</v>
      </c>
    </row>
    <row r="781" spans="1:2">
      <c r="A781" s="513" t="s">
        <v>12158</v>
      </c>
      <c r="B781" s="513" t="s">
        <v>12159</v>
      </c>
    </row>
    <row r="782" spans="1:2">
      <c r="A782" s="513" t="s">
        <v>12160</v>
      </c>
      <c r="B782" s="513" t="s">
        <v>12161</v>
      </c>
    </row>
    <row r="783" spans="1:2">
      <c r="A783" s="513" t="s">
        <v>12162</v>
      </c>
      <c r="B783" s="513" t="s">
        <v>12161</v>
      </c>
    </row>
    <row r="784" spans="1:2">
      <c r="A784" s="513" t="s">
        <v>12163</v>
      </c>
      <c r="B784" s="513" t="s">
        <v>12164</v>
      </c>
    </row>
    <row r="785" spans="1:2">
      <c r="A785" s="513" t="s">
        <v>12165</v>
      </c>
      <c r="B785" s="513" t="s">
        <v>12166</v>
      </c>
    </row>
    <row r="786" spans="1:2">
      <c r="A786" s="513" t="s">
        <v>12167</v>
      </c>
      <c r="B786" s="513" t="s">
        <v>12168</v>
      </c>
    </row>
    <row r="787" spans="1:2">
      <c r="A787" s="513" t="s">
        <v>12169</v>
      </c>
      <c r="B787" s="513" t="s">
        <v>12168</v>
      </c>
    </row>
    <row r="788" spans="1:2">
      <c r="A788" s="513" t="s">
        <v>12170</v>
      </c>
      <c r="B788" s="513" t="s">
        <v>12171</v>
      </c>
    </row>
    <row r="789" spans="1:2">
      <c r="A789" s="513" t="s">
        <v>12172</v>
      </c>
      <c r="B789" s="513" t="s">
        <v>11766</v>
      </c>
    </row>
    <row r="790" spans="1:2">
      <c r="A790" s="513" t="s">
        <v>12173</v>
      </c>
      <c r="B790" s="513" t="s">
        <v>11766</v>
      </c>
    </row>
    <row r="791" spans="1:2">
      <c r="A791" s="513" t="s">
        <v>12174</v>
      </c>
      <c r="B791" s="513" t="s">
        <v>11762</v>
      </c>
    </row>
    <row r="792" spans="1:2">
      <c r="A792" s="513" t="s">
        <v>12175</v>
      </c>
      <c r="B792" s="513" t="s">
        <v>11762</v>
      </c>
    </row>
    <row r="793" spans="1:2">
      <c r="A793" s="513" t="s">
        <v>12176</v>
      </c>
      <c r="B793" s="513" t="s">
        <v>11910</v>
      </c>
    </row>
    <row r="794" spans="1:2">
      <c r="A794" s="513" t="s">
        <v>12180</v>
      </c>
      <c r="B794" s="513" t="s">
        <v>11910</v>
      </c>
    </row>
    <row r="795" spans="1:2">
      <c r="A795" s="513" t="s">
        <v>12181</v>
      </c>
      <c r="B795" s="513" t="s">
        <v>12182</v>
      </c>
    </row>
    <row r="796" spans="1:2">
      <c r="A796" s="513" t="s">
        <v>12183</v>
      </c>
      <c r="B796" s="513" t="s">
        <v>12184</v>
      </c>
    </row>
    <row r="797" spans="1:2">
      <c r="A797" s="513" t="s">
        <v>12185</v>
      </c>
      <c r="B797" s="513" t="s">
        <v>12186</v>
      </c>
    </row>
    <row r="798" spans="1:2">
      <c r="A798" s="513" t="s">
        <v>12187</v>
      </c>
      <c r="B798" s="513" t="s">
        <v>12188</v>
      </c>
    </row>
    <row r="799" spans="1:2">
      <c r="A799" s="513" t="s">
        <v>12189</v>
      </c>
      <c r="B799" s="513" t="s">
        <v>12190</v>
      </c>
    </row>
    <row r="800" spans="1:2">
      <c r="A800" s="513" t="s">
        <v>12191</v>
      </c>
      <c r="B800" s="513" t="s">
        <v>12190</v>
      </c>
    </row>
    <row r="801" spans="1:2">
      <c r="A801" s="513" t="s">
        <v>12209</v>
      </c>
      <c r="B801" s="513" t="s">
        <v>12210</v>
      </c>
    </row>
    <row r="802" spans="1:2">
      <c r="A802" s="513" t="s">
        <v>12211</v>
      </c>
      <c r="B802" s="513" t="s">
        <v>12212</v>
      </c>
    </row>
    <row r="803" spans="1:2">
      <c r="A803" s="513" t="s">
        <v>12213</v>
      </c>
      <c r="B803" s="513" t="s">
        <v>12214</v>
      </c>
    </row>
    <row r="804" spans="1:2">
      <c r="A804" s="513" t="s">
        <v>12215</v>
      </c>
      <c r="B804" s="513" t="s">
        <v>12216</v>
      </c>
    </row>
    <row r="805" spans="1:2">
      <c r="A805" s="513" t="s">
        <v>12217</v>
      </c>
      <c r="B805" s="513" t="s">
        <v>12218</v>
      </c>
    </row>
    <row r="806" spans="1:2">
      <c r="A806" s="513" t="s">
        <v>12219</v>
      </c>
      <c r="B806" s="513" t="s">
        <v>12220</v>
      </c>
    </row>
    <row r="807" spans="1:2">
      <c r="A807" s="513" t="s">
        <v>12221</v>
      </c>
      <c r="B807" s="513" t="s">
        <v>12222</v>
      </c>
    </row>
    <row r="808" spans="1:2">
      <c r="A808" s="513" t="s">
        <v>12223</v>
      </c>
      <c r="B808" s="513" t="s">
        <v>12224</v>
      </c>
    </row>
    <row r="809" spans="1:2">
      <c r="A809" s="513" t="s">
        <v>12225</v>
      </c>
      <c r="B809" s="513" t="s">
        <v>12226</v>
      </c>
    </row>
    <row r="810" spans="1:2">
      <c r="A810" s="513" t="s">
        <v>12227</v>
      </c>
      <c r="B810" s="513" t="s">
        <v>12228</v>
      </c>
    </row>
    <row r="811" spans="1:2">
      <c r="A811" s="513" t="s">
        <v>12229</v>
      </c>
      <c r="B811" s="513" t="s">
        <v>12228</v>
      </c>
    </row>
    <row r="812" spans="1:2">
      <c r="A812" s="513" t="s">
        <v>12230</v>
      </c>
      <c r="B812" s="513" t="s">
        <v>12231</v>
      </c>
    </row>
    <row r="813" spans="1:2">
      <c r="A813" s="513" t="s">
        <v>12232</v>
      </c>
      <c r="B813" s="513" t="s">
        <v>12231</v>
      </c>
    </row>
    <row r="814" spans="1:2">
      <c r="A814" s="513" t="s">
        <v>12233</v>
      </c>
      <c r="B814" s="513" t="s">
        <v>12234</v>
      </c>
    </row>
    <row r="815" spans="1:2">
      <c r="A815" s="513" t="s">
        <v>12235</v>
      </c>
      <c r="B815" s="513" t="s">
        <v>12210</v>
      </c>
    </row>
    <row r="816" spans="1:2">
      <c r="A816" s="513" t="s">
        <v>12236</v>
      </c>
      <c r="B816" s="513" t="s">
        <v>12210</v>
      </c>
    </row>
    <row r="817" spans="1:2">
      <c r="A817" s="513" t="s">
        <v>12245</v>
      </c>
      <c r="B817" s="513" t="s">
        <v>5690</v>
      </c>
    </row>
    <row r="818" spans="1:2">
      <c r="A818" s="513" t="s">
        <v>12246</v>
      </c>
      <c r="B818" s="513" t="s">
        <v>12247</v>
      </c>
    </row>
    <row r="819" spans="1:2">
      <c r="A819" s="513" t="s">
        <v>12251</v>
      </c>
      <c r="B819" s="513" t="s">
        <v>12154</v>
      </c>
    </row>
    <row r="820" spans="1:2">
      <c r="A820" s="513" t="s">
        <v>12255</v>
      </c>
      <c r="B820" s="513" t="s">
        <v>12161</v>
      </c>
    </row>
    <row r="821" spans="1:2">
      <c r="A821" s="513" t="s">
        <v>12263</v>
      </c>
      <c r="B821" s="513" t="s">
        <v>12168</v>
      </c>
    </row>
    <row r="822" spans="1:2">
      <c r="A822" s="513" t="s">
        <v>12266</v>
      </c>
      <c r="B822" s="513" t="s">
        <v>11766</v>
      </c>
    </row>
    <row r="823" spans="1:2">
      <c r="A823" s="513" t="s">
        <v>12268</v>
      </c>
      <c r="B823" s="513" t="s">
        <v>11762</v>
      </c>
    </row>
    <row r="824" spans="1:2">
      <c r="A824" s="513" t="s">
        <v>12269</v>
      </c>
      <c r="B824" s="513" t="s">
        <v>5708</v>
      </c>
    </row>
    <row r="825" spans="1:2">
      <c r="A825" s="513" t="s">
        <v>12270</v>
      </c>
      <c r="B825" s="513" t="s">
        <v>12150</v>
      </c>
    </row>
    <row r="826" spans="1:2">
      <c r="A826" s="513" t="s">
        <v>12271</v>
      </c>
      <c r="B826" s="513" t="s">
        <v>12152</v>
      </c>
    </row>
    <row r="827" spans="1:2">
      <c r="A827" s="513" t="s">
        <v>12279</v>
      </c>
      <c r="B827" s="513" t="s">
        <v>5726</v>
      </c>
    </row>
    <row r="828" spans="1:2">
      <c r="A828" s="513" t="s">
        <v>12280</v>
      </c>
      <c r="B828" s="513" t="s">
        <v>5728</v>
      </c>
    </row>
    <row r="829" spans="1:2">
      <c r="A829" s="513" t="s">
        <v>12281</v>
      </c>
      <c r="B829" s="513" t="s">
        <v>12150</v>
      </c>
    </row>
    <row r="830" spans="1:2">
      <c r="A830" s="513" t="s">
        <v>12283</v>
      </c>
      <c r="B830" s="513" t="s">
        <v>12154</v>
      </c>
    </row>
    <row r="831" spans="1:2">
      <c r="A831" s="513" t="s">
        <v>12287</v>
      </c>
      <c r="B831" s="513" t="s">
        <v>12171</v>
      </c>
    </row>
    <row r="832" spans="1:2">
      <c r="A832" s="513" t="s">
        <v>12288</v>
      </c>
      <c r="B832" s="513" t="s">
        <v>11766</v>
      </c>
    </row>
    <row r="833" spans="1:2">
      <c r="A833" s="513" t="s">
        <v>12289</v>
      </c>
      <c r="B833" s="513" t="s">
        <v>11766</v>
      </c>
    </row>
    <row r="834" spans="1:2">
      <c r="A834" s="513" t="s">
        <v>12290</v>
      </c>
      <c r="B834" s="513" t="s">
        <v>11762</v>
      </c>
    </row>
    <row r="835" spans="1:2">
      <c r="A835" s="513" t="s">
        <v>12291</v>
      </c>
      <c r="B835" s="513" t="s">
        <v>11762</v>
      </c>
    </row>
    <row r="836" spans="1:2">
      <c r="A836" s="513" t="s">
        <v>12292</v>
      </c>
      <c r="B836" s="513" t="s">
        <v>5735</v>
      </c>
    </row>
    <row r="837" spans="1:2">
      <c r="A837" s="513" t="s">
        <v>12300</v>
      </c>
      <c r="B837" s="513" t="s">
        <v>12062</v>
      </c>
    </row>
    <row r="838" spans="1:2">
      <c r="A838" s="513" t="s">
        <v>12301</v>
      </c>
      <c r="B838" s="513" t="s">
        <v>12065</v>
      </c>
    </row>
    <row r="839" spans="1:2">
      <c r="A839" s="513" t="s">
        <v>12302</v>
      </c>
      <c r="B839" s="513" t="s">
        <v>12067</v>
      </c>
    </row>
    <row r="840" spans="1:2">
      <c r="A840" s="513" t="s">
        <v>12303</v>
      </c>
      <c r="B840" s="513" t="s">
        <v>12069</v>
      </c>
    </row>
    <row r="841" spans="1:2">
      <c r="A841" s="513" t="s">
        <v>12305</v>
      </c>
      <c r="B841" s="513" t="s">
        <v>12071</v>
      </c>
    </row>
    <row r="842" spans="1:2">
      <c r="A842" s="513" t="s">
        <v>12306</v>
      </c>
      <c r="B842" s="513" t="s">
        <v>12074</v>
      </c>
    </row>
    <row r="843" spans="1:2">
      <c r="A843" s="513" t="s">
        <v>12311</v>
      </c>
      <c r="B843" s="513" t="s">
        <v>12084</v>
      </c>
    </row>
    <row r="844" spans="1:2">
      <c r="A844" s="513" t="s">
        <v>12312</v>
      </c>
      <c r="B844" s="513" t="s">
        <v>12087</v>
      </c>
    </row>
    <row r="845" spans="1:2">
      <c r="A845" s="513" t="s">
        <v>12313</v>
      </c>
      <c r="B845" s="513" t="s">
        <v>12089</v>
      </c>
    </row>
    <row r="846" spans="1:2">
      <c r="A846" s="513" t="s">
        <v>12314</v>
      </c>
      <c r="B846" s="513" t="s">
        <v>12092</v>
      </c>
    </row>
    <row r="847" spans="1:2">
      <c r="A847" s="513" t="s">
        <v>12315</v>
      </c>
      <c r="B847" s="513" t="s">
        <v>12094</v>
      </c>
    </row>
    <row r="848" spans="1:2">
      <c r="A848" s="513" t="s">
        <v>12326</v>
      </c>
      <c r="B848" s="513" t="s">
        <v>5800</v>
      </c>
    </row>
    <row r="849" spans="1:2">
      <c r="A849" s="513" t="s">
        <v>12327</v>
      </c>
      <c r="B849" s="513" t="s">
        <v>5802</v>
      </c>
    </row>
    <row r="850" spans="1:2">
      <c r="A850" s="513" t="s">
        <v>12336</v>
      </c>
      <c r="B850" s="513" t="s">
        <v>12335</v>
      </c>
    </row>
    <row r="851" spans="1:2">
      <c r="A851" s="513" t="s">
        <v>12337</v>
      </c>
      <c r="B851" s="513" t="s">
        <v>12338</v>
      </c>
    </row>
    <row r="852" spans="1:2">
      <c r="A852" s="513" t="s">
        <v>12339</v>
      </c>
      <c r="B852" s="513" t="s">
        <v>12340</v>
      </c>
    </row>
    <row r="853" spans="1:2">
      <c r="A853" s="513" t="s">
        <v>12341</v>
      </c>
      <c r="B853" s="513" t="s">
        <v>12087</v>
      </c>
    </row>
    <row r="854" spans="1:2">
      <c r="A854" s="513" t="s">
        <v>12342</v>
      </c>
      <c r="B854" s="513" t="s">
        <v>12343</v>
      </c>
    </row>
    <row r="855" spans="1:2">
      <c r="A855" s="513" t="s">
        <v>12344</v>
      </c>
      <c r="B855" s="513" t="s">
        <v>12343</v>
      </c>
    </row>
    <row r="856" spans="1:2">
      <c r="A856" s="513" t="s">
        <v>12345</v>
      </c>
      <c r="B856" s="513" t="s">
        <v>12346</v>
      </c>
    </row>
    <row r="857" spans="1:2">
      <c r="A857" s="513" t="s">
        <v>12347</v>
      </c>
      <c r="B857" s="513" t="s">
        <v>5824</v>
      </c>
    </row>
    <row r="858" spans="1:2">
      <c r="A858" s="513" t="s">
        <v>12735</v>
      </c>
      <c r="B858" s="513" t="s">
        <v>6684</v>
      </c>
    </row>
    <row r="859" spans="1:2">
      <c r="A859" s="513" t="s">
        <v>13743</v>
      </c>
      <c r="B859" s="513" t="s">
        <v>13744</v>
      </c>
    </row>
    <row r="860" spans="1:2">
      <c r="A860" s="513" t="s">
        <v>13745</v>
      </c>
      <c r="B860" s="513" t="s">
        <v>11881</v>
      </c>
    </row>
    <row r="861" spans="1:2">
      <c r="A861" s="513" t="s">
        <v>13746</v>
      </c>
      <c r="B861" s="513" t="s">
        <v>13747</v>
      </c>
    </row>
    <row r="862" spans="1:2">
      <c r="A862" s="513" t="s">
        <v>13748</v>
      </c>
      <c r="B862" s="513" t="s">
        <v>11867</v>
      </c>
    </row>
    <row r="863" spans="1:2">
      <c r="A863" s="513" t="s">
        <v>13749</v>
      </c>
      <c r="B863" s="513" t="s">
        <v>11869</v>
      </c>
    </row>
    <row r="864" spans="1:2">
      <c r="A864" s="513" t="s">
        <v>13750</v>
      </c>
      <c r="B864" s="513" t="s">
        <v>11871</v>
      </c>
    </row>
    <row r="865" spans="1:2">
      <c r="A865" s="513" t="s">
        <v>13751</v>
      </c>
      <c r="B865" s="513" t="s">
        <v>11873</v>
      </c>
    </row>
    <row r="866" spans="1:2">
      <c r="A866" s="513" t="s">
        <v>13752</v>
      </c>
      <c r="B866" s="513" t="s">
        <v>13753</v>
      </c>
    </row>
    <row r="867" spans="1:2">
      <c r="A867" s="513" t="s">
        <v>13754</v>
      </c>
      <c r="B867" s="513" t="s">
        <v>13755</v>
      </c>
    </row>
    <row r="868" spans="1:2">
      <c r="A868" s="513" t="s">
        <v>13756</v>
      </c>
      <c r="B868" s="513" t="s">
        <v>13757</v>
      </c>
    </row>
    <row r="869" spans="1:2">
      <c r="A869" s="513" t="s">
        <v>13758</v>
      </c>
      <c r="B869" s="513" t="s">
        <v>11875</v>
      </c>
    </row>
    <row r="870" spans="1:2">
      <c r="A870" s="513" t="s">
        <v>13759</v>
      </c>
      <c r="B870" s="513" t="s">
        <v>11877</v>
      </c>
    </row>
    <row r="871" spans="1:2">
      <c r="A871" s="513" t="s">
        <v>13760</v>
      </c>
      <c r="B871" s="513" t="s">
        <v>11879</v>
      </c>
    </row>
    <row r="872" spans="1:2">
      <c r="A872" s="513" t="s">
        <v>13761</v>
      </c>
      <c r="B872" s="513" t="s">
        <v>11881</v>
      </c>
    </row>
    <row r="873" spans="1:2">
      <c r="A873" s="513" t="s">
        <v>13762</v>
      </c>
      <c r="B873" s="513" t="s">
        <v>13763</v>
      </c>
    </row>
    <row r="874" spans="1:2">
      <c r="A874" s="513" t="s">
        <v>13764</v>
      </c>
      <c r="B874" s="513" t="s">
        <v>11942</v>
      </c>
    </row>
    <row r="875" spans="1:2">
      <c r="A875" s="513" t="s">
        <v>13765</v>
      </c>
      <c r="B875" s="513" t="s">
        <v>13452</v>
      </c>
    </row>
    <row r="876" spans="1:2">
      <c r="A876" s="513" t="s">
        <v>13766</v>
      </c>
      <c r="B876" s="513" t="s">
        <v>13767</v>
      </c>
    </row>
    <row r="877" spans="1:2">
      <c r="A877" s="513" t="s">
        <v>13768</v>
      </c>
      <c r="B877" s="513" t="s">
        <v>13769</v>
      </c>
    </row>
    <row r="878" spans="1:2">
      <c r="A878" s="513" t="s">
        <v>13770</v>
      </c>
      <c r="B878" s="513" t="s">
        <v>13570</v>
      </c>
    </row>
    <row r="879" spans="1:2">
      <c r="A879" s="513" t="s">
        <v>13771</v>
      </c>
      <c r="B879" s="513" t="s">
        <v>13772</v>
      </c>
    </row>
    <row r="880" spans="1:2">
      <c r="A880" s="513" t="s">
        <v>13773</v>
      </c>
      <c r="B880" s="513" t="s">
        <v>13774</v>
      </c>
    </row>
    <row r="881" spans="1:2">
      <c r="A881" s="513" t="s">
        <v>13775</v>
      </c>
      <c r="B881" s="513" t="s">
        <v>13776</v>
      </c>
    </row>
    <row r="882" spans="1:2">
      <c r="A882" s="513" t="s">
        <v>13777</v>
      </c>
      <c r="B882" s="513" t="s">
        <v>13778</v>
      </c>
    </row>
    <row r="883" spans="1:2">
      <c r="A883" s="513" t="s">
        <v>13779</v>
      </c>
      <c r="B883" s="513" t="s">
        <v>13780</v>
      </c>
    </row>
    <row r="884" spans="1:2">
      <c r="A884" s="513" t="s">
        <v>13781</v>
      </c>
      <c r="B884" s="513" t="s">
        <v>13782</v>
      </c>
    </row>
    <row r="885" spans="1:2">
      <c r="A885" s="513" t="s">
        <v>13783</v>
      </c>
      <c r="B885" s="513" t="s">
        <v>13784</v>
      </c>
    </row>
    <row r="886" spans="1:2">
      <c r="A886" s="513" t="s">
        <v>13785</v>
      </c>
      <c r="B886" s="513" t="s">
        <v>13786</v>
      </c>
    </row>
    <row r="887" spans="1:2">
      <c r="A887" s="513" t="s">
        <v>13787</v>
      </c>
      <c r="B887" s="513" t="s">
        <v>11942</v>
      </c>
    </row>
    <row r="888" spans="1:2">
      <c r="A888" s="513" t="s">
        <v>13788</v>
      </c>
      <c r="B888" s="513" t="s">
        <v>13784</v>
      </c>
    </row>
    <row r="889" spans="1:2">
      <c r="A889" s="513" t="s">
        <v>13789</v>
      </c>
      <c r="B889" s="513" t="s">
        <v>13786</v>
      </c>
    </row>
    <row r="890" spans="1:2">
      <c r="A890" s="513" t="s">
        <v>13790</v>
      </c>
      <c r="B890" s="513" t="s">
        <v>13452</v>
      </c>
    </row>
    <row r="891" spans="1:2">
      <c r="A891" s="513" t="s">
        <v>13791</v>
      </c>
      <c r="B891" s="513" t="s">
        <v>13784</v>
      </c>
    </row>
    <row r="892" spans="1:2">
      <c r="A892" s="513" t="s">
        <v>13792</v>
      </c>
      <c r="B892" s="513" t="s">
        <v>13786</v>
      </c>
    </row>
    <row r="893" spans="1:2">
      <c r="A893" s="513" t="s">
        <v>13793</v>
      </c>
      <c r="B893" s="513" t="s">
        <v>13767</v>
      </c>
    </row>
    <row r="894" spans="1:2">
      <c r="A894" s="513" t="s">
        <v>13794</v>
      </c>
      <c r="B894" s="513" t="s">
        <v>13784</v>
      </c>
    </row>
    <row r="895" spans="1:2">
      <c r="A895" s="513" t="s">
        <v>13795</v>
      </c>
      <c r="B895" s="513" t="s">
        <v>13786</v>
      </c>
    </row>
    <row r="896" spans="1:2">
      <c r="A896" s="513" t="s">
        <v>13796</v>
      </c>
      <c r="B896" s="513" t="s">
        <v>12094</v>
      </c>
    </row>
    <row r="897" spans="1:2">
      <c r="A897" s="513" t="s">
        <v>13797</v>
      </c>
      <c r="B897" s="513" t="s">
        <v>13784</v>
      </c>
    </row>
    <row r="898" spans="1:2">
      <c r="A898" s="513" t="s">
        <v>13798</v>
      </c>
      <c r="B898" s="513" t="s">
        <v>13786</v>
      </c>
    </row>
    <row r="899" spans="1:2">
      <c r="A899" s="513" t="s">
        <v>13799</v>
      </c>
      <c r="B899" s="513" t="s">
        <v>13570</v>
      </c>
    </row>
    <row r="900" spans="1:2">
      <c r="A900" s="513" t="s">
        <v>13800</v>
      </c>
      <c r="B900" s="513" t="s">
        <v>13784</v>
      </c>
    </row>
    <row r="901" spans="1:2">
      <c r="A901" s="513" t="s">
        <v>13801</v>
      </c>
      <c r="B901" s="513" t="s">
        <v>13786</v>
      </c>
    </row>
    <row r="902" spans="1:2">
      <c r="A902" s="513" t="s">
        <v>13802</v>
      </c>
      <c r="B902" s="513" t="s">
        <v>13776</v>
      </c>
    </row>
    <row r="903" spans="1:2">
      <c r="A903" s="513" t="s">
        <v>13803</v>
      </c>
      <c r="B903" s="513" t="s">
        <v>13784</v>
      </c>
    </row>
    <row r="904" spans="1:2">
      <c r="A904" s="513" t="s">
        <v>13804</v>
      </c>
      <c r="B904" s="513" t="s">
        <v>13786</v>
      </c>
    </row>
    <row r="905" spans="1:2">
      <c r="A905" s="513" t="s">
        <v>13805</v>
      </c>
      <c r="B905" s="513" t="s">
        <v>13763</v>
      </c>
    </row>
    <row r="906" spans="1:2">
      <c r="A906" s="513" t="s">
        <v>13806</v>
      </c>
      <c r="B906" s="513" t="s">
        <v>13784</v>
      </c>
    </row>
    <row r="907" spans="1:2">
      <c r="A907" s="513" t="s">
        <v>13807</v>
      </c>
      <c r="B907" s="513" t="s">
        <v>13786</v>
      </c>
    </row>
    <row r="908" spans="1:2">
      <c r="A908" s="513" t="s">
        <v>13808</v>
      </c>
      <c r="B908" s="513" t="s">
        <v>11942</v>
      </c>
    </row>
    <row r="909" spans="1:2">
      <c r="A909" s="513" t="s">
        <v>13809</v>
      </c>
      <c r="B909" s="513" t="s">
        <v>13784</v>
      </c>
    </row>
    <row r="910" spans="1:2">
      <c r="A910" s="513" t="s">
        <v>13810</v>
      </c>
      <c r="B910" s="513" t="s">
        <v>13786</v>
      </c>
    </row>
    <row r="911" spans="1:2">
      <c r="A911" s="513" t="s">
        <v>13811</v>
      </c>
      <c r="B911" s="513" t="s">
        <v>13452</v>
      </c>
    </row>
    <row r="912" spans="1:2">
      <c r="A912" s="513" t="s">
        <v>13812</v>
      </c>
      <c r="B912" s="513" t="s">
        <v>13784</v>
      </c>
    </row>
    <row r="913" spans="1:2">
      <c r="A913" s="513" t="s">
        <v>13813</v>
      </c>
      <c r="B913" s="513" t="s">
        <v>13786</v>
      </c>
    </row>
    <row r="914" spans="1:2">
      <c r="A914" s="513" t="s">
        <v>13814</v>
      </c>
      <c r="B914" s="513" t="s">
        <v>13767</v>
      </c>
    </row>
    <row r="915" spans="1:2">
      <c r="A915" s="513" t="s">
        <v>13815</v>
      </c>
      <c r="B915" s="513" t="s">
        <v>13784</v>
      </c>
    </row>
    <row r="916" spans="1:2">
      <c r="A916" s="513" t="s">
        <v>13816</v>
      </c>
      <c r="B916" s="513" t="s">
        <v>13786</v>
      </c>
    </row>
    <row r="917" spans="1:2">
      <c r="A917" s="513" t="s">
        <v>13817</v>
      </c>
      <c r="B917" s="513" t="s">
        <v>12094</v>
      </c>
    </row>
    <row r="918" spans="1:2">
      <c r="A918" s="513" t="s">
        <v>13818</v>
      </c>
      <c r="B918" s="513" t="s">
        <v>13784</v>
      </c>
    </row>
    <row r="919" spans="1:2">
      <c r="A919" s="513" t="s">
        <v>13819</v>
      </c>
      <c r="B919" s="513" t="s">
        <v>13786</v>
      </c>
    </row>
    <row r="920" spans="1:2">
      <c r="A920" s="513" t="s">
        <v>13820</v>
      </c>
      <c r="B920" s="513" t="s">
        <v>13570</v>
      </c>
    </row>
    <row r="921" spans="1:2">
      <c r="A921" s="513" t="s">
        <v>13821</v>
      </c>
      <c r="B921" s="513" t="s">
        <v>13784</v>
      </c>
    </row>
    <row r="922" spans="1:2">
      <c r="A922" s="513" t="s">
        <v>13822</v>
      </c>
      <c r="B922" s="513" t="s">
        <v>13786</v>
      </c>
    </row>
    <row r="923" spans="1:2">
      <c r="A923" s="513" t="s">
        <v>13823</v>
      </c>
      <c r="B923" s="513" t="s">
        <v>13772</v>
      </c>
    </row>
    <row r="924" spans="1:2">
      <c r="A924" s="513" t="s">
        <v>13824</v>
      </c>
      <c r="B924" s="513" t="s">
        <v>13784</v>
      </c>
    </row>
    <row r="925" spans="1:2">
      <c r="A925" s="513" t="s">
        <v>13825</v>
      </c>
      <c r="B925" s="513" t="s">
        <v>13786</v>
      </c>
    </row>
    <row r="926" spans="1:2">
      <c r="A926" s="513" t="s">
        <v>13826</v>
      </c>
      <c r="B926" s="513" t="s">
        <v>13774</v>
      </c>
    </row>
    <row r="927" spans="1:2">
      <c r="A927" s="513" t="s">
        <v>13827</v>
      </c>
      <c r="B927" s="513" t="s">
        <v>13784</v>
      </c>
    </row>
    <row r="928" spans="1:2">
      <c r="A928" s="513" t="s">
        <v>13828</v>
      </c>
      <c r="B928" s="513" t="s">
        <v>13786</v>
      </c>
    </row>
    <row r="929" spans="1:2">
      <c r="A929" s="513" t="s">
        <v>13829</v>
      </c>
      <c r="B929" s="513" t="s">
        <v>13776</v>
      </c>
    </row>
    <row r="930" spans="1:2">
      <c r="A930" s="513" t="s">
        <v>13830</v>
      </c>
      <c r="B930" s="513" t="s">
        <v>13784</v>
      </c>
    </row>
    <row r="931" spans="1:2">
      <c r="A931" s="513" t="s">
        <v>13831</v>
      </c>
      <c r="B931" s="513" t="s">
        <v>13786</v>
      </c>
    </row>
    <row r="932" spans="1:2">
      <c r="A932" s="513" t="s">
        <v>13832</v>
      </c>
      <c r="B932" s="513" t="s">
        <v>13772</v>
      </c>
    </row>
    <row r="933" spans="1:2">
      <c r="A933" s="513" t="s">
        <v>13833</v>
      </c>
      <c r="B933" s="513" t="s">
        <v>13784</v>
      </c>
    </row>
    <row r="934" spans="1:2">
      <c r="A934" s="513" t="s">
        <v>13834</v>
      </c>
      <c r="B934" s="513" t="s">
        <v>13786</v>
      </c>
    </row>
    <row r="935" spans="1:2">
      <c r="A935" s="513" t="s">
        <v>13835</v>
      </c>
      <c r="B935" s="513" t="s">
        <v>13774</v>
      </c>
    </row>
    <row r="936" spans="1:2">
      <c r="A936" s="513" t="s">
        <v>13836</v>
      </c>
      <c r="B936" s="513" t="s">
        <v>13784</v>
      </c>
    </row>
    <row r="937" spans="1:2">
      <c r="A937" s="513" t="s">
        <v>13837</v>
      </c>
      <c r="B937" s="513" t="s">
        <v>13786</v>
      </c>
    </row>
    <row r="938" spans="1:2">
      <c r="A938" s="513" t="s">
        <v>13838</v>
      </c>
      <c r="B938" s="513" t="s">
        <v>13763</v>
      </c>
    </row>
    <row r="939" spans="1:2">
      <c r="A939" s="513" t="s">
        <v>13839</v>
      </c>
      <c r="B939" s="513" t="s">
        <v>13840</v>
      </c>
    </row>
    <row r="940" spans="1:2">
      <c r="A940" s="513" t="s">
        <v>13841</v>
      </c>
      <c r="B940" s="513" t="s">
        <v>13842</v>
      </c>
    </row>
    <row r="941" spans="1:2">
      <c r="A941" s="513" t="s">
        <v>13843</v>
      </c>
      <c r="B941" s="513" t="s">
        <v>13844</v>
      </c>
    </row>
    <row r="942" spans="1:2">
      <c r="A942" s="513" t="s">
        <v>11905</v>
      </c>
      <c r="B942" s="513" t="s">
        <v>11906</v>
      </c>
    </row>
    <row r="943" spans="1:2">
      <c r="A943" s="513" t="s">
        <v>12106</v>
      </c>
      <c r="B943" s="513" t="s">
        <v>12107</v>
      </c>
    </row>
    <row r="944" spans="1:2">
      <c r="A944" s="513" t="s">
        <v>12096</v>
      </c>
      <c r="B944" s="513" t="s">
        <v>12097</v>
      </c>
    </row>
    <row r="945" spans="1:2">
      <c r="A945" s="513" t="s">
        <v>12177</v>
      </c>
      <c r="B945" s="513" t="s">
        <v>11906</v>
      </c>
    </row>
    <row r="946" spans="1:2">
      <c r="A946" s="513" t="s">
        <v>12178</v>
      </c>
      <c r="B946" s="513" t="s">
        <v>12179</v>
      </c>
    </row>
    <row r="947" spans="1:2">
      <c r="A947" s="513" t="s">
        <v>12272</v>
      </c>
      <c r="B947" s="513" t="s">
        <v>12154</v>
      </c>
    </row>
    <row r="948" spans="1:2">
      <c r="A948" s="513" t="s">
        <v>12273</v>
      </c>
      <c r="B948" s="513" t="s">
        <v>12161</v>
      </c>
    </row>
    <row r="949" spans="1:2">
      <c r="A949" s="513" t="s">
        <v>12274</v>
      </c>
      <c r="B949" s="513" t="s">
        <v>12168</v>
      </c>
    </row>
    <row r="950" spans="1:2">
      <c r="A950" s="513" t="s">
        <v>12275</v>
      </c>
      <c r="B950" s="513" t="s">
        <v>12171</v>
      </c>
    </row>
    <row r="951" spans="1:2">
      <c r="A951" s="513" t="s">
        <v>12276</v>
      </c>
      <c r="B951" s="513" t="s">
        <v>11766</v>
      </c>
    </row>
    <row r="952" spans="1:2">
      <c r="A952" s="513" t="s">
        <v>12277</v>
      </c>
      <c r="B952" s="513" t="s">
        <v>11762</v>
      </c>
    </row>
    <row r="953" spans="1:2">
      <c r="A953" s="513" t="s">
        <v>11944</v>
      </c>
      <c r="B953" s="513" t="s">
        <v>11908</v>
      </c>
    </row>
    <row r="954" spans="1:2">
      <c r="A954" s="513" t="s">
        <v>11949</v>
      </c>
      <c r="B954" s="513" t="s">
        <v>11908</v>
      </c>
    </row>
    <row r="955" spans="1:2">
      <c r="A955" s="513" t="s">
        <v>11954</v>
      </c>
      <c r="B955" s="513" t="s">
        <v>11908</v>
      </c>
    </row>
    <row r="956" spans="1:2">
      <c r="A956" s="513" t="s">
        <v>11960</v>
      </c>
      <c r="B956" s="513" t="s">
        <v>11908</v>
      </c>
    </row>
    <row r="957" spans="1:2">
      <c r="A957" s="513" t="s">
        <v>11966</v>
      </c>
      <c r="B957" s="513" t="s">
        <v>11908</v>
      </c>
    </row>
    <row r="958" spans="1:2">
      <c r="A958" s="513" t="s">
        <v>11971</v>
      </c>
      <c r="B958" s="513" t="s">
        <v>11908</v>
      </c>
    </row>
    <row r="959" spans="1:2">
      <c r="A959" s="513" t="s">
        <v>11976</v>
      </c>
      <c r="B959" s="513" t="s">
        <v>11908</v>
      </c>
    </row>
    <row r="960" spans="1:2">
      <c r="A960" s="513" t="s">
        <v>11981</v>
      </c>
      <c r="B960" s="513" t="s">
        <v>11908</v>
      </c>
    </row>
    <row r="961" spans="1:2">
      <c r="A961" s="513" t="s">
        <v>11987</v>
      </c>
      <c r="B961" s="513" t="s">
        <v>11908</v>
      </c>
    </row>
    <row r="962" spans="1:2">
      <c r="A962" s="513" t="s">
        <v>11993</v>
      </c>
      <c r="B962" s="513" t="s">
        <v>11908</v>
      </c>
    </row>
    <row r="963" spans="1:2">
      <c r="A963" s="513" t="s">
        <v>11999</v>
      </c>
      <c r="B963" s="513" t="s">
        <v>11908</v>
      </c>
    </row>
    <row r="964" spans="1:2">
      <c r="A964" s="513" t="s">
        <v>12005</v>
      </c>
      <c r="B964" s="513" t="s">
        <v>11908</v>
      </c>
    </row>
    <row r="965" spans="1:2">
      <c r="A965" s="513" t="s">
        <v>12011</v>
      </c>
      <c r="B965" s="513" t="s">
        <v>11908</v>
      </c>
    </row>
    <row r="966" spans="1:2">
      <c r="A966" s="513" t="s">
        <v>13872</v>
      </c>
      <c r="B966" s="513" t="s">
        <v>11764</v>
      </c>
    </row>
    <row r="967" spans="1:2">
      <c r="A967" s="513" t="s">
        <v>13873</v>
      </c>
      <c r="B967" s="513" t="s">
        <v>12168</v>
      </c>
    </row>
    <row r="968" spans="1:2">
      <c r="A968" s="513" t="s">
        <v>13874</v>
      </c>
      <c r="B968" s="513" t="s">
        <v>12171</v>
      </c>
    </row>
    <row r="969" spans="1:2">
      <c r="A969" s="513" t="s">
        <v>13875</v>
      </c>
      <c r="B969" s="513" t="s">
        <v>11762</v>
      </c>
    </row>
    <row r="970" spans="1:2">
      <c r="A970" s="513" t="s">
        <v>13876</v>
      </c>
      <c r="B970" s="513" t="s">
        <v>11762</v>
      </c>
    </row>
    <row r="971" spans="1:2">
      <c r="A971" s="513" t="s">
        <v>12017</v>
      </c>
      <c r="B971" s="513" t="s">
        <v>11908</v>
      </c>
    </row>
    <row r="972" spans="1:2">
      <c r="A972" s="513" t="s">
        <v>12022</v>
      </c>
      <c r="B972" s="513" t="s">
        <v>11908</v>
      </c>
    </row>
    <row r="973" spans="1:2">
      <c r="A973" s="513" t="s">
        <v>12028</v>
      </c>
      <c r="B973" s="513" t="s">
        <v>11908</v>
      </c>
    </row>
    <row r="974" spans="1:2">
      <c r="A974" s="513" t="s">
        <v>13880</v>
      </c>
      <c r="B974" s="513" t="s">
        <v>11762</v>
      </c>
    </row>
    <row r="975" spans="1:2">
      <c r="A975" s="513" t="s">
        <v>13881</v>
      </c>
      <c r="B975" s="513" t="s">
        <v>11762</v>
      </c>
    </row>
    <row r="976" spans="1:2">
      <c r="A976" s="513" t="s">
        <v>12034</v>
      </c>
      <c r="B976" s="513" t="s">
        <v>11908</v>
      </c>
    </row>
    <row r="977" spans="1:2">
      <c r="A977" s="513" t="s">
        <v>12040</v>
      </c>
      <c r="B977" s="513" t="s">
        <v>11908</v>
      </c>
    </row>
    <row r="978" spans="1:2">
      <c r="A978" s="513" t="s">
        <v>12046</v>
      </c>
      <c r="B978" s="513" t="s">
        <v>11908</v>
      </c>
    </row>
    <row r="979" spans="1:2">
      <c r="A979" s="513" t="s">
        <v>12052</v>
      </c>
      <c r="B979" s="513" t="s">
        <v>11908</v>
      </c>
    </row>
    <row r="980" spans="1:2">
      <c r="A980" s="513" t="s">
        <v>12058</v>
      </c>
      <c r="B980" s="513" t="s">
        <v>11908</v>
      </c>
    </row>
    <row r="981" spans="1:2">
      <c r="A981" s="513" t="s">
        <v>14025</v>
      </c>
      <c r="B981" s="513" t="s">
        <v>8459</v>
      </c>
    </row>
    <row r="982" spans="1:2">
      <c r="A982" s="513" t="s">
        <v>14053</v>
      </c>
      <c r="B982" s="513" t="s">
        <v>8623</v>
      </c>
    </row>
    <row r="983" spans="1:2">
      <c r="A983" s="513" t="s">
        <v>14069</v>
      </c>
      <c r="B983" s="513" t="s">
        <v>8954</v>
      </c>
    </row>
    <row r="984" spans="1:2">
      <c r="A984" s="513" t="s">
        <v>14071</v>
      </c>
      <c r="B984" s="513" t="s">
        <v>8977</v>
      </c>
    </row>
    <row r="985" spans="1:2">
      <c r="A985" s="513" t="s">
        <v>14072</v>
      </c>
      <c r="B985" s="513" t="s">
        <v>9030</v>
      </c>
    </row>
    <row r="986" spans="1:2">
      <c r="A986" s="513" t="s">
        <v>14103</v>
      </c>
      <c r="B986" s="513" t="s">
        <v>11615</v>
      </c>
    </row>
    <row r="987" spans="1:2">
      <c r="A987" s="513" t="s">
        <v>14104</v>
      </c>
      <c r="B987" s="513" t="s">
        <v>14105</v>
      </c>
    </row>
    <row r="988" spans="1:2">
      <c r="A988" s="513" t="s">
        <v>14106</v>
      </c>
      <c r="B988" s="513" t="s">
        <v>14107</v>
      </c>
    </row>
    <row r="989" spans="1:2">
      <c r="A989" s="513" t="s">
        <v>14108</v>
      </c>
      <c r="B989" s="513" t="s">
        <v>14078</v>
      </c>
    </row>
    <row r="990" spans="1:2">
      <c r="A990" s="513" t="s">
        <v>14109</v>
      </c>
      <c r="B990" s="513" t="s">
        <v>14110</v>
      </c>
    </row>
    <row r="991" spans="1:2">
      <c r="A991" s="513" t="s">
        <v>14111</v>
      </c>
      <c r="B991" s="513" t="s">
        <v>11679</v>
      </c>
    </row>
    <row r="992" spans="1:2">
      <c r="A992" s="513" t="s">
        <v>14112</v>
      </c>
      <c r="B992" s="513" t="s">
        <v>11688</v>
      </c>
    </row>
    <row r="993" spans="1:2">
      <c r="A993" s="513" t="s">
        <v>14113</v>
      </c>
      <c r="B993" s="513" t="s">
        <v>14114</v>
      </c>
    </row>
    <row r="994" spans="1:2">
      <c r="A994" s="513" t="s">
        <v>14115</v>
      </c>
      <c r="B994" s="513" t="s">
        <v>14116</v>
      </c>
    </row>
    <row r="995" spans="1:2">
      <c r="A995" s="513" t="s">
        <v>14117</v>
      </c>
      <c r="B995" s="513" t="s">
        <v>14080</v>
      </c>
    </row>
    <row r="996" spans="1:2">
      <c r="A996" s="513" t="s">
        <v>14118</v>
      </c>
      <c r="B996" s="513" t="s">
        <v>14082</v>
      </c>
    </row>
    <row r="997" spans="1:2">
      <c r="A997" s="513" t="s">
        <v>14119</v>
      </c>
      <c r="B997" s="513" t="s">
        <v>14120</v>
      </c>
    </row>
    <row r="998" spans="1:2">
      <c r="A998" s="513" t="s">
        <v>14121</v>
      </c>
      <c r="B998" s="513" t="s">
        <v>14086</v>
      </c>
    </row>
    <row r="999" spans="1:2">
      <c r="A999" s="513" t="s">
        <v>14122</v>
      </c>
      <c r="B999" s="513" t="s">
        <v>14088</v>
      </c>
    </row>
    <row r="1000" spans="1:2">
      <c r="A1000" s="513" t="s">
        <v>14123</v>
      </c>
      <c r="B1000" s="513" t="s">
        <v>14090</v>
      </c>
    </row>
    <row r="1001" spans="1:2">
      <c r="A1001" s="513" t="s">
        <v>14124</v>
      </c>
      <c r="B1001" s="513" t="s">
        <v>14092</v>
      </c>
    </row>
    <row r="1002" spans="1:2">
      <c r="A1002" s="513" t="s">
        <v>14125</v>
      </c>
      <c r="B1002" s="513" t="s">
        <v>14094</v>
      </c>
    </row>
    <row r="1003" spans="1:2">
      <c r="A1003" s="513" t="s">
        <v>14126</v>
      </c>
      <c r="B1003" s="513" t="s">
        <v>14127</v>
      </c>
    </row>
    <row r="1004" spans="1:2">
      <c r="A1004" s="513" t="s">
        <v>14128</v>
      </c>
      <c r="B1004" s="513" t="s">
        <v>14129</v>
      </c>
    </row>
    <row r="1005" spans="1:2">
      <c r="A1005" s="513" t="s">
        <v>14130</v>
      </c>
      <c r="B1005" s="513" t="s">
        <v>14131</v>
      </c>
    </row>
    <row r="1006" spans="1:2">
      <c r="A1006" s="513" t="s">
        <v>14132</v>
      </c>
      <c r="B1006" s="513" t="s">
        <v>11706</v>
      </c>
    </row>
    <row r="1007" spans="1:2">
      <c r="A1007" s="513" t="s">
        <v>14133</v>
      </c>
      <c r="B1007" s="513" t="s">
        <v>14134</v>
      </c>
    </row>
    <row r="1008" spans="1:2">
      <c r="A1008" s="513" t="s">
        <v>14139</v>
      </c>
      <c r="B1008" s="513" t="s">
        <v>14140</v>
      </c>
    </row>
    <row r="1009" spans="1:2">
      <c r="A1009" s="513" t="s">
        <v>14141</v>
      </c>
      <c r="B1009" s="513" t="s">
        <v>13784</v>
      </c>
    </row>
    <row r="1010" spans="1:2">
      <c r="A1010" s="513" t="s">
        <v>14142</v>
      </c>
      <c r="B1010" s="513" t="s">
        <v>14137</v>
      </c>
    </row>
    <row r="1011" spans="1:2">
      <c r="A1011" s="513" t="s">
        <v>14143</v>
      </c>
      <c r="B1011" s="513" t="s">
        <v>13786</v>
      </c>
    </row>
    <row r="1012" spans="1:2">
      <c r="A1012" s="513" t="s">
        <v>14144</v>
      </c>
      <c r="B1012" s="513" t="s">
        <v>14145</v>
      </c>
    </row>
    <row r="1013" spans="1:2">
      <c r="A1013" s="513" t="s">
        <v>14146</v>
      </c>
      <c r="B1013" s="513" t="s">
        <v>13784</v>
      </c>
    </row>
    <row r="1014" spans="1:2">
      <c r="A1014" s="513" t="s">
        <v>14147</v>
      </c>
      <c r="B1014" s="513" t="s">
        <v>14137</v>
      </c>
    </row>
    <row r="1015" spans="1:2">
      <c r="A1015" s="513" t="s">
        <v>14148</v>
      </c>
      <c r="B1015" s="513" t="s">
        <v>13786</v>
      </c>
    </row>
    <row r="1016" spans="1:2">
      <c r="A1016" s="513" t="s">
        <v>14149</v>
      </c>
      <c r="B1016" s="513" t="s">
        <v>14150</v>
      </c>
    </row>
    <row r="1017" spans="1:2">
      <c r="A1017" s="513" t="s">
        <v>14154</v>
      </c>
      <c r="B1017" s="513" t="s">
        <v>14155</v>
      </c>
    </row>
    <row r="1018" spans="1:2">
      <c r="A1018" s="513" t="s">
        <v>14159</v>
      </c>
      <c r="B1018" s="513" t="s">
        <v>14160</v>
      </c>
    </row>
    <row r="1019" spans="1:2">
      <c r="A1019" s="513" t="s">
        <v>14167</v>
      </c>
      <c r="B1019" s="513" t="s">
        <v>14168</v>
      </c>
    </row>
    <row r="1020" spans="1:2">
      <c r="A1020" s="513" t="s">
        <v>14169</v>
      </c>
      <c r="B1020" s="513" t="s">
        <v>14170</v>
      </c>
    </row>
    <row r="1021" spans="1:2">
      <c r="A1021" s="513" t="s">
        <v>14171</v>
      </c>
      <c r="B1021" s="513" t="s">
        <v>14172</v>
      </c>
    </row>
    <row r="1022" spans="1:2">
      <c r="A1022" s="513" t="s">
        <v>14173</v>
      </c>
      <c r="B1022" s="513" t="s">
        <v>14174</v>
      </c>
    </row>
    <row r="1023" spans="1:2">
      <c r="A1023" s="513" t="s">
        <v>14175</v>
      </c>
      <c r="B1023" s="513" t="s">
        <v>14170</v>
      </c>
    </row>
    <row r="1024" spans="1:2">
      <c r="A1024" s="513" t="s">
        <v>14176</v>
      </c>
      <c r="B1024" s="513" t="s">
        <v>14177</v>
      </c>
    </row>
    <row r="1025" spans="1:2">
      <c r="A1025" s="513" t="s">
        <v>14178</v>
      </c>
      <c r="B1025" s="513" t="s">
        <v>9196</v>
      </c>
    </row>
    <row r="1026" spans="1:2">
      <c r="A1026" s="513" t="s">
        <v>11965</v>
      </c>
      <c r="B1026" s="513" t="s">
        <v>11906</v>
      </c>
    </row>
    <row r="1027" spans="1:2">
      <c r="A1027" s="513" t="s">
        <v>11970</v>
      </c>
      <c r="B1027" s="513" t="s">
        <v>11906</v>
      </c>
    </row>
    <row r="1028" spans="1:2">
      <c r="A1028" s="513" t="s">
        <v>11986</v>
      </c>
      <c r="B1028" s="513" t="s">
        <v>11906</v>
      </c>
    </row>
    <row r="1029" spans="1:2">
      <c r="A1029" s="513" t="s">
        <v>11992</v>
      </c>
      <c r="B1029" s="513" t="s">
        <v>11906</v>
      </c>
    </row>
    <row r="1030" spans="1:2">
      <c r="A1030" s="513" t="s">
        <v>12010</v>
      </c>
      <c r="B1030" s="513" t="s">
        <v>11906</v>
      </c>
    </row>
    <row r="1031" spans="1:2">
      <c r="A1031" s="513" t="s">
        <v>12016</v>
      </c>
      <c r="B1031" s="513" t="s">
        <v>11906</v>
      </c>
    </row>
    <row r="1032" spans="1:2">
      <c r="A1032" s="513" t="s">
        <v>12021</v>
      </c>
      <c r="B1032" s="513" t="s">
        <v>11906</v>
      </c>
    </row>
    <row r="1033" spans="1:2">
      <c r="A1033" s="513" t="s">
        <v>13453</v>
      </c>
      <c r="B1033" s="513" t="s">
        <v>6819</v>
      </c>
    </row>
    <row r="1034" spans="1:2">
      <c r="A1034" s="513" t="s">
        <v>13454</v>
      </c>
      <c r="B1034" s="513" t="s">
        <v>6831</v>
      </c>
    </row>
    <row r="1035" spans="1:2">
      <c r="A1035" s="513" t="s">
        <v>11786</v>
      </c>
      <c r="B1035" s="513" t="s">
        <v>11787</v>
      </c>
    </row>
    <row r="1036" spans="1:2">
      <c r="A1036" s="513" t="s">
        <v>13576</v>
      </c>
      <c r="B1036" s="513" t="s">
        <v>6905</v>
      </c>
    </row>
    <row r="1037" spans="1:2">
      <c r="A1037" s="513" t="s">
        <v>13615</v>
      </c>
      <c r="B1037" s="513" t="s">
        <v>6992</v>
      </c>
    </row>
    <row r="1038" spans="1:2">
      <c r="A1038" s="513" t="s">
        <v>13643</v>
      </c>
      <c r="B1038" s="513" t="s">
        <v>7085</v>
      </c>
    </row>
    <row r="1039" spans="1:2">
      <c r="A1039" s="513" t="s">
        <v>13644</v>
      </c>
      <c r="B1039" s="513" t="s">
        <v>7113</v>
      </c>
    </row>
    <row r="1040" spans="1:2">
      <c r="A1040" s="513" t="s">
        <v>13645</v>
      </c>
      <c r="B1040" s="513" t="s">
        <v>7113</v>
      </c>
    </row>
    <row r="1041" spans="1:2">
      <c r="A1041" s="513" t="s">
        <v>13646</v>
      </c>
      <c r="B1041" s="513" t="s">
        <v>13647</v>
      </c>
    </row>
    <row r="1042" spans="1:2">
      <c r="A1042" s="513" t="s">
        <v>13648</v>
      </c>
      <c r="B1042" s="513" t="s">
        <v>13647</v>
      </c>
    </row>
    <row r="1043" spans="1:2">
      <c r="A1043" s="513" t="s">
        <v>13649</v>
      </c>
      <c r="B1043" s="513" t="s">
        <v>7150</v>
      </c>
    </row>
    <row r="1044" spans="1:2">
      <c r="A1044" s="513" t="s">
        <v>13650</v>
      </c>
      <c r="B1044" s="513" t="s">
        <v>7150</v>
      </c>
    </row>
    <row r="1045" spans="1:2">
      <c r="A1045" s="513" t="s">
        <v>13651</v>
      </c>
      <c r="B1045" s="513" t="s">
        <v>13652</v>
      </c>
    </row>
    <row r="1046" spans="1:2">
      <c r="A1046" s="513" t="s">
        <v>13653</v>
      </c>
      <c r="B1046" s="513" t="s">
        <v>13652</v>
      </c>
    </row>
    <row r="1047" spans="1:2">
      <c r="A1047" s="513" t="s">
        <v>13654</v>
      </c>
      <c r="B1047" s="513" t="s">
        <v>7170</v>
      </c>
    </row>
    <row r="1048" spans="1:2">
      <c r="A1048" s="513" t="s">
        <v>13655</v>
      </c>
      <c r="B1048" s="513" t="s">
        <v>7170</v>
      </c>
    </row>
    <row r="1049" spans="1:2">
      <c r="A1049" s="513" t="s">
        <v>13656</v>
      </c>
      <c r="B1049" s="513" t="s">
        <v>13657</v>
      </c>
    </row>
    <row r="1050" spans="1:2">
      <c r="A1050" s="513" t="s">
        <v>13658</v>
      </c>
      <c r="B1050" s="513" t="s">
        <v>13657</v>
      </c>
    </row>
    <row r="1051" spans="1:2">
      <c r="A1051" s="513" t="s">
        <v>13659</v>
      </c>
      <c r="B1051" s="513" t="s">
        <v>7185</v>
      </c>
    </row>
    <row r="1052" spans="1:2">
      <c r="A1052" s="513" t="s">
        <v>13660</v>
      </c>
      <c r="B1052" s="513" t="s">
        <v>7185</v>
      </c>
    </row>
    <row r="1053" spans="1:2">
      <c r="A1053" s="513" t="s">
        <v>13661</v>
      </c>
      <c r="B1053" s="513" t="s">
        <v>13662</v>
      </c>
    </row>
    <row r="1054" spans="1:2">
      <c r="A1054" s="513" t="s">
        <v>13663</v>
      </c>
      <c r="B1054" s="513" t="s">
        <v>13662</v>
      </c>
    </row>
    <row r="1055" spans="1:2">
      <c r="A1055" s="513" t="s">
        <v>13664</v>
      </c>
      <c r="B1055" s="513" t="s">
        <v>7217</v>
      </c>
    </row>
    <row r="1056" spans="1:2">
      <c r="A1056" s="513" t="s">
        <v>12677</v>
      </c>
      <c r="B1056" s="513" t="s">
        <v>12359</v>
      </c>
    </row>
    <row r="1057" spans="1:2">
      <c r="A1057" s="513" t="s">
        <v>12678</v>
      </c>
      <c r="B1057" s="513" t="s">
        <v>12359</v>
      </c>
    </row>
    <row r="1058" spans="1:2">
      <c r="A1058" s="513" t="s">
        <v>13667</v>
      </c>
      <c r="B1058" s="513" t="s">
        <v>7150</v>
      </c>
    </row>
    <row r="1059" spans="1:2">
      <c r="A1059" s="513" t="s">
        <v>13668</v>
      </c>
      <c r="B1059" s="513" t="s">
        <v>13652</v>
      </c>
    </row>
    <row r="1060" spans="1:2">
      <c r="A1060" s="513" t="s">
        <v>13669</v>
      </c>
      <c r="B1060" s="513" t="s">
        <v>13652</v>
      </c>
    </row>
    <row r="1061" spans="1:2">
      <c r="A1061" s="513" t="s">
        <v>13670</v>
      </c>
      <c r="B1061" s="513" t="s">
        <v>7320</v>
      </c>
    </row>
    <row r="1062" spans="1:2">
      <c r="A1062" s="513" t="s">
        <v>13671</v>
      </c>
      <c r="B1062" s="513" t="s">
        <v>13672</v>
      </c>
    </row>
    <row r="1063" spans="1:2">
      <c r="A1063" s="513" t="s">
        <v>12658</v>
      </c>
      <c r="B1063" s="513" t="s">
        <v>12429</v>
      </c>
    </row>
    <row r="1064" spans="1:2">
      <c r="A1064" s="513" t="s">
        <v>12659</v>
      </c>
      <c r="B1064" s="513" t="s">
        <v>12431</v>
      </c>
    </row>
    <row r="1065" spans="1:2">
      <c r="A1065" s="513" t="s">
        <v>13676</v>
      </c>
      <c r="B1065" s="513" t="s">
        <v>13677</v>
      </c>
    </row>
    <row r="1066" spans="1:2">
      <c r="A1066" s="513" t="s">
        <v>12660</v>
      </c>
      <c r="B1066" s="513" t="s">
        <v>12433</v>
      </c>
    </row>
    <row r="1067" spans="1:2">
      <c r="A1067" s="513" t="s">
        <v>13679</v>
      </c>
      <c r="B1067" s="513" t="s">
        <v>13677</v>
      </c>
    </row>
    <row r="1068" spans="1:2">
      <c r="A1068" s="513" t="s">
        <v>13723</v>
      </c>
      <c r="B1068" s="513" t="s">
        <v>13724</v>
      </c>
    </row>
    <row r="1069" spans="1:2">
      <c r="A1069" s="513" t="s">
        <v>12661</v>
      </c>
      <c r="B1069" s="513" t="s">
        <v>12435</v>
      </c>
    </row>
    <row r="1070" spans="1:2">
      <c r="A1070" s="513" t="s">
        <v>12662</v>
      </c>
      <c r="B1070" s="513" t="s">
        <v>12437</v>
      </c>
    </row>
    <row r="1071" spans="1:2">
      <c r="A1071" s="513" t="s">
        <v>13341</v>
      </c>
      <c r="B1071" s="513" t="s">
        <v>13342</v>
      </c>
    </row>
    <row r="1072" spans="1:2">
      <c r="A1072" s="513" t="s">
        <v>13343</v>
      </c>
      <c r="B1072" s="513" t="s">
        <v>11906</v>
      </c>
    </row>
    <row r="1073" spans="1:2">
      <c r="A1073" s="513" t="s">
        <v>12663</v>
      </c>
      <c r="B1073" s="513" t="s">
        <v>12439</v>
      </c>
    </row>
    <row r="1074" spans="1:2">
      <c r="A1074" s="513" t="s">
        <v>13345</v>
      </c>
      <c r="B1074" s="513" t="s">
        <v>11910</v>
      </c>
    </row>
    <row r="1075" spans="1:2">
      <c r="A1075" s="513" t="s">
        <v>13346</v>
      </c>
      <c r="B1075" s="513" t="s">
        <v>13347</v>
      </c>
    </row>
    <row r="1076" spans="1:2">
      <c r="A1076" s="513" t="s">
        <v>13348</v>
      </c>
      <c r="B1076" s="513" t="s">
        <v>11906</v>
      </c>
    </row>
    <row r="1077" spans="1:2">
      <c r="A1077" s="513" t="s">
        <v>12664</v>
      </c>
      <c r="B1077" s="513" t="s">
        <v>12441</v>
      </c>
    </row>
    <row r="1078" spans="1:2">
      <c r="A1078" s="513" t="s">
        <v>13350</v>
      </c>
      <c r="B1078" s="513" t="s">
        <v>11910</v>
      </c>
    </row>
    <row r="1079" spans="1:2">
      <c r="A1079" s="513" t="s">
        <v>13351</v>
      </c>
      <c r="B1079" s="513" t="s">
        <v>13352</v>
      </c>
    </row>
    <row r="1080" spans="1:2">
      <c r="A1080" s="513" t="s">
        <v>13353</v>
      </c>
      <c r="B1080" s="513" t="s">
        <v>11906</v>
      </c>
    </row>
    <row r="1081" spans="1:2">
      <c r="A1081" s="513" t="s">
        <v>12665</v>
      </c>
      <c r="B1081" s="513" t="s">
        <v>12443</v>
      </c>
    </row>
    <row r="1082" spans="1:2">
      <c r="A1082" s="513" t="s">
        <v>13355</v>
      </c>
      <c r="B1082" s="513" t="s">
        <v>11910</v>
      </c>
    </row>
    <row r="1083" spans="1:2">
      <c r="A1083" s="513" t="s">
        <v>13356</v>
      </c>
      <c r="B1083" s="513" t="s">
        <v>13357</v>
      </c>
    </row>
    <row r="1084" spans="1:2">
      <c r="A1084" s="513" t="s">
        <v>13358</v>
      </c>
      <c r="B1084" s="513" t="s">
        <v>11906</v>
      </c>
    </row>
    <row r="1085" spans="1:2">
      <c r="A1085" s="513" t="s">
        <v>12666</v>
      </c>
      <c r="B1085" s="513" t="s">
        <v>12443</v>
      </c>
    </row>
    <row r="1086" spans="1:2">
      <c r="A1086" s="513" t="s">
        <v>13360</v>
      </c>
      <c r="B1086" s="513" t="s">
        <v>11910</v>
      </c>
    </row>
    <row r="1087" spans="1:2">
      <c r="A1087" s="513" t="s">
        <v>13361</v>
      </c>
      <c r="B1087" s="513" t="s">
        <v>13362</v>
      </c>
    </row>
    <row r="1088" spans="1:2">
      <c r="A1088" s="513" t="s">
        <v>13363</v>
      </c>
      <c r="B1088" s="513" t="s">
        <v>11906</v>
      </c>
    </row>
    <row r="1089" spans="1:2">
      <c r="A1089" s="513" t="s">
        <v>13365</v>
      </c>
      <c r="B1089" s="513" t="s">
        <v>11910</v>
      </c>
    </row>
    <row r="1090" spans="1:2">
      <c r="A1090" s="513" t="s">
        <v>13366</v>
      </c>
      <c r="B1090" s="513" t="s">
        <v>13367</v>
      </c>
    </row>
    <row r="1091" spans="1:2">
      <c r="A1091" s="513" t="s">
        <v>13368</v>
      </c>
      <c r="B1091" s="513" t="s">
        <v>11906</v>
      </c>
    </row>
    <row r="1092" spans="1:2">
      <c r="A1092" s="513" t="s">
        <v>13370</v>
      </c>
      <c r="B1092" s="513" t="s">
        <v>11910</v>
      </c>
    </row>
    <row r="1093" spans="1:2">
      <c r="A1093" s="513" t="s">
        <v>13371</v>
      </c>
      <c r="B1093" s="513" t="s">
        <v>13372</v>
      </c>
    </row>
    <row r="1094" spans="1:2">
      <c r="A1094" s="513" t="s">
        <v>13373</v>
      </c>
      <c r="B1094" s="513" t="s">
        <v>11906</v>
      </c>
    </row>
    <row r="1095" spans="1:2">
      <c r="A1095" s="513" t="s">
        <v>12667</v>
      </c>
      <c r="B1095" s="513" t="s">
        <v>12351</v>
      </c>
    </row>
    <row r="1096" spans="1:2">
      <c r="A1096" s="513" t="s">
        <v>13375</v>
      </c>
      <c r="B1096" s="513" t="s">
        <v>11910</v>
      </c>
    </row>
    <row r="1097" spans="1:2">
      <c r="A1097" s="513" t="s">
        <v>13376</v>
      </c>
      <c r="B1097" s="513" t="s">
        <v>13377</v>
      </c>
    </row>
    <row r="1098" spans="1:2">
      <c r="A1098" s="513" t="s">
        <v>13378</v>
      </c>
      <c r="B1098" s="513" t="s">
        <v>11906</v>
      </c>
    </row>
    <row r="1099" spans="1:2">
      <c r="A1099" s="513" t="s">
        <v>12668</v>
      </c>
      <c r="B1099" s="513" t="s">
        <v>12353</v>
      </c>
    </row>
    <row r="1100" spans="1:2">
      <c r="A1100" s="513" t="s">
        <v>13380</v>
      </c>
      <c r="B1100" s="513" t="s">
        <v>11910</v>
      </c>
    </row>
    <row r="1101" spans="1:2">
      <c r="A1101" s="513" t="s">
        <v>13381</v>
      </c>
      <c r="B1101" s="513" t="s">
        <v>13382</v>
      </c>
    </row>
    <row r="1102" spans="1:2">
      <c r="A1102" s="513" t="s">
        <v>13383</v>
      </c>
      <c r="B1102" s="513" t="s">
        <v>11906</v>
      </c>
    </row>
    <row r="1103" spans="1:2">
      <c r="A1103" s="513" t="s">
        <v>12669</v>
      </c>
      <c r="B1103" s="513" t="s">
        <v>12355</v>
      </c>
    </row>
    <row r="1104" spans="1:2">
      <c r="A1104" s="513" t="s">
        <v>13385</v>
      </c>
      <c r="B1104" s="513" t="s">
        <v>11910</v>
      </c>
    </row>
    <row r="1105" spans="1:2">
      <c r="A1105" s="513" t="s">
        <v>13386</v>
      </c>
      <c r="B1105" s="513" t="s">
        <v>13387</v>
      </c>
    </row>
    <row r="1106" spans="1:2">
      <c r="A1106" s="513" t="s">
        <v>13388</v>
      </c>
      <c r="B1106" s="513" t="s">
        <v>11906</v>
      </c>
    </row>
    <row r="1107" spans="1:2">
      <c r="A1107" s="513" t="s">
        <v>12670</v>
      </c>
      <c r="B1107" s="513" t="s">
        <v>12357</v>
      </c>
    </row>
    <row r="1108" spans="1:2">
      <c r="A1108" s="513" t="s">
        <v>13390</v>
      </c>
      <c r="B1108" s="513" t="s">
        <v>11910</v>
      </c>
    </row>
    <row r="1109" spans="1:2">
      <c r="A1109" s="513" t="s">
        <v>13391</v>
      </c>
      <c r="B1109" s="513" t="s">
        <v>13392</v>
      </c>
    </row>
    <row r="1110" spans="1:2">
      <c r="A1110" s="513" t="s">
        <v>13393</v>
      </c>
      <c r="B1110" s="513" t="s">
        <v>11906</v>
      </c>
    </row>
    <row r="1111" spans="1:2">
      <c r="A1111" s="513" t="s">
        <v>12671</v>
      </c>
      <c r="B1111" s="513" t="s">
        <v>12359</v>
      </c>
    </row>
    <row r="1112" spans="1:2">
      <c r="A1112" s="513" t="s">
        <v>13395</v>
      </c>
      <c r="B1112" s="513" t="s">
        <v>11910</v>
      </c>
    </row>
    <row r="1113" spans="1:2">
      <c r="A1113" s="513" t="s">
        <v>13396</v>
      </c>
      <c r="B1113" s="513" t="s">
        <v>13397</v>
      </c>
    </row>
    <row r="1114" spans="1:2">
      <c r="A1114" s="513" t="s">
        <v>13398</v>
      </c>
      <c r="B1114" s="513" t="s">
        <v>11906</v>
      </c>
    </row>
    <row r="1115" spans="1:2">
      <c r="A1115" s="513" t="s">
        <v>12672</v>
      </c>
      <c r="B1115" s="513" t="s">
        <v>12359</v>
      </c>
    </row>
    <row r="1116" spans="1:2">
      <c r="A1116" s="513" t="s">
        <v>13400</v>
      </c>
      <c r="B1116" s="513" t="s">
        <v>11910</v>
      </c>
    </row>
    <row r="1117" spans="1:2">
      <c r="A1117" s="513" t="s">
        <v>13401</v>
      </c>
      <c r="B1117" s="513" t="s">
        <v>13402</v>
      </c>
    </row>
    <row r="1118" spans="1:2">
      <c r="A1118" s="513" t="s">
        <v>13403</v>
      </c>
      <c r="B1118" s="513" t="s">
        <v>11906</v>
      </c>
    </row>
    <row r="1119" spans="1:2">
      <c r="A1119" s="513" t="s">
        <v>13405</v>
      </c>
      <c r="B1119" s="513" t="s">
        <v>11910</v>
      </c>
    </row>
    <row r="1120" spans="1:2">
      <c r="A1120" s="513" t="s">
        <v>13406</v>
      </c>
      <c r="B1120" s="513" t="s">
        <v>13407</v>
      </c>
    </row>
    <row r="1121" spans="1:2">
      <c r="A1121" s="513" t="s">
        <v>13408</v>
      </c>
      <c r="B1121" s="513" t="s">
        <v>11906</v>
      </c>
    </row>
    <row r="1122" spans="1:2">
      <c r="A1122" s="513" t="s">
        <v>13410</v>
      </c>
      <c r="B1122" s="513" t="s">
        <v>11910</v>
      </c>
    </row>
    <row r="1123" spans="1:2">
      <c r="A1123" s="513" t="s">
        <v>13411</v>
      </c>
      <c r="B1123" s="513" t="s">
        <v>13412</v>
      </c>
    </row>
    <row r="1124" spans="1:2">
      <c r="A1124" s="513" t="s">
        <v>13413</v>
      </c>
      <c r="B1124" s="513" t="s">
        <v>11906</v>
      </c>
    </row>
    <row r="1125" spans="1:2">
      <c r="A1125" s="513" t="s">
        <v>12673</v>
      </c>
      <c r="B1125" s="513" t="s">
        <v>12351</v>
      </c>
    </row>
    <row r="1126" spans="1:2">
      <c r="A1126" s="513" t="s">
        <v>13415</v>
      </c>
      <c r="B1126" s="513" t="s">
        <v>11910</v>
      </c>
    </row>
    <row r="1127" spans="1:2">
      <c r="A1127" s="513" t="s">
        <v>13416</v>
      </c>
      <c r="B1127" s="513" t="s">
        <v>13417</v>
      </c>
    </row>
    <row r="1128" spans="1:2">
      <c r="A1128" s="513" t="s">
        <v>13418</v>
      </c>
      <c r="B1128" s="513" t="s">
        <v>11906</v>
      </c>
    </row>
    <row r="1129" spans="1:2">
      <c r="A1129" s="513" t="s">
        <v>12674</v>
      </c>
      <c r="B1129" s="513" t="s">
        <v>12353</v>
      </c>
    </row>
    <row r="1130" spans="1:2">
      <c r="A1130" s="513" t="s">
        <v>12675</v>
      </c>
      <c r="B1130" s="513" t="s">
        <v>12355</v>
      </c>
    </row>
    <row r="1131" spans="1:2">
      <c r="A1131" s="513" t="s">
        <v>12676</v>
      </c>
      <c r="B1131" s="513" t="s">
        <v>12357</v>
      </c>
    </row>
    <row r="1132" spans="1:2">
      <c r="A1132" s="513" t="s">
        <v>13420</v>
      </c>
      <c r="B1132" s="513" t="s">
        <v>11910</v>
      </c>
    </row>
    <row r="1133" spans="1:2">
      <c r="A1133" s="513" t="s">
        <v>13421</v>
      </c>
      <c r="B1133" s="513" t="s">
        <v>13422</v>
      </c>
    </row>
    <row r="1134" spans="1:2">
      <c r="A1134" s="513" t="s">
        <v>13423</v>
      </c>
      <c r="B1134" s="513" t="s">
        <v>11906</v>
      </c>
    </row>
    <row r="1135" spans="1:2">
      <c r="A1135" s="513" t="s">
        <v>13425</v>
      </c>
      <c r="B1135" s="513" t="s">
        <v>11910</v>
      </c>
    </row>
    <row r="1136" spans="1:2">
      <c r="A1136" s="513" t="s">
        <v>13426</v>
      </c>
      <c r="B1136" s="513" t="s">
        <v>13427</v>
      </c>
    </row>
    <row r="1137" spans="1:2">
      <c r="A1137" s="513" t="s">
        <v>13428</v>
      </c>
      <c r="B1137" s="513" t="s">
        <v>11906</v>
      </c>
    </row>
    <row r="1138" spans="1:2">
      <c r="A1138" s="513" t="s">
        <v>13430</v>
      </c>
      <c r="B1138" s="513" t="s">
        <v>11910</v>
      </c>
    </row>
    <row r="1139" spans="1:2">
      <c r="A1139" s="513" t="s">
        <v>13431</v>
      </c>
      <c r="B1139" s="513" t="s">
        <v>13432</v>
      </c>
    </row>
    <row r="1140" spans="1:2">
      <c r="A1140" s="513" t="s">
        <v>13433</v>
      </c>
      <c r="B1140" s="513" t="s">
        <v>11906</v>
      </c>
    </row>
    <row r="1141" spans="1:2">
      <c r="A1141" s="513" t="s">
        <v>13435</v>
      </c>
      <c r="B1141" s="513" t="s">
        <v>11910</v>
      </c>
    </row>
    <row r="1142" spans="1:2">
      <c r="A1142" s="513" t="s">
        <v>13436</v>
      </c>
      <c r="B1142" s="513" t="s">
        <v>13437</v>
      </c>
    </row>
    <row r="1143" spans="1:2">
      <c r="A1143" s="513" t="s">
        <v>13438</v>
      </c>
      <c r="B1143" s="513" t="s">
        <v>11906</v>
      </c>
    </row>
    <row r="1144" spans="1:2">
      <c r="A1144" s="513" t="s">
        <v>13440</v>
      </c>
      <c r="B1144" s="513" t="s">
        <v>11910</v>
      </c>
    </row>
    <row r="1145" spans="1:2">
      <c r="A1145" s="513" t="s">
        <v>13441</v>
      </c>
      <c r="B1145" s="513" t="s">
        <v>13442</v>
      </c>
    </row>
    <row r="1146" spans="1:2">
      <c r="A1146" s="513" t="s">
        <v>13443</v>
      </c>
      <c r="B1146" s="513" t="s">
        <v>11906</v>
      </c>
    </row>
    <row r="1147" spans="1:2">
      <c r="A1147" s="513" t="s">
        <v>13445</v>
      </c>
      <c r="B1147" s="513" t="s">
        <v>11910</v>
      </c>
    </row>
    <row r="1148" spans="1:2">
      <c r="A1148" s="513" t="s">
        <v>13446</v>
      </c>
      <c r="B1148" s="513" t="s">
        <v>13447</v>
      </c>
    </row>
    <row r="1149" spans="1:2">
      <c r="A1149" s="513" t="s">
        <v>13448</v>
      </c>
      <c r="B1149" s="513" t="s">
        <v>11906</v>
      </c>
    </row>
    <row r="1150" spans="1:2">
      <c r="A1150" s="513" t="s">
        <v>13450</v>
      </c>
      <c r="B1150" s="513" t="s">
        <v>11910</v>
      </c>
    </row>
    <row r="1151" spans="1:2">
      <c r="A1151" s="513" t="s">
        <v>13451</v>
      </c>
      <c r="B1151" s="513" t="s">
        <v>13452</v>
      </c>
    </row>
    <row r="1152" spans="1:2">
      <c r="A1152" s="513" t="s">
        <v>13455</v>
      </c>
      <c r="B1152" s="513" t="s">
        <v>11906</v>
      </c>
    </row>
    <row r="1153" spans="1:2">
      <c r="A1153" s="513" t="s">
        <v>13457</v>
      </c>
      <c r="B1153" s="513" t="s">
        <v>11910</v>
      </c>
    </row>
    <row r="1154" spans="1:2">
      <c r="A1154" s="513" t="s">
        <v>13458</v>
      </c>
      <c r="B1154" s="513" t="s">
        <v>13322</v>
      </c>
    </row>
    <row r="1155" spans="1:2">
      <c r="A1155" s="513" t="s">
        <v>13459</v>
      </c>
      <c r="B1155" s="513" t="s">
        <v>11906</v>
      </c>
    </row>
    <row r="1156" spans="1:2">
      <c r="A1156" s="513" t="s">
        <v>11788</v>
      </c>
      <c r="B1156" s="513" t="s">
        <v>11789</v>
      </c>
    </row>
    <row r="1157" spans="1:2">
      <c r="A1157" s="513" t="s">
        <v>11790</v>
      </c>
      <c r="B1157" s="513" t="s">
        <v>11791</v>
      </c>
    </row>
    <row r="1158" spans="1:2">
      <c r="A1158" s="513" t="s">
        <v>11792</v>
      </c>
      <c r="B1158" s="513" t="s">
        <v>11793</v>
      </c>
    </row>
    <row r="1159" spans="1:2">
      <c r="A1159" s="513" t="s">
        <v>11794</v>
      </c>
      <c r="B1159" s="513" t="s">
        <v>11795</v>
      </c>
    </row>
    <row r="1160" spans="1:2">
      <c r="A1160" s="513" t="s">
        <v>11796</v>
      </c>
      <c r="B1160" s="513" t="s">
        <v>11797</v>
      </c>
    </row>
    <row r="1161" spans="1:2">
      <c r="A1161" s="513" t="s">
        <v>11798</v>
      </c>
      <c r="B1161" s="513" t="s">
        <v>11799</v>
      </c>
    </row>
    <row r="1162" spans="1:2">
      <c r="A1162" s="513" t="s">
        <v>11800</v>
      </c>
      <c r="B1162" s="513" t="s">
        <v>11801</v>
      </c>
    </row>
    <row r="1163" spans="1:2">
      <c r="A1163" s="513" t="s">
        <v>11802</v>
      </c>
      <c r="B1163" s="513" t="s">
        <v>11803</v>
      </c>
    </row>
    <row r="1164" spans="1:2">
      <c r="A1164" s="513" t="s">
        <v>11804</v>
      </c>
      <c r="B1164" s="513" t="s">
        <v>11805</v>
      </c>
    </row>
    <row r="1165" spans="1:2">
      <c r="A1165" s="513" t="s">
        <v>11806</v>
      </c>
      <c r="B1165" s="513" t="s">
        <v>11807</v>
      </c>
    </row>
    <row r="1166" spans="1:2">
      <c r="A1166" s="513" t="s">
        <v>11808</v>
      </c>
      <c r="B1166" s="513" t="s">
        <v>11809</v>
      </c>
    </row>
    <row r="1167" spans="1:2">
      <c r="A1167" s="513" t="s">
        <v>11810</v>
      </c>
      <c r="B1167" s="513" t="s">
        <v>11811</v>
      </c>
    </row>
    <row r="1168" spans="1:2">
      <c r="A1168" s="513" t="s">
        <v>11812</v>
      </c>
      <c r="B1168" s="513" t="s">
        <v>11813</v>
      </c>
    </row>
    <row r="1169" spans="1:2">
      <c r="A1169" s="513" t="s">
        <v>11814</v>
      </c>
      <c r="B1169" s="513" t="s">
        <v>11815</v>
      </c>
    </row>
    <row r="1170" spans="1:2">
      <c r="A1170" s="513" t="s">
        <v>11816</v>
      </c>
      <c r="B1170" s="513" t="s">
        <v>11817</v>
      </c>
    </row>
    <row r="1171" spans="1:2">
      <c r="A1171" s="513" t="s">
        <v>11818</v>
      </c>
      <c r="B1171" s="513" t="s">
        <v>11787</v>
      </c>
    </row>
    <row r="1172" spans="1:2">
      <c r="A1172" s="513" t="s">
        <v>11819</v>
      </c>
      <c r="B1172" s="513" t="s">
        <v>11820</v>
      </c>
    </row>
    <row r="1173" spans="1:2">
      <c r="A1173" s="513" t="s">
        <v>11821</v>
      </c>
      <c r="B1173" s="513" t="s">
        <v>11789</v>
      </c>
    </row>
    <row r="1174" spans="1:2">
      <c r="A1174" s="513" t="s">
        <v>11822</v>
      </c>
      <c r="B1174" s="513" t="s">
        <v>11791</v>
      </c>
    </row>
    <row r="1175" spans="1:2">
      <c r="A1175" s="513" t="s">
        <v>11823</v>
      </c>
      <c r="B1175" s="513" t="s">
        <v>11793</v>
      </c>
    </row>
    <row r="1176" spans="1:2">
      <c r="A1176" s="513" t="s">
        <v>11824</v>
      </c>
      <c r="B1176" s="513" t="s">
        <v>11795</v>
      </c>
    </row>
    <row r="1177" spans="1:2">
      <c r="A1177" s="513" t="s">
        <v>11825</v>
      </c>
      <c r="B1177" s="513" t="s">
        <v>11797</v>
      </c>
    </row>
    <row r="1178" spans="1:2">
      <c r="A1178" s="513" t="s">
        <v>11826</v>
      </c>
      <c r="B1178" s="513" t="s">
        <v>11799</v>
      </c>
    </row>
    <row r="1179" spans="1:2">
      <c r="A1179" s="513" t="s">
        <v>11827</v>
      </c>
      <c r="B1179" s="513" t="s">
        <v>11801</v>
      </c>
    </row>
    <row r="1180" spans="1:2">
      <c r="A1180" s="513" t="s">
        <v>11828</v>
      </c>
      <c r="B1180" s="513" t="s">
        <v>11803</v>
      </c>
    </row>
    <row r="1181" spans="1:2">
      <c r="A1181" s="513" t="s">
        <v>11829</v>
      </c>
      <c r="B1181" s="513" t="s">
        <v>11805</v>
      </c>
    </row>
    <row r="1182" spans="1:2">
      <c r="A1182" s="513" t="s">
        <v>11830</v>
      </c>
      <c r="B1182" s="513" t="s">
        <v>11807</v>
      </c>
    </row>
    <row r="1183" spans="1:2">
      <c r="A1183" s="513" t="s">
        <v>11831</v>
      </c>
      <c r="B1183" s="513" t="s">
        <v>11809</v>
      </c>
    </row>
    <row r="1184" spans="1:2">
      <c r="A1184" s="513" t="s">
        <v>11832</v>
      </c>
      <c r="B1184" s="513" t="s">
        <v>11811</v>
      </c>
    </row>
    <row r="1185" spans="1:2">
      <c r="A1185" s="513" t="s">
        <v>11833</v>
      </c>
      <c r="B1185" s="513" t="s">
        <v>11813</v>
      </c>
    </row>
    <row r="1186" spans="1:2">
      <c r="A1186" s="513" t="s">
        <v>11834</v>
      </c>
      <c r="B1186" s="513" t="s">
        <v>11815</v>
      </c>
    </row>
    <row r="1187" spans="1:2">
      <c r="A1187" s="513" t="s">
        <v>11835</v>
      </c>
      <c r="B1187" s="513" t="s">
        <v>11817</v>
      </c>
    </row>
    <row r="1188" spans="1:2">
      <c r="A1188" s="513" t="s">
        <v>11836</v>
      </c>
      <c r="B1188" s="513" t="s">
        <v>11820</v>
      </c>
    </row>
    <row r="1189" spans="1:2">
      <c r="A1189" s="513" t="s">
        <v>12121</v>
      </c>
      <c r="B1189" s="513" t="s">
        <v>12122</v>
      </c>
    </row>
    <row r="1190" spans="1:2">
      <c r="A1190" s="513" t="s">
        <v>12278</v>
      </c>
      <c r="B1190" s="513" t="s">
        <v>11762</v>
      </c>
    </row>
    <row r="1191" spans="1:2">
      <c r="A1191" s="513" t="s">
        <v>12284</v>
      </c>
      <c r="B1191" s="513" t="s">
        <v>12154</v>
      </c>
    </row>
    <row r="1192" spans="1:2">
      <c r="A1192" s="513" t="s">
        <v>12285</v>
      </c>
      <c r="B1192" s="513" t="s">
        <v>12161</v>
      </c>
    </row>
    <row r="1193" spans="1:2">
      <c r="A1193" s="513" t="s">
        <v>12293</v>
      </c>
      <c r="B1193" s="513" t="s">
        <v>12294</v>
      </c>
    </row>
    <row r="1194" spans="1:2">
      <c r="A1194" s="513" t="s">
        <v>12295</v>
      </c>
      <c r="B1194" s="513" t="s">
        <v>12296</v>
      </c>
    </row>
    <row r="1195" spans="1:2">
      <c r="A1195" s="513" t="s">
        <v>12297</v>
      </c>
      <c r="B1195" s="513" t="s">
        <v>12298</v>
      </c>
    </row>
    <row r="1196" spans="1:2">
      <c r="A1196" s="513" t="s">
        <v>12299</v>
      </c>
      <c r="B1196" s="513" t="s">
        <v>12296</v>
      </c>
    </row>
    <row r="1197" spans="1:2">
      <c r="A1197" s="513" t="s">
        <v>12307</v>
      </c>
      <c r="B1197" s="513" t="s">
        <v>12076</v>
      </c>
    </row>
    <row r="1198" spans="1:2">
      <c r="A1198" s="513" t="s">
        <v>12308</v>
      </c>
      <c r="B1198" s="513" t="s">
        <v>12078</v>
      </c>
    </row>
    <row r="1199" spans="1:2">
      <c r="A1199" s="513" t="s">
        <v>12309</v>
      </c>
      <c r="B1199" s="513" t="s">
        <v>12080</v>
      </c>
    </row>
    <row r="1200" spans="1:2">
      <c r="A1200" s="513" t="s">
        <v>12310</v>
      </c>
      <c r="B1200" s="513" t="s">
        <v>12082</v>
      </c>
    </row>
    <row r="1201" spans="1:2">
      <c r="A1201" s="513" t="s">
        <v>12736</v>
      </c>
      <c r="B1201" s="513" t="s">
        <v>12737</v>
      </c>
    </row>
    <row r="1202" spans="1:2">
      <c r="A1202" s="513" t="s">
        <v>12738</v>
      </c>
      <c r="B1202" s="513" t="s">
        <v>12739</v>
      </c>
    </row>
    <row r="1203" spans="1:2">
      <c r="A1203" s="513" t="s">
        <v>12740</v>
      </c>
      <c r="B1203" s="513" t="s">
        <v>12741</v>
      </c>
    </row>
    <row r="1204" spans="1:2">
      <c r="A1204" s="513" t="s">
        <v>12742</v>
      </c>
      <c r="B1204" s="513" t="s">
        <v>12743</v>
      </c>
    </row>
    <row r="1205" spans="1:2">
      <c r="A1205" s="513" t="s">
        <v>12744</v>
      </c>
      <c r="B1205" s="513" t="s">
        <v>12745</v>
      </c>
    </row>
    <row r="1206" spans="1:2">
      <c r="A1206" s="513" t="s">
        <v>12746</v>
      </c>
      <c r="B1206" s="513" t="s">
        <v>12737</v>
      </c>
    </row>
    <row r="1207" spans="1:2">
      <c r="A1207" s="513" t="s">
        <v>12747</v>
      </c>
      <c r="B1207" s="513" t="s">
        <v>12739</v>
      </c>
    </row>
    <row r="1208" spans="1:2">
      <c r="A1208" s="513" t="s">
        <v>12748</v>
      </c>
      <c r="B1208" s="513" t="s">
        <v>12741</v>
      </c>
    </row>
    <row r="1209" spans="1:2">
      <c r="A1209" s="513" t="s">
        <v>12749</v>
      </c>
      <c r="B1209" s="513" t="s">
        <v>12743</v>
      </c>
    </row>
    <row r="1210" spans="1:2">
      <c r="A1210" s="513" t="s">
        <v>12750</v>
      </c>
      <c r="B1210" s="513" t="s">
        <v>12751</v>
      </c>
    </row>
    <row r="1211" spans="1:2">
      <c r="A1211" s="513" t="s">
        <v>12752</v>
      </c>
      <c r="B1211" s="513" t="s">
        <v>12737</v>
      </c>
    </row>
    <row r="1212" spans="1:2">
      <c r="A1212" s="513" t="s">
        <v>12753</v>
      </c>
      <c r="B1212" s="513" t="s">
        <v>12739</v>
      </c>
    </row>
    <row r="1213" spans="1:2">
      <c r="A1213" s="513" t="s">
        <v>12754</v>
      </c>
      <c r="B1213" s="513" t="s">
        <v>12741</v>
      </c>
    </row>
    <row r="1214" spans="1:2">
      <c r="A1214" s="513" t="s">
        <v>12755</v>
      </c>
      <c r="B1214" s="513" t="s">
        <v>12743</v>
      </c>
    </row>
    <row r="1215" spans="1:2">
      <c r="A1215" s="513" t="s">
        <v>12756</v>
      </c>
      <c r="B1215" s="513" t="s">
        <v>12757</v>
      </c>
    </row>
    <row r="1216" spans="1:2">
      <c r="A1216" s="513" t="s">
        <v>12758</v>
      </c>
      <c r="B1216" s="513" t="s">
        <v>12737</v>
      </c>
    </row>
    <row r="1217" spans="1:2">
      <c r="A1217" s="513" t="s">
        <v>12759</v>
      </c>
      <c r="B1217" s="513" t="s">
        <v>12739</v>
      </c>
    </row>
    <row r="1218" spans="1:2">
      <c r="A1218" s="513" t="s">
        <v>12760</v>
      </c>
      <c r="B1218" s="513" t="s">
        <v>12741</v>
      </c>
    </row>
    <row r="1219" spans="1:2">
      <c r="A1219" s="513" t="s">
        <v>12761</v>
      </c>
      <c r="B1219" s="513" t="s">
        <v>12743</v>
      </c>
    </row>
    <row r="1220" spans="1:2">
      <c r="A1220" s="513" t="s">
        <v>12762</v>
      </c>
      <c r="B1220" s="513" t="s">
        <v>12763</v>
      </c>
    </row>
    <row r="1221" spans="1:2">
      <c r="A1221" s="513" t="s">
        <v>12767</v>
      </c>
      <c r="B1221" s="513" t="s">
        <v>12743</v>
      </c>
    </row>
    <row r="1222" spans="1:2">
      <c r="A1222" s="513" t="s">
        <v>12768</v>
      </c>
      <c r="B1222" s="513" t="s">
        <v>12769</v>
      </c>
    </row>
    <row r="1223" spans="1:2">
      <c r="A1223" s="513" t="s">
        <v>12770</v>
      </c>
      <c r="B1223" s="513" t="s">
        <v>12737</v>
      </c>
    </row>
    <row r="1224" spans="1:2">
      <c r="A1224" s="513" t="s">
        <v>12771</v>
      </c>
      <c r="B1224" s="513" t="s">
        <v>12739</v>
      </c>
    </row>
    <row r="1225" spans="1:2">
      <c r="A1225" s="513" t="s">
        <v>12772</v>
      </c>
      <c r="B1225" s="513" t="s">
        <v>12741</v>
      </c>
    </row>
    <row r="1226" spans="1:2">
      <c r="A1226" s="513" t="s">
        <v>12773</v>
      </c>
      <c r="B1226" s="513" t="s">
        <v>12743</v>
      </c>
    </row>
    <row r="1227" spans="1:2">
      <c r="A1227" s="513" t="s">
        <v>12774</v>
      </c>
      <c r="B1227" s="513" t="s">
        <v>12775</v>
      </c>
    </row>
    <row r="1228" spans="1:2">
      <c r="A1228" s="513" t="s">
        <v>12776</v>
      </c>
      <c r="B1228" s="513" t="s">
        <v>12737</v>
      </c>
    </row>
    <row r="1229" spans="1:2">
      <c r="A1229" s="513" t="s">
        <v>12777</v>
      </c>
      <c r="B1229" s="513" t="s">
        <v>12739</v>
      </c>
    </row>
    <row r="1230" spans="1:2">
      <c r="A1230" s="513" t="s">
        <v>12778</v>
      </c>
      <c r="B1230" s="513" t="s">
        <v>12741</v>
      </c>
    </row>
    <row r="1231" spans="1:2">
      <c r="A1231" s="513" t="s">
        <v>12779</v>
      </c>
      <c r="B1231" s="513" t="s">
        <v>12743</v>
      </c>
    </row>
    <row r="1232" spans="1:2">
      <c r="A1232" s="513" t="s">
        <v>12780</v>
      </c>
      <c r="B1232" s="513" t="s">
        <v>12781</v>
      </c>
    </row>
    <row r="1233" spans="1:2">
      <c r="A1233" s="513" t="s">
        <v>12782</v>
      </c>
      <c r="B1233" s="513" t="s">
        <v>12737</v>
      </c>
    </row>
    <row r="1234" spans="1:2">
      <c r="A1234" s="513" t="s">
        <v>12783</v>
      </c>
      <c r="B1234" s="513" t="s">
        <v>12739</v>
      </c>
    </row>
    <row r="1235" spans="1:2">
      <c r="A1235" s="513" t="s">
        <v>12784</v>
      </c>
      <c r="B1235" s="513" t="s">
        <v>12741</v>
      </c>
    </row>
    <row r="1236" spans="1:2">
      <c r="A1236" s="513" t="s">
        <v>12785</v>
      </c>
      <c r="B1236" s="513" t="s">
        <v>12743</v>
      </c>
    </row>
    <row r="1237" spans="1:2">
      <c r="A1237" s="513" t="s">
        <v>12786</v>
      </c>
      <c r="B1237" s="513" t="s">
        <v>12787</v>
      </c>
    </row>
    <row r="1238" spans="1:2">
      <c r="A1238" s="513" t="s">
        <v>12788</v>
      </c>
      <c r="B1238" s="513" t="s">
        <v>12737</v>
      </c>
    </row>
    <row r="1239" spans="1:2">
      <c r="A1239" s="513" t="s">
        <v>12789</v>
      </c>
      <c r="B1239" s="513" t="s">
        <v>12739</v>
      </c>
    </row>
    <row r="1240" spans="1:2">
      <c r="A1240" s="513" t="s">
        <v>12790</v>
      </c>
      <c r="B1240" s="513" t="s">
        <v>12741</v>
      </c>
    </row>
    <row r="1241" spans="1:2">
      <c r="A1241" s="513" t="s">
        <v>12791</v>
      </c>
      <c r="B1241" s="513" t="s">
        <v>12743</v>
      </c>
    </row>
    <row r="1242" spans="1:2">
      <c r="A1242" s="513" t="s">
        <v>12792</v>
      </c>
      <c r="B1242" s="513" t="s">
        <v>12793</v>
      </c>
    </row>
    <row r="1243" spans="1:2">
      <c r="A1243" s="513" t="s">
        <v>12794</v>
      </c>
      <c r="B1243" s="513" t="s">
        <v>12737</v>
      </c>
    </row>
    <row r="1244" spans="1:2">
      <c r="A1244" s="513" t="s">
        <v>12795</v>
      </c>
      <c r="B1244" s="513" t="s">
        <v>12739</v>
      </c>
    </row>
    <row r="1245" spans="1:2">
      <c r="A1245" s="513" t="s">
        <v>12796</v>
      </c>
      <c r="B1245" s="513" t="s">
        <v>12741</v>
      </c>
    </row>
    <row r="1246" spans="1:2">
      <c r="A1246" s="513" t="s">
        <v>12797</v>
      </c>
      <c r="B1246" s="513" t="s">
        <v>12743</v>
      </c>
    </row>
    <row r="1247" spans="1:2">
      <c r="A1247" s="513" t="s">
        <v>12798</v>
      </c>
      <c r="B1247" s="513" t="s">
        <v>12799</v>
      </c>
    </row>
    <row r="1248" spans="1:2">
      <c r="A1248" s="513" t="s">
        <v>12800</v>
      </c>
      <c r="B1248" s="513" t="s">
        <v>12737</v>
      </c>
    </row>
    <row r="1249" spans="1:2">
      <c r="A1249" s="513" t="s">
        <v>12801</v>
      </c>
      <c r="B1249" s="513" t="s">
        <v>12739</v>
      </c>
    </row>
    <row r="1250" spans="1:2">
      <c r="A1250" s="513" t="s">
        <v>12802</v>
      </c>
      <c r="B1250" s="513" t="s">
        <v>12741</v>
      </c>
    </row>
    <row r="1251" spans="1:2">
      <c r="A1251" s="513" t="s">
        <v>12803</v>
      </c>
      <c r="B1251" s="513" t="s">
        <v>12743</v>
      </c>
    </row>
    <row r="1252" spans="1:2">
      <c r="A1252" s="513" t="s">
        <v>12804</v>
      </c>
      <c r="B1252" s="513" t="s">
        <v>12805</v>
      </c>
    </row>
    <row r="1253" spans="1:2">
      <c r="A1253" s="513" t="s">
        <v>12806</v>
      </c>
      <c r="B1253" s="513" t="s">
        <v>12737</v>
      </c>
    </row>
    <row r="1254" spans="1:2">
      <c r="A1254" s="513" t="s">
        <v>12807</v>
      </c>
      <c r="B1254" s="513" t="s">
        <v>12739</v>
      </c>
    </row>
    <row r="1255" spans="1:2">
      <c r="A1255" s="513" t="s">
        <v>12808</v>
      </c>
      <c r="B1255" s="513" t="s">
        <v>12741</v>
      </c>
    </row>
    <row r="1256" spans="1:2">
      <c r="A1256" s="513" t="s">
        <v>12809</v>
      </c>
      <c r="B1256" s="513" t="s">
        <v>12743</v>
      </c>
    </row>
    <row r="1257" spans="1:2">
      <c r="A1257" s="513" t="s">
        <v>12810</v>
      </c>
      <c r="B1257" s="513" t="s">
        <v>12745</v>
      </c>
    </row>
    <row r="1258" spans="1:2">
      <c r="A1258" s="513" t="s">
        <v>12811</v>
      </c>
      <c r="B1258" s="513" t="s">
        <v>12737</v>
      </c>
    </row>
    <row r="1259" spans="1:2">
      <c r="A1259" s="513" t="s">
        <v>12812</v>
      </c>
      <c r="B1259" s="513" t="s">
        <v>12739</v>
      </c>
    </row>
    <row r="1260" spans="1:2">
      <c r="A1260" s="513" t="s">
        <v>12813</v>
      </c>
      <c r="B1260" s="513" t="s">
        <v>12741</v>
      </c>
    </row>
    <row r="1261" spans="1:2">
      <c r="A1261" s="513" t="s">
        <v>12814</v>
      </c>
      <c r="B1261" s="513" t="s">
        <v>12743</v>
      </c>
    </row>
    <row r="1262" spans="1:2">
      <c r="A1262" s="513" t="s">
        <v>12815</v>
      </c>
      <c r="B1262" s="513" t="s">
        <v>12751</v>
      </c>
    </row>
    <row r="1263" spans="1:2">
      <c r="A1263" s="513" t="s">
        <v>12816</v>
      </c>
      <c r="B1263" s="513" t="s">
        <v>12737</v>
      </c>
    </row>
    <row r="1264" spans="1:2">
      <c r="A1264" s="513" t="s">
        <v>12817</v>
      </c>
      <c r="B1264" s="513" t="s">
        <v>12739</v>
      </c>
    </row>
    <row r="1265" spans="1:2">
      <c r="A1265" s="513" t="s">
        <v>12818</v>
      </c>
      <c r="B1265" s="513" t="s">
        <v>12741</v>
      </c>
    </row>
    <row r="1266" spans="1:2">
      <c r="A1266" s="513" t="s">
        <v>12819</v>
      </c>
      <c r="B1266" s="513" t="s">
        <v>12743</v>
      </c>
    </row>
    <row r="1267" spans="1:2">
      <c r="A1267" s="513" t="s">
        <v>12820</v>
      </c>
      <c r="B1267" s="513" t="s">
        <v>12757</v>
      </c>
    </row>
    <row r="1268" spans="1:2">
      <c r="A1268" s="513" t="s">
        <v>12821</v>
      </c>
      <c r="B1268" s="513" t="s">
        <v>12737</v>
      </c>
    </row>
    <row r="1269" spans="1:2">
      <c r="A1269" s="513" t="s">
        <v>12822</v>
      </c>
      <c r="B1269" s="513" t="s">
        <v>12739</v>
      </c>
    </row>
    <row r="1270" spans="1:2">
      <c r="A1270" s="513" t="s">
        <v>12823</v>
      </c>
      <c r="B1270" s="513" t="s">
        <v>12741</v>
      </c>
    </row>
    <row r="1271" spans="1:2">
      <c r="A1271" s="513" t="s">
        <v>12824</v>
      </c>
      <c r="B1271" s="513" t="s">
        <v>12743</v>
      </c>
    </row>
    <row r="1272" spans="1:2">
      <c r="A1272" s="513" t="s">
        <v>12825</v>
      </c>
      <c r="B1272" s="513" t="s">
        <v>12763</v>
      </c>
    </row>
    <row r="1273" spans="1:2">
      <c r="A1273" s="513" t="s">
        <v>12826</v>
      </c>
      <c r="B1273" s="513" t="s">
        <v>12737</v>
      </c>
    </row>
    <row r="1274" spans="1:2">
      <c r="A1274" s="513" t="s">
        <v>12827</v>
      </c>
      <c r="B1274" s="513" t="s">
        <v>12739</v>
      </c>
    </row>
    <row r="1275" spans="1:2">
      <c r="A1275" s="513" t="s">
        <v>12828</v>
      </c>
      <c r="B1275" s="513" t="s">
        <v>12741</v>
      </c>
    </row>
    <row r="1276" spans="1:2">
      <c r="A1276" s="513" t="s">
        <v>12829</v>
      </c>
      <c r="B1276" s="513" t="s">
        <v>12743</v>
      </c>
    </row>
    <row r="1277" spans="1:2">
      <c r="A1277" s="513" t="s">
        <v>12830</v>
      </c>
      <c r="B1277" s="513" t="s">
        <v>12769</v>
      </c>
    </row>
    <row r="1278" spans="1:2">
      <c r="A1278" s="513" t="s">
        <v>12831</v>
      </c>
      <c r="B1278" s="513" t="s">
        <v>12737</v>
      </c>
    </row>
    <row r="1279" spans="1:2">
      <c r="A1279" s="513" t="s">
        <v>12832</v>
      </c>
      <c r="B1279" s="513" t="s">
        <v>12739</v>
      </c>
    </row>
    <row r="1280" spans="1:2">
      <c r="A1280" s="513" t="s">
        <v>12833</v>
      </c>
      <c r="B1280" s="513" t="s">
        <v>12741</v>
      </c>
    </row>
    <row r="1281" spans="1:2">
      <c r="A1281" s="513" t="s">
        <v>12834</v>
      </c>
      <c r="B1281" s="513" t="s">
        <v>12743</v>
      </c>
    </row>
    <row r="1282" spans="1:2">
      <c r="A1282" s="513" t="s">
        <v>12835</v>
      </c>
      <c r="B1282" s="513" t="s">
        <v>12775</v>
      </c>
    </row>
    <row r="1283" spans="1:2">
      <c r="A1283" s="513" t="s">
        <v>12836</v>
      </c>
      <c r="B1283" s="513" t="s">
        <v>12737</v>
      </c>
    </row>
    <row r="1284" spans="1:2">
      <c r="A1284" s="513" t="s">
        <v>12837</v>
      </c>
      <c r="B1284" s="513" t="s">
        <v>12739</v>
      </c>
    </row>
    <row r="1285" spans="1:2">
      <c r="A1285" s="513" t="s">
        <v>12838</v>
      </c>
      <c r="B1285" s="513" t="s">
        <v>12741</v>
      </c>
    </row>
    <row r="1286" spans="1:2">
      <c r="A1286" s="513" t="s">
        <v>12839</v>
      </c>
      <c r="B1286" s="513" t="s">
        <v>12743</v>
      </c>
    </row>
    <row r="1287" spans="1:2">
      <c r="A1287" s="513" t="s">
        <v>12840</v>
      </c>
      <c r="B1287" s="513" t="s">
        <v>12781</v>
      </c>
    </row>
    <row r="1288" spans="1:2">
      <c r="A1288" s="513" t="s">
        <v>12841</v>
      </c>
      <c r="B1288" s="513" t="s">
        <v>12737</v>
      </c>
    </row>
    <row r="1289" spans="1:2">
      <c r="A1289" s="513" t="s">
        <v>12842</v>
      </c>
      <c r="B1289" s="513" t="s">
        <v>12739</v>
      </c>
    </row>
    <row r="1290" spans="1:2">
      <c r="A1290" s="513" t="s">
        <v>12843</v>
      </c>
      <c r="B1290" s="513" t="s">
        <v>12741</v>
      </c>
    </row>
    <row r="1291" spans="1:2">
      <c r="A1291" s="513" t="s">
        <v>12844</v>
      </c>
      <c r="B1291" s="513" t="s">
        <v>12743</v>
      </c>
    </row>
    <row r="1292" spans="1:2">
      <c r="A1292" s="513" t="s">
        <v>12845</v>
      </c>
      <c r="B1292" s="513" t="s">
        <v>12787</v>
      </c>
    </row>
    <row r="1293" spans="1:2">
      <c r="A1293" s="513" t="s">
        <v>12846</v>
      </c>
      <c r="B1293" s="513" t="s">
        <v>12737</v>
      </c>
    </row>
    <row r="1294" spans="1:2">
      <c r="A1294" s="513" t="s">
        <v>12847</v>
      </c>
      <c r="B1294" s="513" t="s">
        <v>12739</v>
      </c>
    </row>
    <row r="1295" spans="1:2">
      <c r="A1295" s="513" t="s">
        <v>12848</v>
      </c>
      <c r="B1295" s="513" t="s">
        <v>12741</v>
      </c>
    </row>
    <row r="1296" spans="1:2">
      <c r="A1296" s="513" t="s">
        <v>12849</v>
      </c>
      <c r="B1296" s="513" t="s">
        <v>12743</v>
      </c>
    </row>
    <row r="1297" spans="1:2">
      <c r="A1297" s="513" t="s">
        <v>12850</v>
      </c>
      <c r="B1297" s="513" t="s">
        <v>12793</v>
      </c>
    </row>
    <row r="1298" spans="1:2">
      <c r="A1298" s="513" t="s">
        <v>12851</v>
      </c>
      <c r="B1298" s="513" t="s">
        <v>12737</v>
      </c>
    </row>
    <row r="1299" spans="1:2">
      <c r="A1299" s="513" t="s">
        <v>12852</v>
      </c>
      <c r="B1299" s="513" t="s">
        <v>12739</v>
      </c>
    </row>
    <row r="1300" spans="1:2">
      <c r="A1300" s="513" t="s">
        <v>12853</v>
      </c>
      <c r="B1300" s="513" t="s">
        <v>12741</v>
      </c>
    </row>
    <row r="1301" spans="1:2">
      <c r="A1301" s="513" t="s">
        <v>12854</v>
      </c>
      <c r="B1301" s="513" t="s">
        <v>12743</v>
      </c>
    </row>
    <row r="1302" spans="1:2">
      <c r="A1302" s="513" t="s">
        <v>12855</v>
      </c>
      <c r="B1302" s="513" t="s">
        <v>12799</v>
      </c>
    </row>
    <row r="1303" spans="1:2">
      <c r="A1303" s="513" t="s">
        <v>12856</v>
      </c>
      <c r="B1303" s="513" t="s">
        <v>12737</v>
      </c>
    </row>
    <row r="1304" spans="1:2">
      <c r="A1304" s="513" t="s">
        <v>12857</v>
      </c>
      <c r="B1304" s="513" t="s">
        <v>12739</v>
      </c>
    </row>
    <row r="1305" spans="1:2">
      <c r="A1305" s="513" t="s">
        <v>12858</v>
      </c>
      <c r="B1305" s="513" t="s">
        <v>12741</v>
      </c>
    </row>
    <row r="1306" spans="1:2">
      <c r="A1306" s="513" t="s">
        <v>12859</v>
      </c>
      <c r="B1306" s="513" t="s">
        <v>12743</v>
      </c>
    </row>
    <row r="1307" spans="1:2">
      <c r="A1307" s="513" t="s">
        <v>12860</v>
      </c>
      <c r="B1307" s="513" t="s">
        <v>12805</v>
      </c>
    </row>
    <row r="1308" spans="1:2">
      <c r="A1308" s="513" t="s">
        <v>12861</v>
      </c>
      <c r="B1308" s="513" t="s">
        <v>12737</v>
      </c>
    </row>
    <row r="1309" spans="1:2">
      <c r="A1309" s="513" t="s">
        <v>12862</v>
      </c>
      <c r="B1309" s="513" t="s">
        <v>12739</v>
      </c>
    </row>
    <row r="1310" spans="1:2">
      <c r="A1310" s="513" t="s">
        <v>12863</v>
      </c>
      <c r="B1310" s="513" t="s">
        <v>12741</v>
      </c>
    </row>
    <row r="1311" spans="1:2">
      <c r="A1311" s="513" t="s">
        <v>12864</v>
      </c>
      <c r="B1311" s="513" t="s">
        <v>12743</v>
      </c>
    </row>
    <row r="1312" spans="1:2">
      <c r="A1312" s="513" t="s">
        <v>12865</v>
      </c>
      <c r="B1312" s="513" t="s">
        <v>12745</v>
      </c>
    </row>
    <row r="1313" spans="1:2">
      <c r="A1313" s="513" t="s">
        <v>12866</v>
      </c>
      <c r="B1313" s="513" t="s">
        <v>12737</v>
      </c>
    </row>
    <row r="1314" spans="1:2">
      <c r="A1314" s="513" t="s">
        <v>12867</v>
      </c>
      <c r="B1314" s="513" t="s">
        <v>12739</v>
      </c>
    </row>
    <row r="1315" spans="1:2">
      <c r="A1315" s="513" t="s">
        <v>12868</v>
      </c>
      <c r="B1315" s="513" t="s">
        <v>12741</v>
      </c>
    </row>
    <row r="1316" spans="1:2">
      <c r="A1316" s="513" t="s">
        <v>12869</v>
      </c>
      <c r="B1316" s="513" t="s">
        <v>12743</v>
      </c>
    </row>
    <row r="1317" spans="1:2">
      <c r="A1317" s="513" t="s">
        <v>12870</v>
      </c>
      <c r="B1317" s="513" t="s">
        <v>12751</v>
      </c>
    </row>
    <row r="1318" spans="1:2">
      <c r="A1318" s="513" t="s">
        <v>12871</v>
      </c>
      <c r="B1318" s="513" t="s">
        <v>12737</v>
      </c>
    </row>
    <row r="1319" spans="1:2">
      <c r="A1319" s="513" t="s">
        <v>12872</v>
      </c>
      <c r="B1319" s="513" t="s">
        <v>12739</v>
      </c>
    </row>
    <row r="1320" spans="1:2">
      <c r="A1320" s="513" t="s">
        <v>12873</v>
      </c>
      <c r="B1320" s="513" t="s">
        <v>12741</v>
      </c>
    </row>
    <row r="1321" spans="1:2">
      <c r="A1321" s="513" t="s">
        <v>12874</v>
      </c>
      <c r="B1321" s="513" t="s">
        <v>12743</v>
      </c>
    </row>
    <row r="1322" spans="1:2">
      <c r="A1322" s="513" t="s">
        <v>12875</v>
      </c>
      <c r="B1322" s="513" t="s">
        <v>12757</v>
      </c>
    </row>
    <row r="1323" spans="1:2">
      <c r="A1323" s="513" t="s">
        <v>12876</v>
      </c>
      <c r="B1323" s="513" t="s">
        <v>12737</v>
      </c>
    </row>
    <row r="1324" spans="1:2">
      <c r="A1324" s="513" t="s">
        <v>12877</v>
      </c>
      <c r="B1324" s="513" t="s">
        <v>12739</v>
      </c>
    </row>
    <row r="1325" spans="1:2">
      <c r="A1325" s="513" t="s">
        <v>12878</v>
      </c>
      <c r="B1325" s="513" t="s">
        <v>12741</v>
      </c>
    </row>
    <row r="1326" spans="1:2">
      <c r="A1326" s="513" t="s">
        <v>12879</v>
      </c>
      <c r="B1326" s="513" t="s">
        <v>12743</v>
      </c>
    </row>
    <row r="1327" spans="1:2">
      <c r="A1327" s="513" t="s">
        <v>12880</v>
      </c>
      <c r="B1327" s="513" t="s">
        <v>12763</v>
      </c>
    </row>
    <row r="1328" spans="1:2">
      <c r="A1328" s="513" t="s">
        <v>12881</v>
      </c>
      <c r="B1328" s="513" t="s">
        <v>12737</v>
      </c>
    </row>
    <row r="1329" spans="1:2">
      <c r="A1329" s="513" t="s">
        <v>12882</v>
      </c>
      <c r="B1329" s="513" t="s">
        <v>12739</v>
      </c>
    </row>
    <row r="1330" spans="1:2">
      <c r="A1330" s="513" t="s">
        <v>12883</v>
      </c>
      <c r="B1330" s="513" t="s">
        <v>12741</v>
      </c>
    </row>
    <row r="1331" spans="1:2">
      <c r="A1331" s="513" t="s">
        <v>12884</v>
      </c>
      <c r="B1331" s="513" t="s">
        <v>12743</v>
      </c>
    </row>
    <row r="1332" spans="1:2">
      <c r="A1332" s="513" t="s">
        <v>12885</v>
      </c>
      <c r="B1332" s="513" t="s">
        <v>12769</v>
      </c>
    </row>
    <row r="1333" spans="1:2">
      <c r="A1333" s="513" t="s">
        <v>12886</v>
      </c>
      <c r="B1333" s="513" t="s">
        <v>12737</v>
      </c>
    </row>
    <row r="1334" spans="1:2">
      <c r="A1334" s="513" t="s">
        <v>12887</v>
      </c>
      <c r="B1334" s="513" t="s">
        <v>12739</v>
      </c>
    </row>
    <row r="1335" spans="1:2">
      <c r="A1335" s="513" t="s">
        <v>12888</v>
      </c>
      <c r="B1335" s="513" t="s">
        <v>12741</v>
      </c>
    </row>
    <row r="1336" spans="1:2">
      <c r="A1336" s="513" t="s">
        <v>12889</v>
      </c>
      <c r="B1336" s="513" t="s">
        <v>12743</v>
      </c>
    </row>
    <row r="1337" spans="1:2">
      <c r="A1337" s="513" t="s">
        <v>12890</v>
      </c>
      <c r="B1337" s="513" t="s">
        <v>12775</v>
      </c>
    </row>
    <row r="1338" spans="1:2">
      <c r="A1338" s="513" t="s">
        <v>12891</v>
      </c>
      <c r="B1338" s="513" t="s">
        <v>12737</v>
      </c>
    </row>
    <row r="1339" spans="1:2">
      <c r="A1339" s="513" t="s">
        <v>12892</v>
      </c>
      <c r="B1339" s="513" t="s">
        <v>12739</v>
      </c>
    </row>
    <row r="1340" spans="1:2">
      <c r="A1340" s="513" t="s">
        <v>12893</v>
      </c>
      <c r="B1340" s="513" t="s">
        <v>12741</v>
      </c>
    </row>
    <row r="1341" spans="1:2">
      <c r="A1341" s="513" t="s">
        <v>12894</v>
      </c>
      <c r="B1341" s="513" t="s">
        <v>12743</v>
      </c>
    </row>
    <row r="1342" spans="1:2">
      <c r="A1342" s="513" t="s">
        <v>12895</v>
      </c>
      <c r="B1342" s="513" t="s">
        <v>12781</v>
      </c>
    </row>
    <row r="1343" spans="1:2">
      <c r="A1343" s="513" t="s">
        <v>12896</v>
      </c>
      <c r="B1343" s="513" t="s">
        <v>12737</v>
      </c>
    </row>
    <row r="1344" spans="1:2">
      <c r="A1344" s="513" t="s">
        <v>12897</v>
      </c>
      <c r="B1344" s="513" t="s">
        <v>12739</v>
      </c>
    </row>
    <row r="1345" spans="1:2">
      <c r="A1345" s="513" t="s">
        <v>12898</v>
      </c>
      <c r="B1345" s="513" t="s">
        <v>12741</v>
      </c>
    </row>
    <row r="1346" spans="1:2">
      <c r="A1346" s="513" t="s">
        <v>12899</v>
      </c>
      <c r="B1346" s="513" t="s">
        <v>12743</v>
      </c>
    </row>
    <row r="1347" spans="1:2">
      <c r="A1347" s="513" t="s">
        <v>12900</v>
      </c>
      <c r="B1347" s="513" t="s">
        <v>12787</v>
      </c>
    </row>
    <row r="1348" spans="1:2">
      <c r="A1348" s="513" t="s">
        <v>12901</v>
      </c>
      <c r="B1348" s="513" t="s">
        <v>12737</v>
      </c>
    </row>
    <row r="1349" spans="1:2">
      <c r="A1349" s="513" t="s">
        <v>12902</v>
      </c>
      <c r="B1349" s="513" t="s">
        <v>12739</v>
      </c>
    </row>
    <row r="1350" spans="1:2">
      <c r="A1350" s="513" t="s">
        <v>12903</v>
      </c>
      <c r="B1350" s="513" t="s">
        <v>12741</v>
      </c>
    </row>
    <row r="1351" spans="1:2">
      <c r="A1351" s="513" t="s">
        <v>12904</v>
      </c>
      <c r="B1351" s="513" t="s">
        <v>12743</v>
      </c>
    </row>
    <row r="1352" spans="1:2">
      <c r="A1352" s="513" t="s">
        <v>12905</v>
      </c>
      <c r="B1352" s="513" t="s">
        <v>12793</v>
      </c>
    </row>
    <row r="1353" spans="1:2">
      <c r="A1353" s="513" t="s">
        <v>12906</v>
      </c>
      <c r="B1353" s="513" t="s">
        <v>12737</v>
      </c>
    </row>
    <row r="1354" spans="1:2">
      <c r="A1354" s="513" t="s">
        <v>12907</v>
      </c>
      <c r="B1354" s="513" t="s">
        <v>12739</v>
      </c>
    </row>
    <row r="1355" spans="1:2">
      <c r="A1355" s="513" t="s">
        <v>12908</v>
      </c>
      <c r="B1355" s="513" t="s">
        <v>12741</v>
      </c>
    </row>
    <row r="1356" spans="1:2">
      <c r="A1356" s="513" t="s">
        <v>12909</v>
      </c>
      <c r="B1356" s="513" t="s">
        <v>12743</v>
      </c>
    </row>
    <row r="1357" spans="1:2">
      <c r="A1357" s="513" t="s">
        <v>12910</v>
      </c>
      <c r="B1357" s="513" t="s">
        <v>12799</v>
      </c>
    </row>
    <row r="1358" spans="1:2">
      <c r="A1358" s="513" t="s">
        <v>12911</v>
      </c>
      <c r="B1358" s="513" t="s">
        <v>12737</v>
      </c>
    </row>
    <row r="1359" spans="1:2">
      <c r="A1359" s="513" t="s">
        <v>12912</v>
      </c>
      <c r="B1359" s="513" t="s">
        <v>12739</v>
      </c>
    </row>
    <row r="1360" spans="1:2">
      <c r="A1360" s="513" t="s">
        <v>12913</v>
      </c>
      <c r="B1360" s="513" t="s">
        <v>12741</v>
      </c>
    </row>
    <row r="1361" spans="1:2">
      <c r="A1361" s="513" t="s">
        <v>12914</v>
      </c>
      <c r="B1361" s="513" t="s">
        <v>12743</v>
      </c>
    </row>
    <row r="1362" spans="1:2">
      <c r="A1362" s="513" t="s">
        <v>12915</v>
      </c>
      <c r="B1362" s="513" t="s">
        <v>12805</v>
      </c>
    </row>
    <row r="1363" spans="1:2">
      <c r="A1363" s="513" t="s">
        <v>12916</v>
      </c>
      <c r="B1363" s="513" t="s">
        <v>12737</v>
      </c>
    </row>
    <row r="1364" spans="1:2">
      <c r="A1364" s="513" t="s">
        <v>12917</v>
      </c>
      <c r="B1364" s="513" t="s">
        <v>12739</v>
      </c>
    </row>
    <row r="1365" spans="1:2">
      <c r="A1365" s="513" t="s">
        <v>12918</v>
      </c>
      <c r="B1365" s="513" t="s">
        <v>12741</v>
      </c>
    </row>
    <row r="1366" spans="1:2">
      <c r="A1366" s="513" t="s">
        <v>12919</v>
      </c>
      <c r="B1366" s="513" t="s">
        <v>12743</v>
      </c>
    </row>
    <row r="1367" spans="1:2">
      <c r="A1367" s="513" t="s">
        <v>12920</v>
      </c>
      <c r="B1367" s="513" t="s">
        <v>12745</v>
      </c>
    </row>
    <row r="1368" spans="1:2">
      <c r="A1368" s="513" t="s">
        <v>12921</v>
      </c>
      <c r="B1368" s="513" t="s">
        <v>12737</v>
      </c>
    </row>
    <row r="1369" spans="1:2">
      <c r="A1369" s="513" t="s">
        <v>12922</v>
      </c>
      <c r="B1369" s="513" t="s">
        <v>12739</v>
      </c>
    </row>
    <row r="1370" spans="1:2">
      <c r="A1370" s="513" t="s">
        <v>12923</v>
      </c>
      <c r="B1370" s="513" t="s">
        <v>12741</v>
      </c>
    </row>
    <row r="1371" spans="1:2">
      <c r="A1371" s="513" t="s">
        <v>12924</v>
      </c>
      <c r="B1371" s="513" t="s">
        <v>12743</v>
      </c>
    </row>
    <row r="1372" spans="1:2">
      <c r="A1372" s="513" t="s">
        <v>12925</v>
      </c>
      <c r="B1372" s="513" t="s">
        <v>12751</v>
      </c>
    </row>
    <row r="1373" spans="1:2">
      <c r="A1373" s="513" t="s">
        <v>12926</v>
      </c>
      <c r="B1373" s="513" t="s">
        <v>12737</v>
      </c>
    </row>
    <row r="1374" spans="1:2">
      <c r="A1374" s="513" t="s">
        <v>12927</v>
      </c>
      <c r="B1374" s="513" t="s">
        <v>12739</v>
      </c>
    </row>
    <row r="1375" spans="1:2">
      <c r="A1375" s="513" t="s">
        <v>12928</v>
      </c>
      <c r="B1375" s="513" t="s">
        <v>12741</v>
      </c>
    </row>
    <row r="1376" spans="1:2">
      <c r="A1376" s="513" t="s">
        <v>12929</v>
      </c>
      <c r="B1376" s="513" t="s">
        <v>12743</v>
      </c>
    </row>
    <row r="1377" spans="1:2">
      <c r="A1377" s="513" t="s">
        <v>12930</v>
      </c>
      <c r="B1377" s="513" t="s">
        <v>12757</v>
      </c>
    </row>
    <row r="1378" spans="1:2">
      <c r="A1378" s="513" t="s">
        <v>12931</v>
      </c>
      <c r="B1378" s="513" t="s">
        <v>12737</v>
      </c>
    </row>
    <row r="1379" spans="1:2">
      <c r="A1379" s="513" t="s">
        <v>12932</v>
      </c>
      <c r="B1379" s="513" t="s">
        <v>12739</v>
      </c>
    </row>
    <row r="1380" spans="1:2">
      <c r="A1380" s="513" t="s">
        <v>12933</v>
      </c>
      <c r="B1380" s="513" t="s">
        <v>12741</v>
      </c>
    </row>
    <row r="1381" spans="1:2">
      <c r="A1381" s="513" t="s">
        <v>12934</v>
      </c>
      <c r="B1381" s="513" t="s">
        <v>12743</v>
      </c>
    </row>
    <row r="1382" spans="1:2">
      <c r="A1382" s="513" t="s">
        <v>12935</v>
      </c>
      <c r="B1382" s="513" t="s">
        <v>12763</v>
      </c>
    </row>
    <row r="1383" spans="1:2">
      <c r="A1383" s="513" t="s">
        <v>12936</v>
      </c>
      <c r="B1383" s="513" t="s">
        <v>12737</v>
      </c>
    </row>
    <row r="1384" spans="1:2">
      <c r="A1384" s="513" t="s">
        <v>12937</v>
      </c>
      <c r="B1384" s="513" t="s">
        <v>12739</v>
      </c>
    </row>
    <row r="1385" spans="1:2">
      <c r="A1385" s="513" t="s">
        <v>12938</v>
      </c>
      <c r="B1385" s="513" t="s">
        <v>12741</v>
      </c>
    </row>
    <row r="1386" spans="1:2">
      <c r="A1386" s="513" t="s">
        <v>12939</v>
      </c>
      <c r="B1386" s="513" t="s">
        <v>12743</v>
      </c>
    </row>
    <row r="1387" spans="1:2">
      <c r="A1387" s="513" t="s">
        <v>12940</v>
      </c>
      <c r="B1387" s="513" t="s">
        <v>12769</v>
      </c>
    </row>
    <row r="1388" spans="1:2">
      <c r="A1388" s="513" t="s">
        <v>12941</v>
      </c>
      <c r="B1388" s="513" t="s">
        <v>12737</v>
      </c>
    </row>
    <row r="1389" spans="1:2">
      <c r="A1389" s="513" t="s">
        <v>12942</v>
      </c>
      <c r="B1389" s="513" t="s">
        <v>12739</v>
      </c>
    </row>
    <row r="1390" spans="1:2">
      <c r="A1390" s="513" t="s">
        <v>12943</v>
      </c>
      <c r="B1390" s="513" t="s">
        <v>12741</v>
      </c>
    </row>
    <row r="1391" spans="1:2">
      <c r="A1391" s="513" t="s">
        <v>12944</v>
      </c>
      <c r="B1391" s="513" t="s">
        <v>12743</v>
      </c>
    </row>
    <row r="1392" spans="1:2">
      <c r="A1392" s="513" t="s">
        <v>12945</v>
      </c>
      <c r="B1392" s="513" t="s">
        <v>12775</v>
      </c>
    </row>
    <row r="1393" spans="1:2">
      <c r="A1393" s="513" t="s">
        <v>12946</v>
      </c>
      <c r="B1393" s="513" t="s">
        <v>12737</v>
      </c>
    </row>
    <row r="1394" spans="1:2">
      <c r="A1394" s="513" t="s">
        <v>12947</v>
      </c>
      <c r="B1394" s="513" t="s">
        <v>12739</v>
      </c>
    </row>
    <row r="1395" spans="1:2">
      <c r="A1395" s="513" t="s">
        <v>12948</v>
      </c>
      <c r="B1395" s="513" t="s">
        <v>12741</v>
      </c>
    </row>
    <row r="1396" spans="1:2">
      <c r="A1396" s="513" t="s">
        <v>12949</v>
      </c>
      <c r="B1396" s="513" t="s">
        <v>12743</v>
      </c>
    </row>
    <row r="1397" spans="1:2">
      <c r="A1397" s="513" t="s">
        <v>12950</v>
      </c>
      <c r="B1397" s="513" t="s">
        <v>12781</v>
      </c>
    </row>
    <row r="1398" spans="1:2">
      <c r="A1398" s="513" t="s">
        <v>12951</v>
      </c>
      <c r="B1398" s="513" t="s">
        <v>12737</v>
      </c>
    </row>
    <row r="1399" spans="1:2">
      <c r="A1399" s="513" t="s">
        <v>12952</v>
      </c>
      <c r="B1399" s="513" t="s">
        <v>12739</v>
      </c>
    </row>
    <row r="1400" spans="1:2">
      <c r="A1400" s="513" t="s">
        <v>12953</v>
      </c>
      <c r="B1400" s="513" t="s">
        <v>12741</v>
      </c>
    </row>
    <row r="1401" spans="1:2">
      <c r="A1401" s="513" t="s">
        <v>12954</v>
      </c>
      <c r="B1401" s="513" t="s">
        <v>12743</v>
      </c>
    </row>
    <row r="1402" spans="1:2">
      <c r="A1402" s="513" t="s">
        <v>12955</v>
      </c>
      <c r="B1402" s="513" t="s">
        <v>12787</v>
      </c>
    </row>
    <row r="1403" spans="1:2">
      <c r="A1403" s="513" t="s">
        <v>12956</v>
      </c>
      <c r="B1403" s="513" t="s">
        <v>12737</v>
      </c>
    </row>
    <row r="1404" spans="1:2">
      <c r="A1404" s="513" t="s">
        <v>12957</v>
      </c>
      <c r="B1404" s="513" t="s">
        <v>12739</v>
      </c>
    </row>
    <row r="1405" spans="1:2">
      <c r="A1405" s="513" t="s">
        <v>12958</v>
      </c>
      <c r="B1405" s="513" t="s">
        <v>12741</v>
      </c>
    </row>
    <row r="1406" spans="1:2">
      <c r="A1406" s="513" t="s">
        <v>12959</v>
      </c>
      <c r="B1406" s="513" t="s">
        <v>12743</v>
      </c>
    </row>
    <row r="1407" spans="1:2">
      <c r="A1407" s="513" t="s">
        <v>12960</v>
      </c>
      <c r="B1407" s="513" t="s">
        <v>12793</v>
      </c>
    </row>
    <row r="1408" spans="1:2">
      <c r="A1408" s="513" t="s">
        <v>12961</v>
      </c>
      <c r="B1408" s="513" t="s">
        <v>12737</v>
      </c>
    </row>
    <row r="1409" spans="1:2">
      <c r="A1409" s="513" t="s">
        <v>12962</v>
      </c>
      <c r="B1409" s="513" t="s">
        <v>12739</v>
      </c>
    </row>
    <row r="1410" spans="1:2">
      <c r="A1410" s="513" t="s">
        <v>12963</v>
      </c>
      <c r="B1410" s="513" t="s">
        <v>12741</v>
      </c>
    </row>
    <row r="1411" spans="1:2">
      <c r="A1411" s="513" t="s">
        <v>12964</v>
      </c>
      <c r="B1411" s="513" t="s">
        <v>12743</v>
      </c>
    </row>
    <row r="1412" spans="1:2">
      <c r="A1412" s="513" t="s">
        <v>12965</v>
      </c>
      <c r="B1412" s="513" t="s">
        <v>12799</v>
      </c>
    </row>
    <row r="1413" spans="1:2">
      <c r="A1413" s="513" t="s">
        <v>12966</v>
      </c>
      <c r="B1413" s="513" t="s">
        <v>12737</v>
      </c>
    </row>
    <row r="1414" spans="1:2">
      <c r="A1414" s="513" t="s">
        <v>12967</v>
      </c>
      <c r="B1414" s="513" t="s">
        <v>12739</v>
      </c>
    </row>
    <row r="1415" spans="1:2">
      <c r="A1415" s="513" t="s">
        <v>12968</v>
      </c>
      <c r="B1415" s="513" t="s">
        <v>12741</v>
      </c>
    </row>
    <row r="1416" spans="1:2">
      <c r="A1416" s="513" t="s">
        <v>12969</v>
      </c>
      <c r="B1416" s="513" t="s">
        <v>12743</v>
      </c>
    </row>
    <row r="1417" spans="1:2">
      <c r="A1417" s="513" t="s">
        <v>12970</v>
      </c>
      <c r="B1417" s="513" t="s">
        <v>12805</v>
      </c>
    </row>
    <row r="1418" spans="1:2">
      <c r="A1418" s="513" t="s">
        <v>12971</v>
      </c>
      <c r="B1418" s="513" t="s">
        <v>12737</v>
      </c>
    </row>
    <row r="1419" spans="1:2">
      <c r="A1419" s="513" t="s">
        <v>12972</v>
      </c>
      <c r="B1419" s="513" t="s">
        <v>12739</v>
      </c>
    </row>
    <row r="1420" spans="1:2">
      <c r="A1420" s="513" t="s">
        <v>12973</v>
      </c>
      <c r="B1420" s="513" t="s">
        <v>12741</v>
      </c>
    </row>
    <row r="1421" spans="1:2">
      <c r="A1421" s="513" t="s">
        <v>12974</v>
      </c>
      <c r="B1421" s="513" t="s">
        <v>12743</v>
      </c>
    </row>
    <row r="1422" spans="1:2">
      <c r="A1422" s="513" t="s">
        <v>12975</v>
      </c>
      <c r="B1422" s="513" t="s">
        <v>12745</v>
      </c>
    </row>
    <row r="1423" spans="1:2">
      <c r="A1423" s="513" t="s">
        <v>12976</v>
      </c>
      <c r="B1423" s="513" t="s">
        <v>12737</v>
      </c>
    </row>
    <row r="1424" spans="1:2">
      <c r="A1424" s="513" t="s">
        <v>12027</v>
      </c>
      <c r="B1424" s="513" t="s">
        <v>11906</v>
      </c>
    </row>
    <row r="1425" spans="1:2">
      <c r="A1425" s="513" t="s">
        <v>12033</v>
      </c>
      <c r="B1425" s="513" t="s">
        <v>11906</v>
      </c>
    </row>
    <row r="1426" spans="1:2">
      <c r="A1426" s="513" t="s">
        <v>12039</v>
      </c>
      <c r="B1426" s="513" t="s">
        <v>11906</v>
      </c>
    </row>
    <row r="1427" spans="1:2">
      <c r="A1427" s="513" t="s">
        <v>12045</v>
      </c>
      <c r="B1427" s="513" t="s">
        <v>11906</v>
      </c>
    </row>
    <row r="1428" spans="1:2">
      <c r="A1428" s="513" t="s">
        <v>12051</v>
      </c>
      <c r="B1428" s="513" t="s">
        <v>11906</v>
      </c>
    </row>
    <row r="1429" spans="1:2">
      <c r="A1429" s="513" t="s">
        <v>12977</v>
      </c>
      <c r="B1429" s="513" t="s">
        <v>12739</v>
      </c>
    </row>
    <row r="1430" spans="1:2">
      <c r="A1430" s="513" t="s">
        <v>12978</v>
      </c>
      <c r="B1430" s="513" t="s">
        <v>12741</v>
      </c>
    </row>
    <row r="1431" spans="1:2">
      <c r="A1431" s="513" t="s">
        <v>12979</v>
      </c>
      <c r="B1431" s="513" t="s">
        <v>12743</v>
      </c>
    </row>
    <row r="1432" spans="1:2">
      <c r="A1432" s="513" t="s">
        <v>12980</v>
      </c>
      <c r="B1432" s="513" t="s">
        <v>12751</v>
      </c>
    </row>
    <row r="1433" spans="1:2">
      <c r="A1433" s="513" t="s">
        <v>12981</v>
      </c>
      <c r="B1433" s="513" t="s">
        <v>12737</v>
      </c>
    </row>
    <row r="1434" spans="1:2">
      <c r="A1434" s="513" t="s">
        <v>12982</v>
      </c>
      <c r="B1434" s="513" t="s">
        <v>12739</v>
      </c>
    </row>
    <row r="1435" spans="1:2">
      <c r="A1435" s="513" t="s">
        <v>12983</v>
      </c>
      <c r="B1435" s="513" t="s">
        <v>12741</v>
      </c>
    </row>
    <row r="1436" spans="1:2">
      <c r="A1436" s="513" t="s">
        <v>12984</v>
      </c>
      <c r="B1436" s="513" t="s">
        <v>12743</v>
      </c>
    </row>
    <row r="1437" spans="1:2">
      <c r="A1437" s="513" t="s">
        <v>12985</v>
      </c>
      <c r="B1437" s="513" t="s">
        <v>12757</v>
      </c>
    </row>
    <row r="1438" spans="1:2">
      <c r="A1438" s="513" t="s">
        <v>12986</v>
      </c>
      <c r="B1438" s="513" t="s">
        <v>12737</v>
      </c>
    </row>
    <row r="1439" spans="1:2">
      <c r="A1439" s="513" t="s">
        <v>12987</v>
      </c>
      <c r="B1439" s="513" t="s">
        <v>12739</v>
      </c>
    </row>
    <row r="1440" spans="1:2">
      <c r="A1440" s="513" t="s">
        <v>12988</v>
      </c>
      <c r="B1440" s="513" t="s">
        <v>12741</v>
      </c>
    </row>
    <row r="1441" spans="1:2">
      <c r="A1441" s="513" t="s">
        <v>12989</v>
      </c>
      <c r="B1441" s="513" t="s">
        <v>12743</v>
      </c>
    </row>
    <row r="1442" spans="1:2">
      <c r="A1442" s="513" t="s">
        <v>12990</v>
      </c>
      <c r="B1442" s="513" t="s">
        <v>12763</v>
      </c>
    </row>
    <row r="1443" spans="1:2">
      <c r="A1443" s="513" t="s">
        <v>12991</v>
      </c>
      <c r="B1443" s="513" t="s">
        <v>12737</v>
      </c>
    </row>
    <row r="1444" spans="1:2">
      <c r="A1444" s="513" t="s">
        <v>12992</v>
      </c>
      <c r="B1444" s="513" t="s">
        <v>12739</v>
      </c>
    </row>
    <row r="1445" spans="1:2">
      <c r="A1445" s="513" t="s">
        <v>12993</v>
      </c>
      <c r="B1445" s="513" t="s">
        <v>12741</v>
      </c>
    </row>
    <row r="1446" spans="1:2">
      <c r="A1446" s="513" t="s">
        <v>12994</v>
      </c>
      <c r="B1446" s="513" t="s">
        <v>12743</v>
      </c>
    </row>
    <row r="1447" spans="1:2">
      <c r="A1447" s="513" t="s">
        <v>12995</v>
      </c>
      <c r="B1447" s="513" t="s">
        <v>12769</v>
      </c>
    </row>
    <row r="1448" spans="1:2">
      <c r="A1448" s="513" t="s">
        <v>12996</v>
      </c>
      <c r="B1448" s="513" t="s">
        <v>12737</v>
      </c>
    </row>
    <row r="1449" spans="1:2">
      <c r="A1449" s="513" t="s">
        <v>12997</v>
      </c>
      <c r="B1449" s="513" t="s">
        <v>12739</v>
      </c>
    </row>
    <row r="1450" spans="1:2">
      <c r="A1450" s="513" t="s">
        <v>12998</v>
      </c>
      <c r="B1450" s="513" t="s">
        <v>12741</v>
      </c>
    </row>
    <row r="1451" spans="1:2">
      <c r="A1451" s="513" t="s">
        <v>12999</v>
      </c>
      <c r="B1451" s="513" t="s">
        <v>12743</v>
      </c>
    </row>
    <row r="1452" spans="1:2">
      <c r="A1452" s="513" t="s">
        <v>13000</v>
      </c>
      <c r="B1452" s="513" t="s">
        <v>12775</v>
      </c>
    </row>
    <row r="1453" spans="1:2">
      <c r="A1453" s="513" t="s">
        <v>13001</v>
      </c>
      <c r="B1453" s="513" t="s">
        <v>12737</v>
      </c>
    </row>
    <row r="1454" spans="1:2">
      <c r="A1454" s="513" t="s">
        <v>13002</v>
      </c>
      <c r="B1454" s="513" t="s">
        <v>12739</v>
      </c>
    </row>
    <row r="1455" spans="1:2">
      <c r="A1455" s="513" t="s">
        <v>13003</v>
      </c>
      <c r="B1455" s="513" t="s">
        <v>12741</v>
      </c>
    </row>
    <row r="1456" spans="1:2">
      <c r="A1456" s="513" t="s">
        <v>13004</v>
      </c>
      <c r="B1456" s="513" t="s">
        <v>12743</v>
      </c>
    </row>
    <row r="1457" spans="1:2">
      <c r="A1457" s="513" t="s">
        <v>13005</v>
      </c>
      <c r="B1457" s="513" t="s">
        <v>12781</v>
      </c>
    </row>
    <row r="1458" spans="1:2">
      <c r="A1458" s="513" t="s">
        <v>13006</v>
      </c>
      <c r="B1458" s="513" t="s">
        <v>12737</v>
      </c>
    </row>
    <row r="1459" spans="1:2">
      <c r="A1459" s="513" t="s">
        <v>13007</v>
      </c>
      <c r="B1459" s="513" t="s">
        <v>12739</v>
      </c>
    </row>
    <row r="1460" spans="1:2">
      <c r="A1460" s="513" t="s">
        <v>13008</v>
      </c>
      <c r="B1460" s="513" t="s">
        <v>12741</v>
      </c>
    </row>
    <row r="1461" spans="1:2">
      <c r="A1461" s="513" t="s">
        <v>13009</v>
      </c>
      <c r="B1461" s="513" t="s">
        <v>12743</v>
      </c>
    </row>
    <row r="1462" spans="1:2">
      <c r="A1462" s="513" t="s">
        <v>13010</v>
      </c>
      <c r="B1462" s="513" t="s">
        <v>12787</v>
      </c>
    </row>
    <row r="1463" spans="1:2">
      <c r="A1463" s="513" t="s">
        <v>13011</v>
      </c>
      <c r="B1463" s="513" t="s">
        <v>12737</v>
      </c>
    </row>
    <row r="1464" spans="1:2">
      <c r="A1464" s="513" t="s">
        <v>13012</v>
      </c>
      <c r="B1464" s="513" t="s">
        <v>12739</v>
      </c>
    </row>
    <row r="1465" spans="1:2">
      <c r="A1465" s="513" t="s">
        <v>13013</v>
      </c>
      <c r="B1465" s="513" t="s">
        <v>12741</v>
      </c>
    </row>
    <row r="1466" spans="1:2">
      <c r="A1466" s="513" t="s">
        <v>13014</v>
      </c>
      <c r="B1466" s="513" t="s">
        <v>12743</v>
      </c>
    </row>
    <row r="1467" spans="1:2">
      <c r="A1467" s="513" t="s">
        <v>13015</v>
      </c>
      <c r="B1467" s="513" t="s">
        <v>12793</v>
      </c>
    </row>
    <row r="1468" spans="1:2">
      <c r="A1468" s="513" t="s">
        <v>13016</v>
      </c>
      <c r="B1468" s="513" t="s">
        <v>12737</v>
      </c>
    </row>
    <row r="1469" spans="1:2">
      <c r="A1469" s="513" t="s">
        <v>13017</v>
      </c>
      <c r="B1469" s="513" t="s">
        <v>12739</v>
      </c>
    </row>
    <row r="1470" spans="1:2">
      <c r="A1470" s="513" t="s">
        <v>13018</v>
      </c>
      <c r="B1470" s="513" t="s">
        <v>12741</v>
      </c>
    </row>
    <row r="1471" spans="1:2">
      <c r="A1471" s="513" t="s">
        <v>13019</v>
      </c>
      <c r="B1471" s="513" t="s">
        <v>12743</v>
      </c>
    </row>
    <row r="1472" spans="1:2">
      <c r="A1472" s="513" t="s">
        <v>13020</v>
      </c>
      <c r="B1472" s="513" t="s">
        <v>12799</v>
      </c>
    </row>
    <row r="1473" spans="1:2">
      <c r="A1473" s="513" t="s">
        <v>13021</v>
      </c>
      <c r="B1473" s="513" t="s">
        <v>12737</v>
      </c>
    </row>
    <row r="1474" spans="1:2">
      <c r="A1474" s="513" t="s">
        <v>13022</v>
      </c>
      <c r="B1474" s="513" t="s">
        <v>12739</v>
      </c>
    </row>
    <row r="1475" spans="1:2">
      <c r="A1475" s="513" t="s">
        <v>13023</v>
      </c>
      <c r="B1475" s="513" t="s">
        <v>12741</v>
      </c>
    </row>
    <row r="1476" spans="1:2">
      <c r="A1476" s="513" t="s">
        <v>13024</v>
      </c>
      <c r="B1476" s="513" t="s">
        <v>12743</v>
      </c>
    </row>
    <row r="1477" spans="1:2">
      <c r="A1477" s="513" t="s">
        <v>13025</v>
      </c>
      <c r="B1477" s="513" t="s">
        <v>12805</v>
      </c>
    </row>
    <row r="1478" spans="1:2">
      <c r="A1478" s="513" t="s">
        <v>13026</v>
      </c>
      <c r="B1478" s="513" t="s">
        <v>13027</v>
      </c>
    </row>
    <row r="1479" spans="1:2">
      <c r="A1479" s="513" t="s">
        <v>13028</v>
      </c>
      <c r="B1479" s="513" t="s">
        <v>13029</v>
      </c>
    </row>
    <row r="1480" spans="1:2">
      <c r="A1480" s="513" t="s">
        <v>13030</v>
      </c>
      <c r="B1480" s="513" t="s">
        <v>13031</v>
      </c>
    </row>
    <row r="1481" spans="1:2">
      <c r="A1481" s="513" t="s">
        <v>13032</v>
      </c>
      <c r="B1481" s="513" t="s">
        <v>13033</v>
      </c>
    </row>
    <row r="1482" spans="1:2">
      <c r="A1482" s="513" t="s">
        <v>13034</v>
      </c>
      <c r="B1482" s="513" t="s">
        <v>13035</v>
      </c>
    </row>
    <row r="1483" spans="1:2">
      <c r="A1483" s="513" t="s">
        <v>13036</v>
      </c>
      <c r="B1483" s="513" t="s">
        <v>12737</v>
      </c>
    </row>
    <row r="1484" spans="1:2">
      <c r="A1484" s="513" t="s">
        <v>13037</v>
      </c>
      <c r="B1484" s="513" t="s">
        <v>12739</v>
      </c>
    </row>
    <row r="1485" spans="1:2">
      <c r="A1485" s="513" t="s">
        <v>13038</v>
      </c>
      <c r="B1485" s="513" t="s">
        <v>12741</v>
      </c>
    </row>
    <row r="1486" spans="1:2">
      <c r="A1486" s="513" t="s">
        <v>13039</v>
      </c>
      <c r="B1486" s="513" t="s">
        <v>12743</v>
      </c>
    </row>
    <row r="1487" spans="1:2">
      <c r="A1487" s="513" t="s">
        <v>13040</v>
      </c>
      <c r="B1487" s="513" t="s">
        <v>12745</v>
      </c>
    </row>
    <row r="1488" spans="1:2">
      <c r="A1488" s="513" t="s">
        <v>13041</v>
      </c>
      <c r="B1488" s="513" t="s">
        <v>12737</v>
      </c>
    </row>
    <row r="1489" spans="1:2">
      <c r="A1489" s="513" t="s">
        <v>13042</v>
      </c>
      <c r="B1489" s="513" t="s">
        <v>12739</v>
      </c>
    </row>
    <row r="1490" spans="1:2">
      <c r="A1490" s="513" t="s">
        <v>13043</v>
      </c>
      <c r="B1490" s="513" t="s">
        <v>12741</v>
      </c>
    </row>
    <row r="1491" spans="1:2">
      <c r="A1491" s="513" t="s">
        <v>13044</v>
      </c>
      <c r="B1491" s="513" t="s">
        <v>12743</v>
      </c>
    </row>
    <row r="1492" spans="1:2">
      <c r="A1492" s="513" t="s">
        <v>13045</v>
      </c>
      <c r="B1492" s="513" t="s">
        <v>12751</v>
      </c>
    </row>
    <row r="1493" spans="1:2">
      <c r="A1493" s="513" t="s">
        <v>13046</v>
      </c>
      <c r="B1493" s="513" t="s">
        <v>12737</v>
      </c>
    </row>
    <row r="1494" spans="1:2">
      <c r="A1494" s="513" t="s">
        <v>13047</v>
      </c>
      <c r="B1494" s="513" t="s">
        <v>12739</v>
      </c>
    </row>
    <row r="1495" spans="1:2">
      <c r="A1495" s="513" t="s">
        <v>13048</v>
      </c>
      <c r="B1495" s="513" t="s">
        <v>12741</v>
      </c>
    </row>
    <row r="1496" spans="1:2">
      <c r="A1496" s="513" t="s">
        <v>13049</v>
      </c>
      <c r="B1496" s="513" t="s">
        <v>12743</v>
      </c>
    </row>
    <row r="1497" spans="1:2">
      <c r="A1497" s="513" t="s">
        <v>13050</v>
      </c>
      <c r="B1497" s="513" t="s">
        <v>12757</v>
      </c>
    </row>
    <row r="1498" spans="1:2">
      <c r="A1498" s="513" t="s">
        <v>13051</v>
      </c>
      <c r="B1498" s="513" t="s">
        <v>12737</v>
      </c>
    </row>
    <row r="1499" spans="1:2">
      <c r="A1499" s="513" t="s">
        <v>13052</v>
      </c>
      <c r="B1499" s="513" t="s">
        <v>12739</v>
      </c>
    </row>
    <row r="1500" spans="1:2">
      <c r="A1500" s="513" t="s">
        <v>13053</v>
      </c>
      <c r="B1500" s="513" t="s">
        <v>12741</v>
      </c>
    </row>
    <row r="1501" spans="1:2">
      <c r="A1501" s="513" t="s">
        <v>13054</v>
      </c>
      <c r="B1501" s="513" t="s">
        <v>12743</v>
      </c>
    </row>
    <row r="1502" spans="1:2">
      <c r="A1502" s="513" t="s">
        <v>13055</v>
      </c>
      <c r="B1502" s="513" t="s">
        <v>12763</v>
      </c>
    </row>
    <row r="1503" spans="1:2">
      <c r="A1503" s="513" t="s">
        <v>13056</v>
      </c>
      <c r="B1503" s="513" t="s">
        <v>12737</v>
      </c>
    </row>
    <row r="1504" spans="1:2">
      <c r="A1504" s="513" t="s">
        <v>13057</v>
      </c>
      <c r="B1504" s="513" t="s">
        <v>12739</v>
      </c>
    </row>
    <row r="1505" spans="1:2">
      <c r="A1505" s="513" t="s">
        <v>13058</v>
      </c>
      <c r="B1505" s="513" t="s">
        <v>12741</v>
      </c>
    </row>
    <row r="1506" spans="1:2">
      <c r="A1506" s="513" t="s">
        <v>13059</v>
      </c>
      <c r="B1506" s="513" t="s">
        <v>12743</v>
      </c>
    </row>
    <row r="1507" spans="1:2">
      <c r="A1507" s="513" t="s">
        <v>13060</v>
      </c>
      <c r="B1507" s="513" t="s">
        <v>12769</v>
      </c>
    </row>
    <row r="1508" spans="1:2">
      <c r="A1508" s="513" t="s">
        <v>13061</v>
      </c>
      <c r="B1508" s="513" t="s">
        <v>12737</v>
      </c>
    </row>
    <row r="1509" spans="1:2">
      <c r="A1509" s="513" t="s">
        <v>13062</v>
      </c>
      <c r="B1509" s="513" t="s">
        <v>12739</v>
      </c>
    </row>
    <row r="1510" spans="1:2">
      <c r="A1510" s="513" t="s">
        <v>13063</v>
      </c>
      <c r="B1510" s="513" t="s">
        <v>12741</v>
      </c>
    </row>
    <row r="1511" spans="1:2">
      <c r="A1511" s="513" t="s">
        <v>13064</v>
      </c>
      <c r="B1511" s="513" t="s">
        <v>12743</v>
      </c>
    </row>
    <row r="1512" spans="1:2">
      <c r="A1512" s="513" t="s">
        <v>13065</v>
      </c>
      <c r="B1512" s="513" t="s">
        <v>12775</v>
      </c>
    </row>
    <row r="1513" spans="1:2">
      <c r="A1513" s="513" t="s">
        <v>13066</v>
      </c>
      <c r="B1513" s="513" t="s">
        <v>12737</v>
      </c>
    </row>
    <row r="1514" spans="1:2">
      <c r="A1514" s="513" t="s">
        <v>13067</v>
      </c>
      <c r="B1514" s="513" t="s">
        <v>12739</v>
      </c>
    </row>
    <row r="1515" spans="1:2">
      <c r="A1515" s="513" t="s">
        <v>13068</v>
      </c>
      <c r="B1515" s="513" t="s">
        <v>12741</v>
      </c>
    </row>
    <row r="1516" spans="1:2">
      <c r="A1516" s="513" t="s">
        <v>13069</v>
      </c>
      <c r="B1516" s="513" t="s">
        <v>12743</v>
      </c>
    </row>
    <row r="1517" spans="1:2">
      <c r="A1517" s="513" t="s">
        <v>13070</v>
      </c>
      <c r="B1517" s="513" t="s">
        <v>12781</v>
      </c>
    </row>
    <row r="1518" spans="1:2">
      <c r="A1518" s="513" t="s">
        <v>13071</v>
      </c>
      <c r="B1518" s="513" t="s">
        <v>12737</v>
      </c>
    </row>
    <row r="1519" spans="1:2">
      <c r="A1519" s="513" t="s">
        <v>13072</v>
      </c>
      <c r="B1519" s="513" t="s">
        <v>12739</v>
      </c>
    </row>
    <row r="1520" spans="1:2">
      <c r="A1520" s="513" t="s">
        <v>13073</v>
      </c>
      <c r="B1520" s="513" t="s">
        <v>12741</v>
      </c>
    </row>
    <row r="1521" spans="1:2">
      <c r="A1521" s="513" t="s">
        <v>13074</v>
      </c>
      <c r="B1521" s="513" t="s">
        <v>12743</v>
      </c>
    </row>
    <row r="1522" spans="1:2">
      <c r="A1522" s="513" t="s">
        <v>13075</v>
      </c>
      <c r="B1522" s="513" t="s">
        <v>12787</v>
      </c>
    </row>
    <row r="1523" spans="1:2">
      <c r="A1523" s="513" t="s">
        <v>13076</v>
      </c>
      <c r="B1523" s="513" t="s">
        <v>12737</v>
      </c>
    </row>
    <row r="1524" spans="1:2">
      <c r="A1524" s="513" t="s">
        <v>13077</v>
      </c>
      <c r="B1524" s="513" t="s">
        <v>12739</v>
      </c>
    </row>
    <row r="1525" spans="1:2">
      <c r="A1525" s="513" t="s">
        <v>13078</v>
      </c>
      <c r="B1525" s="513" t="s">
        <v>12741</v>
      </c>
    </row>
    <row r="1526" spans="1:2">
      <c r="A1526" s="513" t="s">
        <v>13079</v>
      </c>
      <c r="B1526" s="513" t="s">
        <v>12743</v>
      </c>
    </row>
    <row r="1527" spans="1:2">
      <c r="A1527" s="513" t="s">
        <v>13080</v>
      </c>
      <c r="B1527" s="513" t="s">
        <v>12793</v>
      </c>
    </row>
    <row r="1528" spans="1:2">
      <c r="A1528" s="513" t="s">
        <v>13081</v>
      </c>
      <c r="B1528" s="513" t="s">
        <v>12737</v>
      </c>
    </row>
    <row r="1529" spans="1:2">
      <c r="A1529" s="513" t="s">
        <v>13082</v>
      </c>
      <c r="B1529" s="513" t="s">
        <v>12739</v>
      </c>
    </row>
    <row r="1530" spans="1:2">
      <c r="A1530" s="513" t="s">
        <v>13083</v>
      </c>
      <c r="B1530" s="513" t="s">
        <v>12741</v>
      </c>
    </row>
    <row r="1531" spans="1:2">
      <c r="A1531" s="513" t="s">
        <v>13084</v>
      </c>
      <c r="B1531" s="513" t="s">
        <v>12743</v>
      </c>
    </row>
    <row r="1532" spans="1:2">
      <c r="A1532" s="513" t="s">
        <v>13085</v>
      </c>
      <c r="B1532" s="513" t="s">
        <v>12799</v>
      </c>
    </row>
    <row r="1533" spans="1:2">
      <c r="A1533" s="513" t="s">
        <v>13086</v>
      </c>
      <c r="B1533" s="513" t="s">
        <v>12737</v>
      </c>
    </row>
    <row r="1534" spans="1:2">
      <c r="A1534" s="513" t="s">
        <v>13087</v>
      </c>
      <c r="B1534" s="513" t="s">
        <v>12739</v>
      </c>
    </row>
    <row r="1535" spans="1:2">
      <c r="A1535" s="513" t="s">
        <v>13088</v>
      </c>
      <c r="B1535" s="513" t="s">
        <v>12741</v>
      </c>
    </row>
    <row r="1536" spans="1:2">
      <c r="A1536" s="513" t="s">
        <v>13089</v>
      </c>
      <c r="B1536" s="513" t="s">
        <v>12743</v>
      </c>
    </row>
    <row r="1537" spans="1:2">
      <c r="A1537" s="513" t="s">
        <v>13090</v>
      </c>
      <c r="B1537" s="513" t="s">
        <v>12805</v>
      </c>
    </row>
    <row r="1538" spans="1:2">
      <c r="A1538" s="513" t="s">
        <v>13091</v>
      </c>
      <c r="B1538" s="513" t="s">
        <v>12737</v>
      </c>
    </row>
    <row r="1539" spans="1:2">
      <c r="A1539" s="513" t="s">
        <v>13092</v>
      </c>
      <c r="B1539" s="513" t="s">
        <v>12739</v>
      </c>
    </row>
    <row r="1540" spans="1:2">
      <c r="A1540" s="513" t="s">
        <v>13093</v>
      </c>
      <c r="B1540" s="513" t="s">
        <v>12741</v>
      </c>
    </row>
    <row r="1541" spans="1:2">
      <c r="A1541" s="513" t="s">
        <v>13094</v>
      </c>
      <c r="B1541" s="513" t="s">
        <v>12743</v>
      </c>
    </row>
    <row r="1542" spans="1:2">
      <c r="A1542" s="513" t="s">
        <v>13095</v>
      </c>
      <c r="B1542" s="513" t="s">
        <v>12745</v>
      </c>
    </row>
    <row r="1543" spans="1:2">
      <c r="A1543" s="513" t="s">
        <v>13096</v>
      </c>
      <c r="B1543" s="513" t="s">
        <v>12737</v>
      </c>
    </row>
    <row r="1544" spans="1:2">
      <c r="A1544" s="513" t="s">
        <v>13097</v>
      </c>
      <c r="B1544" s="513" t="s">
        <v>12739</v>
      </c>
    </row>
    <row r="1545" spans="1:2">
      <c r="A1545" s="513" t="s">
        <v>13098</v>
      </c>
      <c r="B1545" s="513" t="s">
        <v>12741</v>
      </c>
    </row>
    <row r="1546" spans="1:2">
      <c r="A1546" s="513" t="s">
        <v>13099</v>
      </c>
      <c r="B1546" s="513" t="s">
        <v>12743</v>
      </c>
    </row>
    <row r="1547" spans="1:2">
      <c r="A1547" s="513" t="s">
        <v>13100</v>
      </c>
      <c r="B1547" s="513" t="s">
        <v>12751</v>
      </c>
    </row>
    <row r="1548" spans="1:2">
      <c r="A1548" s="513" t="s">
        <v>13101</v>
      </c>
      <c r="B1548" s="513" t="s">
        <v>12737</v>
      </c>
    </row>
    <row r="1549" spans="1:2">
      <c r="A1549" s="513" t="s">
        <v>13102</v>
      </c>
      <c r="B1549" s="513" t="s">
        <v>12739</v>
      </c>
    </row>
    <row r="1550" spans="1:2">
      <c r="A1550" s="513" t="s">
        <v>13103</v>
      </c>
      <c r="B1550" s="513" t="s">
        <v>12741</v>
      </c>
    </row>
    <row r="1551" spans="1:2">
      <c r="A1551" s="513" t="s">
        <v>13104</v>
      </c>
      <c r="B1551" s="513" t="s">
        <v>12743</v>
      </c>
    </row>
    <row r="1552" spans="1:2">
      <c r="A1552" s="513" t="s">
        <v>13105</v>
      </c>
      <c r="B1552" s="513" t="s">
        <v>12757</v>
      </c>
    </row>
    <row r="1553" spans="1:2">
      <c r="A1553" s="513" t="s">
        <v>13106</v>
      </c>
      <c r="B1553" s="513" t="s">
        <v>12737</v>
      </c>
    </row>
    <row r="1554" spans="1:2">
      <c r="A1554" s="513" t="s">
        <v>13107</v>
      </c>
      <c r="B1554" s="513" t="s">
        <v>12739</v>
      </c>
    </row>
    <row r="1555" spans="1:2">
      <c r="A1555" s="513" t="s">
        <v>13108</v>
      </c>
      <c r="B1555" s="513" t="s">
        <v>12741</v>
      </c>
    </row>
    <row r="1556" spans="1:2">
      <c r="A1556" s="513" t="s">
        <v>13109</v>
      </c>
      <c r="B1556" s="513" t="s">
        <v>12743</v>
      </c>
    </row>
    <row r="1557" spans="1:2">
      <c r="A1557" s="513" t="s">
        <v>13110</v>
      </c>
      <c r="B1557" s="513" t="s">
        <v>12763</v>
      </c>
    </row>
    <row r="1558" spans="1:2">
      <c r="A1558" s="513" t="s">
        <v>13111</v>
      </c>
      <c r="B1558" s="513" t="s">
        <v>12737</v>
      </c>
    </row>
    <row r="1559" spans="1:2">
      <c r="A1559" s="513" t="s">
        <v>13112</v>
      </c>
      <c r="B1559" s="513" t="s">
        <v>12739</v>
      </c>
    </row>
    <row r="1560" spans="1:2">
      <c r="A1560" s="513" t="s">
        <v>13113</v>
      </c>
      <c r="B1560" s="513" t="s">
        <v>12741</v>
      </c>
    </row>
    <row r="1561" spans="1:2">
      <c r="A1561" s="513" t="s">
        <v>13114</v>
      </c>
      <c r="B1561" s="513" t="s">
        <v>12743</v>
      </c>
    </row>
    <row r="1562" spans="1:2">
      <c r="A1562" s="513" t="s">
        <v>13115</v>
      </c>
      <c r="B1562" s="513" t="s">
        <v>12769</v>
      </c>
    </row>
    <row r="1563" spans="1:2">
      <c r="A1563" s="513" t="s">
        <v>13116</v>
      </c>
      <c r="B1563" s="513" t="s">
        <v>12737</v>
      </c>
    </row>
    <row r="1564" spans="1:2">
      <c r="A1564" s="513" t="s">
        <v>13117</v>
      </c>
      <c r="B1564" s="513" t="s">
        <v>12739</v>
      </c>
    </row>
    <row r="1565" spans="1:2">
      <c r="A1565" s="513" t="s">
        <v>13118</v>
      </c>
      <c r="B1565" s="513" t="s">
        <v>12741</v>
      </c>
    </row>
    <row r="1566" spans="1:2">
      <c r="A1566" s="513" t="s">
        <v>13119</v>
      </c>
      <c r="B1566" s="513" t="s">
        <v>12743</v>
      </c>
    </row>
    <row r="1567" spans="1:2">
      <c r="A1567" s="513" t="s">
        <v>13120</v>
      </c>
      <c r="B1567" s="513" t="s">
        <v>12775</v>
      </c>
    </row>
    <row r="1568" spans="1:2">
      <c r="A1568" s="513" t="s">
        <v>13121</v>
      </c>
      <c r="B1568" s="513" t="s">
        <v>12737</v>
      </c>
    </row>
    <row r="1569" spans="1:2">
      <c r="A1569" s="513" t="s">
        <v>13122</v>
      </c>
      <c r="B1569" s="513" t="s">
        <v>12739</v>
      </c>
    </row>
    <row r="1570" spans="1:2">
      <c r="A1570" s="513" t="s">
        <v>13123</v>
      </c>
      <c r="B1570" s="513" t="s">
        <v>12741</v>
      </c>
    </row>
    <row r="1571" spans="1:2">
      <c r="A1571" s="513" t="s">
        <v>13124</v>
      </c>
      <c r="B1571" s="513" t="s">
        <v>12743</v>
      </c>
    </row>
    <row r="1572" spans="1:2">
      <c r="A1572" s="513" t="s">
        <v>13125</v>
      </c>
      <c r="B1572" s="513" t="s">
        <v>12781</v>
      </c>
    </row>
    <row r="1573" spans="1:2">
      <c r="A1573" s="513" t="s">
        <v>13126</v>
      </c>
      <c r="B1573" s="513" t="s">
        <v>12737</v>
      </c>
    </row>
    <row r="1574" spans="1:2">
      <c r="A1574" s="513" t="s">
        <v>13127</v>
      </c>
      <c r="B1574" s="513" t="s">
        <v>12739</v>
      </c>
    </row>
    <row r="1575" spans="1:2">
      <c r="A1575" s="513" t="s">
        <v>13128</v>
      </c>
      <c r="B1575" s="513" t="s">
        <v>12741</v>
      </c>
    </row>
    <row r="1576" spans="1:2">
      <c r="A1576" s="513" t="s">
        <v>13129</v>
      </c>
      <c r="B1576" s="513" t="s">
        <v>12743</v>
      </c>
    </row>
    <row r="1577" spans="1:2">
      <c r="A1577" s="513" t="s">
        <v>13130</v>
      </c>
      <c r="B1577" s="513" t="s">
        <v>12787</v>
      </c>
    </row>
    <row r="1578" spans="1:2">
      <c r="A1578" s="513" t="s">
        <v>13131</v>
      </c>
      <c r="B1578" s="513" t="s">
        <v>12737</v>
      </c>
    </row>
    <row r="1579" spans="1:2">
      <c r="A1579" s="513" t="s">
        <v>13132</v>
      </c>
      <c r="B1579" s="513" t="s">
        <v>12739</v>
      </c>
    </row>
    <row r="1580" spans="1:2">
      <c r="A1580" s="513" t="s">
        <v>13133</v>
      </c>
      <c r="B1580" s="513" t="s">
        <v>12741</v>
      </c>
    </row>
    <row r="1581" spans="1:2">
      <c r="A1581" s="513" t="s">
        <v>13134</v>
      </c>
      <c r="B1581" s="513" t="s">
        <v>12743</v>
      </c>
    </row>
    <row r="1582" spans="1:2">
      <c r="A1582" s="513" t="s">
        <v>13135</v>
      </c>
      <c r="B1582" s="513" t="s">
        <v>12793</v>
      </c>
    </row>
    <row r="1583" spans="1:2">
      <c r="A1583" s="513" t="s">
        <v>13136</v>
      </c>
      <c r="B1583" s="513" t="s">
        <v>12737</v>
      </c>
    </row>
    <row r="1584" spans="1:2">
      <c r="A1584" s="513" t="s">
        <v>13137</v>
      </c>
      <c r="B1584" s="513" t="s">
        <v>12739</v>
      </c>
    </row>
    <row r="1585" spans="1:2">
      <c r="A1585" s="513" t="s">
        <v>13138</v>
      </c>
      <c r="B1585" s="513" t="s">
        <v>12741</v>
      </c>
    </row>
    <row r="1586" spans="1:2">
      <c r="A1586" s="513" t="s">
        <v>13139</v>
      </c>
      <c r="B1586" s="513" t="s">
        <v>12743</v>
      </c>
    </row>
    <row r="1587" spans="1:2">
      <c r="A1587" s="513" t="s">
        <v>13140</v>
      </c>
      <c r="B1587" s="513" t="s">
        <v>12799</v>
      </c>
    </row>
    <row r="1588" spans="1:2">
      <c r="A1588" s="513" t="s">
        <v>13141</v>
      </c>
      <c r="B1588" s="513" t="s">
        <v>12737</v>
      </c>
    </row>
    <row r="1589" spans="1:2">
      <c r="A1589" s="513" t="s">
        <v>13142</v>
      </c>
      <c r="B1589" s="513" t="s">
        <v>12739</v>
      </c>
    </row>
    <row r="1590" spans="1:2">
      <c r="A1590" s="513" t="s">
        <v>13143</v>
      </c>
      <c r="B1590" s="513" t="s">
        <v>12741</v>
      </c>
    </row>
    <row r="1591" spans="1:2">
      <c r="A1591" s="513" t="s">
        <v>13144</v>
      </c>
      <c r="B1591" s="513" t="s">
        <v>12743</v>
      </c>
    </row>
    <row r="1592" spans="1:2">
      <c r="A1592" s="513" t="s">
        <v>13145</v>
      </c>
      <c r="B1592" s="513" t="s">
        <v>12805</v>
      </c>
    </row>
    <row r="1593" spans="1:2">
      <c r="A1593" s="513" t="s">
        <v>13146</v>
      </c>
      <c r="B1593" s="513" t="s">
        <v>12737</v>
      </c>
    </row>
    <row r="1594" spans="1:2">
      <c r="A1594" s="513" t="s">
        <v>13147</v>
      </c>
      <c r="B1594" s="513" t="s">
        <v>12739</v>
      </c>
    </row>
    <row r="1595" spans="1:2">
      <c r="A1595" s="513" t="s">
        <v>13148</v>
      </c>
      <c r="B1595" s="513" t="s">
        <v>12741</v>
      </c>
    </row>
    <row r="1596" spans="1:2">
      <c r="A1596" s="513" t="s">
        <v>13149</v>
      </c>
      <c r="B1596" s="513" t="s">
        <v>12743</v>
      </c>
    </row>
    <row r="1597" spans="1:2">
      <c r="A1597" s="513" t="s">
        <v>13150</v>
      </c>
      <c r="B1597" s="513" t="s">
        <v>12745</v>
      </c>
    </row>
    <row r="1598" spans="1:2">
      <c r="A1598" s="513" t="s">
        <v>13151</v>
      </c>
      <c r="B1598" s="513" t="s">
        <v>12737</v>
      </c>
    </row>
    <row r="1599" spans="1:2">
      <c r="A1599" s="513" t="s">
        <v>13152</v>
      </c>
      <c r="B1599" s="513" t="s">
        <v>12739</v>
      </c>
    </row>
    <row r="1600" spans="1:2">
      <c r="A1600" s="513" t="s">
        <v>13153</v>
      </c>
      <c r="B1600" s="513" t="s">
        <v>12741</v>
      </c>
    </row>
    <row r="1601" spans="1:2">
      <c r="A1601" s="513" t="s">
        <v>13154</v>
      </c>
      <c r="B1601" s="513" t="s">
        <v>12743</v>
      </c>
    </row>
    <row r="1602" spans="1:2">
      <c r="A1602" s="513" t="s">
        <v>13155</v>
      </c>
      <c r="B1602" s="513" t="s">
        <v>12751</v>
      </c>
    </row>
    <row r="1603" spans="1:2">
      <c r="A1603" s="513" t="s">
        <v>13156</v>
      </c>
      <c r="B1603" s="513" t="s">
        <v>12737</v>
      </c>
    </row>
    <row r="1604" spans="1:2">
      <c r="A1604" s="513" t="s">
        <v>13157</v>
      </c>
      <c r="B1604" s="513" t="s">
        <v>12739</v>
      </c>
    </row>
    <row r="1605" spans="1:2">
      <c r="A1605" s="513" t="s">
        <v>13158</v>
      </c>
      <c r="B1605" s="513" t="s">
        <v>12741</v>
      </c>
    </row>
    <row r="1606" spans="1:2">
      <c r="A1606" s="513" t="s">
        <v>13159</v>
      </c>
      <c r="B1606" s="513" t="s">
        <v>12743</v>
      </c>
    </row>
    <row r="1607" spans="1:2">
      <c r="A1607" s="513" t="s">
        <v>13160</v>
      </c>
      <c r="B1607" s="513" t="s">
        <v>12757</v>
      </c>
    </row>
    <row r="1608" spans="1:2">
      <c r="A1608" s="513" t="s">
        <v>13161</v>
      </c>
      <c r="B1608" s="513" t="s">
        <v>12737</v>
      </c>
    </row>
    <row r="1609" spans="1:2">
      <c r="A1609" s="513" t="s">
        <v>13162</v>
      </c>
      <c r="B1609" s="513" t="s">
        <v>12739</v>
      </c>
    </row>
    <row r="1610" spans="1:2">
      <c r="A1610" s="513" t="s">
        <v>13163</v>
      </c>
      <c r="B1610" s="513" t="s">
        <v>12741</v>
      </c>
    </row>
    <row r="1611" spans="1:2">
      <c r="A1611" s="513" t="s">
        <v>13164</v>
      </c>
      <c r="B1611" s="513" t="s">
        <v>12743</v>
      </c>
    </row>
    <row r="1612" spans="1:2">
      <c r="A1612" s="513" t="s">
        <v>13165</v>
      </c>
      <c r="B1612" s="513" t="s">
        <v>12763</v>
      </c>
    </row>
    <row r="1613" spans="1:2">
      <c r="A1613" s="513" t="s">
        <v>13166</v>
      </c>
      <c r="B1613" s="513" t="s">
        <v>12737</v>
      </c>
    </row>
    <row r="1614" spans="1:2">
      <c r="A1614" s="513" t="s">
        <v>13167</v>
      </c>
      <c r="B1614" s="513" t="s">
        <v>12739</v>
      </c>
    </row>
    <row r="1615" spans="1:2">
      <c r="A1615" s="513" t="s">
        <v>13168</v>
      </c>
      <c r="B1615" s="513" t="s">
        <v>12741</v>
      </c>
    </row>
    <row r="1616" spans="1:2">
      <c r="A1616" s="513" t="s">
        <v>13169</v>
      </c>
      <c r="B1616" s="513" t="s">
        <v>12743</v>
      </c>
    </row>
    <row r="1617" spans="1:2">
      <c r="A1617" s="513" t="s">
        <v>13170</v>
      </c>
      <c r="B1617" s="513" t="s">
        <v>12769</v>
      </c>
    </row>
    <row r="1618" spans="1:2">
      <c r="A1618" s="513" t="s">
        <v>13171</v>
      </c>
      <c r="B1618" s="513" t="s">
        <v>12737</v>
      </c>
    </row>
    <row r="1619" spans="1:2">
      <c r="A1619" s="513" t="s">
        <v>13172</v>
      </c>
      <c r="B1619" s="513" t="s">
        <v>12739</v>
      </c>
    </row>
    <row r="1620" spans="1:2">
      <c r="A1620" s="513" t="s">
        <v>13173</v>
      </c>
      <c r="B1620" s="513" t="s">
        <v>12741</v>
      </c>
    </row>
    <row r="1621" spans="1:2">
      <c r="A1621" s="513" t="s">
        <v>13174</v>
      </c>
      <c r="B1621" s="513" t="s">
        <v>12743</v>
      </c>
    </row>
    <row r="1622" spans="1:2">
      <c r="A1622" s="513" t="s">
        <v>13175</v>
      </c>
      <c r="B1622" s="513" t="s">
        <v>12775</v>
      </c>
    </row>
    <row r="1623" spans="1:2">
      <c r="A1623" s="513" t="s">
        <v>13176</v>
      </c>
      <c r="B1623" s="513" t="s">
        <v>12737</v>
      </c>
    </row>
    <row r="1624" spans="1:2">
      <c r="A1624" s="513" t="s">
        <v>13177</v>
      </c>
      <c r="B1624" s="513" t="s">
        <v>12739</v>
      </c>
    </row>
    <row r="1625" spans="1:2">
      <c r="A1625" s="513" t="s">
        <v>13178</v>
      </c>
      <c r="B1625" s="513" t="s">
        <v>12741</v>
      </c>
    </row>
    <row r="1626" spans="1:2">
      <c r="A1626" s="513" t="s">
        <v>13179</v>
      </c>
      <c r="B1626" s="513" t="s">
        <v>12743</v>
      </c>
    </row>
    <row r="1627" spans="1:2">
      <c r="A1627" s="513" t="s">
        <v>13180</v>
      </c>
      <c r="B1627" s="513" t="s">
        <v>12781</v>
      </c>
    </row>
    <row r="1628" spans="1:2">
      <c r="A1628" s="513" t="s">
        <v>13181</v>
      </c>
      <c r="B1628" s="513" t="s">
        <v>12737</v>
      </c>
    </row>
    <row r="1629" spans="1:2">
      <c r="A1629" s="513" t="s">
        <v>13182</v>
      </c>
      <c r="B1629" s="513" t="s">
        <v>12739</v>
      </c>
    </row>
    <row r="1630" spans="1:2">
      <c r="A1630" s="513" t="s">
        <v>13183</v>
      </c>
      <c r="B1630" s="513" t="s">
        <v>12741</v>
      </c>
    </row>
    <row r="1631" spans="1:2">
      <c r="A1631" s="513" t="s">
        <v>13184</v>
      </c>
      <c r="B1631" s="513" t="s">
        <v>12743</v>
      </c>
    </row>
    <row r="1632" spans="1:2">
      <c r="A1632" s="513" t="s">
        <v>13185</v>
      </c>
      <c r="B1632" s="513" t="s">
        <v>12787</v>
      </c>
    </row>
    <row r="1633" spans="1:2">
      <c r="A1633" s="513" t="s">
        <v>13186</v>
      </c>
      <c r="B1633" s="513" t="s">
        <v>12737</v>
      </c>
    </row>
    <row r="1634" spans="1:2">
      <c r="A1634" s="513" t="s">
        <v>13187</v>
      </c>
      <c r="B1634" s="513" t="s">
        <v>12739</v>
      </c>
    </row>
    <row r="1635" spans="1:2">
      <c r="A1635" s="513" t="s">
        <v>13188</v>
      </c>
      <c r="B1635" s="513" t="s">
        <v>12741</v>
      </c>
    </row>
    <row r="1636" spans="1:2">
      <c r="A1636" s="513" t="s">
        <v>13189</v>
      </c>
      <c r="B1636" s="513" t="s">
        <v>12743</v>
      </c>
    </row>
    <row r="1637" spans="1:2">
      <c r="A1637" s="513" t="s">
        <v>13190</v>
      </c>
      <c r="B1637" s="513" t="s">
        <v>12793</v>
      </c>
    </row>
    <row r="1638" spans="1:2">
      <c r="A1638" s="513" t="s">
        <v>13191</v>
      </c>
      <c r="B1638" s="513" t="s">
        <v>12737</v>
      </c>
    </row>
    <row r="1639" spans="1:2">
      <c r="A1639" s="513" t="s">
        <v>13192</v>
      </c>
      <c r="B1639" s="513" t="s">
        <v>12739</v>
      </c>
    </row>
    <row r="1640" spans="1:2">
      <c r="A1640" s="513" t="s">
        <v>13193</v>
      </c>
      <c r="B1640" s="513" t="s">
        <v>12741</v>
      </c>
    </row>
    <row r="1641" spans="1:2">
      <c r="A1641" s="513" t="s">
        <v>13194</v>
      </c>
      <c r="B1641" s="513" t="s">
        <v>12743</v>
      </c>
    </row>
    <row r="1642" spans="1:2">
      <c r="A1642" s="513" t="s">
        <v>13195</v>
      </c>
      <c r="B1642" s="513" t="s">
        <v>12799</v>
      </c>
    </row>
    <row r="1643" spans="1:2">
      <c r="A1643" s="513" t="s">
        <v>13196</v>
      </c>
      <c r="B1643" s="513" t="s">
        <v>12737</v>
      </c>
    </row>
    <row r="1644" spans="1:2">
      <c r="A1644" s="513" t="s">
        <v>13197</v>
      </c>
      <c r="B1644" s="513" t="s">
        <v>12739</v>
      </c>
    </row>
    <row r="1645" spans="1:2">
      <c r="A1645" s="513" t="s">
        <v>13198</v>
      </c>
      <c r="B1645" s="513" t="s">
        <v>12741</v>
      </c>
    </row>
    <row r="1646" spans="1:2">
      <c r="A1646" s="513" t="s">
        <v>13199</v>
      </c>
      <c r="B1646" s="513" t="s">
        <v>12743</v>
      </c>
    </row>
    <row r="1647" spans="1:2">
      <c r="A1647" s="513" t="s">
        <v>13200</v>
      </c>
      <c r="B1647" s="513" t="s">
        <v>12805</v>
      </c>
    </row>
    <row r="1648" spans="1:2">
      <c r="A1648" s="513" t="s">
        <v>13201</v>
      </c>
      <c r="B1648" s="513" t="s">
        <v>12737</v>
      </c>
    </row>
    <row r="1649" spans="1:2">
      <c r="A1649" s="513" t="s">
        <v>13202</v>
      </c>
      <c r="B1649" s="513" t="s">
        <v>12739</v>
      </c>
    </row>
    <row r="1650" spans="1:2">
      <c r="A1650" s="513" t="s">
        <v>13203</v>
      </c>
      <c r="B1650" s="513" t="s">
        <v>12741</v>
      </c>
    </row>
    <row r="1651" spans="1:2">
      <c r="A1651" s="513" t="s">
        <v>13204</v>
      </c>
      <c r="B1651" s="513" t="s">
        <v>12743</v>
      </c>
    </row>
    <row r="1652" spans="1:2">
      <c r="A1652" s="513" t="s">
        <v>13205</v>
      </c>
      <c r="B1652" s="513" t="s">
        <v>12745</v>
      </c>
    </row>
    <row r="1653" spans="1:2">
      <c r="A1653" s="513" t="s">
        <v>13206</v>
      </c>
      <c r="B1653" s="513" t="s">
        <v>12737</v>
      </c>
    </row>
    <row r="1654" spans="1:2">
      <c r="A1654" s="513" t="s">
        <v>13207</v>
      </c>
      <c r="B1654" s="513" t="s">
        <v>12739</v>
      </c>
    </row>
    <row r="1655" spans="1:2">
      <c r="A1655" s="513" t="s">
        <v>13208</v>
      </c>
      <c r="B1655" s="513" t="s">
        <v>12741</v>
      </c>
    </row>
    <row r="1656" spans="1:2">
      <c r="A1656" s="513" t="s">
        <v>13209</v>
      </c>
      <c r="B1656" s="513" t="s">
        <v>12743</v>
      </c>
    </row>
    <row r="1657" spans="1:2">
      <c r="A1657" s="513" t="s">
        <v>13210</v>
      </c>
      <c r="B1657" s="513" t="s">
        <v>12751</v>
      </c>
    </row>
    <row r="1658" spans="1:2">
      <c r="A1658" s="513" t="s">
        <v>13211</v>
      </c>
      <c r="B1658" s="513" t="s">
        <v>12737</v>
      </c>
    </row>
    <row r="1659" spans="1:2">
      <c r="A1659" s="513" t="s">
        <v>13212</v>
      </c>
      <c r="B1659" s="513" t="s">
        <v>12739</v>
      </c>
    </row>
    <row r="1660" spans="1:2">
      <c r="A1660" s="513" t="s">
        <v>13213</v>
      </c>
      <c r="B1660" s="513" t="s">
        <v>12741</v>
      </c>
    </row>
    <row r="1661" spans="1:2">
      <c r="A1661" s="513" t="s">
        <v>13214</v>
      </c>
      <c r="B1661" s="513" t="s">
        <v>12743</v>
      </c>
    </row>
    <row r="1662" spans="1:2">
      <c r="A1662" s="513" t="s">
        <v>13215</v>
      </c>
      <c r="B1662" s="513" t="s">
        <v>12757</v>
      </c>
    </row>
    <row r="1663" spans="1:2">
      <c r="A1663" s="513" t="s">
        <v>13216</v>
      </c>
      <c r="B1663" s="513" t="s">
        <v>12737</v>
      </c>
    </row>
    <row r="1664" spans="1:2">
      <c r="A1664" s="513" t="s">
        <v>13217</v>
      </c>
      <c r="B1664" s="513" t="s">
        <v>12739</v>
      </c>
    </row>
    <row r="1665" spans="1:2">
      <c r="A1665" s="513" t="s">
        <v>13218</v>
      </c>
      <c r="B1665" s="513" t="s">
        <v>12741</v>
      </c>
    </row>
    <row r="1666" spans="1:2">
      <c r="A1666" s="513" t="s">
        <v>13219</v>
      </c>
      <c r="B1666" s="513" t="s">
        <v>12743</v>
      </c>
    </row>
    <row r="1667" spans="1:2">
      <c r="A1667" s="513" t="s">
        <v>13220</v>
      </c>
      <c r="B1667" s="513" t="s">
        <v>12763</v>
      </c>
    </row>
    <row r="1668" spans="1:2">
      <c r="A1668" s="513" t="s">
        <v>13221</v>
      </c>
      <c r="B1668" s="513" t="s">
        <v>12737</v>
      </c>
    </row>
    <row r="1669" spans="1:2">
      <c r="A1669" s="513" t="s">
        <v>13222</v>
      </c>
      <c r="B1669" s="513" t="s">
        <v>12739</v>
      </c>
    </row>
    <row r="1670" spans="1:2">
      <c r="A1670" s="513" t="s">
        <v>13223</v>
      </c>
      <c r="B1670" s="513" t="s">
        <v>12741</v>
      </c>
    </row>
    <row r="1671" spans="1:2">
      <c r="A1671" s="513" t="s">
        <v>13224</v>
      </c>
      <c r="B1671" s="513" t="s">
        <v>12743</v>
      </c>
    </row>
    <row r="1672" spans="1:2">
      <c r="A1672" s="513" t="s">
        <v>13225</v>
      </c>
      <c r="B1672" s="513" t="s">
        <v>12769</v>
      </c>
    </row>
    <row r="1673" spans="1:2">
      <c r="A1673" s="513" t="s">
        <v>13226</v>
      </c>
      <c r="B1673" s="513" t="s">
        <v>12737</v>
      </c>
    </row>
    <row r="1674" spans="1:2">
      <c r="A1674" s="513" t="s">
        <v>13227</v>
      </c>
      <c r="B1674" s="513" t="s">
        <v>12739</v>
      </c>
    </row>
    <row r="1675" spans="1:2">
      <c r="A1675" s="513" t="s">
        <v>13228</v>
      </c>
      <c r="B1675" s="513" t="s">
        <v>12741</v>
      </c>
    </row>
    <row r="1676" spans="1:2">
      <c r="A1676" s="513" t="s">
        <v>13229</v>
      </c>
      <c r="B1676" s="513" t="s">
        <v>12743</v>
      </c>
    </row>
    <row r="1677" spans="1:2">
      <c r="A1677" s="513" t="s">
        <v>13230</v>
      </c>
      <c r="B1677" s="513" t="s">
        <v>12775</v>
      </c>
    </row>
    <row r="1678" spans="1:2">
      <c r="A1678" s="513" t="s">
        <v>13231</v>
      </c>
      <c r="B1678" s="513" t="s">
        <v>12737</v>
      </c>
    </row>
    <row r="1679" spans="1:2">
      <c r="A1679" s="513" t="s">
        <v>13232</v>
      </c>
      <c r="B1679" s="513" t="s">
        <v>12739</v>
      </c>
    </row>
    <row r="1680" spans="1:2">
      <c r="A1680" s="513" t="s">
        <v>13233</v>
      </c>
      <c r="B1680" s="513" t="s">
        <v>12741</v>
      </c>
    </row>
    <row r="1681" spans="1:2">
      <c r="A1681" s="513" t="s">
        <v>13234</v>
      </c>
      <c r="B1681" s="513" t="s">
        <v>12743</v>
      </c>
    </row>
    <row r="1682" spans="1:2">
      <c r="A1682" s="513" t="s">
        <v>13235</v>
      </c>
      <c r="B1682" s="513" t="s">
        <v>12781</v>
      </c>
    </row>
    <row r="1683" spans="1:2">
      <c r="A1683" s="513" t="s">
        <v>13236</v>
      </c>
      <c r="B1683" s="513" t="s">
        <v>12737</v>
      </c>
    </row>
    <row r="1684" spans="1:2">
      <c r="A1684" s="513" t="s">
        <v>13237</v>
      </c>
      <c r="B1684" s="513" t="s">
        <v>12739</v>
      </c>
    </row>
    <row r="1685" spans="1:2">
      <c r="A1685" s="513" t="s">
        <v>13238</v>
      </c>
      <c r="B1685" s="513" t="s">
        <v>12741</v>
      </c>
    </row>
    <row r="1686" spans="1:2">
      <c r="A1686" s="513" t="s">
        <v>13239</v>
      </c>
      <c r="B1686" s="513" t="s">
        <v>12743</v>
      </c>
    </row>
    <row r="1687" spans="1:2">
      <c r="A1687" s="513" t="s">
        <v>13240</v>
      </c>
      <c r="B1687" s="513" t="s">
        <v>12787</v>
      </c>
    </row>
    <row r="1688" spans="1:2">
      <c r="A1688" s="513" t="s">
        <v>13241</v>
      </c>
      <c r="B1688" s="513" t="s">
        <v>12737</v>
      </c>
    </row>
    <row r="1689" spans="1:2">
      <c r="A1689" s="513" t="s">
        <v>13242</v>
      </c>
      <c r="B1689" s="513" t="s">
        <v>12739</v>
      </c>
    </row>
    <row r="1690" spans="1:2">
      <c r="A1690" s="513" t="s">
        <v>13243</v>
      </c>
      <c r="B1690" s="513" t="s">
        <v>12741</v>
      </c>
    </row>
    <row r="1691" spans="1:2">
      <c r="A1691" s="513" t="s">
        <v>13340</v>
      </c>
      <c r="B1691" s="513" t="s">
        <v>11910</v>
      </c>
    </row>
    <row r="1692" spans="1:2">
      <c r="A1692" s="513" t="s">
        <v>13244</v>
      </c>
      <c r="B1692" s="513" t="s">
        <v>12743</v>
      </c>
    </row>
    <row r="1693" spans="1:2">
      <c r="A1693" s="513" t="s">
        <v>13245</v>
      </c>
      <c r="B1693" s="513" t="s">
        <v>12793</v>
      </c>
    </row>
    <row r="1694" spans="1:2">
      <c r="A1694" s="513" t="s">
        <v>13246</v>
      </c>
      <c r="B1694" s="513" t="s">
        <v>12737</v>
      </c>
    </row>
    <row r="1695" spans="1:2">
      <c r="A1695" s="513" t="s">
        <v>13247</v>
      </c>
      <c r="B1695" s="513" t="s">
        <v>12739</v>
      </c>
    </row>
    <row r="1696" spans="1:2">
      <c r="A1696" s="513" t="s">
        <v>13248</v>
      </c>
      <c r="B1696" s="513" t="s">
        <v>12741</v>
      </c>
    </row>
    <row r="1697" spans="1:2">
      <c r="A1697" s="513" t="s">
        <v>13249</v>
      </c>
      <c r="B1697" s="513" t="s">
        <v>12743</v>
      </c>
    </row>
    <row r="1698" spans="1:2">
      <c r="A1698" s="513" t="s">
        <v>13250</v>
      </c>
      <c r="B1698" s="513" t="s">
        <v>12799</v>
      </c>
    </row>
    <row r="1699" spans="1:2">
      <c r="A1699" s="513" t="s">
        <v>13251</v>
      </c>
      <c r="B1699" s="513" t="s">
        <v>12737</v>
      </c>
    </row>
    <row r="1700" spans="1:2">
      <c r="A1700" s="513" t="s">
        <v>13252</v>
      </c>
      <c r="B1700" s="513" t="s">
        <v>12739</v>
      </c>
    </row>
    <row r="1701" spans="1:2">
      <c r="A1701" s="513" t="s">
        <v>13253</v>
      </c>
      <c r="B1701" s="513" t="s">
        <v>12741</v>
      </c>
    </row>
    <row r="1702" spans="1:2">
      <c r="A1702" s="513" t="s">
        <v>13254</v>
      </c>
      <c r="B1702" s="513" t="s">
        <v>12743</v>
      </c>
    </row>
    <row r="1703" spans="1:2">
      <c r="A1703" s="513" t="s">
        <v>13255</v>
      </c>
      <c r="B1703" s="513" t="s">
        <v>12805</v>
      </c>
    </row>
    <row r="1704" spans="1:2">
      <c r="A1704" s="513" t="s">
        <v>13256</v>
      </c>
      <c r="B1704" s="513" t="s">
        <v>12737</v>
      </c>
    </row>
    <row r="1705" spans="1:2">
      <c r="A1705" s="513" t="s">
        <v>13257</v>
      </c>
      <c r="B1705" s="513" t="s">
        <v>12739</v>
      </c>
    </row>
    <row r="1706" spans="1:2">
      <c r="A1706" s="513" t="s">
        <v>13258</v>
      </c>
      <c r="B1706" s="513" t="s">
        <v>12741</v>
      </c>
    </row>
    <row r="1707" spans="1:2">
      <c r="A1707" s="513" t="s">
        <v>13259</v>
      </c>
      <c r="B1707" s="513" t="s">
        <v>12743</v>
      </c>
    </row>
    <row r="1708" spans="1:2">
      <c r="A1708" s="513" t="s">
        <v>13260</v>
      </c>
      <c r="B1708" s="513" t="s">
        <v>12745</v>
      </c>
    </row>
    <row r="1709" spans="1:2">
      <c r="A1709" s="513" t="s">
        <v>13261</v>
      </c>
      <c r="B1709" s="513" t="s">
        <v>12737</v>
      </c>
    </row>
    <row r="1710" spans="1:2">
      <c r="A1710" s="513" t="s">
        <v>13262</v>
      </c>
      <c r="B1710" s="513" t="s">
        <v>12739</v>
      </c>
    </row>
    <row r="1711" spans="1:2">
      <c r="A1711" s="513" t="s">
        <v>13263</v>
      </c>
      <c r="B1711" s="513" t="s">
        <v>12741</v>
      </c>
    </row>
    <row r="1712" spans="1:2">
      <c r="A1712" s="513" t="s">
        <v>13264</v>
      </c>
      <c r="B1712" s="513" t="s">
        <v>12743</v>
      </c>
    </row>
    <row r="1713" spans="1:2">
      <c r="A1713" s="513" t="s">
        <v>13265</v>
      </c>
      <c r="B1713" s="513" t="s">
        <v>12751</v>
      </c>
    </row>
    <row r="1714" spans="1:2">
      <c r="A1714" s="513" t="s">
        <v>13266</v>
      </c>
      <c r="B1714" s="513" t="s">
        <v>12737</v>
      </c>
    </row>
    <row r="1715" spans="1:2">
      <c r="A1715" s="513" t="s">
        <v>13267</v>
      </c>
      <c r="B1715" s="513" t="s">
        <v>12739</v>
      </c>
    </row>
    <row r="1716" spans="1:2">
      <c r="A1716" s="513" t="s">
        <v>13268</v>
      </c>
      <c r="B1716" s="513" t="s">
        <v>12741</v>
      </c>
    </row>
    <row r="1717" spans="1:2">
      <c r="A1717" s="513" t="s">
        <v>13269</v>
      </c>
      <c r="B1717" s="513" t="s">
        <v>12743</v>
      </c>
    </row>
    <row r="1718" spans="1:2">
      <c r="A1718" s="513" t="s">
        <v>13270</v>
      </c>
      <c r="B1718" s="513" t="s">
        <v>12757</v>
      </c>
    </row>
    <row r="1719" spans="1:2">
      <c r="A1719" s="513" t="s">
        <v>13271</v>
      </c>
      <c r="B1719" s="513" t="s">
        <v>12737</v>
      </c>
    </row>
    <row r="1720" spans="1:2">
      <c r="A1720" s="513" t="s">
        <v>13272</v>
      </c>
      <c r="B1720" s="513" t="s">
        <v>12739</v>
      </c>
    </row>
    <row r="1721" spans="1:2">
      <c r="A1721" s="513" t="s">
        <v>13273</v>
      </c>
      <c r="B1721" s="513" t="s">
        <v>12741</v>
      </c>
    </row>
    <row r="1722" spans="1:2">
      <c r="A1722" s="513" t="s">
        <v>13274</v>
      </c>
      <c r="B1722" s="513" t="s">
        <v>12743</v>
      </c>
    </row>
    <row r="1723" spans="1:2">
      <c r="A1723" s="513" t="s">
        <v>13275</v>
      </c>
      <c r="B1723" s="513" t="s">
        <v>12763</v>
      </c>
    </row>
    <row r="1724" spans="1:2">
      <c r="A1724" s="513" t="s">
        <v>13276</v>
      </c>
      <c r="B1724" s="513" t="s">
        <v>12737</v>
      </c>
    </row>
    <row r="1725" spans="1:2">
      <c r="A1725" s="513" t="s">
        <v>13277</v>
      </c>
      <c r="B1725" s="513" t="s">
        <v>12739</v>
      </c>
    </row>
    <row r="1726" spans="1:2">
      <c r="A1726" s="513" t="s">
        <v>13278</v>
      </c>
      <c r="B1726" s="513" t="s">
        <v>12741</v>
      </c>
    </row>
    <row r="1727" spans="1:2">
      <c r="A1727" s="513" t="s">
        <v>13279</v>
      </c>
      <c r="B1727" s="513" t="s">
        <v>12743</v>
      </c>
    </row>
    <row r="1728" spans="1:2">
      <c r="A1728" s="513" t="s">
        <v>13280</v>
      </c>
      <c r="B1728" s="513" t="s">
        <v>12769</v>
      </c>
    </row>
    <row r="1729" spans="1:2">
      <c r="A1729" s="513" t="s">
        <v>13281</v>
      </c>
      <c r="B1729" s="513" t="s">
        <v>12737</v>
      </c>
    </row>
    <row r="1730" spans="1:2">
      <c r="A1730" s="513" t="s">
        <v>13282</v>
      </c>
      <c r="B1730" s="513" t="s">
        <v>12739</v>
      </c>
    </row>
    <row r="1731" spans="1:2">
      <c r="A1731" s="513" t="s">
        <v>13283</v>
      </c>
      <c r="B1731" s="513" t="s">
        <v>12741</v>
      </c>
    </row>
    <row r="1732" spans="1:2">
      <c r="A1732" s="513" t="s">
        <v>13284</v>
      </c>
      <c r="B1732" s="513" t="s">
        <v>12743</v>
      </c>
    </row>
    <row r="1733" spans="1:2">
      <c r="A1733" s="513" t="s">
        <v>13285</v>
      </c>
      <c r="B1733" s="513" t="s">
        <v>12775</v>
      </c>
    </row>
    <row r="1734" spans="1:2">
      <c r="A1734" s="513" t="s">
        <v>13286</v>
      </c>
      <c r="B1734" s="513" t="s">
        <v>12737</v>
      </c>
    </row>
    <row r="1735" spans="1:2">
      <c r="A1735" s="513" t="s">
        <v>13287</v>
      </c>
      <c r="B1735" s="513" t="s">
        <v>12739</v>
      </c>
    </row>
    <row r="1736" spans="1:2">
      <c r="A1736" s="513" t="s">
        <v>13288</v>
      </c>
      <c r="B1736" s="513" t="s">
        <v>12741</v>
      </c>
    </row>
    <row r="1737" spans="1:2">
      <c r="A1737" s="513" t="s">
        <v>13289</v>
      </c>
      <c r="B1737" s="513" t="s">
        <v>12743</v>
      </c>
    </row>
    <row r="1738" spans="1:2">
      <c r="A1738" s="513" t="s">
        <v>13290</v>
      </c>
      <c r="B1738" s="513" t="s">
        <v>12781</v>
      </c>
    </row>
    <row r="1739" spans="1:2">
      <c r="A1739" s="513" t="s">
        <v>13291</v>
      </c>
      <c r="B1739" s="513" t="s">
        <v>12737</v>
      </c>
    </row>
    <row r="1740" spans="1:2">
      <c r="A1740" s="513" t="s">
        <v>13292</v>
      </c>
      <c r="B1740" s="513" t="s">
        <v>12739</v>
      </c>
    </row>
    <row r="1741" spans="1:2">
      <c r="A1741" s="513" t="s">
        <v>13293</v>
      </c>
      <c r="B1741" s="513" t="s">
        <v>12741</v>
      </c>
    </row>
    <row r="1742" spans="1:2">
      <c r="A1742" s="513" t="s">
        <v>13294</v>
      </c>
      <c r="B1742" s="513" t="s">
        <v>12743</v>
      </c>
    </row>
    <row r="1743" spans="1:2">
      <c r="A1743" s="513" t="s">
        <v>13295</v>
      </c>
      <c r="B1743" s="513" t="s">
        <v>12787</v>
      </c>
    </row>
    <row r="1744" spans="1:2">
      <c r="A1744" s="513" t="s">
        <v>13296</v>
      </c>
      <c r="B1744" s="513" t="s">
        <v>12737</v>
      </c>
    </row>
    <row r="1745" spans="1:2">
      <c r="A1745" s="513" t="s">
        <v>13297</v>
      </c>
      <c r="B1745" s="513" t="s">
        <v>12739</v>
      </c>
    </row>
    <row r="1746" spans="1:2">
      <c r="A1746" s="513" t="s">
        <v>13298</v>
      </c>
      <c r="B1746" s="513" t="s">
        <v>12741</v>
      </c>
    </row>
    <row r="1747" spans="1:2">
      <c r="A1747" s="513" t="s">
        <v>13299</v>
      </c>
      <c r="B1747" s="513" t="s">
        <v>12743</v>
      </c>
    </row>
    <row r="1748" spans="1:2">
      <c r="A1748" s="513" t="s">
        <v>13300</v>
      </c>
      <c r="B1748" s="513" t="s">
        <v>12793</v>
      </c>
    </row>
    <row r="1749" spans="1:2">
      <c r="A1749" s="513" t="s">
        <v>13301</v>
      </c>
      <c r="B1749" s="513" t="s">
        <v>12737</v>
      </c>
    </row>
    <row r="1750" spans="1:2">
      <c r="A1750" s="513" t="s">
        <v>13302</v>
      </c>
      <c r="B1750" s="513" t="s">
        <v>12739</v>
      </c>
    </row>
    <row r="1751" spans="1:2">
      <c r="A1751" s="513" t="s">
        <v>13303</v>
      </c>
      <c r="B1751" s="513" t="s">
        <v>12741</v>
      </c>
    </row>
    <row r="1752" spans="1:2">
      <c r="A1752" s="513" t="s">
        <v>13304</v>
      </c>
      <c r="B1752" s="513" t="s">
        <v>12743</v>
      </c>
    </row>
    <row r="1753" spans="1:2">
      <c r="A1753" s="513" t="s">
        <v>13305</v>
      </c>
      <c r="B1753" s="513" t="s">
        <v>12799</v>
      </c>
    </row>
    <row r="1754" spans="1:2">
      <c r="A1754" s="513" t="s">
        <v>13306</v>
      </c>
      <c r="B1754" s="513" t="s">
        <v>12737</v>
      </c>
    </row>
    <row r="1755" spans="1:2">
      <c r="A1755" s="513" t="s">
        <v>13307</v>
      </c>
      <c r="B1755" s="513" t="s">
        <v>12739</v>
      </c>
    </row>
    <row r="1756" spans="1:2">
      <c r="A1756" s="513" t="s">
        <v>13308</v>
      </c>
      <c r="B1756" s="513" t="s">
        <v>12741</v>
      </c>
    </row>
    <row r="1757" spans="1:2">
      <c r="A1757" s="513" t="s">
        <v>13309</v>
      </c>
      <c r="B1757" s="513" t="s">
        <v>12743</v>
      </c>
    </row>
    <row r="1758" spans="1:2">
      <c r="A1758" s="513" t="s">
        <v>13310</v>
      </c>
      <c r="B1758" s="513" t="s">
        <v>12805</v>
      </c>
    </row>
    <row r="1759" spans="1:2">
      <c r="A1759" s="513" t="s">
        <v>13311</v>
      </c>
      <c r="B1759" s="513" t="s">
        <v>13027</v>
      </c>
    </row>
    <row r="1760" spans="1:2">
      <c r="A1760" s="513" t="s">
        <v>13312</v>
      </c>
      <c r="B1760" s="513" t="s">
        <v>13029</v>
      </c>
    </row>
    <row r="1761" spans="1:2">
      <c r="A1761" s="513" t="s">
        <v>13313</v>
      </c>
      <c r="B1761" s="513" t="s">
        <v>13031</v>
      </c>
    </row>
    <row r="1762" spans="1:2">
      <c r="A1762" s="513" t="s">
        <v>13314</v>
      </c>
      <c r="B1762" s="513" t="s">
        <v>13033</v>
      </c>
    </row>
    <row r="1763" spans="1:2">
      <c r="A1763" s="513" t="s">
        <v>13315</v>
      </c>
      <c r="B1763" s="513" t="s">
        <v>13035</v>
      </c>
    </row>
    <row r="1764" spans="1:2">
      <c r="A1764" s="513" t="s">
        <v>13318</v>
      </c>
      <c r="B1764" s="513" t="s">
        <v>11906</v>
      </c>
    </row>
    <row r="1765" spans="1:2">
      <c r="A1765" s="513" t="s">
        <v>12578</v>
      </c>
      <c r="B1765" s="513" t="s">
        <v>12390</v>
      </c>
    </row>
    <row r="1766" spans="1:2">
      <c r="A1766" s="513" t="s">
        <v>13320</v>
      </c>
      <c r="B1766" s="513" t="s">
        <v>11910</v>
      </c>
    </row>
    <row r="1767" spans="1:2">
      <c r="A1767" s="513" t="s">
        <v>13321</v>
      </c>
      <c r="B1767" s="513" t="s">
        <v>13322</v>
      </c>
    </row>
    <row r="1768" spans="1:2">
      <c r="A1768" s="513" t="s">
        <v>13323</v>
      </c>
      <c r="B1768" s="513" t="s">
        <v>11906</v>
      </c>
    </row>
    <row r="1769" spans="1:2">
      <c r="A1769" s="513" t="s">
        <v>12579</v>
      </c>
      <c r="B1769" s="513" t="s">
        <v>12392</v>
      </c>
    </row>
    <row r="1770" spans="1:2">
      <c r="A1770" s="513" t="s">
        <v>13325</v>
      </c>
      <c r="B1770" s="513" t="s">
        <v>11910</v>
      </c>
    </row>
    <row r="1771" spans="1:2">
      <c r="A1771" s="513" t="s">
        <v>13326</v>
      </c>
      <c r="B1771" s="513" t="s">
        <v>13327</v>
      </c>
    </row>
    <row r="1772" spans="1:2">
      <c r="A1772" s="513" t="s">
        <v>13328</v>
      </c>
      <c r="B1772" s="513" t="s">
        <v>11906</v>
      </c>
    </row>
    <row r="1773" spans="1:2">
      <c r="A1773" s="513" t="s">
        <v>12580</v>
      </c>
      <c r="B1773" s="513" t="s">
        <v>12394</v>
      </c>
    </row>
    <row r="1774" spans="1:2">
      <c r="A1774" s="513" t="s">
        <v>13330</v>
      </c>
      <c r="B1774" s="513" t="s">
        <v>11910</v>
      </c>
    </row>
    <row r="1775" spans="1:2">
      <c r="A1775" s="513" t="s">
        <v>13331</v>
      </c>
      <c r="B1775" s="513" t="s">
        <v>13332</v>
      </c>
    </row>
    <row r="1776" spans="1:2">
      <c r="A1776" s="513" t="s">
        <v>12581</v>
      </c>
      <c r="B1776" s="513" t="s">
        <v>12396</v>
      </c>
    </row>
    <row r="1777" spans="1:2">
      <c r="A1777" s="513" t="s">
        <v>13335</v>
      </c>
      <c r="B1777" s="513" t="s">
        <v>11910</v>
      </c>
    </row>
    <row r="1778" spans="1:2">
      <c r="A1778" s="513" t="s">
        <v>13336</v>
      </c>
      <c r="B1778" s="513" t="s">
        <v>13337</v>
      </c>
    </row>
    <row r="1779" spans="1:2">
      <c r="A1779" s="513" t="s">
        <v>13338</v>
      </c>
      <c r="B1779" s="513" t="s">
        <v>11906</v>
      </c>
    </row>
    <row r="1780" spans="1:2">
      <c r="A1780" s="513" t="s">
        <v>13577</v>
      </c>
      <c r="B1780" s="513" t="s">
        <v>11906</v>
      </c>
    </row>
    <row r="1781" spans="1:2">
      <c r="A1781" s="513" t="s">
        <v>12582</v>
      </c>
      <c r="B1781" s="513" t="s">
        <v>12398</v>
      </c>
    </row>
    <row r="1782" spans="1:2">
      <c r="A1782" s="513" t="s">
        <v>13579</v>
      </c>
      <c r="B1782" s="513" t="s">
        <v>11910</v>
      </c>
    </row>
    <row r="1783" spans="1:2">
      <c r="A1783" s="513" t="s">
        <v>13580</v>
      </c>
      <c r="B1783" s="513" t="s">
        <v>13031</v>
      </c>
    </row>
    <row r="1784" spans="1:2">
      <c r="A1784" s="513" t="s">
        <v>13581</v>
      </c>
      <c r="B1784" s="513" t="s">
        <v>11906</v>
      </c>
    </row>
    <row r="1785" spans="1:2">
      <c r="A1785" s="513" t="s">
        <v>12583</v>
      </c>
      <c r="B1785" s="513" t="s">
        <v>12400</v>
      </c>
    </row>
    <row r="1786" spans="1:2">
      <c r="A1786" s="513" t="s">
        <v>13583</v>
      </c>
      <c r="B1786" s="513" t="s">
        <v>11910</v>
      </c>
    </row>
    <row r="1787" spans="1:2">
      <c r="A1787" s="513" t="s">
        <v>13584</v>
      </c>
      <c r="B1787" s="513" t="s">
        <v>13585</v>
      </c>
    </row>
    <row r="1788" spans="1:2">
      <c r="A1788" s="513" t="s">
        <v>12584</v>
      </c>
      <c r="B1788" s="513" t="s">
        <v>12402</v>
      </c>
    </row>
    <row r="1789" spans="1:2">
      <c r="A1789" s="513" t="s">
        <v>12585</v>
      </c>
      <c r="B1789" s="513" t="s">
        <v>12404</v>
      </c>
    </row>
    <row r="1790" spans="1:2">
      <c r="A1790" s="513" t="s">
        <v>13588</v>
      </c>
      <c r="B1790" s="513" t="s">
        <v>11910</v>
      </c>
    </row>
    <row r="1791" spans="1:2">
      <c r="A1791" s="513" t="s">
        <v>13589</v>
      </c>
      <c r="B1791" s="513" t="s">
        <v>13035</v>
      </c>
    </row>
    <row r="1792" spans="1:2">
      <c r="A1792" s="513" t="s">
        <v>12586</v>
      </c>
      <c r="B1792" s="513" t="s">
        <v>12406</v>
      </c>
    </row>
    <row r="1793" spans="1:2">
      <c r="A1793" s="513" t="s">
        <v>13592</v>
      </c>
      <c r="B1793" s="513" t="s">
        <v>11910</v>
      </c>
    </row>
    <row r="1794" spans="1:2">
      <c r="A1794" s="513" t="s">
        <v>13593</v>
      </c>
      <c r="B1794" s="513" t="s">
        <v>13031</v>
      </c>
    </row>
    <row r="1795" spans="1:2">
      <c r="A1795" s="513" t="s">
        <v>13594</v>
      </c>
      <c r="B1795" s="513" t="s">
        <v>11906</v>
      </c>
    </row>
    <row r="1796" spans="1:2">
      <c r="A1796" s="513" t="s">
        <v>12587</v>
      </c>
      <c r="B1796" s="513" t="s">
        <v>12408</v>
      </c>
    </row>
    <row r="1797" spans="1:2">
      <c r="A1797" s="513" t="s">
        <v>13596</v>
      </c>
      <c r="B1797" s="513" t="s">
        <v>11910</v>
      </c>
    </row>
    <row r="1798" spans="1:2">
      <c r="A1798" s="513" t="s">
        <v>13597</v>
      </c>
      <c r="B1798" s="513" t="s">
        <v>13585</v>
      </c>
    </row>
    <row r="1799" spans="1:2">
      <c r="A1799" s="513" t="s">
        <v>12588</v>
      </c>
      <c r="B1799" s="513" t="s">
        <v>12410</v>
      </c>
    </row>
    <row r="1800" spans="1:2">
      <c r="A1800" s="513" t="s">
        <v>13600</v>
      </c>
      <c r="B1800" s="513" t="s">
        <v>11910</v>
      </c>
    </row>
    <row r="1801" spans="1:2">
      <c r="A1801" s="513" t="s">
        <v>13601</v>
      </c>
      <c r="B1801" s="513" t="s">
        <v>13035</v>
      </c>
    </row>
    <row r="1802" spans="1:2">
      <c r="A1802" s="513" t="s">
        <v>12589</v>
      </c>
      <c r="B1802" s="513" t="s">
        <v>12412</v>
      </c>
    </row>
    <row r="1803" spans="1:2">
      <c r="A1803" s="513" t="s">
        <v>12590</v>
      </c>
      <c r="B1803" s="513" t="s">
        <v>12414</v>
      </c>
    </row>
    <row r="1804" spans="1:2">
      <c r="A1804" s="513" t="s">
        <v>13604</v>
      </c>
      <c r="B1804" s="513" t="s">
        <v>11910</v>
      </c>
    </row>
    <row r="1805" spans="1:2">
      <c r="A1805" s="513" t="s">
        <v>13605</v>
      </c>
      <c r="B1805" s="513" t="s">
        <v>13031</v>
      </c>
    </row>
    <row r="1806" spans="1:2">
      <c r="A1806" s="513" t="s">
        <v>12591</v>
      </c>
      <c r="B1806" s="513" t="s">
        <v>12416</v>
      </c>
    </row>
    <row r="1807" spans="1:2">
      <c r="A1807" s="513" t="s">
        <v>12592</v>
      </c>
      <c r="B1807" s="513" t="s">
        <v>12418</v>
      </c>
    </row>
    <row r="1808" spans="1:2">
      <c r="A1808" s="513" t="s">
        <v>13608</v>
      </c>
      <c r="B1808" s="513" t="s">
        <v>11910</v>
      </c>
    </row>
    <row r="1809" spans="1:2">
      <c r="A1809" s="513" t="s">
        <v>13609</v>
      </c>
      <c r="B1809" s="513" t="s">
        <v>13585</v>
      </c>
    </row>
    <row r="1810" spans="1:2">
      <c r="A1810" s="513" t="s">
        <v>12593</v>
      </c>
      <c r="B1810" s="513" t="s">
        <v>12420</v>
      </c>
    </row>
    <row r="1811" spans="1:2">
      <c r="A1811" s="513" t="s">
        <v>13612</v>
      </c>
      <c r="B1811" s="513" t="s">
        <v>11910</v>
      </c>
    </row>
    <row r="1812" spans="1:2">
      <c r="A1812" s="513" t="s">
        <v>13613</v>
      </c>
      <c r="B1812" s="513" t="s">
        <v>13614</v>
      </c>
    </row>
    <row r="1813" spans="1:2">
      <c r="A1813" s="513" t="s">
        <v>13616</v>
      </c>
      <c r="B1813" s="513" t="s">
        <v>11906</v>
      </c>
    </row>
    <row r="1814" spans="1:2">
      <c r="A1814" s="513" t="s">
        <v>13617</v>
      </c>
      <c r="B1814" s="513" t="s">
        <v>11908</v>
      </c>
    </row>
    <row r="1815" spans="1:2">
      <c r="A1815" s="513" t="s">
        <v>13618</v>
      </c>
      <c r="B1815" s="513" t="s">
        <v>11910</v>
      </c>
    </row>
    <row r="1816" spans="1:2">
      <c r="A1816" s="513" t="s">
        <v>13620</v>
      </c>
      <c r="B1816" s="513" t="s">
        <v>13585</v>
      </c>
    </row>
    <row r="1817" spans="1:2">
      <c r="A1817" s="513" t="s">
        <v>13621</v>
      </c>
      <c r="B1817" s="513" t="s">
        <v>11906</v>
      </c>
    </row>
    <row r="1818" spans="1:2">
      <c r="A1818" s="513" t="s">
        <v>13622</v>
      </c>
      <c r="B1818" s="513" t="s">
        <v>11908</v>
      </c>
    </row>
    <row r="1819" spans="1:2">
      <c r="A1819" s="513" t="s">
        <v>13623</v>
      </c>
      <c r="B1819" s="513" t="s">
        <v>11910</v>
      </c>
    </row>
    <row r="1820" spans="1:2">
      <c r="A1820" s="513" t="s">
        <v>13625</v>
      </c>
      <c r="B1820" s="513" t="s">
        <v>13031</v>
      </c>
    </row>
    <row r="1821" spans="1:2">
      <c r="A1821" s="513" t="s">
        <v>13626</v>
      </c>
      <c r="B1821" s="513" t="s">
        <v>11906</v>
      </c>
    </row>
    <row r="1822" spans="1:2">
      <c r="A1822" s="513" t="s">
        <v>13627</v>
      </c>
      <c r="B1822" s="513" t="s">
        <v>11908</v>
      </c>
    </row>
    <row r="1823" spans="1:2">
      <c r="A1823" s="513" t="s">
        <v>13628</v>
      </c>
      <c r="B1823" s="513" t="s">
        <v>11910</v>
      </c>
    </row>
    <row r="1824" spans="1:2">
      <c r="A1824" s="513" t="s">
        <v>12598</v>
      </c>
      <c r="B1824" s="513" t="s">
        <v>12429</v>
      </c>
    </row>
    <row r="1825" spans="1:2">
      <c r="A1825" s="513" t="s">
        <v>13630</v>
      </c>
      <c r="B1825" s="513" t="s">
        <v>13631</v>
      </c>
    </row>
    <row r="1826" spans="1:2">
      <c r="A1826" s="513" t="s">
        <v>13632</v>
      </c>
      <c r="B1826" s="513" t="s">
        <v>11906</v>
      </c>
    </row>
    <row r="1827" spans="1:2">
      <c r="A1827" s="513" t="s">
        <v>13633</v>
      </c>
      <c r="B1827" s="513" t="s">
        <v>11908</v>
      </c>
    </row>
    <row r="1828" spans="1:2">
      <c r="A1828" s="513" t="s">
        <v>13634</v>
      </c>
      <c r="B1828" s="513" t="s">
        <v>11910</v>
      </c>
    </row>
    <row r="1829" spans="1:2">
      <c r="A1829" s="513" t="s">
        <v>12599</v>
      </c>
      <c r="B1829" s="513" t="s">
        <v>12431</v>
      </c>
    </row>
    <row r="1830" spans="1:2">
      <c r="A1830" s="513" t="s">
        <v>13636</v>
      </c>
      <c r="B1830" s="513" t="s">
        <v>13637</v>
      </c>
    </row>
    <row r="1831" spans="1:2">
      <c r="A1831" s="513" t="s">
        <v>13638</v>
      </c>
      <c r="B1831" s="513" t="s">
        <v>11906</v>
      </c>
    </row>
    <row r="1832" spans="1:2">
      <c r="A1832" s="513" t="s">
        <v>13639</v>
      </c>
      <c r="B1832" s="513" t="s">
        <v>11908</v>
      </c>
    </row>
    <row r="1833" spans="1:2">
      <c r="A1833" s="513" t="s">
        <v>13640</v>
      </c>
      <c r="B1833" s="513" t="s">
        <v>11910</v>
      </c>
    </row>
    <row r="1834" spans="1:2">
      <c r="A1834" s="513" t="s">
        <v>13642</v>
      </c>
      <c r="B1834" s="513" t="s">
        <v>13035</v>
      </c>
    </row>
    <row r="1835" spans="1:2">
      <c r="A1835" s="513" t="s">
        <v>13680</v>
      </c>
      <c r="B1835" s="513" t="s">
        <v>13672</v>
      </c>
    </row>
    <row r="1836" spans="1:2">
      <c r="A1836" s="513" t="s">
        <v>13845</v>
      </c>
      <c r="B1836" s="513" t="s">
        <v>11906</v>
      </c>
    </row>
    <row r="1837" spans="1:2">
      <c r="A1837" s="513" t="s">
        <v>12594</v>
      </c>
      <c r="B1837" s="513" t="s">
        <v>12422</v>
      </c>
    </row>
    <row r="1838" spans="1:2">
      <c r="A1838" s="513" t="s">
        <v>13847</v>
      </c>
      <c r="B1838" s="513" t="s">
        <v>11910</v>
      </c>
    </row>
    <row r="1839" spans="1:2">
      <c r="A1839" s="513" t="s">
        <v>13848</v>
      </c>
      <c r="B1839" s="513" t="s">
        <v>11942</v>
      </c>
    </row>
    <row r="1840" spans="1:2">
      <c r="A1840" s="513" t="s">
        <v>13849</v>
      </c>
      <c r="B1840" s="513" t="s">
        <v>11906</v>
      </c>
    </row>
    <row r="1841" spans="1:2">
      <c r="A1841" s="513" t="s">
        <v>12595</v>
      </c>
      <c r="B1841" s="513" t="s">
        <v>12424</v>
      </c>
    </row>
    <row r="1842" spans="1:2">
      <c r="A1842" s="513" t="s">
        <v>13851</v>
      </c>
      <c r="B1842" s="513" t="s">
        <v>11910</v>
      </c>
    </row>
    <row r="1843" spans="1:2">
      <c r="A1843" s="513" t="s">
        <v>12596</v>
      </c>
      <c r="B1843" s="513" t="s">
        <v>12426</v>
      </c>
    </row>
    <row r="1844" spans="1:2">
      <c r="A1844" s="513" t="s">
        <v>12597</v>
      </c>
      <c r="B1844" s="513" t="s">
        <v>12426</v>
      </c>
    </row>
    <row r="1845" spans="1:2">
      <c r="A1845" s="513" t="s">
        <v>13852</v>
      </c>
      <c r="B1845" s="513" t="s">
        <v>13452</v>
      </c>
    </row>
    <row r="1846" spans="1:2">
      <c r="A1846" s="513" t="s">
        <v>13853</v>
      </c>
      <c r="B1846" s="513" t="s">
        <v>11906</v>
      </c>
    </row>
    <row r="1847" spans="1:2">
      <c r="A1847" s="513" t="s">
        <v>12640</v>
      </c>
      <c r="B1847" s="513" t="s">
        <v>12394</v>
      </c>
    </row>
    <row r="1848" spans="1:2">
      <c r="A1848" s="513" t="s">
        <v>13855</v>
      </c>
      <c r="B1848" s="513" t="s">
        <v>11910</v>
      </c>
    </row>
    <row r="1849" spans="1:2">
      <c r="A1849" s="513" t="s">
        <v>13856</v>
      </c>
      <c r="B1849" s="513" t="s">
        <v>13857</v>
      </c>
    </row>
    <row r="1850" spans="1:2">
      <c r="A1850" s="513" t="s">
        <v>13858</v>
      </c>
      <c r="B1850" s="513" t="s">
        <v>11906</v>
      </c>
    </row>
    <row r="1851" spans="1:2">
      <c r="A1851" s="513" t="s">
        <v>13860</v>
      </c>
      <c r="B1851" s="513" t="s">
        <v>11910</v>
      </c>
    </row>
    <row r="1852" spans="1:2">
      <c r="A1852" s="513" t="s">
        <v>13861</v>
      </c>
      <c r="B1852" s="513" t="s">
        <v>13862</v>
      </c>
    </row>
    <row r="1853" spans="1:2">
      <c r="A1853" s="513" t="s">
        <v>13863</v>
      </c>
      <c r="B1853" s="513" t="s">
        <v>11906</v>
      </c>
    </row>
    <row r="1854" spans="1:2">
      <c r="A1854" s="513" t="s">
        <v>12600</v>
      </c>
      <c r="B1854" s="513" t="s">
        <v>12433</v>
      </c>
    </row>
    <row r="1855" spans="1:2">
      <c r="A1855" s="513" t="s">
        <v>13865</v>
      </c>
      <c r="B1855" s="513" t="s">
        <v>11910</v>
      </c>
    </row>
    <row r="1856" spans="1:2">
      <c r="A1856" s="513" t="s">
        <v>13866</v>
      </c>
      <c r="B1856" s="513" t="s">
        <v>13867</v>
      </c>
    </row>
    <row r="1857" spans="1:2">
      <c r="A1857" s="513" t="s">
        <v>12601</v>
      </c>
      <c r="B1857" s="513" t="s">
        <v>12435</v>
      </c>
    </row>
    <row r="1858" spans="1:2">
      <c r="A1858" s="513" t="s">
        <v>12602</v>
      </c>
      <c r="B1858" s="513" t="s">
        <v>12437</v>
      </c>
    </row>
    <row r="1859" spans="1:2">
      <c r="A1859" s="513" t="s">
        <v>13870</v>
      </c>
      <c r="B1859" s="513" t="s">
        <v>11910</v>
      </c>
    </row>
    <row r="1860" spans="1:2">
      <c r="A1860" s="513" t="s">
        <v>13871</v>
      </c>
      <c r="B1860" s="513" t="s">
        <v>13763</v>
      </c>
    </row>
    <row r="1861" spans="1:2">
      <c r="A1861" s="513" t="s">
        <v>13877</v>
      </c>
      <c r="B1861" s="513" t="s">
        <v>11764</v>
      </c>
    </row>
    <row r="1862" spans="1:2">
      <c r="A1862" s="513" t="s">
        <v>13878</v>
      </c>
      <c r="B1862" s="513" t="s">
        <v>12168</v>
      </c>
    </row>
    <row r="1863" spans="1:2">
      <c r="A1863" s="513" t="s">
        <v>13879</v>
      </c>
      <c r="B1863" s="513" t="s">
        <v>12171</v>
      </c>
    </row>
    <row r="1864" spans="1:2">
      <c r="A1864" s="513" t="s">
        <v>12603</v>
      </c>
      <c r="B1864" s="513" t="s">
        <v>12439</v>
      </c>
    </row>
    <row r="1865" spans="1:2">
      <c r="A1865" s="513" t="s">
        <v>12604</v>
      </c>
      <c r="B1865" s="513" t="s">
        <v>12441</v>
      </c>
    </row>
    <row r="1866" spans="1:2">
      <c r="A1866" s="513" t="s">
        <v>12605</v>
      </c>
      <c r="B1866" s="513" t="s">
        <v>12443</v>
      </c>
    </row>
    <row r="1867" spans="1:2">
      <c r="A1867" s="513" t="s">
        <v>12606</v>
      </c>
      <c r="B1867" s="513" t="s">
        <v>12443</v>
      </c>
    </row>
    <row r="1868" spans="1:2">
      <c r="A1868" s="513" t="s">
        <v>13903</v>
      </c>
      <c r="B1868" s="513" t="s">
        <v>8320</v>
      </c>
    </row>
    <row r="1869" spans="1:2">
      <c r="A1869" s="513" t="s">
        <v>13904</v>
      </c>
      <c r="B1869" s="513" t="s">
        <v>13905</v>
      </c>
    </row>
    <row r="1870" spans="1:2">
      <c r="A1870" s="513" t="s">
        <v>13906</v>
      </c>
      <c r="B1870" s="513" t="s">
        <v>13907</v>
      </c>
    </row>
    <row r="1871" spans="1:2">
      <c r="A1871" s="513" t="s">
        <v>13908</v>
      </c>
      <c r="B1871" s="513" t="s">
        <v>13909</v>
      </c>
    </row>
    <row r="1872" spans="1:2">
      <c r="A1872" s="513" t="s">
        <v>13910</v>
      </c>
      <c r="B1872" s="513" t="s">
        <v>8373</v>
      </c>
    </row>
    <row r="1873" spans="1:2">
      <c r="A1873" s="513" t="s">
        <v>13911</v>
      </c>
      <c r="B1873" s="513" t="s">
        <v>8320</v>
      </c>
    </row>
    <row r="1874" spans="1:2">
      <c r="A1874" s="513" t="s">
        <v>13912</v>
      </c>
      <c r="B1874" s="513" t="s">
        <v>13905</v>
      </c>
    </row>
    <row r="1875" spans="1:2">
      <c r="A1875" s="513" t="s">
        <v>13913</v>
      </c>
      <c r="B1875" s="513" t="s">
        <v>13907</v>
      </c>
    </row>
    <row r="1876" spans="1:2">
      <c r="A1876" s="513" t="s">
        <v>13914</v>
      </c>
      <c r="B1876" s="513" t="s">
        <v>13909</v>
      </c>
    </row>
    <row r="1877" spans="1:2">
      <c r="A1877" s="513" t="s">
        <v>13915</v>
      </c>
      <c r="B1877" s="513" t="s">
        <v>13893</v>
      </c>
    </row>
    <row r="1878" spans="1:2">
      <c r="A1878" s="513" t="s">
        <v>13916</v>
      </c>
      <c r="B1878" s="513" t="s">
        <v>8320</v>
      </c>
    </row>
    <row r="1879" spans="1:2">
      <c r="A1879" s="513" t="s">
        <v>13917</v>
      </c>
      <c r="B1879" s="513" t="s">
        <v>13905</v>
      </c>
    </row>
    <row r="1880" spans="1:2">
      <c r="A1880" s="513" t="s">
        <v>13918</v>
      </c>
      <c r="B1880" s="513" t="s">
        <v>13907</v>
      </c>
    </row>
    <row r="1881" spans="1:2">
      <c r="A1881" s="513" t="s">
        <v>13919</v>
      </c>
      <c r="B1881" s="513" t="s">
        <v>13909</v>
      </c>
    </row>
    <row r="1882" spans="1:2">
      <c r="A1882" s="513" t="s">
        <v>13920</v>
      </c>
      <c r="B1882" s="513" t="s">
        <v>13895</v>
      </c>
    </row>
    <row r="1883" spans="1:2">
      <c r="A1883" s="513" t="s">
        <v>13921</v>
      </c>
      <c r="B1883" s="513" t="s">
        <v>8320</v>
      </c>
    </row>
    <row r="1884" spans="1:2">
      <c r="A1884" s="513" t="s">
        <v>13922</v>
      </c>
      <c r="B1884" s="513" t="s">
        <v>13905</v>
      </c>
    </row>
    <row r="1885" spans="1:2">
      <c r="A1885" s="513" t="s">
        <v>13923</v>
      </c>
      <c r="B1885" s="513" t="s">
        <v>13907</v>
      </c>
    </row>
    <row r="1886" spans="1:2">
      <c r="A1886" s="513" t="s">
        <v>13924</v>
      </c>
      <c r="B1886" s="513" t="s">
        <v>13909</v>
      </c>
    </row>
    <row r="1887" spans="1:2">
      <c r="A1887" s="513" t="s">
        <v>13925</v>
      </c>
      <c r="B1887" s="513" t="s">
        <v>13897</v>
      </c>
    </row>
    <row r="1888" spans="1:2">
      <c r="A1888" s="513" t="s">
        <v>13926</v>
      </c>
      <c r="B1888" s="513" t="s">
        <v>8320</v>
      </c>
    </row>
    <row r="1889" spans="1:2">
      <c r="A1889" s="513" t="s">
        <v>13927</v>
      </c>
      <c r="B1889" s="513" t="s">
        <v>13905</v>
      </c>
    </row>
    <row r="1890" spans="1:2">
      <c r="A1890" s="513" t="s">
        <v>13928</v>
      </c>
      <c r="B1890" s="513" t="s">
        <v>13907</v>
      </c>
    </row>
    <row r="1891" spans="1:2">
      <c r="A1891" s="513" t="s">
        <v>13929</v>
      </c>
      <c r="B1891" s="513" t="s">
        <v>13909</v>
      </c>
    </row>
    <row r="1892" spans="1:2">
      <c r="A1892" s="513" t="s">
        <v>13930</v>
      </c>
      <c r="B1892" s="513" t="s">
        <v>13899</v>
      </c>
    </row>
    <row r="1893" spans="1:2">
      <c r="A1893" s="513" t="s">
        <v>13931</v>
      </c>
      <c r="B1893" s="513" t="s">
        <v>8320</v>
      </c>
    </row>
    <row r="1894" spans="1:2">
      <c r="A1894" s="513" t="s">
        <v>13932</v>
      </c>
      <c r="B1894" s="513" t="s">
        <v>13905</v>
      </c>
    </row>
    <row r="1895" spans="1:2">
      <c r="A1895" s="513" t="s">
        <v>13933</v>
      </c>
      <c r="B1895" s="513" t="s">
        <v>13907</v>
      </c>
    </row>
    <row r="1896" spans="1:2">
      <c r="A1896" s="513" t="s">
        <v>13934</v>
      </c>
      <c r="B1896" s="513" t="s">
        <v>13909</v>
      </c>
    </row>
    <row r="1897" spans="1:2">
      <c r="A1897" s="513" t="s">
        <v>13935</v>
      </c>
      <c r="B1897" s="513" t="s">
        <v>13901</v>
      </c>
    </row>
    <row r="1898" spans="1:2">
      <c r="A1898" s="513" t="s">
        <v>12607</v>
      </c>
      <c r="B1898" s="513" t="s">
        <v>12351</v>
      </c>
    </row>
    <row r="1899" spans="1:2">
      <c r="A1899" s="513" t="s">
        <v>12608</v>
      </c>
      <c r="B1899" s="513" t="s">
        <v>12353</v>
      </c>
    </row>
    <row r="1900" spans="1:2">
      <c r="A1900" s="513" t="s">
        <v>12609</v>
      </c>
      <c r="B1900" s="513" t="s">
        <v>12355</v>
      </c>
    </row>
    <row r="1901" spans="1:2">
      <c r="A1901" s="513" t="s">
        <v>12610</v>
      </c>
      <c r="B1901" s="513" t="s">
        <v>12357</v>
      </c>
    </row>
    <row r="1902" spans="1:2">
      <c r="A1902" s="513" t="s">
        <v>12611</v>
      </c>
      <c r="B1902" s="513" t="s">
        <v>12359</v>
      </c>
    </row>
    <row r="1903" spans="1:2">
      <c r="A1903" s="513" t="s">
        <v>12612</v>
      </c>
      <c r="B1903" s="513" t="s">
        <v>12359</v>
      </c>
    </row>
    <row r="1904" spans="1:2">
      <c r="A1904" s="513" t="s">
        <v>12613</v>
      </c>
      <c r="B1904" s="513" t="s">
        <v>12452</v>
      </c>
    </row>
    <row r="1905" spans="1:2">
      <c r="A1905" s="513" t="s">
        <v>12614</v>
      </c>
      <c r="B1905" s="513" t="s">
        <v>12454</v>
      </c>
    </row>
    <row r="1906" spans="1:2">
      <c r="A1906" s="513" t="s">
        <v>12615</v>
      </c>
      <c r="B1906" s="513" t="s">
        <v>12456</v>
      </c>
    </row>
    <row r="1907" spans="1:2">
      <c r="A1907" s="513" t="s">
        <v>12616</v>
      </c>
      <c r="B1907" s="513" t="s">
        <v>12458</v>
      </c>
    </row>
    <row r="1908" spans="1:2">
      <c r="A1908" s="513" t="s">
        <v>12617</v>
      </c>
      <c r="B1908" s="513" t="s">
        <v>12460</v>
      </c>
    </row>
    <row r="1909" spans="1:2">
      <c r="A1909" s="513" t="s">
        <v>12618</v>
      </c>
      <c r="B1909" s="513" t="s">
        <v>12462</v>
      </c>
    </row>
    <row r="1910" spans="1:2">
      <c r="A1910" s="513" t="s">
        <v>12619</v>
      </c>
      <c r="B1910" s="513" t="s">
        <v>12464</v>
      </c>
    </row>
    <row r="1911" spans="1:2">
      <c r="A1911" s="513" t="s">
        <v>12620</v>
      </c>
      <c r="B1911" s="513" t="s">
        <v>12466</v>
      </c>
    </row>
    <row r="1912" spans="1:2">
      <c r="A1912" s="513" t="s">
        <v>12621</v>
      </c>
      <c r="B1912" s="513" t="s">
        <v>12466</v>
      </c>
    </row>
    <row r="1913" spans="1:2">
      <c r="A1913" s="513" t="s">
        <v>12622</v>
      </c>
      <c r="B1913" s="513" t="s">
        <v>12362</v>
      </c>
    </row>
    <row r="1914" spans="1:2">
      <c r="A1914" s="513" t="s">
        <v>12623</v>
      </c>
      <c r="B1914" s="513" t="s">
        <v>12364</v>
      </c>
    </row>
    <row r="1915" spans="1:2">
      <c r="A1915" s="513" t="s">
        <v>12624</v>
      </c>
      <c r="B1915" s="513" t="s">
        <v>12366</v>
      </c>
    </row>
    <row r="1916" spans="1:2">
      <c r="A1916" s="513" t="s">
        <v>12625</v>
      </c>
      <c r="B1916" s="513" t="s">
        <v>12366</v>
      </c>
    </row>
    <row r="1917" spans="1:2">
      <c r="A1917" s="513" t="s">
        <v>12626</v>
      </c>
      <c r="B1917" s="513" t="s">
        <v>12473</v>
      </c>
    </row>
    <row r="1918" spans="1:2">
      <c r="A1918" s="513" t="s">
        <v>12627</v>
      </c>
      <c r="B1918" s="513" t="s">
        <v>12475</v>
      </c>
    </row>
    <row r="1919" spans="1:2">
      <c r="A1919" s="513" t="s">
        <v>12628</v>
      </c>
      <c r="B1919" s="513" t="s">
        <v>12373</v>
      </c>
    </row>
    <row r="1920" spans="1:2">
      <c r="A1920" s="513" t="s">
        <v>12629</v>
      </c>
      <c r="B1920" s="513" t="s">
        <v>12373</v>
      </c>
    </row>
    <row r="1921" spans="1:2">
      <c r="A1921" s="513" t="s">
        <v>12630</v>
      </c>
      <c r="B1921" s="513" t="s">
        <v>12376</v>
      </c>
    </row>
    <row r="1922" spans="1:2">
      <c r="A1922" s="513" t="s">
        <v>12631</v>
      </c>
      <c r="B1922" s="513" t="s">
        <v>12378</v>
      </c>
    </row>
    <row r="1923" spans="1:2">
      <c r="A1923" s="513" t="s">
        <v>12632</v>
      </c>
      <c r="B1923" s="513" t="s">
        <v>12380</v>
      </c>
    </row>
    <row r="1924" spans="1:2">
      <c r="A1924" s="513" t="s">
        <v>12633</v>
      </c>
      <c r="B1924" s="513" t="s">
        <v>12380</v>
      </c>
    </row>
    <row r="1925" spans="1:2">
      <c r="A1925" s="513" t="s">
        <v>12634</v>
      </c>
      <c r="B1925" s="513" t="s">
        <v>12483</v>
      </c>
    </row>
    <row r="1926" spans="1:2">
      <c r="A1926" s="513" t="s">
        <v>12635</v>
      </c>
      <c r="B1926" s="513" t="s">
        <v>12485</v>
      </c>
    </row>
    <row r="1927" spans="1:2">
      <c r="A1927" s="513" t="s">
        <v>12636</v>
      </c>
      <c r="B1927" s="513" t="s">
        <v>12485</v>
      </c>
    </row>
    <row r="1928" spans="1:2">
      <c r="A1928" s="513" t="s">
        <v>12637</v>
      </c>
      <c r="B1928" s="513" t="s">
        <v>12388</v>
      </c>
    </row>
    <row r="1929" spans="1:2">
      <c r="A1929" s="513" t="s">
        <v>12638</v>
      </c>
      <c r="B1929" s="513" t="s">
        <v>12390</v>
      </c>
    </row>
    <row r="1930" spans="1:2">
      <c r="A1930" s="513" t="s">
        <v>12639</v>
      </c>
      <c r="B1930" s="513" t="s">
        <v>12392</v>
      </c>
    </row>
    <row r="1931" spans="1:2">
      <c r="A1931" s="513" t="s">
        <v>12641</v>
      </c>
      <c r="B1931" s="513" t="s">
        <v>12396</v>
      </c>
    </row>
    <row r="1932" spans="1:2">
      <c r="A1932" s="513" t="s">
        <v>12642</v>
      </c>
      <c r="B1932" s="513" t="s">
        <v>12398</v>
      </c>
    </row>
    <row r="1933" spans="1:2">
      <c r="A1933" s="513" t="s">
        <v>12643</v>
      </c>
      <c r="B1933" s="513" t="s">
        <v>12400</v>
      </c>
    </row>
    <row r="1934" spans="1:2">
      <c r="A1934" s="513" t="s">
        <v>12644</v>
      </c>
      <c r="B1934" s="513" t="s">
        <v>12402</v>
      </c>
    </row>
    <row r="1935" spans="1:2">
      <c r="A1935" s="513" t="s">
        <v>12645</v>
      </c>
      <c r="B1935" s="513" t="s">
        <v>12404</v>
      </c>
    </row>
    <row r="1936" spans="1:2">
      <c r="A1936" s="513" t="s">
        <v>12646</v>
      </c>
      <c r="B1936" s="513" t="s">
        <v>12406</v>
      </c>
    </row>
    <row r="1937" spans="1:2">
      <c r="A1937" s="513" t="s">
        <v>12647</v>
      </c>
      <c r="B1937" s="513" t="s">
        <v>12408</v>
      </c>
    </row>
    <row r="1938" spans="1:2">
      <c r="A1938" s="513" t="s">
        <v>12648</v>
      </c>
      <c r="B1938" s="513" t="s">
        <v>12410</v>
      </c>
    </row>
    <row r="1939" spans="1:2">
      <c r="A1939" s="513" t="s">
        <v>12649</v>
      </c>
      <c r="B1939" s="513" t="s">
        <v>12412</v>
      </c>
    </row>
    <row r="1940" spans="1:2">
      <c r="A1940" s="513" t="s">
        <v>12650</v>
      </c>
      <c r="B1940" s="513" t="s">
        <v>12414</v>
      </c>
    </row>
    <row r="1941" spans="1:2">
      <c r="A1941" s="513" t="s">
        <v>12651</v>
      </c>
      <c r="B1941" s="513" t="s">
        <v>12416</v>
      </c>
    </row>
    <row r="1942" spans="1:2">
      <c r="A1942" s="513" t="s">
        <v>12652</v>
      </c>
      <c r="B1942" s="513" t="s">
        <v>12418</v>
      </c>
    </row>
    <row r="1943" spans="1:2">
      <c r="A1943" s="513" t="s">
        <v>12653</v>
      </c>
      <c r="B1943" s="513" t="s">
        <v>12420</v>
      </c>
    </row>
    <row r="1944" spans="1:2">
      <c r="A1944" s="513" t="s">
        <v>12654</v>
      </c>
      <c r="B1944" s="513" t="s">
        <v>12422</v>
      </c>
    </row>
    <row r="1945" spans="1:2">
      <c r="A1945" s="513" t="s">
        <v>12655</v>
      </c>
      <c r="B1945" s="513" t="s">
        <v>12424</v>
      </c>
    </row>
    <row r="1946" spans="1:2">
      <c r="A1946" s="513" t="s">
        <v>12656</v>
      </c>
      <c r="B1946" s="513" t="s">
        <v>12426</v>
      </c>
    </row>
    <row r="1947" spans="1:2">
      <c r="A1947" s="513" t="s">
        <v>12657</v>
      </c>
      <c r="B1947" s="513" t="s">
        <v>12426</v>
      </c>
    </row>
    <row r="1948" spans="1:2">
      <c r="A1948" s="513" t="s">
        <v>14138</v>
      </c>
      <c r="B1948" s="513" t="s">
        <v>13786</v>
      </c>
    </row>
    <row r="1949" spans="1:2">
      <c r="A1949" s="513" t="s">
        <v>14151</v>
      </c>
      <c r="B1949" s="513" t="s">
        <v>13784</v>
      </c>
    </row>
    <row r="1950" spans="1:2">
      <c r="A1950" s="513" t="s">
        <v>14152</v>
      </c>
      <c r="B1950" s="513" t="s">
        <v>14137</v>
      </c>
    </row>
    <row r="1951" spans="1:2">
      <c r="A1951" s="513" t="s">
        <v>14153</v>
      </c>
      <c r="B1951" s="513" t="s">
        <v>13786</v>
      </c>
    </row>
    <row r="1952" spans="1:2">
      <c r="A1952" s="513" t="s">
        <v>14156</v>
      </c>
      <c r="B1952" s="513" t="s">
        <v>13784</v>
      </c>
    </row>
    <row r="1953" spans="1:2">
      <c r="A1953" s="513" t="s">
        <v>14157</v>
      </c>
      <c r="B1953" s="513" t="s">
        <v>14137</v>
      </c>
    </row>
    <row r="1954" spans="1:2">
      <c r="A1954" s="513" t="s">
        <v>14158</v>
      </c>
      <c r="B1954" s="513" t="s">
        <v>13786</v>
      </c>
    </row>
    <row r="1955" spans="1:2">
      <c r="A1955" s="513" t="s">
        <v>12679</v>
      </c>
      <c r="B1955" s="513" t="s">
        <v>12530</v>
      </c>
    </row>
    <row r="1956" spans="1:2">
      <c r="A1956" s="513" t="s">
        <v>12680</v>
      </c>
      <c r="B1956" s="513" t="s">
        <v>12532</v>
      </c>
    </row>
    <row r="1957" spans="1:2">
      <c r="A1957" s="513" t="s">
        <v>12681</v>
      </c>
      <c r="B1957" s="513" t="s">
        <v>12355</v>
      </c>
    </row>
    <row r="1958" spans="1:2">
      <c r="A1958" s="513" t="s">
        <v>12682</v>
      </c>
      <c r="B1958" s="513" t="s">
        <v>12535</v>
      </c>
    </row>
    <row r="1959" spans="1:2">
      <c r="A1959" s="513" t="s">
        <v>12683</v>
      </c>
      <c r="B1959" s="513" t="s">
        <v>12537</v>
      </c>
    </row>
    <row r="1960" spans="1:2">
      <c r="A1960" s="513" t="s">
        <v>12684</v>
      </c>
      <c r="B1960" s="513" t="s">
        <v>12539</v>
      </c>
    </row>
    <row r="1961" spans="1:2">
      <c r="A1961" s="513" t="s">
        <v>12685</v>
      </c>
      <c r="B1961" s="513" t="s">
        <v>12359</v>
      </c>
    </row>
    <row r="1962" spans="1:2">
      <c r="A1962" s="513" t="s">
        <v>12686</v>
      </c>
      <c r="B1962" s="513" t="s">
        <v>12359</v>
      </c>
    </row>
    <row r="1963" spans="1:2">
      <c r="A1963" s="513" t="s">
        <v>12687</v>
      </c>
      <c r="B1963" s="513" t="s">
        <v>12351</v>
      </c>
    </row>
    <row r="1964" spans="1:2">
      <c r="A1964" s="513" t="s">
        <v>12688</v>
      </c>
      <c r="B1964" s="513" t="s">
        <v>12353</v>
      </c>
    </row>
    <row r="1965" spans="1:2">
      <c r="A1965" s="513" t="s">
        <v>14026</v>
      </c>
      <c r="B1965" s="513" t="s">
        <v>14027</v>
      </c>
    </row>
    <row r="1966" spans="1:2">
      <c r="A1966" s="513" t="s">
        <v>14030</v>
      </c>
      <c r="B1966" s="513" t="s">
        <v>14027</v>
      </c>
    </row>
    <row r="1967" spans="1:2">
      <c r="A1967" s="513" t="s">
        <v>14031</v>
      </c>
      <c r="B1967" s="513" t="s">
        <v>14032</v>
      </c>
    </row>
    <row r="1968" spans="1:2">
      <c r="A1968" s="513" t="s">
        <v>14033</v>
      </c>
      <c r="B1968" s="513" t="s">
        <v>14034</v>
      </c>
    </row>
    <row r="1969" spans="1:2">
      <c r="A1969" s="513" t="s">
        <v>14035</v>
      </c>
      <c r="B1969" s="513" t="s">
        <v>14036</v>
      </c>
    </row>
    <row r="1970" spans="1:2">
      <c r="A1970" s="513" t="s">
        <v>12689</v>
      </c>
      <c r="B1970" s="513" t="s">
        <v>12355</v>
      </c>
    </row>
    <row r="1971" spans="1:2">
      <c r="A1971" s="513" t="s">
        <v>12690</v>
      </c>
      <c r="B1971" s="513" t="s">
        <v>12357</v>
      </c>
    </row>
    <row r="1972" spans="1:2">
      <c r="A1972" s="513" t="s">
        <v>14041</v>
      </c>
      <c r="B1972" s="513" t="s">
        <v>14042</v>
      </c>
    </row>
    <row r="1973" spans="1:2">
      <c r="A1973" s="513" t="s">
        <v>14043</v>
      </c>
      <c r="B1973" s="513" t="s">
        <v>14044</v>
      </c>
    </row>
    <row r="1974" spans="1:2">
      <c r="A1974" s="513" t="s">
        <v>14045</v>
      </c>
      <c r="B1974" s="513" t="s">
        <v>14044</v>
      </c>
    </row>
    <row r="1975" spans="1:2">
      <c r="A1975" s="513" t="s">
        <v>14046</v>
      </c>
      <c r="B1975" s="513" t="s">
        <v>14047</v>
      </c>
    </row>
    <row r="1976" spans="1:2">
      <c r="A1976" s="513" t="s">
        <v>14048</v>
      </c>
      <c r="B1976" s="513" t="s">
        <v>14049</v>
      </c>
    </row>
    <row r="1977" spans="1:2">
      <c r="A1977" s="513" t="s">
        <v>14050</v>
      </c>
      <c r="B1977" s="513" t="s">
        <v>14051</v>
      </c>
    </row>
    <row r="1978" spans="1:2">
      <c r="A1978" s="513" t="s">
        <v>14052</v>
      </c>
      <c r="B1978" s="513" t="s">
        <v>14051</v>
      </c>
    </row>
    <row r="1979" spans="1:2">
      <c r="A1979" s="513" t="s">
        <v>14070</v>
      </c>
      <c r="B1979" s="513" t="s">
        <v>8954</v>
      </c>
    </row>
    <row r="1980" spans="1:2">
      <c r="A1980" s="513" t="s">
        <v>14073</v>
      </c>
      <c r="B1980" s="513" t="s">
        <v>11661</v>
      </c>
    </row>
    <row r="1981" spans="1:2">
      <c r="A1981" s="513" t="s">
        <v>14074</v>
      </c>
      <c r="B1981" s="513" t="s">
        <v>11661</v>
      </c>
    </row>
    <row r="1982" spans="1:2">
      <c r="A1982" s="513" t="s">
        <v>14075</v>
      </c>
      <c r="B1982" s="513" t="s">
        <v>11724</v>
      </c>
    </row>
    <row r="1983" spans="1:2">
      <c r="A1983" s="513" t="s">
        <v>14076</v>
      </c>
      <c r="B1983" s="513" t="s">
        <v>11724</v>
      </c>
    </row>
    <row r="1984" spans="1:2">
      <c r="A1984" s="513" t="s">
        <v>12691</v>
      </c>
      <c r="B1984" s="513" t="s">
        <v>12359</v>
      </c>
    </row>
    <row r="1985" spans="1:2">
      <c r="A1985" s="513" t="s">
        <v>12692</v>
      </c>
      <c r="B1985" s="513" t="s">
        <v>12359</v>
      </c>
    </row>
    <row r="1986" spans="1:2">
      <c r="A1986" s="513" t="s">
        <v>14081</v>
      </c>
      <c r="B1986" s="513" t="s">
        <v>14082</v>
      </c>
    </row>
    <row r="1987" spans="1:2">
      <c r="A1987" s="513" t="s">
        <v>14083</v>
      </c>
      <c r="B1987" s="513" t="s">
        <v>14084</v>
      </c>
    </row>
    <row r="1988" spans="1:2">
      <c r="A1988" s="513" t="s">
        <v>14085</v>
      </c>
      <c r="B1988" s="513" t="s">
        <v>14086</v>
      </c>
    </row>
    <row r="1989" spans="1:2">
      <c r="A1989" s="513" t="s">
        <v>14087</v>
      </c>
      <c r="B1989" s="513" t="s">
        <v>14088</v>
      </c>
    </row>
    <row r="1990" spans="1:2">
      <c r="A1990" s="513" t="s">
        <v>14089</v>
      </c>
      <c r="B1990" s="513" t="s">
        <v>14090</v>
      </c>
    </row>
    <row r="1991" spans="1:2">
      <c r="A1991" s="513" t="s">
        <v>14093</v>
      </c>
      <c r="B1991" s="513" t="s">
        <v>14094</v>
      </c>
    </row>
    <row r="1992" spans="1:2">
      <c r="A1992" s="513" t="s">
        <v>14095</v>
      </c>
      <c r="B1992" s="513" t="s">
        <v>14096</v>
      </c>
    </row>
    <row r="1993" spans="1:2">
      <c r="A1993" s="513" t="s">
        <v>14097</v>
      </c>
      <c r="B1993" s="513" t="s">
        <v>11706</v>
      </c>
    </row>
    <row r="1994" spans="1:2">
      <c r="A1994" s="513" t="s">
        <v>14098</v>
      </c>
      <c r="B1994" s="513" t="s">
        <v>11706</v>
      </c>
    </row>
    <row r="1995" spans="1:2">
      <c r="A1995" s="513" t="s">
        <v>14099</v>
      </c>
      <c r="B1995" s="513" t="s">
        <v>11733</v>
      </c>
    </row>
    <row r="1996" spans="1:2">
      <c r="A1996" s="513" t="s">
        <v>14100</v>
      </c>
      <c r="B1996" s="513" t="s">
        <v>11733</v>
      </c>
    </row>
    <row r="1997" spans="1:2">
      <c r="A1997" s="513" t="s">
        <v>14101</v>
      </c>
      <c r="B1997" s="513" t="s">
        <v>11751</v>
      </c>
    </row>
    <row r="1998" spans="1:2">
      <c r="A1998" s="513" t="s">
        <v>14102</v>
      </c>
      <c r="B1998" s="513" t="s">
        <v>11751</v>
      </c>
    </row>
    <row r="1999" spans="1:2">
      <c r="A1999" s="513" t="s">
        <v>13477</v>
      </c>
      <c r="B1999" s="513" t="s">
        <v>11910</v>
      </c>
    </row>
    <row r="2000" spans="1:2">
      <c r="A2000" s="513" t="s">
        <v>13478</v>
      </c>
      <c r="B2000" s="513" t="s">
        <v>13347</v>
      </c>
    </row>
    <row r="2001" spans="1:2">
      <c r="A2001" s="513" t="s">
        <v>13479</v>
      </c>
      <c r="B2001" s="513" t="s">
        <v>11906</v>
      </c>
    </row>
    <row r="2002" spans="1:2">
      <c r="A2002" s="513" t="s">
        <v>13481</v>
      </c>
      <c r="B2002" s="513" t="s">
        <v>11910</v>
      </c>
    </row>
    <row r="2003" spans="1:2">
      <c r="A2003" s="513" t="s">
        <v>13482</v>
      </c>
      <c r="B2003" s="513" t="s">
        <v>13352</v>
      </c>
    </row>
    <row r="2004" spans="1:2">
      <c r="A2004" s="513" t="s">
        <v>13483</v>
      </c>
      <c r="B2004" s="513" t="s">
        <v>11906</v>
      </c>
    </row>
    <row r="2005" spans="1:2">
      <c r="A2005" s="513" t="s">
        <v>12693</v>
      </c>
      <c r="B2005" s="513" t="s">
        <v>12351</v>
      </c>
    </row>
    <row r="2006" spans="1:2">
      <c r="A2006" s="513" t="s">
        <v>13485</v>
      </c>
      <c r="B2006" s="513" t="s">
        <v>13357</v>
      </c>
    </row>
    <row r="2007" spans="1:2">
      <c r="A2007" s="513" t="s">
        <v>13486</v>
      </c>
      <c r="B2007" s="513" t="s">
        <v>11910</v>
      </c>
    </row>
    <row r="2008" spans="1:2">
      <c r="A2008" s="513" t="s">
        <v>13487</v>
      </c>
      <c r="B2008" s="513" t="s">
        <v>11906</v>
      </c>
    </row>
    <row r="2009" spans="1:2">
      <c r="A2009" s="513" t="s">
        <v>12694</v>
      </c>
      <c r="B2009" s="513" t="s">
        <v>12353</v>
      </c>
    </row>
    <row r="2010" spans="1:2">
      <c r="A2010" s="513" t="s">
        <v>13489</v>
      </c>
      <c r="B2010" s="513" t="s">
        <v>11910</v>
      </c>
    </row>
    <row r="2011" spans="1:2">
      <c r="A2011" s="513" t="s">
        <v>13490</v>
      </c>
      <c r="B2011" s="513" t="s">
        <v>13491</v>
      </c>
    </row>
    <row r="2012" spans="1:2">
      <c r="A2012" s="513" t="s">
        <v>12695</v>
      </c>
      <c r="B2012" s="513" t="s">
        <v>12355</v>
      </c>
    </row>
    <row r="2013" spans="1:2">
      <c r="A2013" s="513" t="s">
        <v>13492</v>
      </c>
      <c r="B2013" s="513" t="s">
        <v>11906</v>
      </c>
    </row>
    <row r="2014" spans="1:2">
      <c r="A2014" s="513" t="s">
        <v>12696</v>
      </c>
      <c r="B2014" s="513" t="s">
        <v>12357</v>
      </c>
    </row>
    <row r="2015" spans="1:2">
      <c r="A2015" s="513" t="s">
        <v>13494</v>
      </c>
      <c r="B2015" s="513" t="s">
        <v>11910</v>
      </c>
    </row>
    <row r="2016" spans="1:2">
      <c r="A2016" s="513" t="s">
        <v>13495</v>
      </c>
      <c r="B2016" s="513" t="s">
        <v>13496</v>
      </c>
    </row>
    <row r="2017" spans="1:2">
      <c r="A2017" s="513" t="s">
        <v>13497</v>
      </c>
      <c r="B2017" s="513" t="s">
        <v>11906</v>
      </c>
    </row>
    <row r="2018" spans="1:2">
      <c r="A2018" s="513" t="s">
        <v>12697</v>
      </c>
      <c r="B2018" s="513" t="s">
        <v>12359</v>
      </c>
    </row>
    <row r="2019" spans="1:2">
      <c r="A2019" s="513" t="s">
        <v>13499</v>
      </c>
      <c r="B2019" s="513" t="s">
        <v>11910</v>
      </c>
    </row>
    <row r="2020" spans="1:2">
      <c r="A2020" s="513" t="s">
        <v>13500</v>
      </c>
      <c r="B2020" s="513" t="s">
        <v>13501</v>
      </c>
    </row>
    <row r="2021" spans="1:2">
      <c r="A2021" s="513" t="s">
        <v>13502</v>
      </c>
      <c r="B2021" s="513" t="s">
        <v>11906</v>
      </c>
    </row>
    <row r="2022" spans="1:2">
      <c r="A2022" s="513" t="s">
        <v>12698</v>
      </c>
      <c r="B2022" s="513" t="s">
        <v>12359</v>
      </c>
    </row>
    <row r="2023" spans="1:2">
      <c r="A2023" s="513" t="s">
        <v>13504</v>
      </c>
      <c r="B2023" s="513" t="s">
        <v>11910</v>
      </c>
    </row>
    <row r="2024" spans="1:2">
      <c r="A2024" s="513" t="s">
        <v>13505</v>
      </c>
      <c r="B2024" s="513" t="s">
        <v>13377</v>
      </c>
    </row>
    <row r="2025" spans="1:2">
      <c r="A2025" s="513" t="s">
        <v>13506</v>
      </c>
      <c r="B2025" s="513" t="s">
        <v>11906</v>
      </c>
    </row>
    <row r="2026" spans="1:2">
      <c r="A2026" s="513" t="s">
        <v>13508</v>
      </c>
      <c r="B2026" s="513" t="s">
        <v>11910</v>
      </c>
    </row>
    <row r="2027" spans="1:2">
      <c r="A2027" s="513" t="s">
        <v>13509</v>
      </c>
      <c r="B2027" s="513" t="s">
        <v>13382</v>
      </c>
    </row>
    <row r="2028" spans="1:2">
      <c r="A2028" s="513" t="s">
        <v>13510</v>
      </c>
      <c r="B2028" s="513" t="s">
        <v>11906</v>
      </c>
    </row>
    <row r="2029" spans="1:2">
      <c r="A2029" s="513" t="s">
        <v>13512</v>
      </c>
      <c r="B2029" s="513" t="s">
        <v>11910</v>
      </c>
    </row>
    <row r="2030" spans="1:2">
      <c r="A2030" s="513" t="s">
        <v>13513</v>
      </c>
      <c r="B2030" s="513" t="s">
        <v>13387</v>
      </c>
    </row>
    <row r="2031" spans="1:2">
      <c r="A2031" s="513" t="s">
        <v>13514</v>
      </c>
      <c r="B2031" s="513" t="s">
        <v>11906</v>
      </c>
    </row>
    <row r="2032" spans="1:2">
      <c r="A2032" s="513" t="s">
        <v>13681</v>
      </c>
      <c r="B2032" s="513" t="s">
        <v>7353</v>
      </c>
    </row>
    <row r="2033" spans="1:2">
      <c r="A2033" s="513" t="s">
        <v>13516</v>
      </c>
      <c r="B2033" s="513" t="s">
        <v>11910</v>
      </c>
    </row>
    <row r="2034" spans="1:2">
      <c r="A2034" s="513" t="s">
        <v>13517</v>
      </c>
      <c r="B2034" s="513" t="s">
        <v>13392</v>
      </c>
    </row>
    <row r="2035" spans="1:2">
      <c r="A2035" s="513" t="s">
        <v>13518</v>
      </c>
      <c r="B2035" s="513" t="s">
        <v>11906</v>
      </c>
    </row>
    <row r="2036" spans="1:2">
      <c r="A2036" s="513" t="s">
        <v>13520</v>
      </c>
      <c r="B2036" s="513" t="s">
        <v>11910</v>
      </c>
    </row>
    <row r="2037" spans="1:2">
      <c r="A2037" s="513" t="s">
        <v>13521</v>
      </c>
      <c r="B2037" s="513" t="s">
        <v>13397</v>
      </c>
    </row>
    <row r="2038" spans="1:2">
      <c r="A2038" s="513" t="s">
        <v>13522</v>
      </c>
      <c r="B2038" s="513" t="s">
        <v>11906</v>
      </c>
    </row>
    <row r="2039" spans="1:2">
      <c r="A2039" s="513" t="s">
        <v>13524</v>
      </c>
      <c r="B2039" s="513" t="s">
        <v>11910</v>
      </c>
    </row>
    <row r="2040" spans="1:2">
      <c r="A2040" s="513" t="s">
        <v>13525</v>
      </c>
      <c r="B2040" s="513" t="s">
        <v>13402</v>
      </c>
    </row>
    <row r="2041" spans="1:2">
      <c r="A2041" s="513" t="s">
        <v>13526</v>
      </c>
      <c r="B2041" s="513" t="s">
        <v>11906</v>
      </c>
    </row>
    <row r="2042" spans="1:2">
      <c r="A2042" s="513" t="s">
        <v>13682</v>
      </c>
      <c r="B2042" s="513" t="s">
        <v>13683</v>
      </c>
    </row>
    <row r="2043" spans="1:2">
      <c r="A2043" s="513" t="s">
        <v>13528</v>
      </c>
      <c r="B2043" s="513" t="s">
        <v>11910</v>
      </c>
    </row>
    <row r="2044" spans="1:2">
      <c r="A2044" s="513" t="s">
        <v>13529</v>
      </c>
      <c r="B2044" s="513" t="s">
        <v>13407</v>
      </c>
    </row>
    <row r="2045" spans="1:2">
      <c r="A2045" s="513" t="s">
        <v>13530</v>
      </c>
      <c r="B2045" s="513" t="s">
        <v>11906</v>
      </c>
    </row>
    <row r="2046" spans="1:2">
      <c r="A2046" s="513" t="s">
        <v>13684</v>
      </c>
      <c r="B2046" s="513" t="s">
        <v>13685</v>
      </c>
    </row>
    <row r="2047" spans="1:2">
      <c r="A2047" s="513" t="s">
        <v>13532</v>
      </c>
      <c r="B2047" s="513" t="s">
        <v>11910</v>
      </c>
    </row>
    <row r="2048" spans="1:2">
      <c r="A2048" s="513" t="s">
        <v>13533</v>
      </c>
      <c r="B2048" s="513" t="s">
        <v>13412</v>
      </c>
    </row>
    <row r="2049" spans="1:2">
      <c r="A2049" s="513" t="s">
        <v>13534</v>
      </c>
      <c r="B2049" s="513" t="s">
        <v>11906</v>
      </c>
    </row>
    <row r="2050" spans="1:2">
      <c r="A2050" s="513" t="s">
        <v>13686</v>
      </c>
      <c r="B2050" s="513" t="s">
        <v>13685</v>
      </c>
    </row>
    <row r="2051" spans="1:2">
      <c r="A2051" s="513" t="s">
        <v>13536</v>
      </c>
      <c r="B2051" s="513" t="s">
        <v>11910</v>
      </c>
    </row>
    <row r="2052" spans="1:2">
      <c r="A2052" s="513" t="s">
        <v>13537</v>
      </c>
      <c r="B2052" s="513" t="s">
        <v>13417</v>
      </c>
    </row>
    <row r="2053" spans="1:2">
      <c r="A2053" s="513" t="s">
        <v>13538</v>
      </c>
      <c r="B2053" s="513" t="s">
        <v>11906</v>
      </c>
    </row>
    <row r="2054" spans="1:2">
      <c r="A2054" s="513" t="s">
        <v>13540</v>
      </c>
      <c r="B2054" s="513" t="s">
        <v>11910</v>
      </c>
    </row>
    <row r="2055" spans="1:2">
      <c r="A2055" s="513" t="s">
        <v>13541</v>
      </c>
      <c r="B2055" s="513" t="s">
        <v>13422</v>
      </c>
    </row>
    <row r="2056" spans="1:2">
      <c r="A2056" s="513" t="s">
        <v>13542</v>
      </c>
      <c r="B2056" s="513" t="s">
        <v>11906</v>
      </c>
    </row>
    <row r="2057" spans="1:2">
      <c r="A2057" s="513" t="s">
        <v>13687</v>
      </c>
      <c r="B2057" s="513" t="s">
        <v>13688</v>
      </c>
    </row>
    <row r="2058" spans="1:2">
      <c r="A2058" s="513" t="s">
        <v>13544</v>
      </c>
      <c r="B2058" s="513" t="s">
        <v>11910</v>
      </c>
    </row>
    <row r="2059" spans="1:2">
      <c r="A2059" s="513" t="s">
        <v>13545</v>
      </c>
      <c r="B2059" s="513" t="s">
        <v>13427</v>
      </c>
    </row>
    <row r="2060" spans="1:2">
      <c r="A2060" s="513" t="s">
        <v>13546</v>
      </c>
      <c r="B2060" s="513" t="s">
        <v>11906</v>
      </c>
    </row>
    <row r="2061" spans="1:2">
      <c r="A2061" s="513" t="s">
        <v>13548</v>
      </c>
      <c r="B2061" s="513" t="s">
        <v>11910</v>
      </c>
    </row>
    <row r="2062" spans="1:2">
      <c r="A2062" s="513" t="s">
        <v>13549</v>
      </c>
      <c r="B2062" s="513" t="s">
        <v>13432</v>
      </c>
    </row>
    <row r="2063" spans="1:2">
      <c r="A2063" s="513" t="s">
        <v>13550</v>
      </c>
      <c r="B2063" s="513" t="s">
        <v>11906</v>
      </c>
    </row>
    <row r="2064" spans="1:2">
      <c r="A2064" s="513" t="s">
        <v>13552</v>
      </c>
      <c r="B2064" s="513" t="s">
        <v>11910</v>
      </c>
    </row>
    <row r="2065" spans="1:2">
      <c r="A2065" s="513" t="s">
        <v>13553</v>
      </c>
      <c r="B2065" s="513" t="s">
        <v>13437</v>
      </c>
    </row>
    <row r="2066" spans="1:2">
      <c r="A2066" s="513" t="s">
        <v>13554</v>
      </c>
      <c r="B2066" s="513" t="s">
        <v>11906</v>
      </c>
    </row>
    <row r="2067" spans="1:2">
      <c r="A2067" s="513" t="s">
        <v>13689</v>
      </c>
      <c r="B2067" s="513" t="s">
        <v>13690</v>
      </c>
    </row>
    <row r="2068" spans="1:2">
      <c r="A2068" s="513" t="s">
        <v>13556</v>
      </c>
      <c r="B2068" s="513" t="s">
        <v>11910</v>
      </c>
    </row>
    <row r="2069" spans="1:2">
      <c r="A2069" s="513" t="s">
        <v>13557</v>
      </c>
      <c r="B2069" s="513" t="s">
        <v>13442</v>
      </c>
    </row>
    <row r="2070" spans="1:2">
      <c r="A2070" s="513" t="s">
        <v>13558</v>
      </c>
      <c r="B2070" s="513" t="s">
        <v>11906</v>
      </c>
    </row>
    <row r="2071" spans="1:2">
      <c r="A2071" s="513" t="s">
        <v>13691</v>
      </c>
      <c r="B2071" s="513" t="s">
        <v>13662</v>
      </c>
    </row>
    <row r="2072" spans="1:2">
      <c r="A2072" s="513" t="s">
        <v>13560</v>
      </c>
      <c r="B2072" s="513" t="s">
        <v>11910</v>
      </c>
    </row>
    <row r="2073" spans="1:2">
      <c r="A2073" s="513" t="s">
        <v>13561</v>
      </c>
      <c r="B2073" s="513" t="s">
        <v>13447</v>
      </c>
    </row>
    <row r="2074" spans="1:2">
      <c r="A2074" s="513" t="s">
        <v>13562</v>
      </c>
      <c r="B2074" s="513" t="s">
        <v>11906</v>
      </c>
    </row>
    <row r="2075" spans="1:2">
      <c r="A2075" s="513" t="s">
        <v>13692</v>
      </c>
      <c r="B2075" s="513" t="s">
        <v>13662</v>
      </c>
    </row>
    <row r="2076" spans="1:2">
      <c r="A2076" s="513" t="s">
        <v>13564</v>
      </c>
      <c r="B2076" s="513" t="s">
        <v>11910</v>
      </c>
    </row>
    <row r="2077" spans="1:2">
      <c r="A2077" s="513" t="s">
        <v>13565</v>
      </c>
      <c r="B2077" s="513" t="s">
        <v>13452</v>
      </c>
    </row>
    <row r="2078" spans="1:2">
      <c r="A2078" s="513" t="s">
        <v>13699</v>
      </c>
      <c r="B2078" s="513" t="s">
        <v>13700</v>
      </c>
    </row>
    <row r="2079" spans="1:2">
      <c r="A2079" s="513" t="s">
        <v>13568</v>
      </c>
      <c r="B2079" s="513" t="s">
        <v>11910</v>
      </c>
    </row>
    <row r="2080" spans="1:2">
      <c r="A2080" s="513" t="s">
        <v>13569</v>
      </c>
      <c r="B2080" s="513" t="s">
        <v>13570</v>
      </c>
    </row>
    <row r="2081" spans="1:2">
      <c r="A2081" s="513" t="s">
        <v>13701</v>
      </c>
      <c r="B2081" s="513" t="s">
        <v>13702</v>
      </c>
    </row>
    <row r="2082" spans="1:2">
      <c r="A2082" s="513" t="s">
        <v>13693</v>
      </c>
      <c r="B2082" s="513" t="s">
        <v>13694</v>
      </c>
    </row>
    <row r="2083" spans="1:2">
      <c r="A2083" s="513" t="s">
        <v>13573</v>
      </c>
      <c r="B2083" s="513" t="s">
        <v>11910</v>
      </c>
    </row>
    <row r="2084" spans="1:2">
      <c r="A2084" s="513" t="s">
        <v>13574</v>
      </c>
      <c r="B2084" s="513" t="s">
        <v>13575</v>
      </c>
    </row>
    <row r="2085" spans="1:2">
      <c r="A2085" s="513" t="s">
        <v>13695</v>
      </c>
      <c r="B2085" s="513" t="s">
        <v>13696</v>
      </c>
    </row>
    <row r="2086" spans="1:2">
      <c r="A2086" s="513" t="s">
        <v>13697</v>
      </c>
      <c r="B2086" s="513" t="s">
        <v>13652</v>
      </c>
    </row>
    <row r="2087" spans="1:2">
      <c r="A2087" s="513" t="s">
        <v>13698</v>
      </c>
      <c r="B2087" s="513" t="s">
        <v>13652</v>
      </c>
    </row>
    <row r="2088" spans="1:2">
      <c r="A2088" s="513" t="s">
        <v>13703</v>
      </c>
      <c r="B2088" s="513" t="s">
        <v>13704</v>
      </c>
    </row>
    <row r="2089" spans="1:2">
      <c r="A2089" s="513" t="s">
        <v>13705</v>
      </c>
      <c r="B2089" s="513" t="s">
        <v>13706</v>
      </c>
    </row>
    <row r="2090" spans="1:2">
      <c r="A2090" s="513" t="s">
        <v>13707</v>
      </c>
      <c r="B2090" s="513" t="s">
        <v>13706</v>
      </c>
    </row>
    <row r="2091" spans="1:2">
      <c r="A2091" s="513" t="s">
        <v>13708</v>
      </c>
      <c r="B2091" s="513" t="s">
        <v>13709</v>
      </c>
    </row>
    <row r="2092" spans="1:2">
      <c r="A2092" s="513" t="s">
        <v>13710</v>
      </c>
      <c r="B2092" s="513" t="s">
        <v>13709</v>
      </c>
    </row>
    <row r="2093" spans="1:2">
      <c r="A2093" s="513" t="s">
        <v>13711</v>
      </c>
      <c r="B2093" s="513" t="s">
        <v>13712</v>
      </c>
    </row>
    <row r="2094" spans="1:2">
      <c r="A2094" s="513" t="s">
        <v>13713</v>
      </c>
      <c r="B2094" s="513" t="s">
        <v>13714</v>
      </c>
    </row>
    <row r="2095" spans="1:2">
      <c r="A2095" s="513" t="s">
        <v>13715</v>
      </c>
      <c r="B2095" s="513" t="s">
        <v>13716</v>
      </c>
    </row>
    <row r="2096" spans="1:2">
      <c r="A2096" s="513" t="s">
        <v>13717</v>
      </c>
      <c r="B2096" s="513" t="s">
        <v>13716</v>
      </c>
    </row>
    <row r="2097" spans="1:2">
      <c r="A2097" s="513" t="s">
        <v>13718</v>
      </c>
      <c r="B2097" s="513" t="s">
        <v>13719</v>
      </c>
    </row>
    <row r="2098" spans="1:2">
      <c r="A2098" s="513" t="s">
        <v>13720</v>
      </c>
      <c r="B2098" s="513" t="s">
        <v>13719</v>
      </c>
    </row>
    <row r="2099" spans="1:2">
      <c r="A2099" s="513" t="s">
        <v>13721</v>
      </c>
      <c r="B2099" s="513" t="s">
        <v>13722</v>
      </c>
    </row>
    <row r="2100" spans="1:2">
      <c r="A2100" s="513" t="s">
        <v>13882</v>
      </c>
      <c r="B2100" s="513" t="s">
        <v>8039</v>
      </c>
    </row>
    <row r="2101" spans="1:2">
      <c r="A2101" s="513" t="s">
        <v>13883</v>
      </c>
      <c r="B2101" s="513" t="s">
        <v>13884</v>
      </c>
    </row>
    <row r="2102" spans="1:2">
      <c r="A2102" s="513" t="s">
        <v>13885</v>
      </c>
      <c r="B2102" s="513" t="s">
        <v>13886</v>
      </c>
    </row>
    <row r="2103" spans="1:2">
      <c r="A2103" s="513" t="s">
        <v>13887</v>
      </c>
      <c r="B2103" s="513" t="s">
        <v>12737</v>
      </c>
    </row>
    <row r="2104" spans="1:2">
      <c r="A2104" s="513" t="s">
        <v>13888</v>
      </c>
      <c r="B2104" s="513" t="s">
        <v>12741</v>
      </c>
    </row>
    <row r="2105" spans="1:2">
      <c r="A2105" s="513" t="s">
        <v>13889</v>
      </c>
      <c r="B2105" s="513" t="s">
        <v>12743</v>
      </c>
    </row>
    <row r="2106" spans="1:2">
      <c r="A2106" s="513" t="s">
        <v>13890</v>
      </c>
      <c r="B2106" s="513" t="s">
        <v>12743</v>
      </c>
    </row>
    <row r="2107" spans="1:2">
      <c r="A2107" s="513" t="s">
        <v>14054</v>
      </c>
      <c r="B2107" s="513" t="s">
        <v>8632</v>
      </c>
    </row>
    <row r="2108" spans="1:2">
      <c r="A2108" s="513" t="s">
        <v>14557</v>
      </c>
      <c r="B2108" s="513" t="s">
        <v>10137</v>
      </c>
    </row>
    <row r="2109" spans="1:2">
      <c r="A2109" s="513" t="s">
        <v>14436</v>
      </c>
      <c r="B2109" s="513" t="s">
        <v>10137</v>
      </c>
    </row>
    <row r="2110" spans="1:2">
      <c r="A2110" s="513" t="s">
        <v>14437</v>
      </c>
      <c r="B2110" s="513" t="s">
        <v>14275</v>
      </c>
    </row>
    <row r="2111" spans="1:2">
      <c r="A2111" s="513" t="s">
        <v>14438</v>
      </c>
      <c r="B2111" s="513" t="s">
        <v>10163</v>
      </c>
    </row>
    <row r="2112" spans="1:2">
      <c r="A2112" s="513" t="s">
        <v>14439</v>
      </c>
      <c r="B2112" s="513" t="s">
        <v>9545</v>
      </c>
    </row>
    <row r="2113" spans="1:2">
      <c r="A2113" s="513" t="s">
        <v>14440</v>
      </c>
      <c r="B2113" s="513" t="s">
        <v>14441</v>
      </c>
    </row>
    <row r="2114" spans="1:2">
      <c r="A2114" s="513" t="s">
        <v>14442</v>
      </c>
      <c r="B2114" s="513" t="s">
        <v>14443</v>
      </c>
    </row>
    <row r="2115" spans="1:2">
      <c r="A2115" s="513" t="s">
        <v>14444</v>
      </c>
      <c r="B2115" s="513" t="s">
        <v>14445</v>
      </c>
    </row>
    <row r="2116" spans="1:2">
      <c r="A2116" s="513" t="s">
        <v>14446</v>
      </c>
      <c r="B2116" s="513" t="s">
        <v>14447</v>
      </c>
    </row>
    <row r="2117" spans="1:2">
      <c r="A2117" s="513" t="s">
        <v>14448</v>
      </c>
      <c r="B2117" s="513" t="s">
        <v>14443</v>
      </c>
    </row>
    <row r="2118" spans="1:2">
      <c r="A2118" s="513" t="s">
        <v>14449</v>
      </c>
      <c r="B2118" s="513" t="s">
        <v>14445</v>
      </c>
    </row>
    <row r="2119" spans="1:2">
      <c r="A2119" s="513" t="s">
        <v>14450</v>
      </c>
      <c r="B2119" s="513" t="s">
        <v>14451</v>
      </c>
    </row>
    <row r="2120" spans="1:2">
      <c r="A2120" s="513" t="s">
        <v>14452</v>
      </c>
      <c r="B2120" s="513" t="s">
        <v>14453</v>
      </c>
    </row>
    <row r="2121" spans="1:2">
      <c r="A2121" s="513" t="s">
        <v>14454</v>
      </c>
      <c r="B2121" s="513" t="s">
        <v>10377</v>
      </c>
    </row>
    <row r="2122" spans="1:2">
      <c r="A2122" s="513" t="s">
        <v>14455</v>
      </c>
      <c r="B2122" s="513" t="s">
        <v>14456</v>
      </c>
    </row>
    <row r="2123" spans="1:2">
      <c r="A2123" s="513" t="s">
        <v>14457</v>
      </c>
      <c r="B2123" s="513" t="s">
        <v>10626</v>
      </c>
    </row>
    <row r="2124" spans="1:2">
      <c r="A2124" s="513" t="s">
        <v>14458</v>
      </c>
      <c r="B2124" s="513" t="s">
        <v>14459</v>
      </c>
    </row>
    <row r="2125" spans="1:2">
      <c r="A2125" s="513" t="s">
        <v>14460</v>
      </c>
      <c r="B2125" s="513" t="s">
        <v>9780</v>
      </c>
    </row>
    <row r="2126" spans="1:2">
      <c r="A2126" s="513" t="s">
        <v>14461</v>
      </c>
      <c r="B2126" s="513" t="s">
        <v>35</v>
      </c>
    </row>
    <row r="2127" spans="1:2">
      <c r="A2127" s="513" t="s">
        <v>14462</v>
      </c>
      <c r="B2127" s="513" t="s">
        <v>10626</v>
      </c>
    </row>
    <row r="2128" spans="1:2">
      <c r="A2128" s="513" t="s">
        <v>14463</v>
      </c>
      <c r="B2128" s="513" t="s">
        <v>14459</v>
      </c>
    </row>
    <row r="2129" spans="1:2">
      <c r="A2129" s="513" t="s">
        <v>14464</v>
      </c>
      <c r="B2129" s="513" t="s">
        <v>9810</v>
      </c>
    </row>
    <row r="2130" spans="1:2">
      <c r="A2130" s="513" t="s">
        <v>14465</v>
      </c>
      <c r="B2130" s="513" t="s">
        <v>35</v>
      </c>
    </row>
    <row r="2131" spans="1:2">
      <c r="A2131" s="513" t="s">
        <v>14466</v>
      </c>
      <c r="B2131" s="513" t="s">
        <v>14467</v>
      </c>
    </row>
    <row r="2132" spans="1:2">
      <c r="A2132" s="513" t="s">
        <v>14468</v>
      </c>
      <c r="B2132" s="513" t="s">
        <v>14443</v>
      </c>
    </row>
    <row r="2133" spans="1:2">
      <c r="A2133" s="513" t="s">
        <v>14469</v>
      </c>
      <c r="B2133" s="513" t="s">
        <v>9840</v>
      </c>
    </row>
    <row r="2134" spans="1:2">
      <c r="A2134" s="513" t="s">
        <v>14470</v>
      </c>
      <c r="B2134" s="513" t="s">
        <v>14467</v>
      </c>
    </row>
    <row r="2135" spans="1:2">
      <c r="A2135" s="513" t="s">
        <v>14471</v>
      </c>
      <c r="B2135" s="513" t="s">
        <v>14443</v>
      </c>
    </row>
    <row r="2136" spans="1:2">
      <c r="A2136" s="513" t="s">
        <v>14472</v>
      </c>
      <c r="B2136" s="513" t="s">
        <v>9854</v>
      </c>
    </row>
    <row r="2137" spans="1:2">
      <c r="A2137" s="513" t="s">
        <v>14473</v>
      </c>
      <c r="B2137" s="513" t="s">
        <v>14456</v>
      </c>
    </row>
    <row r="2138" spans="1:2">
      <c r="A2138" s="513" t="s">
        <v>14474</v>
      </c>
      <c r="B2138" s="513" t="s">
        <v>10626</v>
      </c>
    </row>
    <row r="2139" spans="1:2">
      <c r="A2139" s="513" t="s">
        <v>14475</v>
      </c>
      <c r="B2139" s="513" t="s">
        <v>14459</v>
      </c>
    </row>
    <row r="2140" spans="1:2">
      <c r="A2140" s="513" t="s">
        <v>14476</v>
      </c>
      <c r="B2140" s="513" t="s">
        <v>9858</v>
      </c>
    </row>
    <row r="2141" spans="1:2">
      <c r="A2141" s="513" t="s">
        <v>14477</v>
      </c>
      <c r="B2141" s="513" t="s">
        <v>10402</v>
      </c>
    </row>
    <row r="2142" spans="1:2">
      <c r="A2142" s="513" t="s">
        <v>14478</v>
      </c>
      <c r="B2142" s="513" t="s">
        <v>10626</v>
      </c>
    </row>
    <row r="2143" spans="1:2">
      <c r="A2143" s="513" t="s">
        <v>14479</v>
      </c>
      <c r="B2143" s="513" t="s">
        <v>14459</v>
      </c>
    </row>
    <row r="2144" spans="1:2">
      <c r="A2144" s="513" t="s">
        <v>14480</v>
      </c>
      <c r="B2144" s="513" t="s">
        <v>14481</v>
      </c>
    </row>
    <row r="2145" spans="1:2">
      <c r="A2145" s="513" t="s">
        <v>14482</v>
      </c>
      <c r="B2145" s="513" t="s">
        <v>14483</v>
      </c>
    </row>
    <row r="2146" spans="1:2">
      <c r="A2146" s="513" t="s">
        <v>14484</v>
      </c>
      <c r="B2146" s="513" t="s">
        <v>14485</v>
      </c>
    </row>
    <row r="2147" spans="1:2">
      <c r="A2147" s="513" t="s">
        <v>14486</v>
      </c>
      <c r="B2147" s="513" t="s">
        <v>10662</v>
      </c>
    </row>
    <row r="2148" spans="1:2">
      <c r="A2148" s="513" t="s">
        <v>14487</v>
      </c>
      <c r="B2148" s="513" t="s">
        <v>9877</v>
      </c>
    </row>
    <row r="2149" spans="1:2">
      <c r="A2149" s="513" t="s">
        <v>14488</v>
      </c>
      <c r="B2149" s="513" t="s">
        <v>14275</v>
      </c>
    </row>
    <row r="2150" spans="1:2">
      <c r="A2150" s="513" t="s">
        <v>14489</v>
      </c>
      <c r="B2150" s="513" t="s">
        <v>10689</v>
      </c>
    </row>
    <row r="2151" spans="1:2">
      <c r="A2151" s="513" t="s">
        <v>14490</v>
      </c>
      <c r="B2151" s="513" t="s">
        <v>9877</v>
      </c>
    </row>
    <row r="2152" spans="1:2">
      <c r="A2152" s="513" t="s">
        <v>14491</v>
      </c>
      <c r="B2152" s="513" t="s">
        <v>14275</v>
      </c>
    </row>
    <row r="2153" spans="1:2">
      <c r="A2153" s="513" t="s">
        <v>14492</v>
      </c>
      <c r="B2153" s="513" t="s">
        <v>10772</v>
      </c>
    </row>
    <row r="2154" spans="1:2">
      <c r="A2154" s="513" t="s">
        <v>14493</v>
      </c>
      <c r="B2154" s="513" t="s">
        <v>9877</v>
      </c>
    </row>
    <row r="2155" spans="1:2">
      <c r="A2155" s="513" t="s">
        <v>14494</v>
      </c>
      <c r="B2155" s="513" t="s">
        <v>14275</v>
      </c>
    </row>
    <row r="2156" spans="1:2">
      <c r="A2156" s="513" t="s">
        <v>14495</v>
      </c>
      <c r="B2156" s="513" t="s">
        <v>10782</v>
      </c>
    </row>
    <row r="2157" spans="1:2">
      <c r="A2157" s="513" t="s">
        <v>14496</v>
      </c>
      <c r="B2157" s="513" t="s">
        <v>9877</v>
      </c>
    </row>
    <row r="2158" spans="1:2">
      <c r="A2158" s="513" t="s">
        <v>14497</v>
      </c>
      <c r="B2158" s="513" t="s">
        <v>14275</v>
      </c>
    </row>
    <row r="2159" spans="1:2">
      <c r="A2159" s="513" t="s">
        <v>14498</v>
      </c>
      <c r="B2159" s="513" t="s">
        <v>10851</v>
      </c>
    </row>
    <row r="2160" spans="1:2">
      <c r="A2160" s="513" t="s">
        <v>14499</v>
      </c>
      <c r="B2160" s="513" t="s">
        <v>9877</v>
      </c>
    </row>
    <row r="2161" spans="1:2">
      <c r="A2161" s="513" t="s">
        <v>14500</v>
      </c>
      <c r="B2161" s="513" t="s">
        <v>14275</v>
      </c>
    </row>
    <row r="2162" spans="1:2">
      <c r="A2162" s="513" t="s">
        <v>14501</v>
      </c>
      <c r="B2162" s="513" t="s">
        <v>10867</v>
      </c>
    </row>
    <row r="2163" spans="1:2">
      <c r="A2163" s="513" t="s">
        <v>14502</v>
      </c>
      <c r="B2163" s="513" t="s">
        <v>10137</v>
      </c>
    </row>
    <row r="2164" spans="1:2">
      <c r="A2164" s="513" t="s">
        <v>14503</v>
      </c>
      <c r="B2164" s="513" t="s">
        <v>14504</v>
      </c>
    </row>
    <row r="2165" spans="1:2">
      <c r="A2165" s="513" t="s">
        <v>14505</v>
      </c>
      <c r="B2165" s="513" t="s">
        <v>14506</v>
      </c>
    </row>
    <row r="2166" spans="1:2">
      <c r="A2166" s="513" t="s">
        <v>14507</v>
      </c>
      <c r="B2166" s="513" t="s">
        <v>14508</v>
      </c>
    </row>
    <row r="2167" spans="1:2">
      <c r="A2167" s="513" t="s">
        <v>14509</v>
      </c>
      <c r="B2167" s="513" t="s">
        <v>14510</v>
      </c>
    </row>
    <row r="2168" spans="1:2">
      <c r="A2168" s="513" t="s">
        <v>14511</v>
      </c>
      <c r="B2168" s="513" t="s">
        <v>14512</v>
      </c>
    </row>
    <row r="2169" spans="1:2">
      <c r="A2169" s="513" t="s">
        <v>14513</v>
      </c>
      <c r="B2169" s="513" t="s">
        <v>14514</v>
      </c>
    </row>
    <row r="2170" spans="1:2">
      <c r="A2170" s="513" t="s">
        <v>14515</v>
      </c>
      <c r="B2170" s="513" t="s">
        <v>14516</v>
      </c>
    </row>
    <row r="2171" spans="1:2">
      <c r="A2171" s="513" t="s">
        <v>14517</v>
      </c>
      <c r="B2171" s="513" t="s">
        <v>10949</v>
      </c>
    </row>
    <row r="2172" spans="1:2">
      <c r="A2172" s="513" t="s">
        <v>14518</v>
      </c>
      <c r="B2172" s="513" t="s">
        <v>10137</v>
      </c>
    </row>
    <row r="2173" spans="1:2">
      <c r="A2173" s="513" t="s">
        <v>14519</v>
      </c>
      <c r="B2173" s="513" t="s">
        <v>14275</v>
      </c>
    </row>
    <row r="2174" spans="1:2">
      <c r="A2174" s="513" t="s">
        <v>14520</v>
      </c>
      <c r="B2174" s="513" t="s">
        <v>11136</v>
      </c>
    </row>
    <row r="2175" spans="1:2">
      <c r="A2175" s="513" t="s">
        <v>14521</v>
      </c>
      <c r="B2175" s="513" t="s">
        <v>14522</v>
      </c>
    </row>
    <row r="2176" spans="1:2">
      <c r="A2176" s="513" t="s">
        <v>14523</v>
      </c>
      <c r="B2176" s="513" t="s">
        <v>14524</v>
      </c>
    </row>
    <row r="2177" spans="1:2">
      <c r="A2177" s="513" t="s">
        <v>14525</v>
      </c>
      <c r="B2177" s="513" t="s">
        <v>14526</v>
      </c>
    </row>
    <row r="2178" spans="1:2">
      <c r="A2178" s="513" t="s">
        <v>14527</v>
      </c>
      <c r="B2178" s="513" t="s">
        <v>10963</v>
      </c>
    </row>
    <row r="2179" spans="1:2">
      <c r="A2179" s="513" t="s">
        <v>14528</v>
      </c>
      <c r="B2179" s="513" t="s">
        <v>10137</v>
      </c>
    </row>
    <row r="2180" spans="1:2">
      <c r="A2180" s="513" t="s">
        <v>14529</v>
      </c>
      <c r="B2180" s="513" t="s">
        <v>14530</v>
      </c>
    </row>
    <row r="2181" spans="1:2">
      <c r="A2181" s="513" t="s">
        <v>14531</v>
      </c>
      <c r="B2181" s="513" t="s">
        <v>14532</v>
      </c>
    </row>
    <row r="2182" spans="1:2">
      <c r="A2182" s="513" t="s">
        <v>14533</v>
      </c>
      <c r="B2182" s="513" t="s">
        <v>14534</v>
      </c>
    </row>
    <row r="2183" spans="1:2">
      <c r="A2183" s="513" t="s">
        <v>14535</v>
      </c>
      <c r="B2183" s="513" t="s">
        <v>14536</v>
      </c>
    </row>
    <row r="2184" spans="1:2">
      <c r="A2184" s="513" t="s">
        <v>14537</v>
      </c>
      <c r="B2184" s="513" t="s">
        <v>11136</v>
      </c>
    </row>
    <row r="2185" spans="1:2">
      <c r="A2185" s="513" t="s">
        <v>14538</v>
      </c>
      <c r="B2185" s="513" t="s">
        <v>14539</v>
      </c>
    </row>
    <row r="2186" spans="1:2">
      <c r="A2186" s="513" t="s">
        <v>14540</v>
      </c>
      <c r="B2186" s="513" t="s">
        <v>14541</v>
      </c>
    </row>
    <row r="2187" spans="1:2">
      <c r="A2187" s="513" t="s">
        <v>14542</v>
      </c>
      <c r="B2187" s="513" t="s">
        <v>10137</v>
      </c>
    </row>
    <row r="2188" spans="1:2">
      <c r="A2188" s="513" t="s">
        <v>14543</v>
      </c>
      <c r="B2188" s="513" t="s">
        <v>14544</v>
      </c>
    </row>
    <row r="2189" spans="1:2">
      <c r="A2189" s="513" t="s">
        <v>14545</v>
      </c>
      <c r="B2189" s="513" t="s">
        <v>14522</v>
      </c>
    </row>
    <row r="2190" spans="1:2">
      <c r="A2190" s="513" t="s">
        <v>14546</v>
      </c>
      <c r="B2190" s="513" t="s">
        <v>14547</v>
      </c>
    </row>
    <row r="2191" spans="1:2">
      <c r="A2191" s="513" t="s">
        <v>14548</v>
      </c>
      <c r="B2191" s="513" t="s">
        <v>10137</v>
      </c>
    </row>
    <row r="2192" spans="1:2">
      <c r="A2192" s="513" t="s">
        <v>14549</v>
      </c>
      <c r="B2192" s="513" t="s">
        <v>14544</v>
      </c>
    </row>
    <row r="2193" spans="1:2">
      <c r="A2193" s="513" t="s">
        <v>14550</v>
      </c>
      <c r="B2193" s="513" t="s">
        <v>14522</v>
      </c>
    </row>
    <row r="2194" spans="1:2">
      <c r="A2194" s="513" t="s">
        <v>14551</v>
      </c>
      <c r="B2194" s="513" t="s">
        <v>14552</v>
      </c>
    </row>
    <row r="2195" spans="1:2">
      <c r="A2195" s="513" t="s">
        <v>14553</v>
      </c>
      <c r="B2195" s="513" t="s">
        <v>10137</v>
      </c>
    </row>
    <row r="2196" spans="1:2">
      <c r="A2196" s="513" t="s">
        <v>14554</v>
      </c>
      <c r="B2196" s="513" t="s">
        <v>14544</v>
      </c>
    </row>
    <row r="2197" spans="1:2">
      <c r="A2197" s="513" t="s">
        <v>14555</v>
      </c>
      <c r="B2197" s="513" t="s">
        <v>14556</v>
      </c>
    </row>
    <row r="2198" spans="1:2">
      <c r="A2198" s="513" t="s">
        <v>12699</v>
      </c>
      <c r="B2198" s="513" t="s">
        <v>12196</v>
      </c>
    </row>
    <row r="2199" spans="1:2">
      <c r="A2199" s="513" t="s">
        <v>12700</v>
      </c>
      <c r="B2199" s="513" t="s">
        <v>12198</v>
      </c>
    </row>
    <row r="2200" spans="1:2">
      <c r="A2200" s="513" t="s">
        <v>12701</v>
      </c>
      <c r="B2200" s="513" t="s">
        <v>12200</v>
      </c>
    </row>
    <row r="2201" spans="1:2">
      <c r="A2201" s="513" t="s">
        <v>12702</v>
      </c>
      <c r="B2201" s="513" t="s">
        <v>12703</v>
      </c>
    </row>
    <row r="2202" spans="1:2">
      <c r="A2202" s="513" t="s">
        <v>12704</v>
      </c>
      <c r="B2202" s="513" t="s">
        <v>12703</v>
      </c>
    </row>
    <row r="2203" spans="1:2">
      <c r="A2203" s="513" t="s">
        <v>12282</v>
      </c>
      <c r="B2203" s="513" t="s">
        <v>12152</v>
      </c>
    </row>
    <row r="2204" spans="1:2">
      <c r="A2204" s="513" t="s">
        <v>12286</v>
      </c>
      <c r="B2204" s="513" t="s">
        <v>12168</v>
      </c>
    </row>
    <row r="2205" spans="1:2">
      <c r="A2205" s="513" t="s">
        <v>14558</v>
      </c>
      <c r="B2205" s="513" t="s">
        <v>14250</v>
      </c>
    </row>
    <row r="2206" spans="1:2">
      <c r="A2206" s="513" t="s">
        <v>14559</v>
      </c>
      <c r="B2206" s="513" t="s">
        <v>14260</v>
      </c>
    </row>
    <row r="2207" spans="1:2">
      <c r="A2207" s="513" t="s">
        <v>14560</v>
      </c>
      <c r="B2207" s="513" t="s">
        <v>14258</v>
      </c>
    </row>
    <row r="2208" spans="1:2">
      <c r="A2208" s="513" t="s">
        <v>14561</v>
      </c>
      <c r="B2208" s="513" t="s">
        <v>14256</v>
      </c>
    </row>
    <row r="2209" spans="1:2">
      <c r="A2209" s="513" t="s">
        <v>14562</v>
      </c>
      <c r="B2209" s="513" t="s">
        <v>14254</v>
      </c>
    </row>
    <row r="2210" spans="1:2">
      <c r="A2210" s="513" t="s">
        <v>14563</v>
      </c>
      <c r="B2210" s="513" t="s">
        <v>14252</v>
      </c>
    </row>
    <row r="2211" spans="1:2">
      <c r="A2211" s="513" t="s">
        <v>14564</v>
      </c>
      <c r="B2211" s="513" t="s">
        <v>14270</v>
      </c>
    </row>
    <row r="2212" spans="1:2">
      <c r="A2212" s="513" t="s">
        <v>14565</v>
      </c>
      <c r="B2212" s="513" t="s">
        <v>14268</v>
      </c>
    </row>
    <row r="2213" spans="1:2">
      <c r="A2213" s="513" t="s">
        <v>14566</v>
      </c>
      <c r="B2213" s="513" t="s">
        <v>14266</v>
      </c>
    </row>
    <row r="2214" spans="1:2">
      <c r="A2214" s="513" t="s">
        <v>14567</v>
      </c>
      <c r="B2214" s="513" t="s">
        <v>14264</v>
      </c>
    </row>
    <row r="2215" spans="1:2">
      <c r="A2215" s="513" t="s">
        <v>14568</v>
      </c>
      <c r="B2215" s="513" t="s">
        <v>14262</v>
      </c>
    </row>
    <row r="2216" spans="1:2">
      <c r="A2216" s="513" t="s">
        <v>14569</v>
      </c>
      <c r="B2216" s="513" t="s">
        <v>14570</v>
      </c>
    </row>
    <row r="2217" spans="1:2">
      <c r="A2217" s="513" t="s">
        <v>14571</v>
      </c>
      <c r="B2217" s="513" t="s">
        <v>10137</v>
      </c>
    </row>
    <row r="2218" spans="1:2">
      <c r="A2218" s="513" t="s">
        <v>14572</v>
      </c>
      <c r="B2218" s="513" t="s">
        <v>14250</v>
      </c>
    </row>
    <row r="2219" spans="1:2">
      <c r="A2219" s="513" t="s">
        <v>14573</v>
      </c>
      <c r="B2219" s="513" t="s">
        <v>14260</v>
      </c>
    </row>
    <row r="2220" spans="1:2">
      <c r="A2220" s="513" t="s">
        <v>14574</v>
      </c>
      <c r="B2220" s="513" t="s">
        <v>14258</v>
      </c>
    </row>
    <row r="2221" spans="1:2">
      <c r="A2221" s="513" t="s">
        <v>14575</v>
      </c>
      <c r="B2221" s="513" t="s">
        <v>14256</v>
      </c>
    </row>
    <row r="2222" spans="1:2">
      <c r="A2222" s="513" t="s">
        <v>14576</v>
      </c>
      <c r="B2222" s="513" t="s">
        <v>14254</v>
      </c>
    </row>
    <row r="2223" spans="1:2">
      <c r="A2223" s="513" t="s">
        <v>14577</v>
      </c>
      <c r="B2223" s="513" t="s">
        <v>14252</v>
      </c>
    </row>
    <row r="2224" spans="1:2">
      <c r="A2224" s="513" t="s">
        <v>14578</v>
      </c>
      <c r="B2224" s="513" t="s">
        <v>14270</v>
      </c>
    </row>
    <row r="2225" spans="1:2">
      <c r="A2225" s="513" t="s">
        <v>14579</v>
      </c>
      <c r="B2225" s="513" t="s">
        <v>14268</v>
      </c>
    </row>
    <row r="2226" spans="1:2">
      <c r="A2226" s="513" t="s">
        <v>14580</v>
      </c>
      <c r="B2226" s="513" t="s">
        <v>14266</v>
      </c>
    </row>
    <row r="2227" spans="1:2">
      <c r="A2227" s="513" t="s">
        <v>14581</v>
      </c>
      <c r="B2227" s="513" t="s">
        <v>14264</v>
      </c>
    </row>
    <row r="2228" spans="1:2">
      <c r="A2228" s="513" t="s">
        <v>14582</v>
      </c>
      <c r="B2228" s="513" t="s">
        <v>14262</v>
      </c>
    </row>
    <row r="2229" spans="1:2">
      <c r="A2229" s="513" t="s">
        <v>14583</v>
      </c>
      <c r="B2229" s="513" t="s">
        <v>14584</v>
      </c>
    </row>
    <row r="2230" spans="1:2">
      <c r="A2230" s="513" t="s">
        <v>14585</v>
      </c>
      <c r="B2230" s="513" t="s">
        <v>10137</v>
      </c>
    </row>
    <row r="2231" spans="1:2">
      <c r="A2231" s="513" t="s">
        <v>14586</v>
      </c>
      <c r="B2231" s="513" t="s">
        <v>14587</v>
      </c>
    </row>
    <row r="2232" spans="1:2">
      <c r="A2232" s="513" t="s">
        <v>14588</v>
      </c>
      <c r="B2232" s="513" t="s">
        <v>14589</v>
      </c>
    </row>
    <row r="2233" spans="1:2">
      <c r="A2233" s="513" t="s">
        <v>14590</v>
      </c>
      <c r="B2233" s="513" t="s">
        <v>14591</v>
      </c>
    </row>
    <row r="2234" spans="1:2">
      <c r="A2234" s="513" t="s">
        <v>14592</v>
      </c>
      <c r="B2234" s="513" t="s">
        <v>14593</v>
      </c>
    </row>
    <row r="2235" spans="1:2">
      <c r="A2235" s="513" t="s">
        <v>14594</v>
      </c>
      <c r="B2235" s="513" t="s">
        <v>14595</v>
      </c>
    </row>
    <row r="2236" spans="1:2">
      <c r="A2236" s="513" t="s">
        <v>14596</v>
      </c>
      <c r="B2236" s="513" t="s">
        <v>14591</v>
      </c>
    </row>
    <row r="2237" spans="1:2">
      <c r="A2237" s="513" t="s">
        <v>14597</v>
      </c>
      <c r="B2237" s="513" t="s">
        <v>14593</v>
      </c>
    </row>
    <row r="2238" spans="1:2">
      <c r="A2238" s="513" t="s">
        <v>14280</v>
      </c>
      <c r="B2238" s="513" t="s">
        <v>158</v>
      </c>
    </row>
    <row r="2239" spans="1:2">
      <c r="A2239" s="513" t="s">
        <v>14598</v>
      </c>
      <c r="B2239" s="513" t="s">
        <v>14599</v>
      </c>
    </row>
    <row r="2240" spans="1:2">
      <c r="A2240" s="513" t="s">
        <v>159</v>
      </c>
      <c r="B2240" s="513" t="s">
        <v>14282</v>
      </c>
    </row>
    <row r="2241" spans="1:2">
      <c r="A2241" s="513" t="s">
        <v>1580</v>
      </c>
      <c r="B2241" s="513" t="s">
        <v>14283</v>
      </c>
    </row>
    <row r="2242" spans="1:2">
      <c r="A2242" s="513" t="s">
        <v>14420</v>
      </c>
      <c r="B2242" s="513" t="s">
        <v>447</v>
      </c>
    </row>
    <row r="2243" spans="1:2">
      <c r="A2243" s="513" t="s">
        <v>14344</v>
      </c>
      <c r="B2243" s="513" t="s">
        <v>14345</v>
      </c>
    </row>
    <row r="2244" spans="1:2">
      <c r="A2244" s="513" t="s">
        <v>14600</v>
      </c>
      <c r="B2244" s="513" t="s">
        <v>14601</v>
      </c>
    </row>
    <row r="2245" spans="1:2">
      <c r="A2245" s="513" t="s">
        <v>14602</v>
      </c>
      <c r="B2245" s="513" t="s">
        <v>10137</v>
      </c>
    </row>
    <row r="2246" spans="1:2">
      <c r="A2246" s="513" t="s">
        <v>14603</v>
      </c>
      <c r="B2246" s="513" t="s">
        <v>14604</v>
      </c>
    </row>
    <row r="2247" spans="1:2">
      <c r="A2247" s="513" t="s">
        <v>14605</v>
      </c>
      <c r="B2247" s="513" t="s">
        <v>14606</v>
      </c>
    </row>
    <row r="2248" spans="1:2">
      <c r="A2248" s="513" t="s">
        <v>14722</v>
      </c>
      <c r="B2248" s="513" t="s">
        <v>14723</v>
      </c>
    </row>
    <row r="2249" spans="1:2">
      <c r="A2249" s="513" t="s">
        <v>14724</v>
      </c>
      <c r="B2249" s="513" t="s">
        <v>10137</v>
      </c>
    </row>
    <row r="2250" spans="1:2">
      <c r="A2250" s="513" t="s">
        <v>14725</v>
      </c>
      <c r="B2250" s="513" t="s">
        <v>11947</v>
      </c>
    </row>
    <row r="2251" spans="1:2">
      <c r="A2251" s="513" t="s">
        <v>14726</v>
      </c>
      <c r="B2251" s="513" t="s">
        <v>11952</v>
      </c>
    </row>
    <row r="2252" spans="1:2">
      <c r="A2252" s="513" t="s">
        <v>14727</v>
      </c>
      <c r="B2252" s="513" t="s">
        <v>11957</v>
      </c>
    </row>
    <row r="2253" spans="1:2">
      <c r="A2253" s="513" t="s">
        <v>14728</v>
      </c>
      <c r="B2253" s="513" t="s">
        <v>14729</v>
      </c>
    </row>
    <row r="2254" spans="1:2">
      <c r="A2254" s="513" t="s">
        <v>14730</v>
      </c>
      <c r="B2254" s="513" t="s">
        <v>11969</v>
      </c>
    </row>
    <row r="2255" spans="1:2">
      <c r="A2255" s="513" t="s">
        <v>14731</v>
      </c>
      <c r="B2255" s="513" t="s">
        <v>11974</v>
      </c>
    </row>
    <row r="2256" spans="1:2">
      <c r="A2256" s="513" t="s">
        <v>14732</v>
      </c>
      <c r="B2256" s="513" t="s">
        <v>11979</v>
      </c>
    </row>
    <row r="2257" spans="1:2">
      <c r="A2257" s="513" t="s">
        <v>14733</v>
      </c>
      <c r="B2257" s="513" t="s">
        <v>11984</v>
      </c>
    </row>
    <row r="2258" spans="1:2">
      <c r="A2258" s="513" t="s">
        <v>14734</v>
      </c>
      <c r="B2258" s="513" t="s">
        <v>11990</v>
      </c>
    </row>
    <row r="2259" spans="1:2">
      <c r="A2259" s="513" t="s">
        <v>14735</v>
      </c>
      <c r="B2259" s="513" t="s">
        <v>12002</v>
      </c>
    </row>
    <row r="2260" spans="1:2">
      <c r="A2260" s="513" t="s">
        <v>14736</v>
      </c>
      <c r="B2260" s="513" t="s">
        <v>12008</v>
      </c>
    </row>
    <row r="2261" spans="1:2">
      <c r="A2261" s="513" t="s">
        <v>14737</v>
      </c>
      <c r="B2261" s="513" t="s">
        <v>14738</v>
      </c>
    </row>
    <row r="2262" spans="1:2">
      <c r="A2262" s="513" t="s">
        <v>14739</v>
      </c>
      <c r="B2262" s="513" t="s">
        <v>14740</v>
      </c>
    </row>
    <row r="2263" spans="1:2">
      <c r="A2263" s="513" t="s">
        <v>14741</v>
      </c>
      <c r="B2263" s="513" t="s">
        <v>12014</v>
      </c>
    </row>
    <row r="2264" spans="1:2">
      <c r="A2264" s="513" t="s">
        <v>14742</v>
      </c>
      <c r="B2264" s="513" t="s">
        <v>12037</v>
      </c>
    </row>
    <row r="2265" spans="1:2">
      <c r="A2265" s="513" t="s">
        <v>14743</v>
      </c>
      <c r="B2265" s="513" t="s">
        <v>12043</v>
      </c>
    </row>
    <row r="2266" spans="1:2">
      <c r="A2266" s="513" t="s">
        <v>14744</v>
      </c>
      <c r="B2266" s="513" t="s">
        <v>12049</v>
      </c>
    </row>
    <row r="2267" spans="1:2">
      <c r="A2267" s="513" t="s">
        <v>14745</v>
      </c>
      <c r="B2267" s="513" t="s">
        <v>14746</v>
      </c>
    </row>
    <row r="2268" spans="1:2">
      <c r="A2268" s="513" t="s">
        <v>14747</v>
      </c>
      <c r="B2268" s="513" t="s">
        <v>12055</v>
      </c>
    </row>
    <row r="2269" spans="1:2">
      <c r="A2269" s="513" t="s">
        <v>14346</v>
      </c>
      <c r="B2269" s="513" t="s">
        <v>14347</v>
      </c>
    </row>
    <row r="2270" spans="1:2">
      <c r="A2270" s="513" t="s">
        <v>14179</v>
      </c>
      <c r="B2270" s="513" t="s">
        <v>14180</v>
      </c>
    </row>
    <row r="2271" spans="1:2">
      <c r="A2271" s="513" t="s">
        <v>14181</v>
      </c>
      <c r="B2271" s="513" t="s">
        <v>14180</v>
      </c>
    </row>
    <row r="2272" spans="1:2">
      <c r="A2272" s="513" t="s">
        <v>14182</v>
      </c>
      <c r="B2272" s="513" t="s">
        <v>11751</v>
      </c>
    </row>
    <row r="2273" spans="1:2">
      <c r="A2273" s="513" t="s">
        <v>14183</v>
      </c>
      <c r="B2273" s="513" t="s">
        <v>14184</v>
      </c>
    </row>
    <row r="2274" spans="1:2">
      <c r="A2274" s="513" t="s">
        <v>14185</v>
      </c>
      <c r="B2274" s="513" t="s">
        <v>14186</v>
      </c>
    </row>
    <row r="2275" spans="1:2">
      <c r="A2275" s="513" t="s">
        <v>14187</v>
      </c>
      <c r="B2275" s="513" t="s">
        <v>14188</v>
      </c>
    </row>
    <row r="2276" spans="1:2">
      <c r="A2276" s="513" t="s">
        <v>14189</v>
      </c>
      <c r="B2276" s="513" t="s">
        <v>14190</v>
      </c>
    </row>
    <row r="2277" spans="1:2">
      <c r="A2277" s="513" t="s">
        <v>14191</v>
      </c>
      <c r="B2277" s="513" t="s">
        <v>14192</v>
      </c>
    </row>
    <row r="2278" spans="1:2">
      <c r="A2278" s="513" t="s">
        <v>14193</v>
      </c>
      <c r="B2278" s="513" t="s">
        <v>14194</v>
      </c>
    </row>
    <row r="2279" spans="1:2">
      <c r="A2279" s="513" t="s">
        <v>14195</v>
      </c>
      <c r="B2279" s="513" t="s">
        <v>11670</v>
      </c>
    </row>
    <row r="2280" spans="1:2">
      <c r="A2280" s="513" t="s">
        <v>14196</v>
      </c>
      <c r="B2280" s="513" t="s">
        <v>14094</v>
      </c>
    </row>
    <row r="2281" spans="1:2">
      <c r="A2281" s="513" t="s">
        <v>14197</v>
      </c>
      <c r="B2281" s="513" t="s">
        <v>14092</v>
      </c>
    </row>
    <row r="2282" spans="1:2">
      <c r="A2282" s="513" t="s">
        <v>14198</v>
      </c>
      <c r="B2282" s="513" t="s">
        <v>12200</v>
      </c>
    </row>
    <row r="2283" spans="1:2">
      <c r="A2283" s="513" t="s">
        <v>14199</v>
      </c>
      <c r="B2283" s="513" t="s">
        <v>14090</v>
      </c>
    </row>
    <row r="2284" spans="1:2">
      <c r="A2284" s="513" t="s">
        <v>14200</v>
      </c>
      <c r="B2284" s="513" t="s">
        <v>14088</v>
      </c>
    </row>
    <row r="2285" spans="1:2">
      <c r="A2285" s="513" t="s">
        <v>14201</v>
      </c>
      <c r="B2285" s="513" t="s">
        <v>14086</v>
      </c>
    </row>
    <row r="2286" spans="1:2">
      <c r="A2286" s="513" t="s">
        <v>14202</v>
      </c>
      <c r="B2286" s="513" t="s">
        <v>14120</v>
      </c>
    </row>
    <row r="2287" spans="1:2">
      <c r="A2287" s="513" t="s">
        <v>14205</v>
      </c>
      <c r="B2287" s="513" t="s">
        <v>14206</v>
      </c>
    </row>
    <row r="2288" spans="1:2">
      <c r="A2288" s="513" t="s">
        <v>14207</v>
      </c>
      <c r="B2288" s="513" t="s">
        <v>14208</v>
      </c>
    </row>
    <row r="2289" spans="1:2">
      <c r="A2289" s="513" t="s">
        <v>14209</v>
      </c>
      <c r="B2289" s="513" t="s">
        <v>14210</v>
      </c>
    </row>
    <row r="2290" spans="1:2">
      <c r="A2290" s="513" t="s">
        <v>14211</v>
      </c>
      <c r="B2290" s="513" t="s">
        <v>14212</v>
      </c>
    </row>
    <row r="2291" spans="1:2">
      <c r="A2291" s="513" t="s">
        <v>14213</v>
      </c>
      <c r="B2291" s="513" t="s">
        <v>14214</v>
      </c>
    </row>
    <row r="2292" spans="1:2">
      <c r="A2292" s="513" t="s">
        <v>14215</v>
      </c>
      <c r="B2292" s="513" t="s">
        <v>14082</v>
      </c>
    </row>
    <row r="2293" spans="1:2">
      <c r="A2293" s="513" t="s">
        <v>14216</v>
      </c>
      <c r="B2293" s="513" t="s">
        <v>14080</v>
      </c>
    </row>
    <row r="2294" spans="1:2">
      <c r="A2294" s="513" t="s">
        <v>14217</v>
      </c>
      <c r="B2294" s="513" t="s">
        <v>11634</v>
      </c>
    </row>
    <row r="2295" spans="1:2">
      <c r="A2295" s="513" t="s">
        <v>14218</v>
      </c>
      <c r="B2295" s="513" t="s">
        <v>11652</v>
      </c>
    </row>
    <row r="2296" spans="1:2">
      <c r="A2296" s="513" t="s">
        <v>14219</v>
      </c>
      <c r="B2296" s="513" t="s">
        <v>11661</v>
      </c>
    </row>
    <row r="2297" spans="1:2">
      <c r="A2297" s="513" t="s">
        <v>14220</v>
      </c>
      <c r="B2297" s="513" t="s">
        <v>14221</v>
      </c>
    </row>
    <row r="2298" spans="1:2">
      <c r="A2298" s="513" t="s">
        <v>14222</v>
      </c>
      <c r="B2298" s="513" t="s">
        <v>11724</v>
      </c>
    </row>
    <row r="2299" spans="1:2">
      <c r="A2299" s="513" t="s">
        <v>14223</v>
      </c>
      <c r="B2299" s="513" t="s">
        <v>14224</v>
      </c>
    </row>
    <row r="2300" spans="1:2">
      <c r="A2300" s="513" t="s">
        <v>14225</v>
      </c>
      <c r="B2300" s="513" t="s">
        <v>14226</v>
      </c>
    </row>
    <row r="2301" spans="1:2">
      <c r="A2301" s="513" t="s">
        <v>689</v>
      </c>
      <c r="B2301" s="513" t="s">
        <v>410</v>
      </c>
    </row>
    <row r="2302" spans="1:2">
      <c r="A2302" s="513" t="s">
        <v>14245</v>
      </c>
      <c r="B2302" s="513" t="s">
        <v>35</v>
      </c>
    </row>
    <row r="2303" spans="1:2">
      <c r="A2303" s="513" t="s">
        <v>14298</v>
      </c>
      <c r="B2303" s="513" t="s">
        <v>14299</v>
      </c>
    </row>
    <row r="2304" spans="1:2">
      <c r="A2304" s="513" t="s">
        <v>14607</v>
      </c>
      <c r="B2304" s="513" t="s">
        <v>11355</v>
      </c>
    </row>
    <row r="2305" spans="1:2">
      <c r="A2305" s="513" t="s">
        <v>14608</v>
      </c>
      <c r="B2305" s="513" t="s">
        <v>10137</v>
      </c>
    </row>
    <row r="2306" spans="1:2">
      <c r="A2306" s="513" t="s">
        <v>14609</v>
      </c>
      <c r="B2306" s="513" t="s">
        <v>14275</v>
      </c>
    </row>
    <row r="2307" spans="1:2">
      <c r="A2307" s="513" t="s">
        <v>14348</v>
      </c>
      <c r="B2307" s="513" t="s">
        <v>14349</v>
      </c>
    </row>
    <row r="2308" spans="1:2">
      <c r="A2308" s="513" t="s">
        <v>14350</v>
      </c>
      <c r="B2308" s="513" t="s">
        <v>14351</v>
      </c>
    </row>
    <row r="2309" spans="1:2">
      <c r="A2309" s="513" t="s">
        <v>14203</v>
      </c>
      <c r="B2309" s="513" t="s">
        <v>14204</v>
      </c>
    </row>
    <row r="2310" spans="1:2">
      <c r="A2310" s="513" t="s">
        <v>13590</v>
      </c>
      <c r="B2310" s="513" t="s">
        <v>11906</v>
      </c>
    </row>
    <row r="2311" spans="1:2">
      <c r="A2311" s="513" t="s">
        <v>13591</v>
      </c>
      <c r="B2311" s="513" t="s">
        <v>11908</v>
      </c>
    </row>
    <row r="2312" spans="1:2">
      <c r="A2312" s="513" t="s">
        <v>688</v>
      </c>
      <c r="B2312" s="513" t="s">
        <v>14244</v>
      </c>
    </row>
    <row r="2313" spans="1:2">
      <c r="A2313" s="513" t="s">
        <v>14613</v>
      </c>
      <c r="B2313" s="513" t="s">
        <v>14614</v>
      </c>
    </row>
    <row r="2314" spans="1:2">
      <c r="A2314" s="513" t="s">
        <v>14615</v>
      </c>
      <c r="B2314" s="513" t="s">
        <v>10137</v>
      </c>
    </row>
    <row r="2315" spans="1:2">
      <c r="A2315" s="513" t="s">
        <v>14625</v>
      </c>
      <c r="B2315" s="513" t="s">
        <v>14626</v>
      </c>
    </row>
    <row r="2316" spans="1:2">
      <c r="A2316" s="513" t="s">
        <v>14627</v>
      </c>
      <c r="B2316" s="513" t="s">
        <v>14628</v>
      </c>
    </row>
    <row r="2317" spans="1:2">
      <c r="A2317" s="513" t="s">
        <v>14629</v>
      </c>
      <c r="B2317" s="513" t="s">
        <v>14630</v>
      </c>
    </row>
    <row r="2318" spans="1:2">
      <c r="A2318" s="513" t="s">
        <v>14631</v>
      </c>
      <c r="B2318" s="513" t="s">
        <v>14632</v>
      </c>
    </row>
    <row r="2319" spans="1:2">
      <c r="A2319" s="513" t="s">
        <v>14633</v>
      </c>
      <c r="B2319" s="513" t="s">
        <v>14634</v>
      </c>
    </row>
    <row r="2320" spans="1:2">
      <c r="A2320" s="513" t="s">
        <v>14635</v>
      </c>
      <c r="B2320" s="513" t="s">
        <v>14636</v>
      </c>
    </row>
    <row r="2321" spans="1:2">
      <c r="A2321" s="513" t="s">
        <v>14637</v>
      </c>
      <c r="B2321" s="513" t="s">
        <v>7324</v>
      </c>
    </row>
    <row r="2322" spans="1:2">
      <c r="A2322" s="513" t="s">
        <v>14638</v>
      </c>
      <c r="B2322" s="513" t="s">
        <v>14639</v>
      </c>
    </row>
    <row r="2323" spans="1:2">
      <c r="A2323" s="513" t="s">
        <v>14640</v>
      </c>
      <c r="B2323" s="513" t="s">
        <v>7297</v>
      </c>
    </row>
    <row r="2324" spans="1:2">
      <c r="A2324" s="513" t="s">
        <v>14641</v>
      </c>
      <c r="B2324" s="513" t="s">
        <v>7299</v>
      </c>
    </row>
    <row r="2325" spans="1:2">
      <c r="A2325" s="513" t="s">
        <v>14643</v>
      </c>
      <c r="B2325" s="513" t="s">
        <v>14614</v>
      </c>
    </row>
    <row r="2326" spans="1:2">
      <c r="A2326" s="513" t="s">
        <v>14644</v>
      </c>
      <c r="B2326" s="513" t="s">
        <v>10137</v>
      </c>
    </row>
    <row r="2327" spans="1:2">
      <c r="A2327" s="513" t="s">
        <v>14655</v>
      </c>
      <c r="B2327" s="513" t="s">
        <v>2241</v>
      </c>
    </row>
    <row r="2328" spans="1:2">
      <c r="A2328" s="513" t="s">
        <v>14656</v>
      </c>
      <c r="B2328" s="513" t="s">
        <v>14657</v>
      </c>
    </row>
    <row r="2329" spans="1:2">
      <c r="A2329" s="513" t="s">
        <v>14658</v>
      </c>
      <c r="B2329" s="513" t="s">
        <v>14659</v>
      </c>
    </row>
    <row r="2330" spans="1:2">
      <c r="A2330" s="513" t="s">
        <v>14660</v>
      </c>
      <c r="B2330" s="513" t="s">
        <v>14661</v>
      </c>
    </row>
    <row r="2331" spans="1:2">
      <c r="A2331" s="513" t="s">
        <v>14662</v>
      </c>
      <c r="B2331" s="513" t="s">
        <v>14663</v>
      </c>
    </row>
    <row r="2332" spans="1:2">
      <c r="A2332" s="513" t="s">
        <v>14664</v>
      </c>
      <c r="B2332" s="513" t="s">
        <v>14665</v>
      </c>
    </row>
    <row r="2333" spans="1:2">
      <c r="A2333" s="513" t="s">
        <v>14666</v>
      </c>
      <c r="B2333" s="513" t="s">
        <v>14667</v>
      </c>
    </row>
    <row r="2334" spans="1:2">
      <c r="A2334" s="513" t="s">
        <v>14668</v>
      </c>
      <c r="B2334" s="513" t="s">
        <v>14669</v>
      </c>
    </row>
    <row r="2335" spans="1:2">
      <c r="A2335" s="513" t="s">
        <v>14670</v>
      </c>
      <c r="B2335" s="513" t="s">
        <v>14671</v>
      </c>
    </row>
    <row r="2336" spans="1:2">
      <c r="A2336" s="513" t="s">
        <v>14672</v>
      </c>
      <c r="B2336" s="513" t="s">
        <v>14673</v>
      </c>
    </row>
    <row r="2337" spans="1:2">
      <c r="A2337" s="513" t="s">
        <v>14676</v>
      </c>
      <c r="B2337" s="513" t="s">
        <v>14677</v>
      </c>
    </row>
    <row r="2338" spans="1:2">
      <c r="A2338" s="513" t="s">
        <v>14678</v>
      </c>
      <c r="B2338" s="513" t="s">
        <v>10137</v>
      </c>
    </row>
    <row r="2339" spans="1:2">
      <c r="A2339" s="513" t="s">
        <v>14688</v>
      </c>
      <c r="B2339" s="513" t="s">
        <v>7267</v>
      </c>
    </row>
    <row r="2340" spans="1:2">
      <c r="A2340" s="513" t="s">
        <v>14689</v>
      </c>
      <c r="B2340" s="513" t="s">
        <v>14690</v>
      </c>
    </row>
    <row r="2341" spans="1:2">
      <c r="A2341" s="513" t="s">
        <v>14691</v>
      </c>
      <c r="B2341" s="513" t="s">
        <v>14692</v>
      </c>
    </row>
    <row r="2342" spans="1:2">
      <c r="A2342" s="513" t="s">
        <v>14693</v>
      </c>
      <c r="B2342" s="513" t="s">
        <v>14694</v>
      </c>
    </row>
    <row r="2343" spans="1:2">
      <c r="A2343" s="513" t="s">
        <v>14695</v>
      </c>
      <c r="B2343" s="513" t="s">
        <v>14696</v>
      </c>
    </row>
    <row r="2344" spans="1:2">
      <c r="A2344" s="513" t="s">
        <v>14697</v>
      </c>
      <c r="B2344" s="513" t="s">
        <v>14698</v>
      </c>
    </row>
    <row r="2345" spans="1:2">
      <c r="A2345" s="513" t="s">
        <v>14699</v>
      </c>
      <c r="B2345" s="513" t="s">
        <v>14700</v>
      </c>
    </row>
    <row r="2346" spans="1:2">
      <c r="A2346" s="513" t="s">
        <v>14701</v>
      </c>
      <c r="B2346" s="513" t="s">
        <v>7290</v>
      </c>
    </row>
    <row r="2347" spans="1:2">
      <c r="A2347" s="513" t="s">
        <v>14702</v>
      </c>
      <c r="B2347" s="513" t="s">
        <v>14703</v>
      </c>
    </row>
    <row r="2348" spans="1:2">
      <c r="A2348" s="513" t="s">
        <v>14704</v>
      </c>
      <c r="B2348" s="513" t="s">
        <v>7297</v>
      </c>
    </row>
    <row r="2349" spans="1:2">
      <c r="A2349" s="513" t="s">
        <v>14705</v>
      </c>
      <c r="B2349" s="513" t="s">
        <v>7299</v>
      </c>
    </row>
    <row r="2350" spans="1:2">
      <c r="A2350" s="513" t="s">
        <v>14419</v>
      </c>
      <c r="B2350" s="513" t="s">
        <v>446</v>
      </c>
    </row>
    <row r="2351" spans="1:2">
      <c r="A2351" s="513" t="s">
        <v>14400</v>
      </c>
      <c r="B2351" s="513" t="s">
        <v>9877</v>
      </c>
    </row>
    <row r="2352" spans="1:2">
      <c r="A2352" s="513" t="s">
        <v>14610</v>
      </c>
      <c r="B2352" s="513" t="s">
        <v>11355</v>
      </c>
    </row>
    <row r="2353" spans="1:2">
      <c r="A2353" s="513" t="s">
        <v>14611</v>
      </c>
      <c r="B2353" s="513" t="s">
        <v>10137</v>
      </c>
    </row>
    <row r="2354" spans="1:2">
      <c r="A2354" s="513" t="s">
        <v>14612</v>
      </c>
      <c r="B2354" s="513" t="s">
        <v>14275</v>
      </c>
    </row>
    <row r="2355" spans="1:2">
      <c r="A2355" s="513" t="s">
        <v>14616</v>
      </c>
      <c r="B2355" s="513" t="s">
        <v>7191</v>
      </c>
    </row>
    <row r="2356" spans="1:2">
      <c r="A2356" s="513" t="s">
        <v>14617</v>
      </c>
      <c r="B2356" s="513" t="s">
        <v>14618</v>
      </c>
    </row>
    <row r="2357" spans="1:2">
      <c r="A2357" s="513" t="s">
        <v>14619</v>
      </c>
      <c r="B2357" s="513" t="s">
        <v>7193</v>
      </c>
    </row>
    <row r="2358" spans="1:2">
      <c r="A2358" s="513" t="s">
        <v>14620</v>
      </c>
      <c r="B2358" s="513" t="s">
        <v>7195</v>
      </c>
    </row>
    <row r="2359" spans="1:2">
      <c r="A2359" s="513" t="s">
        <v>14621</v>
      </c>
      <c r="B2359" s="513" t="s">
        <v>14622</v>
      </c>
    </row>
    <row r="2360" spans="1:2">
      <c r="A2360" s="513" t="s">
        <v>14645</v>
      </c>
      <c r="B2360" s="513" t="s">
        <v>7119</v>
      </c>
    </row>
    <row r="2361" spans="1:2">
      <c r="A2361" s="513" t="s">
        <v>14646</v>
      </c>
      <c r="B2361" s="513" t="s">
        <v>14647</v>
      </c>
    </row>
    <row r="2362" spans="1:2">
      <c r="A2362" s="513" t="s">
        <v>14648</v>
      </c>
      <c r="B2362" s="513" t="s">
        <v>14649</v>
      </c>
    </row>
    <row r="2363" spans="1:2">
      <c r="A2363" s="513" t="s">
        <v>14650</v>
      </c>
      <c r="B2363" s="513" t="s">
        <v>7123</v>
      </c>
    </row>
    <row r="2364" spans="1:2">
      <c r="A2364" s="513" t="s">
        <v>14651</v>
      </c>
      <c r="B2364" s="513" t="s">
        <v>14652</v>
      </c>
    </row>
    <row r="2365" spans="1:2">
      <c r="A2365" s="513" t="s">
        <v>14679</v>
      </c>
      <c r="B2365" s="513" t="s">
        <v>7156</v>
      </c>
    </row>
    <row r="2366" spans="1:2">
      <c r="A2366" s="513" t="s">
        <v>14680</v>
      </c>
      <c r="B2366" s="513" t="s">
        <v>14681</v>
      </c>
    </row>
    <row r="2367" spans="1:2">
      <c r="A2367" s="513" t="s">
        <v>14682</v>
      </c>
      <c r="B2367" s="513" t="s">
        <v>7158</v>
      </c>
    </row>
    <row r="2368" spans="1:2">
      <c r="A2368" s="513" t="s">
        <v>14683</v>
      </c>
      <c r="B2368" s="513" t="s">
        <v>7160</v>
      </c>
    </row>
    <row r="2369" spans="1:2">
      <c r="A2369" s="513" t="s">
        <v>14684</v>
      </c>
      <c r="B2369" s="513" t="s">
        <v>14685</v>
      </c>
    </row>
    <row r="2370" spans="1:2">
      <c r="A2370" s="513" t="s">
        <v>14623</v>
      </c>
      <c r="B2370" s="513" t="s">
        <v>14624</v>
      </c>
    </row>
    <row r="2371" spans="1:2">
      <c r="A2371" s="513" t="s">
        <v>14653</v>
      </c>
      <c r="B2371" s="513" t="s">
        <v>14654</v>
      </c>
    </row>
    <row r="2372" spans="1:2">
      <c r="A2372" s="513" t="s">
        <v>14674</v>
      </c>
      <c r="B2372" s="513" t="s">
        <v>7135</v>
      </c>
    </row>
    <row r="2373" spans="1:2">
      <c r="A2373" s="513" t="s">
        <v>14686</v>
      </c>
      <c r="B2373" s="513" t="s">
        <v>14687</v>
      </c>
    </row>
    <row r="2374" spans="1:2">
      <c r="A2374" s="513" t="s">
        <v>14642</v>
      </c>
      <c r="B2374" s="513" t="s">
        <v>7303</v>
      </c>
    </row>
    <row r="2375" spans="1:2">
      <c r="A2375" s="513" t="s">
        <v>14706</v>
      </c>
      <c r="B2375" s="513" t="s">
        <v>7303</v>
      </c>
    </row>
    <row r="2376" spans="1:2">
      <c r="A2376" s="513" t="s">
        <v>14709</v>
      </c>
      <c r="B2376" s="513" t="s">
        <v>13452</v>
      </c>
    </row>
    <row r="2377" spans="1:2">
      <c r="A2377" s="513" t="s">
        <v>14710</v>
      </c>
      <c r="B2377" s="513" t="s">
        <v>13767</v>
      </c>
    </row>
    <row r="2378" spans="1:2">
      <c r="A2378" s="513" t="s">
        <v>14711</v>
      </c>
      <c r="B2378" s="513" t="s">
        <v>12094</v>
      </c>
    </row>
    <row r="2379" spans="1:2">
      <c r="A2379" s="513" t="s">
        <v>14712</v>
      </c>
      <c r="B2379" s="513" t="s">
        <v>14713</v>
      </c>
    </row>
    <row r="2380" spans="1:2">
      <c r="A2380" s="513" t="s">
        <v>14714</v>
      </c>
      <c r="B2380" s="513" t="s">
        <v>14715</v>
      </c>
    </row>
    <row r="2381" spans="1:2">
      <c r="A2381" s="513" t="s">
        <v>14716</v>
      </c>
      <c r="B2381" s="513" t="s">
        <v>13570</v>
      </c>
    </row>
    <row r="2382" spans="1:2">
      <c r="A2382" s="513" t="s">
        <v>14717</v>
      </c>
      <c r="B2382" s="513" t="s">
        <v>13772</v>
      </c>
    </row>
    <row r="2383" spans="1:2">
      <c r="A2383" s="513" t="s">
        <v>14718</v>
      </c>
      <c r="B2383" s="513" t="s">
        <v>13774</v>
      </c>
    </row>
    <row r="2384" spans="1:2">
      <c r="A2384" s="513" t="s">
        <v>14719</v>
      </c>
      <c r="B2384" s="513" t="s">
        <v>14720</v>
      </c>
    </row>
    <row r="2385" spans="1:2">
      <c r="A2385" s="513" t="s">
        <v>14721</v>
      </c>
      <c r="B2385" s="513" t="s">
        <v>13776</v>
      </c>
    </row>
    <row r="2386" spans="1:2">
      <c r="A2386" s="513" t="s">
        <v>14707</v>
      </c>
      <c r="B2386" s="513" t="s">
        <v>11542</v>
      </c>
    </row>
    <row r="2387" spans="1:2">
      <c r="A2387" s="513" t="s">
        <v>14708</v>
      </c>
      <c r="B2387" s="513" t="s">
        <v>10137</v>
      </c>
    </row>
    <row r="2388" spans="1:2">
      <c r="A2388" s="513" t="s">
        <v>14675</v>
      </c>
      <c r="B2388" s="513" t="s">
        <v>7137</v>
      </c>
    </row>
    <row r="2389" spans="1:2">
      <c r="A2389" s="513" t="s">
        <v>14055</v>
      </c>
      <c r="B2389" s="513" t="s">
        <v>14056</v>
      </c>
    </row>
    <row r="2390" spans="1:2">
      <c r="A2390" s="513" t="s">
        <v>14057</v>
      </c>
      <c r="B2390" s="513" t="s">
        <v>14058</v>
      </c>
    </row>
    <row r="2391" spans="1:2">
      <c r="A2391" s="513" t="s">
        <v>14059</v>
      </c>
      <c r="B2391" s="513" t="s">
        <v>14060</v>
      </c>
    </row>
    <row r="2392" spans="1:2">
      <c r="A2392" s="513" t="s">
        <v>14061</v>
      </c>
      <c r="B2392" s="513" t="s">
        <v>14060</v>
      </c>
    </row>
    <row r="2393" spans="1:2">
      <c r="A2393" s="513" t="s">
        <v>14062</v>
      </c>
      <c r="B2393" s="513" t="s">
        <v>14063</v>
      </c>
    </row>
    <row r="2394" spans="1:2">
      <c r="A2394" s="513" t="s">
        <v>14064</v>
      </c>
      <c r="B2394" s="513" t="s">
        <v>14065</v>
      </c>
    </row>
    <row r="2395" spans="1:2">
      <c r="A2395" s="513" t="s">
        <v>14066</v>
      </c>
      <c r="B2395" s="513" t="s">
        <v>14067</v>
      </c>
    </row>
    <row r="2396" spans="1:2">
      <c r="A2396" s="513" t="s">
        <v>14068</v>
      </c>
      <c r="B2396" s="513" t="s">
        <v>14067</v>
      </c>
    </row>
    <row r="2397" spans="1:2">
      <c r="A2397" s="513" t="s">
        <v>1581</v>
      </c>
      <c r="B2397" s="513" t="s">
        <v>14281</v>
      </c>
    </row>
    <row r="2398" spans="1:2">
      <c r="A2398" s="513" t="s">
        <v>14401</v>
      </c>
      <c r="B2398" s="513" t="s">
        <v>14402</v>
      </c>
    </row>
    <row r="2399" spans="1:2">
      <c r="A2399" s="513" t="s">
        <v>691</v>
      </c>
      <c r="B2399" s="513" t="s">
        <v>14239</v>
      </c>
    </row>
    <row r="2400" spans="1:2">
      <c r="A2400" s="513" t="s">
        <v>14227</v>
      </c>
      <c r="B2400" s="513" t="s">
        <v>9496</v>
      </c>
    </row>
    <row r="2401" spans="1:2">
      <c r="A2401" s="513" t="s">
        <v>14228</v>
      </c>
      <c r="B2401" s="513" t="s">
        <v>110</v>
      </c>
    </row>
    <row r="2402" spans="1:2">
      <c r="A2402" s="513" t="s">
        <v>620</v>
      </c>
      <c r="B2402" s="513" t="s">
        <v>110</v>
      </c>
    </row>
    <row r="2403" spans="1:2">
      <c r="A2403" s="513" t="s">
        <v>81</v>
      </c>
      <c r="B2403" s="513" t="s">
        <v>114</v>
      </c>
    </row>
    <row r="2404" spans="1:2">
      <c r="A2404" s="513" t="s">
        <v>82</v>
      </c>
      <c r="B2404" s="513" t="s">
        <v>115</v>
      </c>
    </row>
    <row r="2405" spans="1:2">
      <c r="A2405" s="513" t="s">
        <v>83</v>
      </c>
      <c r="B2405" s="513" t="s">
        <v>14229</v>
      </c>
    </row>
    <row r="2406" spans="1:2">
      <c r="A2406" s="513" t="s">
        <v>84</v>
      </c>
      <c r="B2406" s="513" t="s">
        <v>117</v>
      </c>
    </row>
    <row r="2407" spans="1:2">
      <c r="A2407" s="513" t="s">
        <v>85</v>
      </c>
      <c r="B2407" s="513" t="s">
        <v>343</v>
      </c>
    </row>
    <row r="2408" spans="1:2">
      <c r="A2408" s="513" t="s">
        <v>86</v>
      </c>
      <c r="B2408" s="513" t="s">
        <v>119</v>
      </c>
    </row>
    <row r="2409" spans="1:2">
      <c r="A2409" s="513" t="s">
        <v>87</v>
      </c>
      <c r="B2409" s="513" t="s">
        <v>50</v>
      </c>
    </row>
    <row r="2410" spans="1:2">
      <c r="A2410" s="513" t="s">
        <v>88</v>
      </c>
      <c r="B2410" s="513" t="s">
        <v>2</v>
      </c>
    </row>
    <row r="2411" spans="1:2">
      <c r="A2411" s="513" t="s">
        <v>89</v>
      </c>
      <c r="B2411" s="513" t="s">
        <v>120</v>
      </c>
    </row>
    <row r="2412" spans="1:2">
      <c r="A2412" s="513" t="s">
        <v>90</v>
      </c>
      <c r="B2412" s="513" t="s">
        <v>121</v>
      </c>
    </row>
    <row r="2413" spans="1:2">
      <c r="A2413" s="513" t="s">
        <v>91</v>
      </c>
      <c r="B2413" s="513" t="s">
        <v>101</v>
      </c>
    </row>
    <row r="2414" spans="1:2">
      <c r="A2414" s="513" t="s">
        <v>92</v>
      </c>
      <c r="B2414" s="513" t="s">
        <v>111</v>
      </c>
    </row>
    <row r="2415" spans="1:2">
      <c r="A2415" s="513" t="s">
        <v>93</v>
      </c>
      <c r="B2415" s="513" t="s">
        <v>102</v>
      </c>
    </row>
    <row r="2416" spans="1:2">
      <c r="A2416" s="513" t="s">
        <v>94</v>
      </c>
      <c r="B2416" s="513" t="s">
        <v>103</v>
      </c>
    </row>
    <row r="2417" spans="1:2">
      <c r="A2417" s="513" t="s">
        <v>95</v>
      </c>
      <c r="B2417" s="513" t="s">
        <v>104</v>
      </c>
    </row>
    <row r="2418" spans="1:2">
      <c r="A2418" s="513" t="s">
        <v>96</v>
      </c>
      <c r="B2418" s="513" t="s">
        <v>14230</v>
      </c>
    </row>
    <row r="2419" spans="1:2">
      <c r="A2419" s="513" t="s">
        <v>359</v>
      </c>
      <c r="B2419" s="513" t="s">
        <v>122</v>
      </c>
    </row>
    <row r="2420" spans="1:2">
      <c r="A2420" s="513" t="s">
        <v>360</v>
      </c>
      <c r="B2420" s="513" t="s">
        <v>123</v>
      </c>
    </row>
    <row r="2421" spans="1:2">
      <c r="A2421" s="513" t="s">
        <v>1317</v>
      </c>
      <c r="B2421" s="513" t="s">
        <v>124</v>
      </c>
    </row>
    <row r="2422" spans="1:2">
      <c r="A2422" s="513" t="s">
        <v>14231</v>
      </c>
      <c r="B2422" s="513" t="s">
        <v>108</v>
      </c>
    </row>
    <row r="2423" spans="1:2">
      <c r="A2423" s="513" t="s">
        <v>965</v>
      </c>
      <c r="B2423" s="513" t="s">
        <v>125</v>
      </c>
    </row>
    <row r="2424" spans="1:2">
      <c r="A2424" s="513" t="s">
        <v>966</v>
      </c>
      <c r="B2424" s="513" t="s">
        <v>126</v>
      </c>
    </row>
    <row r="2425" spans="1:2">
      <c r="A2425" s="513" t="s">
        <v>962</v>
      </c>
      <c r="B2425" s="513" t="s">
        <v>1455</v>
      </c>
    </row>
    <row r="2426" spans="1:2">
      <c r="A2426" s="513" t="s">
        <v>14232</v>
      </c>
      <c r="B2426" s="513" t="s">
        <v>375</v>
      </c>
    </row>
    <row r="2427" spans="1:2">
      <c r="A2427" s="513" t="s">
        <v>14233</v>
      </c>
      <c r="B2427" s="513" t="s">
        <v>1456</v>
      </c>
    </row>
    <row r="2428" spans="1:2">
      <c r="A2428" s="513" t="s">
        <v>452</v>
      </c>
      <c r="B2428" s="513" t="s">
        <v>1457</v>
      </c>
    </row>
    <row r="2429" spans="1:2">
      <c r="A2429" s="513" t="s">
        <v>450</v>
      </c>
      <c r="B2429" s="513" t="s">
        <v>14234</v>
      </c>
    </row>
    <row r="2430" spans="1:2">
      <c r="A2430" s="513" t="s">
        <v>368</v>
      </c>
      <c r="B2430" s="513" t="s">
        <v>1458</v>
      </c>
    </row>
    <row r="2431" spans="1:2">
      <c r="A2431" s="513" t="s">
        <v>369</v>
      </c>
      <c r="B2431" s="513" t="s">
        <v>1459</v>
      </c>
    </row>
    <row r="2432" spans="1:2">
      <c r="A2432" s="513" t="s">
        <v>370</v>
      </c>
      <c r="B2432" s="513" t="s">
        <v>1460</v>
      </c>
    </row>
    <row r="2433" spans="1:2">
      <c r="A2433" s="513" t="s">
        <v>371</v>
      </c>
      <c r="B2433" s="513" t="s">
        <v>1461</v>
      </c>
    </row>
    <row r="2434" spans="1:2">
      <c r="A2434" s="513" t="s">
        <v>14235</v>
      </c>
      <c r="B2434" s="513" t="s">
        <v>14236</v>
      </c>
    </row>
    <row r="2435" spans="1:2">
      <c r="A2435" s="513" t="s">
        <v>851</v>
      </c>
      <c r="B2435" s="513" t="s">
        <v>1464</v>
      </c>
    </row>
    <row r="2436" spans="1:2">
      <c r="A2436" s="513" t="s">
        <v>846</v>
      </c>
      <c r="B2436" s="513" t="s">
        <v>1465</v>
      </c>
    </row>
    <row r="2437" spans="1:2">
      <c r="A2437" s="513" t="s">
        <v>849</v>
      </c>
      <c r="B2437" s="513" t="s">
        <v>1466</v>
      </c>
    </row>
    <row r="2438" spans="1:2">
      <c r="A2438" s="513" t="s">
        <v>850</v>
      </c>
      <c r="B2438" s="513" t="s">
        <v>1467</v>
      </c>
    </row>
    <row r="2439" spans="1:2">
      <c r="A2439" s="513" t="s">
        <v>852</v>
      </c>
      <c r="B2439" s="513" t="s">
        <v>1466</v>
      </c>
    </row>
    <row r="2440" spans="1:2">
      <c r="A2440" s="513" t="s">
        <v>1462</v>
      </c>
      <c r="B2440" s="513" t="s">
        <v>1468</v>
      </c>
    </row>
    <row r="2441" spans="1:2">
      <c r="A2441" s="513" t="s">
        <v>1463</v>
      </c>
      <c r="B2441" s="513" t="s">
        <v>1466</v>
      </c>
    </row>
    <row r="2442" spans="1:2">
      <c r="A2442" s="513" t="s">
        <v>401</v>
      </c>
      <c r="B2442" s="513" t="s">
        <v>1470</v>
      </c>
    </row>
    <row r="2443" spans="1:2">
      <c r="A2443" s="513" t="s">
        <v>14237</v>
      </c>
      <c r="B2443" s="513" t="s">
        <v>14238</v>
      </c>
    </row>
    <row r="2444" spans="1:2">
      <c r="A2444" s="513" t="s">
        <v>14240</v>
      </c>
      <c r="B2444" s="513" t="s">
        <v>14241</v>
      </c>
    </row>
    <row r="2445" spans="1:2">
      <c r="A2445" s="513" t="s">
        <v>14242</v>
      </c>
      <c r="B2445" s="513" t="s">
        <v>9496</v>
      </c>
    </row>
    <row r="2446" spans="1:2">
      <c r="A2446" s="513" t="s">
        <v>14243</v>
      </c>
      <c r="B2446" s="513" t="s">
        <v>79</v>
      </c>
    </row>
    <row r="2447" spans="1:2">
      <c r="A2447" s="513" t="s">
        <v>236</v>
      </c>
      <c r="B2447" s="513" t="s">
        <v>116</v>
      </c>
    </row>
    <row r="2448" spans="1:2">
      <c r="A2448" s="513" t="s">
        <v>237</v>
      </c>
      <c r="B2448" s="513" t="s">
        <v>228</v>
      </c>
    </row>
    <row r="2449" spans="1:2">
      <c r="A2449" s="513" t="s">
        <v>408</v>
      </c>
      <c r="B2449" s="513" t="s">
        <v>409</v>
      </c>
    </row>
    <row r="2450" spans="1:2">
      <c r="A2450" s="513" t="s">
        <v>14246</v>
      </c>
      <c r="B2450" s="513" t="s">
        <v>35</v>
      </c>
    </row>
    <row r="2451" spans="1:2">
      <c r="A2451" s="513" t="s">
        <v>418</v>
      </c>
      <c r="B2451" s="513" t="s">
        <v>409</v>
      </c>
    </row>
    <row r="2452" spans="1:2">
      <c r="A2452" s="513" t="s">
        <v>419</v>
      </c>
      <c r="B2452" s="513" t="s">
        <v>410</v>
      </c>
    </row>
    <row r="2453" spans="1:2">
      <c r="A2453" s="513" t="s">
        <v>14247</v>
      </c>
      <c r="B2453" s="513" t="s">
        <v>14248</v>
      </c>
    </row>
    <row r="2454" spans="1:2">
      <c r="A2454" s="513" t="s">
        <v>14249</v>
      </c>
      <c r="B2454" s="513" t="s">
        <v>14250</v>
      </c>
    </row>
    <row r="2455" spans="1:2">
      <c r="A2455" s="513" t="s">
        <v>14251</v>
      </c>
      <c r="B2455" s="513" t="s">
        <v>14252</v>
      </c>
    </row>
    <row r="2456" spans="1:2">
      <c r="A2456" s="513" t="s">
        <v>14253</v>
      </c>
      <c r="B2456" s="513" t="s">
        <v>14254</v>
      </c>
    </row>
    <row r="2457" spans="1:2">
      <c r="A2457" s="513" t="s">
        <v>14255</v>
      </c>
      <c r="B2457" s="513" t="s">
        <v>14256</v>
      </c>
    </row>
    <row r="2458" spans="1:2">
      <c r="A2458" s="513" t="s">
        <v>14257</v>
      </c>
      <c r="B2458" s="513" t="s">
        <v>14258</v>
      </c>
    </row>
    <row r="2459" spans="1:2">
      <c r="A2459" s="513" t="s">
        <v>14259</v>
      </c>
      <c r="B2459" s="513" t="s">
        <v>14260</v>
      </c>
    </row>
    <row r="2460" spans="1:2">
      <c r="A2460" s="513" t="s">
        <v>14261</v>
      </c>
      <c r="B2460" s="513" t="s">
        <v>14262</v>
      </c>
    </row>
    <row r="2461" spans="1:2">
      <c r="A2461" s="513" t="s">
        <v>14263</v>
      </c>
      <c r="B2461" s="513" t="s">
        <v>14264</v>
      </c>
    </row>
    <row r="2462" spans="1:2">
      <c r="A2462" s="513" t="s">
        <v>14265</v>
      </c>
      <c r="B2462" s="513" t="s">
        <v>14266</v>
      </c>
    </row>
    <row r="2463" spans="1:2">
      <c r="A2463" s="513" t="s">
        <v>14267</v>
      </c>
      <c r="B2463" s="513" t="s">
        <v>14268</v>
      </c>
    </row>
    <row r="2464" spans="1:2">
      <c r="A2464" s="513" t="s">
        <v>14269</v>
      </c>
      <c r="B2464" s="513" t="s">
        <v>14270</v>
      </c>
    </row>
    <row r="2465" spans="1:2">
      <c r="A2465" s="513" t="s">
        <v>14271</v>
      </c>
      <c r="B2465" s="513" t="s">
        <v>14272</v>
      </c>
    </row>
    <row r="2466" spans="1:2">
      <c r="A2466" s="513" t="s">
        <v>179</v>
      </c>
      <c r="B2466" s="513" t="s">
        <v>1527</v>
      </c>
    </row>
    <row r="2467" spans="1:2">
      <c r="A2467" s="513" t="s">
        <v>180</v>
      </c>
      <c r="B2467" s="513" t="s">
        <v>1528</v>
      </c>
    </row>
    <row r="2468" spans="1:2">
      <c r="A2468" s="513" t="s">
        <v>181</v>
      </c>
      <c r="B2468" s="513" t="s">
        <v>1529</v>
      </c>
    </row>
    <row r="2469" spans="1:2">
      <c r="A2469" s="513" t="s">
        <v>977</v>
      </c>
      <c r="B2469" s="513" t="s">
        <v>1530</v>
      </c>
    </row>
    <row r="2470" spans="1:2">
      <c r="A2470" s="513" t="s">
        <v>14273</v>
      </c>
      <c r="B2470" s="513" t="s">
        <v>9631</v>
      </c>
    </row>
    <row r="2471" spans="1:2">
      <c r="A2471" s="513" t="s">
        <v>14274</v>
      </c>
      <c r="B2471" s="513" t="s">
        <v>14272</v>
      </c>
    </row>
    <row r="2472" spans="1:2">
      <c r="A2472" s="513" t="s">
        <v>432</v>
      </c>
      <c r="B2472" s="513" t="s">
        <v>14275</v>
      </c>
    </row>
    <row r="2473" spans="1:2">
      <c r="A2473" s="513" t="s">
        <v>14276</v>
      </c>
      <c r="B2473" s="513" t="s">
        <v>9635</v>
      </c>
    </row>
    <row r="2474" spans="1:2">
      <c r="A2474" s="513" t="s">
        <v>438</v>
      </c>
      <c r="B2474" s="513" t="s">
        <v>193</v>
      </c>
    </row>
    <row r="2475" spans="1:2">
      <c r="A2475" s="513" t="s">
        <v>14277</v>
      </c>
      <c r="B2475" s="513" t="s">
        <v>186</v>
      </c>
    </row>
    <row r="2476" spans="1:2">
      <c r="A2476" s="513" t="s">
        <v>14278</v>
      </c>
      <c r="B2476" s="513" t="s">
        <v>14279</v>
      </c>
    </row>
    <row r="2477" spans="1:2">
      <c r="A2477" s="513" t="s">
        <v>14284</v>
      </c>
      <c r="B2477" s="513" t="s">
        <v>161</v>
      </c>
    </row>
    <row r="2478" spans="1:2">
      <c r="A2478" s="513" t="s">
        <v>1582</v>
      </c>
      <c r="B2478" s="513" t="s">
        <v>14281</v>
      </c>
    </row>
    <row r="2479" spans="1:2">
      <c r="A2479" s="513" t="s">
        <v>162</v>
      </c>
      <c r="B2479" s="513" t="s">
        <v>14282</v>
      </c>
    </row>
    <row r="2480" spans="1:2">
      <c r="A2480" s="513" t="s">
        <v>163</v>
      </c>
      <c r="B2480" s="513" t="s">
        <v>14283</v>
      </c>
    </row>
    <row r="2481" spans="1:2">
      <c r="A2481" s="513" t="s">
        <v>164</v>
      </c>
      <c r="B2481" s="513" t="s">
        <v>14285</v>
      </c>
    </row>
    <row r="2482" spans="1:2">
      <c r="A2482" s="513" t="s">
        <v>14286</v>
      </c>
      <c r="B2482" s="513" t="s">
        <v>9670</v>
      </c>
    </row>
    <row r="2483" spans="1:2">
      <c r="A2483" s="513" t="s">
        <v>14287</v>
      </c>
      <c r="B2483" s="513" t="s">
        <v>14281</v>
      </c>
    </row>
    <row r="2484" spans="1:2">
      <c r="A2484" s="513" t="s">
        <v>14288</v>
      </c>
      <c r="B2484" s="513" t="s">
        <v>14282</v>
      </c>
    </row>
    <row r="2485" spans="1:2">
      <c r="A2485" s="513" t="s">
        <v>14289</v>
      </c>
      <c r="B2485" s="513" t="s">
        <v>14283</v>
      </c>
    </row>
    <row r="2486" spans="1:2">
      <c r="A2486" s="513" t="s">
        <v>14290</v>
      </c>
      <c r="B2486" s="513" t="s">
        <v>165</v>
      </c>
    </row>
    <row r="2487" spans="1:2">
      <c r="A2487" s="513" t="s">
        <v>1584</v>
      </c>
      <c r="B2487" s="513" t="s">
        <v>14281</v>
      </c>
    </row>
    <row r="2488" spans="1:2">
      <c r="A2488" s="513" t="s">
        <v>167</v>
      </c>
      <c r="B2488" s="513" t="s">
        <v>14291</v>
      </c>
    </row>
    <row r="2489" spans="1:2">
      <c r="A2489" s="513" t="s">
        <v>1583</v>
      </c>
      <c r="B2489" s="513" t="s">
        <v>14292</v>
      </c>
    </row>
    <row r="2490" spans="1:2">
      <c r="A2490" s="513" t="s">
        <v>674</v>
      </c>
      <c r="B2490" s="513" t="s">
        <v>14281</v>
      </c>
    </row>
    <row r="2491" spans="1:2">
      <c r="A2491" s="513" t="s">
        <v>1088</v>
      </c>
      <c r="B2491" s="513" t="s">
        <v>14293</v>
      </c>
    </row>
    <row r="2492" spans="1:2">
      <c r="A2492" s="513" t="s">
        <v>1587</v>
      </c>
      <c r="B2492" s="513" t="s">
        <v>14294</v>
      </c>
    </row>
    <row r="2493" spans="1:2">
      <c r="A2493" s="513" t="s">
        <v>14295</v>
      </c>
      <c r="B2493" s="513" t="s">
        <v>169</v>
      </c>
    </row>
    <row r="2494" spans="1:2">
      <c r="A2494" s="513" t="s">
        <v>1586</v>
      </c>
      <c r="B2494" s="513" t="s">
        <v>14281</v>
      </c>
    </row>
    <row r="2495" spans="1:2">
      <c r="A2495" s="513" t="s">
        <v>11998</v>
      </c>
      <c r="B2495" s="513" t="s">
        <v>11906</v>
      </c>
    </row>
    <row r="2496" spans="1:2">
      <c r="A2496" s="513" t="s">
        <v>12004</v>
      </c>
      <c r="B2496" s="513" t="s">
        <v>11906</v>
      </c>
    </row>
    <row r="2497" spans="1:2">
      <c r="A2497" s="513" t="s">
        <v>183</v>
      </c>
      <c r="B2497" s="513" t="s">
        <v>14291</v>
      </c>
    </row>
    <row r="2498" spans="1:2">
      <c r="A2498" s="513" t="s">
        <v>1585</v>
      </c>
      <c r="B2498" s="513" t="s">
        <v>14292</v>
      </c>
    </row>
    <row r="2499" spans="1:2">
      <c r="A2499" s="513" t="s">
        <v>1613</v>
      </c>
      <c r="B2499" s="513" t="s">
        <v>14281</v>
      </c>
    </row>
    <row r="2500" spans="1:2">
      <c r="A2500" s="513" t="s">
        <v>1611</v>
      </c>
      <c r="B2500" s="513" t="s">
        <v>14293</v>
      </c>
    </row>
    <row r="2501" spans="1:2">
      <c r="A2501" s="513" t="s">
        <v>1612</v>
      </c>
      <c r="B2501" s="513" t="s">
        <v>14294</v>
      </c>
    </row>
    <row r="2502" spans="1:2">
      <c r="A2502" s="513" t="s">
        <v>14296</v>
      </c>
      <c r="B2502" s="513" t="s">
        <v>9696</v>
      </c>
    </row>
    <row r="2503" spans="1:2">
      <c r="A2503" s="513" t="s">
        <v>14297</v>
      </c>
      <c r="B2503" s="513" t="s">
        <v>9877</v>
      </c>
    </row>
    <row r="2504" spans="1:2">
      <c r="A2504" s="513" t="s">
        <v>14300</v>
      </c>
      <c r="B2504" s="513" t="s">
        <v>14301</v>
      </c>
    </row>
    <row r="2505" spans="1:2">
      <c r="A2505" s="513" t="s">
        <v>500</v>
      </c>
      <c r="B2505" s="513" t="s">
        <v>14302</v>
      </c>
    </row>
    <row r="2506" spans="1:2">
      <c r="A2506" s="513" t="s">
        <v>501</v>
      </c>
      <c r="B2506" s="513" t="s">
        <v>14303</v>
      </c>
    </row>
    <row r="2507" spans="1:2">
      <c r="A2507" s="513" t="s">
        <v>502</v>
      </c>
      <c r="B2507" s="513" t="s">
        <v>14304</v>
      </c>
    </row>
    <row r="2508" spans="1:2">
      <c r="A2508" s="513" t="s">
        <v>503</v>
      </c>
      <c r="B2508" s="513" t="s">
        <v>14305</v>
      </c>
    </row>
    <row r="2509" spans="1:2">
      <c r="A2509" s="513" t="s">
        <v>504</v>
      </c>
      <c r="B2509" s="513" t="s">
        <v>14306</v>
      </c>
    </row>
    <row r="2510" spans="1:2">
      <c r="A2510" s="513" t="s">
        <v>505</v>
      </c>
      <c r="B2510" s="513" t="s">
        <v>14307</v>
      </c>
    </row>
    <row r="2511" spans="1:2">
      <c r="A2511" s="513" t="s">
        <v>506</v>
      </c>
      <c r="B2511" s="513" t="s">
        <v>14308</v>
      </c>
    </row>
    <row r="2512" spans="1:2">
      <c r="A2512" s="513" t="s">
        <v>507</v>
      </c>
      <c r="B2512" s="513" t="s">
        <v>14309</v>
      </c>
    </row>
    <row r="2513" spans="1:2">
      <c r="A2513" s="513" t="s">
        <v>508</v>
      </c>
      <c r="B2513" s="513" t="s">
        <v>14310</v>
      </c>
    </row>
    <row r="2514" spans="1:2">
      <c r="A2514" s="513" t="s">
        <v>509</v>
      </c>
      <c r="B2514" s="513" t="s">
        <v>14311</v>
      </c>
    </row>
    <row r="2515" spans="1:2">
      <c r="A2515" s="513" t="s">
        <v>510</v>
      </c>
      <c r="B2515" s="513" t="s">
        <v>14312</v>
      </c>
    </row>
    <row r="2516" spans="1:2">
      <c r="A2516" s="513" t="s">
        <v>511</v>
      </c>
      <c r="B2516" s="513" t="s">
        <v>14313</v>
      </c>
    </row>
    <row r="2517" spans="1:2">
      <c r="A2517" s="513" t="s">
        <v>512</v>
      </c>
      <c r="B2517" s="513" t="s">
        <v>14314</v>
      </c>
    </row>
    <row r="2518" spans="1:2">
      <c r="A2518" s="513" t="s">
        <v>513</v>
      </c>
      <c r="B2518" s="513" t="s">
        <v>14315</v>
      </c>
    </row>
    <row r="2519" spans="1:2">
      <c r="A2519" s="513" t="s">
        <v>514</v>
      </c>
      <c r="B2519" s="513" t="s">
        <v>14316</v>
      </c>
    </row>
    <row r="2520" spans="1:2">
      <c r="A2520" s="513" t="s">
        <v>515</v>
      </c>
      <c r="B2520" s="513" t="s">
        <v>14317</v>
      </c>
    </row>
    <row r="2521" spans="1:2">
      <c r="A2521" s="513" t="s">
        <v>516</v>
      </c>
      <c r="B2521" s="513" t="s">
        <v>14318</v>
      </c>
    </row>
    <row r="2522" spans="1:2">
      <c r="A2522" s="513" t="s">
        <v>517</v>
      </c>
      <c r="B2522" s="513" t="s">
        <v>14319</v>
      </c>
    </row>
    <row r="2523" spans="1:2">
      <c r="A2523" s="513" t="s">
        <v>518</v>
      </c>
      <c r="B2523" s="513" t="s">
        <v>14320</v>
      </c>
    </row>
    <row r="2524" spans="1:2">
      <c r="A2524" s="513" t="s">
        <v>519</v>
      </c>
      <c r="B2524" s="513" t="s">
        <v>14321</v>
      </c>
    </row>
    <row r="2525" spans="1:2">
      <c r="A2525" s="513" t="s">
        <v>520</v>
      </c>
      <c r="B2525" s="513" t="s">
        <v>14322</v>
      </c>
    </row>
    <row r="2526" spans="1:2">
      <c r="A2526" s="513" t="s">
        <v>521</v>
      </c>
      <c r="B2526" s="513" t="s">
        <v>14323</v>
      </c>
    </row>
    <row r="2527" spans="1:2">
      <c r="A2527" s="513" t="s">
        <v>522</v>
      </c>
      <c r="B2527" s="513" t="s">
        <v>14324</v>
      </c>
    </row>
    <row r="2528" spans="1:2">
      <c r="A2528" s="513" t="s">
        <v>523</v>
      </c>
      <c r="B2528" s="513" t="s">
        <v>14325</v>
      </c>
    </row>
    <row r="2529" spans="1:2">
      <c r="A2529" s="513" t="s">
        <v>14326</v>
      </c>
      <c r="B2529" s="513" t="s">
        <v>14327</v>
      </c>
    </row>
    <row r="2530" spans="1:2">
      <c r="A2530" s="513" t="s">
        <v>14328</v>
      </c>
      <c r="B2530" s="513" t="s">
        <v>14329</v>
      </c>
    </row>
    <row r="2531" spans="1:2">
      <c r="A2531" s="513" t="s">
        <v>524</v>
      </c>
      <c r="B2531" s="513" t="s">
        <v>14330</v>
      </c>
    </row>
    <row r="2532" spans="1:2">
      <c r="A2532" s="513" t="s">
        <v>525</v>
      </c>
      <c r="B2532" s="513" t="s">
        <v>14331</v>
      </c>
    </row>
    <row r="2533" spans="1:2">
      <c r="A2533" s="513" t="s">
        <v>526</v>
      </c>
      <c r="B2533" s="513" t="s">
        <v>14332</v>
      </c>
    </row>
    <row r="2534" spans="1:2">
      <c r="A2534" s="513" t="s">
        <v>527</v>
      </c>
      <c r="B2534" s="513" t="s">
        <v>14333</v>
      </c>
    </row>
    <row r="2535" spans="1:2">
      <c r="A2535" s="513" t="s">
        <v>528</v>
      </c>
      <c r="B2535" s="513" t="s">
        <v>14334</v>
      </c>
    </row>
    <row r="2536" spans="1:2">
      <c r="A2536" s="513" t="s">
        <v>529</v>
      </c>
      <c r="B2536" s="513" t="s">
        <v>14335</v>
      </c>
    </row>
    <row r="2537" spans="1:2">
      <c r="A2537" s="513" t="s">
        <v>530</v>
      </c>
      <c r="B2537" s="513" t="s">
        <v>14336</v>
      </c>
    </row>
    <row r="2538" spans="1:2">
      <c r="A2538" s="513" t="s">
        <v>531</v>
      </c>
      <c r="B2538" s="513" t="s">
        <v>14337</v>
      </c>
    </row>
    <row r="2539" spans="1:2">
      <c r="A2539" s="513" t="s">
        <v>532</v>
      </c>
      <c r="B2539" s="513" t="s">
        <v>14338</v>
      </c>
    </row>
    <row r="2540" spans="1:2">
      <c r="A2540" s="513" t="s">
        <v>533</v>
      </c>
      <c r="B2540" s="513" t="s">
        <v>14339</v>
      </c>
    </row>
    <row r="2541" spans="1:2">
      <c r="A2541" s="513" t="s">
        <v>534</v>
      </c>
      <c r="B2541" s="513" t="s">
        <v>14340</v>
      </c>
    </row>
    <row r="2542" spans="1:2">
      <c r="A2542" s="513" t="s">
        <v>535</v>
      </c>
      <c r="B2542" s="513" t="s">
        <v>14341</v>
      </c>
    </row>
    <row r="2543" spans="1:2">
      <c r="A2543" s="513" t="s">
        <v>536</v>
      </c>
      <c r="B2543" s="513" t="s">
        <v>14342</v>
      </c>
    </row>
    <row r="2544" spans="1:2">
      <c r="A2544" s="513" t="s">
        <v>14343</v>
      </c>
      <c r="B2544" s="513" t="s">
        <v>10367</v>
      </c>
    </row>
    <row r="2545" spans="1:2">
      <c r="A2545" s="513" t="s">
        <v>14352</v>
      </c>
      <c r="B2545" s="513" t="s">
        <v>14353</v>
      </c>
    </row>
    <row r="2546" spans="1:2">
      <c r="A2546" s="513" t="s">
        <v>14354</v>
      </c>
      <c r="B2546" s="513" t="s">
        <v>14353</v>
      </c>
    </row>
    <row r="2547" spans="1:2">
      <c r="A2547" s="513" t="s">
        <v>14355</v>
      </c>
      <c r="B2547" s="513" t="s">
        <v>14353</v>
      </c>
    </row>
    <row r="2548" spans="1:2">
      <c r="A2548" s="513" t="s">
        <v>14356</v>
      </c>
      <c r="B2548" s="513" t="s">
        <v>14353</v>
      </c>
    </row>
    <row r="2549" spans="1:2">
      <c r="A2549" s="513" t="s">
        <v>14357</v>
      </c>
      <c r="B2549" s="513" t="s">
        <v>14353</v>
      </c>
    </row>
    <row r="2550" spans="1:2">
      <c r="A2550" s="513" t="s">
        <v>14358</v>
      </c>
      <c r="B2550" s="513" t="s">
        <v>14353</v>
      </c>
    </row>
    <row r="2551" spans="1:2">
      <c r="A2551" s="513" t="s">
        <v>14359</v>
      </c>
      <c r="B2551" s="513" t="s">
        <v>14353</v>
      </c>
    </row>
    <row r="2552" spans="1:2">
      <c r="A2552" s="513" t="s">
        <v>14360</v>
      </c>
      <c r="B2552" s="513" t="s">
        <v>14353</v>
      </c>
    </row>
    <row r="2553" spans="1:2">
      <c r="A2553" s="513" t="s">
        <v>14361</v>
      </c>
      <c r="B2553" s="513" t="s">
        <v>14353</v>
      </c>
    </row>
    <row r="2554" spans="1:2">
      <c r="A2554" s="513" t="s">
        <v>14362</v>
      </c>
      <c r="B2554" s="513" t="s">
        <v>14353</v>
      </c>
    </row>
    <row r="2555" spans="1:2">
      <c r="A2555" s="513" t="s">
        <v>14363</v>
      </c>
      <c r="B2555" s="513" t="s">
        <v>9719</v>
      </c>
    </row>
    <row r="2556" spans="1:2">
      <c r="A2556" s="513" t="s">
        <v>14364</v>
      </c>
      <c r="B2556" s="513" t="s">
        <v>35</v>
      </c>
    </row>
    <row r="2557" spans="1:2">
      <c r="A2557" s="513" t="s">
        <v>14365</v>
      </c>
      <c r="B2557" s="513" t="s">
        <v>1707</v>
      </c>
    </row>
    <row r="2558" spans="1:2">
      <c r="A2558" s="513" t="s">
        <v>14366</v>
      </c>
      <c r="B2558" s="513" t="s">
        <v>1728</v>
      </c>
    </row>
    <row r="2559" spans="1:2">
      <c r="A2559" s="513" t="s">
        <v>14367</v>
      </c>
      <c r="B2559" s="513" t="s">
        <v>9703</v>
      </c>
    </row>
    <row r="2560" spans="1:2">
      <c r="A2560" s="513" t="s">
        <v>14368</v>
      </c>
      <c r="B2560" s="513" t="s">
        <v>1730</v>
      </c>
    </row>
    <row r="2561" spans="1:2">
      <c r="A2561" s="513" t="s">
        <v>14369</v>
      </c>
      <c r="B2561" s="513" t="s">
        <v>1731</v>
      </c>
    </row>
    <row r="2562" spans="1:2">
      <c r="A2562" s="513" t="s">
        <v>14370</v>
      </c>
      <c r="B2562" s="513" t="s">
        <v>14371</v>
      </c>
    </row>
    <row r="2563" spans="1:2">
      <c r="A2563" s="513" t="s">
        <v>14372</v>
      </c>
      <c r="B2563" s="513" t="s">
        <v>14373</v>
      </c>
    </row>
    <row r="2564" spans="1:2">
      <c r="A2564" s="513" t="s">
        <v>14374</v>
      </c>
      <c r="B2564" s="513" t="s">
        <v>9740</v>
      </c>
    </row>
    <row r="2565" spans="1:2">
      <c r="A2565" s="513" t="s">
        <v>14375</v>
      </c>
      <c r="B2565" s="513" t="s">
        <v>11</v>
      </c>
    </row>
    <row r="2566" spans="1:2">
      <c r="A2566" s="513" t="s">
        <v>14376</v>
      </c>
      <c r="B2566" s="513" t="s">
        <v>9875</v>
      </c>
    </row>
    <row r="2567" spans="1:2">
      <c r="A2567" s="513" t="s">
        <v>14377</v>
      </c>
      <c r="B2567" s="513" t="s">
        <v>14378</v>
      </c>
    </row>
    <row r="2568" spans="1:2">
      <c r="A2568" s="513" t="s">
        <v>14379</v>
      </c>
      <c r="B2568" s="513" t="s">
        <v>14380</v>
      </c>
    </row>
    <row r="2569" spans="1:2">
      <c r="A2569" s="513" t="s">
        <v>14381</v>
      </c>
      <c r="B2569" s="513" t="s">
        <v>14382</v>
      </c>
    </row>
    <row r="2570" spans="1:2">
      <c r="A2570" s="513" t="s">
        <v>14383</v>
      </c>
      <c r="B2570" s="513" t="s">
        <v>14384</v>
      </c>
    </row>
    <row r="2571" spans="1:2">
      <c r="A2571" s="513" t="s">
        <v>14385</v>
      </c>
      <c r="B2571" s="513" t="s">
        <v>14386</v>
      </c>
    </row>
    <row r="2572" spans="1:2">
      <c r="A2572" s="513" t="s">
        <v>14387</v>
      </c>
      <c r="B2572" s="513" t="s">
        <v>14378</v>
      </c>
    </row>
    <row r="2573" spans="1:2">
      <c r="A2573" s="513" t="s">
        <v>14388</v>
      </c>
      <c r="B2573" s="513" t="s">
        <v>14389</v>
      </c>
    </row>
    <row r="2574" spans="1:2">
      <c r="A2574" s="513" t="s">
        <v>14390</v>
      </c>
      <c r="B2574" s="513" t="s">
        <v>14391</v>
      </c>
    </row>
    <row r="2575" spans="1:2">
      <c r="A2575" s="513" t="s">
        <v>14392</v>
      </c>
      <c r="B2575" s="513" t="s">
        <v>9916</v>
      </c>
    </row>
    <row r="2576" spans="1:2">
      <c r="A2576" s="513" t="s">
        <v>14393</v>
      </c>
      <c r="B2576" s="513" t="s">
        <v>9877</v>
      </c>
    </row>
    <row r="2577" spans="1:2">
      <c r="A2577" s="513" t="s">
        <v>14394</v>
      </c>
      <c r="B2577" s="513" t="s">
        <v>14395</v>
      </c>
    </row>
    <row r="2578" spans="1:2">
      <c r="A2578" s="513" t="s">
        <v>14396</v>
      </c>
      <c r="B2578" s="513" t="s">
        <v>14397</v>
      </c>
    </row>
    <row r="2579" spans="1:2">
      <c r="A2579" s="513" t="s">
        <v>14398</v>
      </c>
      <c r="B2579" s="513" t="s">
        <v>14399</v>
      </c>
    </row>
    <row r="2580" spans="1:2">
      <c r="A2580" s="513" t="s">
        <v>14403</v>
      </c>
      <c r="B2580" s="513" t="s">
        <v>14404</v>
      </c>
    </row>
    <row r="2581" spans="1:2">
      <c r="A2581" s="513" t="s">
        <v>14405</v>
      </c>
      <c r="B2581" s="513" t="s">
        <v>14406</v>
      </c>
    </row>
    <row r="2582" spans="1:2">
      <c r="A2582" s="513" t="s">
        <v>14407</v>
      </c>
      <c r="B2582" s="513" t="s">
        <v>14408</v>
      </c>
    </row>
    <row r="2583" spans="1:2">
      <c r="A2583" s="513" t="s">
        <v>14409</v>
      </c>
      <c r="B2583" s="513" t="s">
        <v>14410</v>
      </c>
    </row>
    <row r="2584" spans="1:2">
      <c r="A2584" s="513" t="s">
        <v>14411</v>
      </c>
      <c r="B2584" s="513" t="s">
        <v>14412</v>
      </c>
    </row>
    <row r="2585" spans="1:2">
      <c r="A2585" s="513" t="s">
        <v>14413</v>
      </c>
      <c r="B2585" s="513" t="s">
        <v>14414</v>
      </c>
    </row>
    <row r="2586" spans="1:2">
      <c r="A2586" s="513" t="s">
        <v>14415</v>
      </c>
      <c r="B2586" s="513" t="s">
        <v>14416</v>
      </c>
    </row>
    <row r="2587" spans="1:2">
      <c r="A2587" s="513" t="s">
        <v>14417</v>
      </c>
      <c r="B2587" s="513" t="s">
        <v>14418</v>
      </c>
    </row>
    <row r="2588" spans="1:2">
      <c r="A2588" s="513" t="s">
        <v>14421</v>
      </c>
      <c r="B2588" s="513" t="s">
        <v>9957</v>
      </c>
    </row>
    <row r="2589" spans="1:2">
      <c r="A2589" s="513" t="s">
        <v>14422</v>
      </c>
      <c r="B2589" s="513" t="s">
        <v>9877</v>
      </c>
    </row>
    <row r="2590" spans="1:2">
      <c r="A2590" s="513" t="s">
        <v>14423</v>
      </c>
      <c r="B2590" s="513" t="s">
        <v>14275</v>
      </c>
    </row>
    <row r="2591" spans="1:2">
      <c r="A2591" s="513" t="s">
        <v>14424</v>
      </c>
      <c r="B2591" s="513" t="s">
        <v>9964</v>
      </c>
    </row>
    <row r="2592" spans="1:2">
      <c r="A2592" s="513" t="s">
        <v>14425</v>
      </c>
      <c r="B2592" s="513" t="s">
        <v>9877</v>
      </c>
    </row>
    <row r="2593" spans="1:2">
      <c r="A2593" s="513" t="s">
        <v>14426</v>
      </c>
      <c r="B2593" s="513" t="s">
        <v>14275</v>
      </c>
    </row>
    <row r="2594" spans="1:2">
      <c r="A2594" s="513" t="s">
        <v>14427</v>
      </c>
      <c r="B2594" s="513" t="s">
        <v>10041</v>
      </c>
    </row>
    <row r="2595" spans="1:2">
      <c r="A2595" s="513" t="s">
        <v>14428</v>
      </c>
      <c r="B2595" s="513" t="s">
        <v>9877</v>
      </c>
    </row>
    <row r="2596" spans="1:2">
      <c r="A2596" s="513" t="s">
        <v>14429</v>
      </c>
      <c r="B2596" s="513" t="s">
        <v>10803</v>
      </c>
    </row>
    <row r="2597" spans="1:2">
      <c r="A2597" s="513" t="s">
        <v>14430</v>
      </c>
      <c r="B2597" s="513" t="s">
        <v>10113</v>
      </c>
    </row>
    <row r="2598" spans="1:2">
      <c r="A2598" s="513" t="s">
        <v>14431</v>
      </c>
      <c r="B2598" s="513" t="s">
        <v>9877</v>
      </c>
    </row>
    <row r="2599" spans="1:2">
      <c r="A2599" s="513" t="s">
        <v>14432</v>
      </c>
      <c r="B2599" s="513" t="s">
        <v>14275</v>
      </c>
    </row>
    <row r="2600" spans="1:2">
      <c r="A2600" s="513" t="s">
        <v>14433</v>
      </c>
      <c r="B2600" s="513" t="s">
        <v>14275</v>
      </c>
    </row>
    <row r="2601" spans="1:2">
      <c r="A2601" s="513" t="s">
        <v>14434</v>
      </c>
      <c r="B2601" s="513" t="s">
        <v>14275</v>
      </c>
    </row>
    <row r="2602" spans="1:2">
      <c r="A2602" s="513" t="s">
        <v>14435</v>
      </c>
      <c r="B2602" s="513" t="s">
        <v>10135</v>
      </c>
    </row>
    <row r="2603" spans="1:2">
      <c r="A2603" s="513" t="s">
        <v>19149</v>
      </c>
      <c r="B2603" s="513" t="s">
        <v>14749</v>
      </c>
    </row>
    <row r="2604" spans="1:2">
      <c r="A2604" s="513" t="s">
        <v>19485</v>
      </c>
      <c r="B2604" s="513" t="s">
        <v>14749</v>
      </c>
    </row>
    <row r="2605" spans="1:2">
      <c r="A2605" s="513" t="s">
        <v>19486</v>
      </c>
      <c r="B2605" s="513" t="s">
        <v>14749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B274"/>
  <sheetViews>
    <sheetView topLeftCell="A115" workbookViewId="0">
      <selection activeCell="B125" sqref="B125"/>
    </sheetView>
  </sheetViews>
  <sheetFormatPr baseColWidth="10" defaultRowHeight="15"/>
  <cols>
    <col min="1" max="1" width="19.28515625" style="27" bestFit="1" customWidth="1"/>
    <col min="2" max="2" width="81.140625" customWidth="1"/>
    <col min="3" max="3" width="15.5703125" bestFit="1" customWidth="1"/>
  </cols>
  <sheetData>
    <row r="1" spans="1:2">
      <c r="A1" s="513" t="s">
        <v>1590</v>
      </c>
      <c r="B1" s="512" t="s">
        <v>14762</v>
      </c>
    </row>
    <row r="2" spans="1:2">
      <c r="A2" s="513" t="s">
        <v>20273</v>
      </c>
      <c r="B2" s="512" t="s">
        <v>20274</v>
      </c>
    </row>
    <row r="3" spans="1:2">
      <c r="A3" s="513" t="s">
        <v>20295</v>
      </c>
      <c r="B3" s="513" t="s">
        <v>20296</v>
      </c>
    </row>
    <row r="4" spans="1:2">
      <c r="A4" s="513" t="s">
        <v>20317</v>
      </c>
      <c r="B4" s="513" t="s">
        <v>20318</v>
      </c>
    </row>
    <row r="5" spans="1:2">
      <c r="A5" s="513" t="s">
        <v>20278</v>
      </c>
      <c r="B5" s="513" t="s">
        <v>20274</v>
      </c>
    </row>
    <row r="6" spans="1:2">
      <c r="A6" s="513" t="s">
        <v>20299</v>
      </c>
      <c r="B6" s="513" t="s">
        <v>20296</v>
      </c>
    </row>
    <row r="7" spans="1:2">
      <c r="A7" s="513" t="s">
        <v>20329</v>
      </c>
      <c r="B7" s="513" t="s">
        <v>20318</v>
      </c>
    </row>
    <row r="8" spans="1:2">
      <c r="A8" s="513" t="s">
        <v>20275</v>
      </c>
      <c r="B8" s="513" t="s">
        <v>20274</v>
      </c>
    </row>
    <row r="9" spans="1:2">
      <c r="A9" s="513" t="s">
        <v>20300</v>
      </c>
      <c r="B9" s="513" t="s">
        <v>20296</v>
      </c>
    </row>
    <row r="10" spans="1:2">
      <c r="A10" s="513" t="s">
        <v>20319</v>
      </c>
      <c r="B10" s="513" t="s">
        <v>20318</v>
      </c>
    </row>
    <row r="11" spans="1:2">
      <c r="A11" s="513" t="s">
        <v>20283</v>
      </c>
      <c r="B11" s="513" t="s">
        <v>20274</v>
      </c>
    </row>
    <row r="12" spans="1:2">
      <c r="A12" s="513" t="s">
        <v>20307</v>
      </c>
      <c r="B12" s="513" t="s">
        <v>20296</v>
      </c>
    </row>
    <row r="13" spans="1:2">
      <c r="A13" s="513" t="s">
        <v>20331</v>
      </c>
      <c r="B13" s="513" t="s">
        <v>20318</v>
      </c>
    </row>
    <row r="14" spans="1:2">
      <c r="A14" s="513" t="s">
        <v>20294</v>
      </c>
      <c r="B14" s="513" t="s">
        <v>20274</v>
      </c>
    </row>
    <row r="15" spans="1:2">
      <c r="A15" s="513" t="s">
        <v>20308</v>
      </c>
      <c r="B15" s="513" t="s">
        <v>20296</v>
      </c>
    </row>
    <row r="16" spans="1:2">
      <c r="A16" s="513" t="s">
        <v>20332</v>
      </c>
      <c r="B16" s="513" t="s">
        <v>20318</v>
      </c>
    </row>
    <row r="17" spans="1:2">
      <c r="A17" s="513" t="s">
        <v>20288</v>
      </c>
      <c r="B17" s="513" t="s">
        <v>20274</v>
      </c>
    </row>
    <row r="18" spans="1:2">
      <c r="A18" s="513" t="s">
        <v>20316</v>
      </c>
      <c r="B18" s="513" t="s">
        <v>20296</v>
      </c>
    </row>
    <row r="19" spans="1:2">
      <c r="A19" s="513" t="s">
        <v>20334</v>
      </c>
      <c r="B19" s="513" t="s">
        <v>20318</v>
      </c>
    </row>
    <row r="20" spans="1:2">
      <c r="A20" s="513" t="s">
        <v>20279</v>
      </c>
      <c r="B20" s="513" t="s">
        <v>20274</v>
      </c>
    </row>
    <row r="21" spans="1:2">
      <c r="A21" s="513" t="s">
        <v>20301</v>
      </c>
      <c r="B21" s="513" t="s">
        <v>20296</v>
      </c>
    </row>
    <row r="22" spans="1:2">
      <c r="A22" s="513" t="s">
        <v>20323</v>
      </c>
      <c r="B22" s="513" t="s">
        <v>20318</v>
      </c>
    </row>
    <row r="23" spans="1:2">
      <c r="A23" s="513" t="s">
        <v>20290</v>
      </c>
      <c r="B23" s="513" t="s">
        <v>20274</v>
      </c>
    </row>
    <row r="24" spans="1:2">
      <c r="A24" s="513" t="s">
        <v>20311</v>
      </c>
      <c r="B24" s="513" t="s">
        <v>20296</v>
      </c>
    </row>
    <row r="25" spans="1:2">
      <c r="A25" s="513" t="s">
        <v>20337</v>
      </c>
      <c r="B25" s="513" t="s">
        <v>20318</v>
      </c>
    </row>
    <row r="26" spans="1:2">
      <c r="A26" s="513" t="s">
        <v>20280</v>
      </c>
      <c r="B26" s="513" t="s">
        <v>20274</v>
      </c>
    </row>
    <row r="27" spans="1:2">
      <c r="A27" s="513" t="s">
        <v>20303</v>
      </c>
      <c r="B27" s="513" t="s">
        <v>20296</v>
      </c>
    </row>
    <row r="28" spans="1:2">
      <c r="A28" s="513" t="s">
        <v>20325</v>
      </c>
      <c r="B28" s="513" t="s">
        <v>20322</v>
      </c>
    </row>
    <row r="29" spans="1:2">
      <c r="A29" s="513" t="s">
        <v>20282</v>
      </c>
      <c r="B29" s="513" t="s">
        <v>20274</v>
      </c>
    </row>
    <row r="30" spans="1:2">
      <c r="A30" s="513" t="s">
        <v>20305</v>
      </c>
      <c r="B30" s="513" t="s">
        <v>20296</v>
      </c>
    </row>
    <row r="31" spans="1:2">
      <c r="A31" s="513" t="s">
        <v>20327</v>
      </c>
      <c r="B31" s="513" t="s">
        <v>20322</v>
      </c>
    </row>
    <row r="32" spans="1:2">
      <c r="A32" s="513" t="s">
        <v>20286</v>
      </c>
      <c r="B32" s="513" t="s">
        <v>20274</v>
      </c>
    </row>
    <row r="33" spans="1:2">
      <c r="A33" s="513" t="s">
        <v>20306</v>
      </c>
      <c r="B33" s="513" t="s">
        <v>20296</v>
      </c>
    </row>
    <row r="34" spans="1:2">
      <c r="A34" s="513" t="s">
        <v>20328</v>
      </c>
      <c r="B34" s="513" t="s">
        <v>20318</v>
      </c>
    </row>
    <row r="35" spans="1:2">
      <c r="A35" s="513" t="s">
        <v>20293</v>
      </c>
      <c r="B35" s="513" t="s">
        <v>20274</v>
      </c>
    </row>
    <row r="36" spans="1:2">
      <c r="A36" s="513" t="s">
        <v>20314</v>
      </c>
      <c r="B36" s="513" t="s">
        <v>20296</v>
      </c>
    </row>
    <row r="37" spans="1:2">
      <c r="A37" s="513" t="s">
        <v>20330</v>
      </c>
      <c r="B37" s="513" t="s">
        <v>20318</v>
      </c>
    </row>
    <row r="38" spans="1:2">
      <c r="A38" s="513" t="s">
        <v>20287</v>
      </c>
      <c r="B38" s="513" t="s">
        <v>20274</v>
      </c>
    </row>
    <row r="39" spans="1:2">
      <c r="A39" s="513" t="s">
        <v>20315</v>
      </c>
      <c r="B39" s="513" t="s">
        <v>20296</v>
      </c>
    </row>
    <row r="40" spans="1:2">
      <c r="A40" s="513" t="s">
        <v>20333</v>
      </c>
      <c r="B40" s="513" t="s">
        <v>20318</v>
      </c>
    </row>
    <row r="41" spans="1:2">
      <c r="A41" s="513" t="s">
        <v>20284</v>
      </c>
      <c r="B41" s="513" t="s">
        <v>20274</v>
      </c>
    </row>
    <row r="42" spans="1:2">
      <c r="A42" s="513" t="s">
        <v>20309</v>
      </c>
      <c r="B42" s="513" t="s">
        <v>20296</v>
      </c>
    </row>
    <row r="43" spans="1:2">
      <c r="A43" s="513" t="s">
        <v>20335</v>
      </c>
      <c r="B43" s="513" t="s">
        <v>20318</v>
      </c>
    </row>
    <row r="44" spans="1:2">
      <c r="A44" s="513" t="s">
        <v>20289</v>
      </c>
      <c r="B44" s="513" t="s">
        <v>20274</v>
      </c>
    </row>
    <row r="45" spans="1:2">
      <c r="A45" s="513" t="s">
        <v>20310</v>
      </c>
      <c r="B45" s="513" t="s">
        <v>20296</v>
      </c>
    </row>
    <row r="46" spans="1:2">
      <c r="A46" s="513" t="s">
        <v>20336</v>
      </c>
      <c r="B46" s="513" t="s">
        <v>20318</v>
      </c>
    </row>
    <row r="47" spans="1:2">
      <c r="A47" s="513" t="s">
        <v>20291</v>
      </c>
      <c r="B47" s="513" t="s">
        <v>20274</v>
      </c>
    </row>
    <row r="48" spans="1:2">
      <c r="A48" s="513" t="s">
        <v>20312</v>
      </c>
      <c r="B48" s="513" t="s">
        <v>20296</v>
      </c>
    </row>
    <row r="49" spans="1:2">
      <c r="A49" s="513" t="s">
        <v>20338</v>
      </c>
      <c r="B49" s="513" t="s">
        <v>20322</v>
      </c>
    </row>
    <row r="50" spans="1:2">
      <c r="A50" s="513" t="s">
        <v>20292</v>
      </c>
      <c r="B50" s="513" t="s">
        <v>20274</v>
      </c>
    </row>
    <row r="51" spans="1:2">
      <c r="A51" s="513" t="s">
        <v>20313</v>
      </c>
      <c r="B51" s="513" t="s">
        <v>20296</v>
      </c>
    </row>
    <row r="52" spans="1:2">
      <c r="A52" s="513" t="s">
        <v>20339</v>
      </c>
      <c r="B52" s="513" t="s">
        <v>20322</v>
      </c>
    </row>
    <row r="53" spans="1:2">
      <c r="A53" s="513" t="s">
        <v>20276</v>
      </c>
      <c r="B53" s="513" t="s">
        <v>20274</v>
      </c>
    </row>
    <row r="54" spans="1:2">
      <c r="A54" s="513" t="s">
        <v>20297</v>
      </c>
      <c r="B54" s="513" t="s">
        <v>20296</v>
      </c>
    </row>
    <row r="55" spans="1:2">
      <c r="A55" s="513" t="s">
        <v>20320</v>
      </c>
      <c r="B55" s="513" t="s">
        <v>20318</v>
      </c>
    </row>
    <row r="56" spans="1:2">
      <c r="A56" s="513" t="s">
        <v>20285</v>
      </c>
      <c r="B56" s="513" t="s">
        <v>20274</v>
      </c>
    </row>
    <row r="57" spans="1:2">
      <c r="A57" s="513" t="s">
        <v>20302</v>
      </c>
      <c r="B57" s="513" t="s">
        <v>20296</v>
      </c>
    </row>
    <row r="58" spans="1:2">
      <c r="A58" s="513" t="s">
        <v>20324</v>
      </c>
      <c r="B58" s="513" t="s">
        <v>20318</v>
      </c>
    </row>
    <row r="59" spans="1:2">
      <c r="A59" s="513" t="s">
        <v>20277</v>
      </c>
      <c r="B59" s="513" t="s">
        <v>20274</v>
      </c>
    </row>
    <row r="60" spans="1:2">
      <c r="A60" s="513" t="s">
        <v>20298</v>
      </c>
      <c r="B60" s="513" t="s">
        <v>20296</v>
      </c>
    </row>
    <row r="61" spans="1:2">
      <c r="A61" s="513" t="s">
        <v>20321</v>
      </c>
      <c r="B61" s="513" t="s">
        <v>20322</v>
      </c>
    </row>
    <row r="62" spans="1:2">
      <c r="A62" s="513" t="s">
        <v>20281</v>
      </c>
      <c r="B62" s="513" t="s">
        <v>20274</v>
      </c>
    </row>
    <row r="63" spans="1:2">
      <c r="A63" s="513" t="s">
        <v>20304</v>
      </c>
      <c r="B63" s="513" t="s">
        <v>20296</v>
      </c>
    </row>
    <row r="64" spans="1:2">
      <c r="A64" s="513" t="s">
        <v>20326</v>
      </c>
      <c r="B64" s="513" t="s">
        <v>20322</v>
      </c>
    </row>
    <row r="65" spans="1:2">
      <c r="A65" s="513" t="s">
        <v>14765</v>
      </c>
      <c r="B65" s="513" t="s">
        <v>14783</v>
      </c>
    </row>
    <row r="66" spans="1:2">
      <c r="A66" s="513" t="s">
        <v>14764</v>
      </c>
      <c r="B66" s="513" t="s">
        <v>14783</v>
      </c>
    </row>
    <row r="67" spans="1:2">
      <c r="A67" s="513" t="s">
        <v>20679</v>
      </c>
      <c r="B67" s="513" t="s">
        <v>19121</v>
      </c>
    </row>
    <row r="68" spans="1:2">
      <c r="A68" s="513" t="s">
        <v>20678</v>
      </c>
      <c r="B68" s="513" t="s">
        <v>19120</v>
      </c>
    </row>
    <row r="69" spans="1:2">
      <c r="A69" s="513" t="s">
        <v>20677</v>
      </c>
      <c r="B69" s="513" t="s">
        <v>19119</v>
      </c>
    </row>
    <row r="70" spans="1:2">
      <c r="A70" s="513" t="s">
        <v>20676</v>
      </c>
      <c r="B70" s="513" t="s">
        <v>19117</v>
      </c>
    </row>
    <row r="71" spans="1:2">
      <c r="A71" s="513" t="s">
        <v>20675</v>
      </c>
      <c r="B71" s="513" t="s">
        <v>19116</v>
      </c>
    </row>
    <row r="72" spans="1:2">
      <c r="A72" s="513" t="s">
        <v>20674</v>
      </c>
      <c r="B72" s="513" t="s">
        <v>14337</v>
      </c>
    </row>
    <row r="73" spans="1:2">
      <c r="A73" s="513" t="s">
        <v>20673</v>
      </c>
      <c r="B73" s="513" t="s">
        <v>14336</v>
      </c>
    </row>
    <row r="74" spans="1:2">
      <c r="A74" s="513" t="s">
        <v>20672</v>
      </c>
      <c r="B74" s="513" t="s">
        <v>14341</v>
      </c>
    </row>
    <row r="75" spans="1:2">
      <c r="A75" s="513" t="s">
        <v>20671</v>
      </c>
      <c r="B75" s="513" t="s">
        <v>14340</v>
      </c>
    </row>
    <row r="76" spans="1:2">
      <c r="A76" s="513" t="s">
        <v>20670</v>
      </c>
      <c r="B76" s="513" t="s">
        <v>14339</v>
      </c>
    </row>
    <row r="77" spans="1:2">
      <c r="A77" s="513" t="s">
        <v>20669</v>
      </c>
      <c r="B77" s="513" t="s">
        <v>14338</v>
      </c>
    </row>
    <row r="78" spans="1:2">
      <c r="A78" s="513" t="s">
        <v>20668</v>
      </c>
      <c r="B78" s="513" t="s">
        <v>19115</v>
      </c>
    </row>
    <row r="79" spans="1:2">
      <c r="A79" s="513" t="s">
        <v>20667</v>
      </c>
      <c r="B79" s="513" t="s">
        <v>14335</v>
      </c>
    </row>
    <row r="80" spans="1:2">
      <c r="A80" s="513" t="s">
        <v>20666</v>
      </c>
      <c r="B80" s="513" t="s">
        <v>14334</v>
      </c>
    </row>
    <row r="81" spans="1:2">
      <c r="A81" s="513" t="s">
        <v>20665</v>
      </c>
      <c r="B81" s="513" t="s">
        <v>14333</v>
      </c>
    </row>
    <row r="82" spans="1:2">
      <c r="A82" s="513" t="s">
        <v>20664</v>
      </c>
      <c r="B82" s="513" t="s">
        <v>14332</v>
      </c>
    </row>
    <row r="83" spans="1:2">
      <c r="A83" s="513" t="s">
        <v>20663</v>
      </c>
      <c r="B83" s="513" t="s">
        <v>14330</v>
      </c>
    </row>
    <row r="84" spans="1:2">
      <c r="A84" s="513" t="s">
        <v>20697</v>
      </c>
      <c r="B84" s="513" t="s">
        <v>19137</v>
      </c>
    </row>
    <row r="85" spans="1:2">
      <c r="A85" s="513" t="s">
        <v>20696</v>
      </c>
      <c r="B85" s="513" t="s">
        <v>19139</v>
      </c>
    </row>
    <row r="86" spans="1:2">
      <c r="A86" s="513" t="s">
        <v>20695</v>
      </c>
      <c r="B86" s="513" t="s">
        <v>19138</v>
      </c>
    </row>
    <row r="87" spans="1:2">
      <c r="A87" s="513" t="s">
        <v>20694</v>
      </c>
      <c r="B87" s="513" t="s">
        <v>19135</v>
      </c>
    </row>
    <row r="88" spans="1:2">
      <c r="A88" s="513" t="s">
        <v>20693</v>
      </c>
      <c r="B88" s="513" t="s">
        <v>19134</v>
      </c>
    </row>
    <row r="89" spans="1:2">
      <c r="A89" s="513" t="s">
        <v>20692</v>
      </c>
      <c r="B89" s="513" t="s">
        <v>19132</v>
      </c>
    </row>
    <row r="90" spans="1:2">
      <c r="A90" s="513" t="s">
        <v>20691</v>
      </c>
      <c r="B90" s="513" t="s">
        <v>19133</v>
      </c>
    </row>
    <row r="91" spans="1:2">
      <c r="A91" s="513" t="s">
        <v>20690</v>
      </c>
      <c r="B91" s="513" t="s">
        <v>19131</v>
      </c>
    </row>
    <row r="92" spans="1:2">
      <c r="A92" s="513" t="s">
        <v>20689</v>
      </c>
      <c r="B92" s="513" t="s">
        <v>19129</v>
      </c>
    </row>
    <row r="93" spans="1:2">
      <c r="A93" s="513" t="s">
        <v>20688</v>
      </c>
      <c r="B93" s="513" t="s">
        <v>460</v>
      </c>
    </row>
    <row r="94" spans="1:2">
      <c r="A94" s="513" t="s">
        <v>20687</v>
      </c>
      <c r="B94" s="513" t="s">
        <v>19127</v>
      </c>
    </row>
    <row r="95" spans="1:2">
      <c r="A95" s="513" t="s">
        <v>20686</v>
      </c>
      <c r="B95" s="513" t="s">
        <v>19126</v>
      </c>
    </row>
    <row r="96" spans="1:2">
      <c r="A96" s="513" t="s">
        <v>20685</v>
      </c>
      <c r="B96" s="513" t="s">
        <v>9997</v>
      </c>
    </row>
    <row r="97" spans="1:2">
      <c r="A97" s="513" t="s">
        <v>20684</v>
      </c>
      <c r="B97" s="513" t="s">
        <v>19125</v>
      </c>
    </row>
    <row r="98" spans="1:2">
      <c r="A98" s="513" t="s">
        <v>20683</v>
      </c>
      <c r="B98" s="513" t="s">
        <v>19124</v>
      </c>
    </row>
    <row r="99" spans="1:2">
      <c r="A99" s="513" t="s">
        <v>20682</v>
      </c>
      <c r="B99" s="513" t="s">
        <v>19123</v>
      </c>
    </row>
    <row r="100" spans="1:2">
      <c r="A100" s="513" t="s">
        <v>20681</v>
      </c>
      <c r="B100" s="513" t="s">
        <v>19118</v>
      </c>
    </row>
    <row r="101" spans="1:2">
      <c r="A101" s="513" t="s">
        <v>20680</v>
      </c>
      <c r="B101" s="513" t="s">
        <v>19122</v>
      </c>
    </row>
    <row r="102" spans="1:2">
      <c r="A102" s="513" t="s">
        <v>20643</v>
      </c>
      <c r="B102" s="513" t="s">
        <v>14311</v>
      </c>
    </row>
    <row r="103" spans="1:2">
      <c r="A103" s="513" t="s">
        <v>20642</v>
      </c>
      <c r="B103" s="513" t="s">
        <v>14321</v>
      </c>
    </row>
    <row r="104" spans="1:2">
      <c r="A104" s="513" t="s">
        <v>20641</v>
      </c>
      <c r="B104" s="513" t="s">
        <v>19104</v>
      </c>
    </row>
    <row r="105" spans="1:2">
      <c r="A105" s="513" t="s">
        <v>20640</v>
      </c>
      <c r="B105" s="513" t="s">
        <v>19103</v>
      </c>
    </row>
    <row r="106" spans="1:2">
      <c r="A106" s="513" t="s">
        <v>20639</v>
      </c>
      <c r="B106" s="513" t="s">
        <v>14327</v>
      </c>
    </row>
    <row r="107" spans="1:2">
      <c r="A107" s="513" t="s">
        <v>20638</v>
      </c>
      <c r="B107" s="513" t="s">
        <v>14329</v>
      </c>
    </row>
    <row r="108" spans="1:2">
      <c r="A108" s="513" t="s">
        <v>20637</v>
      </c>
      <c r="B108" s="513" t="s">
        <v>14310</v>
      </c>
    </row>
    <row r="109" spans="1:2">
      <c r="A109" s="513" t="s">
        <v>20636</v>
      </c>
      <c r="B109" s="513" t="s">
        <v>9560</v>
      </c>
    </row>
    <row r="110" spans="1:2">
      <c r="A110" s="513" t="s">
        <v>20635</v>
      </c>
      <c r="B110" s="513" t="s">
        <v>14308</v>
      </c>
    </row>
    <row r="111" spans="1:2">
      <c r="A111" s="513" t="s">
        <v>20634</v>
      </c>
      <c r="B111" s="513" t="s">
        <v>14309</v>
      </c>
    </row>
    <row r="112" spans="1:2">
      <c r="A112" s="513" t="s">
        <v>20633</v>
      </c>
      <c r="B112" s="513" t="s">
        <v>14307</v>
      </c>
    </row>
    <row r="113" spans="1:2">
      <c r="A113" s="513" t="s">
        <v>20632</v>
      </c>
      <c r="B113" s="513" t="s">
        <v>19101</v>
      </c>
    </row>
    <row r="114" spans="1:2">
      <c r="A114" s="513" t="s">
        <v>20631</v>
      </c>
      <c r="B114" s="513" t="s">
        <v>14305</v>
      </c>
    </row>
    <row r="115" spans="1:2">
      <c r="A115" s="513" t="s">
        <v>20630</v>
      </c>
      <c r="B115" s="513" t="s">
        <v>19102</v>
      </c>
    </row>
    <row r="116" spans="1:2">
      <c r="A116" s="513" t="s">
        <v>20629</v>
      </c>
      <c r="B116" s="513" t="s">
        <v>19099</v>
      </c>
    </row>
    <row r="117" spans="1:2">
      <c r="A117" s="513" t="s">
        <v>20628</v>
      </c>
      <c r="B117" s="513" t="s">
        <v>14302</v>
      </c>
    </row>
    <row r="118" spans="1:2">
      <c r="A118" s="513" t="s">
        <v>20627</v>
      </c>
      <c r="B118" s="513" t="s">
        <v>19097</v>
      </c>
    </row>
    <row r="119" spans="1:2">
      <c r="A119" s="513" t="s">
        <v>20661</v>
      </c>
      <c r="B119" s="513" t="s">
        <v>20662</v>
      </c>
    </row>
    <row r="120" spans="1:2">
      <c r="A120" s="513" t="s">
        <v>20660</v>
      </c>
      <c r="B120" s="513" t="s">
        <v>19111</v>
      </c>
    </row>
    <row r="121" spans="1:2">
      <c r="A121" s="513" t="s">
        <v>20659</v>
      </c>
      <c r="B121" s="513" t="s">
        <v>19110</v>
      </c>
    </row>
    <row r="122" spans="1:2">
      <c r="A122" s="513" t="s">
        <v>20658</v>
      </c>
      <c r="B122" s="513" t="s">
        <v>14314</v>
      </c>
    </row>
    <row r="123" spans="1:2">
      <c r="A123" s="513" t="s">
        <v>20657</v>
      </c>
      <c r="B123" s="513" t="s">
        <v>19108</v>
      </c>
    </row>
    <row r="124" spans="1:2">
      <c r="A124" s="513" t="s">
        <v>20656</v>
      </c>
      <c r="B124" s="513" t="s">
        <v>19109</v>
      </c>
    </row>
    <row r="125" spans="1:2">
      <c r="A125" s="513" t="s">
        <v>20655</v>
      </c>
      <c r="B125" s="513" t="s">
        <v>19074</v>
      </c>
    </row>
    <row r="126" spans="1:2">
      <c r="A126" s="513" t="s">
        <v>20654</v>
      </c>
      <c r="B126" s="513" t="s">
        <v>14349</v>
      </c>
    </row>
    <row r="127" spans="1:2">
      <c r="A127" s="513" t="s">
        <v>20653</v>
      </c>
      <c r="B127" s="513" t="s">
        <v>14313</v>
      </c>
    </row>
    <row r="128" spans="1:2">
      <c r="A128" s="513" t="s">
        <v>20652</v>
      </c>
      <c r="B128" s="513" t="s">
        <v>14324</v>
      </c>
    </row>
    <row r="129" spans="1:2">
      <c r="A129" s="513" t="s">
        <v>20651</v>
      </c>
      <c r="B129" s="513" t="s">
        <v>19073</v>
      </c>
    </row>
    <row r="130" spans="1:2">
      <c r="A130" s="513" t="s">
        <v>20650</v>
      </c>
      <c r="B130" s="513" t="s">
        <v>19075</v>
      </c>
    </row>
    <row r="131" spans="1:2">
      <c r="A131" s="513" t="s">
        <v>20649</v>
      </c>
      <c r="B131" s="513" t="s">
        <v>19080</v>
      </c>
    </row>
    <row r="132" spans="1:2">
      <c r="A132" s="513" t="s">
        <v>20648</v>
      </c>
      <c r="B132" s="513" t="s">
        <v>14312</v>
      </c>
    </row>
    <row r="133" spans="1:2">
      <c r="A133" s="513" t="s">
        <v>20647</v>
      </c>
      <c r="B133" s="513" t="s">
        <v>19107</v>
      </c>
    </row>
    <row r="134" spans="1:2">
      <c r="A134" s="513" t="s">
        <v>20646</v>
      </c>
      <c r="B134" s="513" t="s">
        <v>19106</v>
      </c>
    </row>
    <row r="135" spans="1:2">
      <c r="A135" s="513" t="s">
        <v>20645</v>
      </c>
      <c r="B135" s="513" t="s">
        <v>14322</v>
      </c>
    </row>
    <row r="136" spans="1:2">
      <c r="A136" s="513" t="s">
        <v>20644</v>
      </c>
      <c r="B136" s="513" t="s">
        <v>19105</v>
      </c>
    </row>
    <row r="137" spans="1:2">
      <c r="A137" s="513" t="s">
        <v>20022</v>
      </c>
      <c r="B137" s="513" t="s">
        <v>14783</v>
      </c>
    </row>
    <row r="138" spans="1:2">
      <c r="A138" s="513" t="s">
        <v>14801</v>
      </c>
      <c r="B138" s="513" t="s">
        <v>14783</v>
      </c>
    </row>
    <row r="139" spans="1:2">
      <c r="A139" s="513" t="s">
        <v>14763</v>
      </c>
      <c r="B139" s="513" t="s">
        <v>14783</v>
      </c>
    </row>
    <row r="140" spans="1:2">
      <c r="A140" s="513" t="s">
        <v>20704</v>
      </c>
      <c r="B140" s="513" t="s">
        <v>9997</v>
      </c>
    </row>
    <row r="141" spans="1:2">
      <c r="A141" s="513" t="s">
        <v>20705</v>
      </c>
      <c r="B141" s="513" t="s">
        <v>9998</v>
      </c>
    </row>
    <row r="142" spans="1:2">
      <c r="A142" s="513" t="s">
        <v>20706</v>
      </c>
      <c r="B142" s="513" t="s">
        <v>10000</v>
      </c>
    </row>
    <row r="143" spans="1:2">
      <c r="A143" s="513" t="s">
        <v>20707</v>
      </c>
      <c r="B143" s="513" t="s">
        <v>10025</v>
      </c>
    </row>
    <row r="144" spans="1:2">
      <c r="A144" s="513" t="s">
        <v>20708</v>
      </c>
      <c r="B144" s="513" t="s">
        <v>10001</v>
      </c>
    </row>
    <row r="145" spans="1:2">
      <c r="A145" s="513" t="s">
        <v>20709</v>
      </c>
      <c r="B145" s="513" t="s">
        <v>10003</v>
      </c>
    </row>
    <row r="146" spans="1:2">
      <c r="A146" s="513" t="s">
        <v>20710</v>
      </c>
      <c r="B146" s="513" t="s">
        <v>10004</v>
      </c>
    </row>
    <row r="147" spans="1:2">
      <c r="A147" s="513" t="s">
        <v>20711</v>
      </c>
      <c r="B147" s="513" t="s">
        <v>10005</v>
      </c>
    </row>
    <row r="148" spans="1:2">
      <c r="A148" s="513" t="s">
        <v>20712</v>
      </c>
      <c r="B148" s="513" t="s">
        <v>10006</v>
      </c>
    </row>
    <row r="149" spans="1:2">
      <c r="A149" s="513" t="s">
        <v>20713</v>
      </c>
      <c r="B149" s="513" t="s">
        <v>10007</v>
      </c>
    </row>
    <row r="150" spans="1:2">
      <c r="A150" s="513" t="s">
        <v>20714</v>
      </c>
      <c r="B150" s="513" t="s">
        <v>10008</v>
      </c>
    </row>
    <row r="151" spans="1:2">
      <c r="A151" s="513" t="s">
        <v>20715</v>
      </c>
      <c r="B151" s="513" t="s">
        <v>10010</v>
      </c>
    </row>
    <row r="152" spans="1:2">
      <c r="A152" s="513" t="s">
        <v>20716</v>
      </c>
      <c r="B152" s="513" t="s">
        <v>696</v>
      </c>
    </row>
    <row r="153" spans="1:2">
      <c r="A153" s="513" t="s">
        <v>20717</v>
      </c>
      <c r="B153" s="513" t="s">
        <v>10033</v>
      </c>
    </row>
    <row r="154" spans="1:2">
      <c r="A154" s="513" t="s">
        <v>20718</v>
      </c>
      <c r="B154" s="513" t="s">
        <v>10015</v>
      </c>
    </row>
    <row r="155" spans="1:2">
      <c r="A155" s="513" t="s">
        <v>20719</v>
      </c>
      <c r="B155" s="513" t="s">
        <v>10014</v>
      </c>
    </row>
    <row r="156" spans="1:2">
      <c r="A156" s="513" t="s">
        <v>20720</v>
      </c>
      <c r="B156" s="513" t="s">
        <v>10017</v>
      </c>
    </row>
    <row r="157" spans="1:2">
      <c r="A157" s="513" t="s">
        <v>20721</v>
      </c>
      <c r="B157" s="513" t="s">
        <v>10031</v>
      </c>
    </row>
    <row r="158" spans="1:2">
      <c r="A158" s="513" t="s">
        <v>20722</v>
      </c>
      <c r="B158" s="513" t="s">
        <v>10019</v>
      </c>
    </row>
    <row r="159" spans="1:2">
      <c r="A159" s="513" t="s">
        <v>20723</v>
      </c>
      <c r="B159" s="513" t="s">
        <v>10021</v>
      </c>
    </row>
    <row r="160" spans="1:2">
      <c r="A160" s="513" t="s">
        <v>20724</v>
      </c>
      <c r="B160" s="513" t="s">
        <v>10013</v>
      </c>
    </row>
    <row r="161" spans="1:2">
      <c r="A161" s="513" t="s">
        <v>20725</v>
      </c>
      <c r="B161" s="513" t="s">
        <v>10023</v>
      </c>
    </row>
    <row r="162" spans="1:2">
      <c r="A162" s="513" t="s">
        <v>20726</v>
      </c>
      <c r="B162" s="513" t="s">
        <v>9969</v>
      </c>
    </row>
    <row r="163" spans="1:2">
      <c r="A163" s="513" t="s">
        <v>20727</v>
      </c>
      <c r="B163" s="513" t="s">
        <v>389</v>
      </c>
    </row>
    <row r="164" spans="1:2">
      <c r="A164" s="513" t="s">
        <v>20728</v>
      </c>
      <c r="B164" s="513" t="s">
        <v>9971</v>
      </c>
    </row>
    <row r="165" spans="1:2">
      <c r="A165" s="513" t="s">
        <v>20729</v>
      </c>
      <c r="B165" s="513" t="s">
        <v>10027</v>
      </c>
    </row>
    <row r="166" spans="1:2">
      <c r="A166" s="513" t="s">
        <v>20730</v>
      </c>
      <c r="B166" s="513" t="s">
        <v>9972</v>
      </c>
    </row>
    <row r="167" spans="1:2">
      <c r="A167" s="513" t="s">
        <v>20731</v>
      </c>
      <c r="B167" s="513" t="s">
        <v>9974</v>
      </c>
    </row>
    <row r="168" spans="1:2">
      <c r="A168" s="513" t="s">
        <v>20732</v>
      </c>
      <c r="B168" s="513" t="s">
        <v>10029</v>
      </c>
    </row>
    <row r="169" spans="1:2">
      <c r="A169" s="513" t="s">
        <v>20733</v>
      </c>
      <c r="B169" s="513" t="s">
        <v>9975</v>
      </c>
    </row>
    <row r="170" spans="1:2">
      <c r="A170" s="513" t="s">
        <v>20734</v>
      </c>
      <c r="B170" s="513" t="s">
        <v>9977</v>
      </c>
    </row>
    <row r="171" spans="1:2">
      <c r="A171" s="513" t="s">
        <v>20735</v>
      </c>
      <c r="B171" s="513" t="s">
        <v>9979</v>
      </c>
    </row>
    <row r="172" spans="1:2">
      <c r="A172" s="513" t="s">
        <v>20736</v>
      </c>
      <c r="B172" s="513" t="s">
        <v>9981</v>
      </c>
    </row>
    <row r="173" spans="1:2">
      <c r="A173" s="513" t="s">
        <v>20737</v>
      </c>
      <c r="B173" s="513" t="s">
        <v>9982</v>
      </c>
    </row>
    <row r="174" spans="1:2">
      <c r="A174" s="513" t="s">
        <v>20738</v>
      </c>
      <c r="B174" s="513" t="s">
        <v>9984</v>
      </c>
    </row>
    <row r="175" spans="1:2">
      <c r="A175" s="513" t="s">
        <v>20739</v>
      </c>
      <c r="B175" s="513" t="s">
        <v>9986</v>
      </c>
    </row>
    <row r="176" spans="1:2">
      <c r="A176" s="513" t="s">
        <v>20740</v>
      </c>
      <c r="B176" s="513" t="s">
        <v>9987</v>
      </c>
    </row>
    <row r="177" spans="1:2">
      <c r="A177" s="513" t="s">
        <v>20741</v>
      </c>
      <c r="B177" s="513" t="s">
        <v>9989</v>
      </c>
    </row>
    <row r="178" spans="1:2">
      <c r="A178" s="513" t="s">
        <v>20742</v>
      </c>
      <c r="B178" s="513" t="s">
        <v>9991</v>
      </c>
    </row>
    <row r="179" spans="1:2">
      <c r="A179" s="513" t="s">
        <v>20743</v>
      </c>
      <c r="B179" s="513" t="s">
        <v>9992</v>
      </c>
    </row>
    <row r="180" spans="1:2">
      <c r="A180" s="513" t="s">
        <v>20744</v>
      </c>
      <c r="B180" s="513" t="s">
        <v>9993</v>
      </c>
    </row>
    <row r="181" spans="1:2">
      <c r="A181" s="513" t="s">
        <v>20745</v>
      </c>
      <c r="B181" s="513" t="s">
        <v>9994</v>
      </c>
    </row>
    <row r="182" spans="1:2">
      <c r="A182" s="513" t="s">
        <v>20746</v>
      </c>
      <c r="B182" s="513" t="s">
        <v>9995</v>
      </c>
    </row>
    <row r="183" spans="1:2">
      <c r="A183" s="513" t="s">
        <v>14768</v>
      </c>
      <c r="B183" s="513" t="s">
        <v>14783</v>
      </c>
    </row>
    <row r="184" spans="1:2">
      <c r="A184" s="513" t="s">
        <v>1600</v>
      </c>
      <c r="B184" s="513" t="s">
        <v>14783</v>
      </c>
    </row>
    <row r="185" spans="1:2">
      <c r="A185" s="513" t="s">
        <v>1609</v>
      </c>
      <c r="B185" s="513" t="s">
        <v>14783</v>
      </c>
    </row>
    <row r="186" spans="1:2">
      <c r="A186" s="513" t="s">
        <v>1601</v>
      </c>
      <c r="B186" s="513" t="s">
        <v>14783</v>
      </c>
    </row>
    <row r="187" spans="1:2">
      <c r="A187" s="513" t="s">
        <v>20016</v>
      </c>
      <c r="B187" s="513" t="s">
        <v>17233</v>
      </c>
    </row>
    <row r="188" spans="1:2">
      <c r="A188" s="513" t="s">
        <v>20010</v>
      </c>
      <c r="B188" s="513" t="s">
        <v>20344</v>
      </c>
    </row>
    <row r="189" spans="1:2">
      <c r="A189" s="513" t="s">
        <v>20097</v>
      </c>
      <c r="B189" s="513" t="s">
        <v>10547</v>
      </c>
    </row>
    <row r="190" spans="1:2">
      <c r="A190" s="513" t="s">
        <v>20359</v>
      </c>
      <c r="B190" s="513" t="s">
        <v>14783</v>
      </c>
    </row>
    <row r="191" spans="1:2">
      <c r="A191" s="513" t="s">
        <v>20021</v>
      </c>
      <c r="B191" s="513" t="s">
        <v>14783</v>
      </c>
    </row>
    <row r="192" spans="1:2">
      <c r="A192" s="513" t="s">
        <v>20581</v>
      </c>
      <c r="B192" s="513" t="s">
        <v>19131</v>
      </c>
    </row>
    <row r="193" spans="1:2">
      <c r="A193" s="513" t="s">
        <v>20582</v>
      </c>
      <c r="B193" s="513" t="s">
        <v>20583</v>
      </c>
    </row>
    <row r="194" spans="1:2">
      <c r="A194" s="513" t="s">
        <v>20584</v>
      </c>
      <c r="B194" s="513" t="s">
        <v>19124</v>
      </c>
    </row>
    <row r="195" spans="1:2">
      <c r="A195" s="513" t="s">
        <v>20585</v>
      </c>
      <c r="B195" s="513" t="s">
        <v>19125</v>
      </c>
    </row>
    <row r="196" spans="1:2">
      <c r="A196" s="513" t="s">
        <v>20586</v>
      </c>
      <c r="B196" s="513" t="s">
        <v>9997</v>
      </c>
    </row>
    <row r="197" spans="1:2">
      <c r="A197" s="513" t="s">
        <v>20587</v>
      </c>
      <c r="B197" s="513" t="s">
        <v>20588</v>
      </c>
    </row>
    <row r="198" spans="1:2">
      <c r="A198" s="513" t="s">
        <v>20589</v>
      </c>
      <c r="B198" s="513" t="s">
        <v>19127</v>
      </c>
    </row>
    <row r="199" spans="1:2">
      <c r="A199" s="513" t="s">
        <v>20590</v>
      </c>
      <c r="B199" s="513" t="s">
        <v>415</v>
      </c>
    </row>
    <row r="200" spans="1:2">
      <c r="A200" s="513" t="s">
        <v>20591</v>
      </c>
      <c r="B200" s="513" t="s">
        <v>1656</v>
      </c>
    </row>
    <row r="201" spans="1:2">
      <c r="A201" s="513" t="s">
        <v>20592</v>
      </c>
      <c r="B201" s="513" t="s">
        <v>19133</v>
      </c>
    </row>
    <row r="202" spans="1:2">
      <c r="A202" s="513" t="s">
        <v>20593</v>
      </c>
      <c r="B202" s="513" t="s">
        <v>19132</v>
      </c>
    </row>
    <row r="203" spans="1:2">
      <c r="A203" s="513" t="s">
        <v>20594</v>
      </c>
      <c r="B203" s="513" t="s">
        <v>19134</v>
      </c>
    </row>
    <row r="204" spans="1:2">
      <c r="A204" s="513" t="s">
        <v>20595</v>
      </c>
      <c r="B204" s="513" t="s">
        <v>11035</v>
      </c>
    </row>
    <row r="205" spans="1:2">
      <c r="A205" s="513" t="s">
        <v>20596</v>
      </c>
      <c r="B205" s="513" t="s">
        <v>19135</v>
      </c>
    </row>
    <row r="206" spans="1:2">
      <c r="A206" s="513" t="s">
        <v>20597</v>
      </c>
      <c r="B206" s="513" t="s">
        <v>19138</v>
      </c>
    </row>
    <row r="207" spans="1:2">
      <c r="A207" s="513" t="s">
        <v>20598</v>
      </c>
      <c r="B207" s="513" t="s">
        <v>19139</v>
      </c>
    </row>
    <row r="208" spans="1:2">
      <c r="A208" s="513" t="s">
        <v>20599</v>
      </c>
      <c r="B208" s="513" t="s">
        <v>19137</v>
      </c>
    </row>
    <row r="209" spans="1:2">
      <c r="A209" s="513" t="s">
        <v>20600</v>
      </c>
      <c r="B209" s="513" t="s">
        <v>14302</v>
      </c>
    </row>
    <row r="210" spans="1:2">
      <c r="A210" s="513" t="s">
        <v>20601</v>
      </c>
      <c r="B210" s="513" t="s">
        <v>19099</v>
      </c>
    </row>
    <row r="211" spans="1:2">
      <c r="A211" s="513" t="s">
        <v>20602</v>
      </c>
      <c r="B211" s="513" t="s">
        <v>19102</v>
      </c>
    </row>
    <row r="212" spans="1:2">
      <c r="A212" s="513" t="s">
        <v>20603</v>
      </c>
      <c r="B212" s="513" t="s">
        <v>14305</v>
      </c>
    </row>
    <row r="213" spans="1:2">
      <c r="A213" s="513" t="s">
        <v>20604</v>
      </c>
      <c r="B213" s="513" t="s">
        <v>19101</v>
      </c>
    </row>
    <row r="214" spans="1:2">
      <c r="A214" s="513" t="s">
        <v>20605</v>
      </c>
      <c r="B214" s="513" t="s">
        <v>14307</v>
      </c>
    </row>
    <row r="215" spans="1:2">
      <c r="A215" s="513" t="s">
        <v>20606</v>
      </c>
      <c r="B215" s="513" t="s">
        <v>14309</v>
      </c>
    </row>
    <row r="216" spans="1:2">
      <c r="A216" s="513" t="s">
        <v>20607</v>
      </c>
      <c r="B216" s="513" t="s">
        <v>14308</v>
      </c>
    </row>
    <row r="217" spans="1:2">
      <c r="A217" s="513" t="s">
        <v>20608</v>
      </c>
      <c r="B217" s="513" t="s">
        <v>14310</v>
      </c>
    </row>
    <row r="218" spans="1:2">
      <c r="A218" s="513" t="s">
        <v>20609</v>
      </c>
      <c r="B218" s="513" t="s">
        <v>20610</v>
      </c>
    </row>
    <row r="219" spans="1:2">
      <c r="A219" s="513" t="s">
        <v>20611</v>
      </c>
      <c r="B219" s="513" t="s">
        <v>20612</v>
      </c>
    </row>
    <row r="220" spans="1:2">
      <c r="A220" s="513" t="s">
        <v>20626</v>
      </c>
      <c r="B220" s="513" t="s">
        <v>19103</v>
      </c>
    </row>
    <row r="221" spans="1:2">
      <c r="A221" s="513" t="s">
        <v>20625</v>
      </c>
      <c r="B221" s="513" t="s">
        <v>19104</v>
      </c>
    </row>
    <row r="222" spans="1:2">
      <c r="A222" s="513" t="s">
        <v>20624</v>
      </c>
      <c r="B222" s="513" t="s">
        <v>14311</v>
      </c>
    </row>
    <row r="223" spans="1:2">
      <c r="A223" s="513" t="s">
        <v>20623</v>
      </c>
      <c r="B223" s="513" t="s">
        <v>14322</v>
      </c>
    </row>
    <row r="224" spans="1:2">
      <c r="A224" s="513" t="s">
        <v>20622</v>
      </c>
      <c r="B224" s="513" t="s">
        <v>19106</v>
      </c>
    </row>
    <row r="225" spans="1:2">
      <c r="A225" s="513" t="s">
        <v>20621</v>
      </c>
      <c r="B225" s="513" t="s">
        <v>19107</v>
      </c>
    </row>
    <row r="226" spans="1:2">
      <c r="A226" s="513" t="s">
        <v>20620</v>
      </c>
      <c r="B226" s="513" t="s">
        <v>14312</v>
      </c>
    </row>
    <row r="227" spans="1:2">
      <c r="A227" s="513" t="s">
        <v>20618</v>
      </c>
      <c r="B227" s="513" t="s">
        <v>20619</v>
      </c>
    </row>
    <row r="228" spans="1:2">
      <c r="A228" s="513" t="s">
        <v>20617</v>
      </c>
      <c r="B228" s="513" t="s">
        <v>19075</v>
      </c>
    </row>
    <row r="229" spans="1:2">
      <c r="A229" s="513" t="s">
        <v>20615</v>
      </c>
      <c r="B229" s="513" t="s">
        <v>20616</v>
      </c>
    </row>
    <row r="230" spans="1:2">
      <c r="A230" s="513" t="s">
        <v>20614</v>
      </c>
      <c r="B230" s="513" t="s">
        <v>14324</v>
      </c>
    </row>
    <row r="231" spans="1:2">
      <c r="A231" s="513" t="s">
        <v>20613</v>
      </c>
      <c r="B231" s="513" t="s">
        <v>14313</v>
      </c>
    </row>
    <row r="232" spans="1:2">
      <c r="A232" s="513" t="s">
        <v>20576</v>
      </c>
      <c r="B232" s="513" t="s">
        <v>20577</v>
      </c>
    </row>
    <row r="233" spans="1:2">
      <c r="A233" s="513" t="s">
        <v>20578</v>
      </c>
      <c r="B233" s="513" t="s">
        <v>14314</v>
      </c>
    </row>
    <row r="234" spans="1:2">
      <c r="A234" s="513" t="s">
        <v>20579</v>
      </c>
      <c r="B234" s="513" t="s">
        <v>14315</v>
      </c>
    </row>
    <row r="235" spans="1:2">
      <c r="A235" s="513" t="s">
        <v>20580</v>
      </c>
      <c r="B235" s="513" t="s">
        <v>19129</v>
      </c>
    </row>
    <row r="236" spans="1:2">
      <c r="A236" s="513" t="s">
        <v>20364</v>
      </c>
      <c r="B236" s="513" t="s">
        <v>52</v>
      </c>
    </row>
    <row r="237" spans="1:2">
      <c r="A237" s="513" t="s">
        <v>20365</v>
      </c>
      <c r="B237" s="513" t="s">
        <v>52</v>
      </c>
    </row>
    <row r="238" spans="1:2">
      <c r="A238" s="513" t="s">
        <v>14769</v>
      </c>
      <c r="B238" s="513" t="s">
        <v>14782</v>
      </c>
    </row>
    <row r="239" spans="1:2">
      <c r="A239" s="513" t="s">
        <v>20357</v>
      </c>
      <c r="B239" s="513" t="s">
        <v>20358</v>
      </c>
    </row>
    <row r="240" spans="1:2">
      <c r="A240" s="513" t="s">
        <v>20356</v>
      </c>
      <c r="B240" s="513" t="s">
        <v>20758</v>
      </c>
    </row>
    <row r="241" spans="1:2">
      <c r="A241" s="513" t="s">
        <v>20184</v>
      </c>
      <c r="B241" s="513" t="s">
        <v>461</v>
      </c>
    </row>
    <row r="242" spans="1:2">
      <c r="A242" s="513" t="s">
        <v>20257</v>
      </c>
      <c r="B242" s="513" t="s">
        <v>461</v>
      </c>
    </row>
    <row r="243" spans="1:2">
      <c r="A243" s="513" t="s">
        <v>20343</v>
      </c>
      <c r="B243" s="513" t="s">
        <v>457</v>
      </c>
    </row>
    <row r="244" spans="1:2">
      <c r="A244" s="513" t="s">
        <v>20249</v>
      </c>
      <c r="B244" s="513" t="s">
        <v>20412</v>
      </c>
    </row>
    <row r="245" spans="1:2">
      <c r="A245" s="513" t="s">
        <v>20759</v>
      </c>
      <c r="B245" s="513" t="s">
        <v>20412</v>
      </c>
    </row>
    <row r="246" spans="1:2">
      <c r="A246" s="513" t="s">
        <v>20411</v>
      </c>
      <c r="B246" s="513" t="s">
        <v>20412</v>
      </c>
    </row>
    <row r="247" spans="1:2">
      <c r="A247" s="513" t="s">
        <v>20185</v>
      </c>
      <c r="B247" s="513" t="s">
        <v>20412</v>
      </c>
    </row>
    <row r="248" spans="1:2">
      <c r="A248" s="513" t="s">
        <v>20269</v>
      </c>
      <c r="B248" s="513" t="s">
        <v>20412</v>
      </c>
    </row>
    <row r="249" spans="1:2">
      <c r="A249" s="513" t="s">
        <v>20246</v>
      </c>
      <c r="B249" s="513" t="s">
        <v>20412</v>
      </c>
    </row>
    <row r="250" spans="1:2">
      <c r="A250" s="513" t="s">
        <v>19070</v>
      </c>
      <c r="B250" s="513" t="s">
        <v>638</v>
      </c>
    </row>
    <row r="251" spans="1:2">
      <c r="A251" s="513" t="s">
        <v>20573</v>
      </c>
      <c r="B251" s="513" t="s">
        <v>640</v>
      </c>
    </row>
    <row r="252" spans="1:2">
      <c r="A252" s="513" t="s">
        <v>20429</v>
      </c>
      <c r="B252" s="513" t="s">
        <v>641</v>
      </c>
    </row>
    <row r="253" spans="1:2">
      <c r="A253" s="513" t="s">
        <v>20574</v>
      </c>
      <c r="B253" s="513" t="s">
        <v>20575</v>
      </c>
    </row>
    <row r="254" spans="1:2">
      <c r="A254" s="513" t="s">
        <v>20352</v>
      </c>
      <c r="B254" s="513" t="s">
        <v>547</v>
      </c>
    </row>
    <row r="255" spans="1:2">
      <c r="A255" s="513" t="s">
        <v>20353</v>
      </c>
      <c r="B255" s="513" t="s">
        <v>575</v>
      </c>
    </row>
    <row r="256" spans="1:2">
      <c r="A256" s="513" t="s">
        <v>20354</v>
      </c>
      <c r="B256" s="513" t="s">
        <v>10370</v>
      </c>
    </row>
    <row r="257" spans="1:2">
      <c r="A257" s="513" t="s">
        <v>20355</v>
      </c>
      <c r="B257" s="513" t="s">
        <v>545</v>
      </c>
    </row>
    <row r="258" spans="1:2">
      <c r="A258" s="513" t="s">
        <v>19078</v>
      </c>
      <c r="B258" s="513" t="s">
        <v>547</v>
      </c>
    </row>
    <row r="259" spans="1:2">
      <c r="A259" s="513" t="s">
        <v>19079</v>
      </c>
      <c r="B259" s="513" t="s">
        <v>10370</v>
      </c>
    </row>
    <row r="260" spans="1:2">
      <c r="A260" s="513" t="s">
        <v>20349</v>
      </c>
      <c r="B260" s="513" t="s">
        <v>545</v>
      </c>
    </row>
    <row r="261" spans="1:2">
      <c r="A261" s="513" t="s">
        <v>14766</v>
      </c>
      <c r="B261" s="513" t="s">
        <v>14783</v>
      </c>
    </row>
    <row r="262" spans="1:2">
      <c r="A262" s="513" t="s">
        <v>19609</v>
      </c>
      <c r="B262" s="513" t="s">
        <v>20341</v>
      </c>
    </row>
    <row r="263" spans="1:2">
      <c r="A263" s="513" t="s">
        <v>19071</v>
      </c>
      <c r="B263" s="513" t="s">
        <v>20342</v>
      </c>
    </row>
    <row r="264" spans="1:2">
      <c r="A264" s="513" t="s">
        <v>1608</v>
      </c>
      <c r="B264" s="513" t="s">
        <v>20340</v>
      </c>
    </row>
    <row r="265" spans="1:2">
      <c r="A265" s="513" t="s">
        <v>19072</v>
      </c>
      <c r="B265" s="513" t="s">
        <v>20348</v>
      </c>
    </row>
    <row r="266" spans="1:2">
      <c r="A266" s="513" t="s">
        <v>14767</v>
      </c>
      <c r="B266" s="513" t="s">
        <v>20345</v>
      </c>
    </row>
    <row r="267" spans="1:2">
      <c r="A267" s="513" t="s">
        <v>20346</v>
      </c>
      <c r="B267" s="513" t="s">
        <v>20347</v>
      </c>
    </row>
    <row r="268" spans="1:2">
      <c r="A268" s="513" t="s">
        <v>19077</v>
      </c>
      <c r="B268" s="513" t="s">
        <v>20351</v>
      </c>
    </row>
    <row r="269" spans="1:2">
      <c r="A269" s="513" t="s">
        <v>19076</v>
      </c>
      <c r="B269" s="513" t="s">
        <v>20350</v>
      </c>
    </row>
    <row r="270" spans="1:2">
      <c r="A270" s="513" t="s">
        <v>20360</v>
      </c>
      <c r="B270" s="513" t="s">
        <v>14783</v>
      </c>
    </row>
    <row r="271" spans="1:2">
      <c r="A271" s="513" t="s">
        <v>20362</v>
      </c>
      <c r="B271" s="513" t="s">
        <v>14782</v>
      </c>
    </row>
    <row r="272" spans="1:2">
      <c r="A272" s="513" t="s">
        <v>20361</v>
      </c>
      <c r="B272" s="513" t="s">
        <v>14783</v>
      </c>
    </row>
    <row r="273" spans="1:2">
      <c r="A273" s="513" t="s">
        <v>20363</v>
      </c>
      <c r="B273" s="513" t="s">
        <v>14783</v>
      </c>
    </row>
    <row r="274" spans="1:2">
      <c r="A274" s="513" t="s">
        <v>20366</v>
      </c>
      <c r="B274" s="513" t="s">
        <v>20367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2"/>
  <sheetViews>
    <sheetView topLeftCell="A2" workbookViewId="0">
      <selection activeCell="A2" sqref="A2:B893"/>
    </sheetView>
  </sheetViews>
  <sheetFormatPr baseColWidth="10" defaultRowHeight="15"/>
  <cols>
    <col min="1" max="1" width="17.42578125" style="27" customWidth="1"/>
    <col min="2" max="2" width="15.5703125" customWidth="1"/>
    <col min="3" max="3" width="81.140625" customWidth="1"/>
  </cols>
  <sheetData>
    <row r="1" spans="1:2">
      <c r="A1" s="513" t="s">
        <v>1590</v>
      </c>
      <c r="B1" s="512" t="s">
        <v>14762</v>
      </c>
    </row>
    <row r="2" spans="1:2">
      <c r="A2" s="513"/>
      <c r="B2" s="512"/>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30"/>
  <sheetViews>
    <sheetView workbookViewId="0">
      <selection activeCell="A11" sqref="A11"/>
    </sheetView>
  </sheetViews>
  <sheetFormatPr baseColWidth="10" defaultRowHeight="15"/>
  <cols>
    <col min="1" max="1" width="16.28515625" style="27" customWidth="1"/>
    <col min="2" max="2" width="12.85546875" customWidth="1"/>
    <col min="3" max="3" width="12.5703125" style="27" customWidth="1"/>
    <col min="4" max="4" width="9.85546875" style="27" bestFit="1" customWidth="1"/>
    <col min="5" max="5" width="12" bestFit="1" customWidth="1"/>
  </cols>
  <sheetData>
    <row r="1" spans="1:4">
      <c r="A1" s="513" t="s">
        <v>14812</v>
      </c>
      <c r="B1" s="512" t="s">
        <v>14810</v>
      </c>
      <c r="C1" s="512" t="s">
        <v>14866</v>
      </c>
      <c r="D1"/>
    </row>
    <row r="2" spans="1:4">
      <c r="A2" s="513"/>
      <c r="B2" s="512"/>
      <c r="C2" s="512"/>
      <c r="D2"/>
    </row>
    <row r="3" spans="1:4">
      <c r="D3"/>
    </row>
    <row r="4" spans="1:4">
      <c r="D4"/>
    </row>
    <row r="5" spans="1:4">
      <c r="D5"/>
    </row>
    <row r="6" spans="1:4">
      <c r="D6"/>
    </row>
    <row r="7" spans="1:4">
      <c r="D7"/>
    </row>
    <row r="8" spans="1:4">
      <c r="D8"/>
    </row>
    <row r="9" spans="1:4">
      <c r="D9"/>
    </row>
    <row r="10" spans="1:4">
      <c r="D10"/>
    </row>
    <row r="11" spans="1:4">
      <c r="D11"/>
    </row>
    <row r="12" spans="1:4">
      <c r="D12"/>
    </row>
    <row r="13" spans="1:4">
      <c r="D13"/>
    </row>
    <row r="14" spans="1:4">
      <c r="D14"/>
    </row>
    <row r="15" spans="1:4">
      <c r="D15"/>
    </row>
    <row r="16" spans="1:4">
      <c r="D16"/>
    </row>
    <row r="17" spans="4:4">
      <c r="D17"/>
    </row>
    <row r="18" spans="4:4">
      <c r="D18"/>
    </row>
    <row r="19" spans="4:4">
      <c r="D19"/>
    </row>
    <row r="20" spans="4:4">
      <c r="D20"/>
    </row>
    <row r="21" spans="4:4">
      <c r="D21"/>
    </row>
    <row r="22" spans="4:4">
      <c r="D22"/>
    </row>
    <row r="23" spans="4:4">
      <c r="D23"/>
    </row>
    <row r="24" spans="4:4">
      <c r="D24"/>
    </row>
    <row r="25" spans="4:4">
      <c r="D25"/>
    </row>
    <row r="26" spans="4:4">
      <c r="D26"/>
    </row>
    <row r="27" spans="4:4">
      <c r="D27"/>
    </row>
    <row r="28" spans="4:4">
      <c r="D28"/>
    </row>
    <row r="29" spans="4:4">
      <c r="D29"/>
    </row>
    <row r="30" spans="4:4">
      <c r="D30"/>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K9"/>
  <sheetViews>
    <sheetView topLeftCell="C1" workbookViewId="0">
      <selection activeCell="C1" sqref="C1:D1913"/>
    </sheetView>
  </sheetViews>
  <sheetFormatPr baseColWidth="10" defaultColWidth="14.140625" defaultRowHeight="15"/>
  <cols>
    <col min="1" max="1" width="7" style="27" bestFit="1" customWidth="1"/>
    <col min="2" max="2" width="25.5703125" style="27" bestFit="1" customWidth="1"/>
    <col min="3" max="3" width="24.7109375" style="27" bestFit="1" customWidth="1"/>
    <col min="4" max="4" width="5.7109375" style="27" bestFit="1" customWidth="1"/>
    <col min="5" max="5" width="16.28515625" style="27" bestFit="1" customWidth="1"/>
    <col min="6" max="6" width="18.140625" style="27" bestFit="1" customWidth="1"/>
    <col min="7" max="7" width="20.85546875" style="27" bestFit="1" customWidth="1"/>
    <col min="8" max="8" width="18.28515625" style="27" bestFit="1" customWidth="1"/>
    <col min="9" max="9" width="8.85546875" style="27" bestFit="1" customWidth="1"/>
    <col min="10" max="10" width="14.28515625" style="27" bestFit="1" customWidth="1"/>
    <col min="11" max="11" width="36.85546875" style="27" bestFit="1" customWidth="1"/>
    <col min="12" max="16384" width="14.140625" style="27"/>
  </cols>
  <sheetData>
    <row r="1" spans="1:11">
      <c r="A1" s="27" t="s">
        <v>2034</v>
      </c>
      <c r="B1" s="27" t="s">
        <v>14761</v>
      </c>
      <c r="C1" s="27" t="s">
        <v>14770</v>
      </c>
      <c r="D1" s="27" t="s">
        <v>14771</v>
      </c>
      <c r="E1" s="27" t="s">
        <v>14772</v>
      </c>
      <c r="F1" s="27" t="s">
        <v>14773</v>
      </c>
      <c r="G1" s="27" t="s">
        <v>14774</v>
      </c>
      <c r="H1" s="27" t="s">
        <v>14775</v>
      </c>
      <c r="I1" s="27" t="s">
        <v>14776</v>
      </c>
      <c r="J1" s="27" t="s">
        <v>14777</v>
      </c>
      <c r="K1" s="27" t="s">
        <v>14778</v>
      </c>
    </row>
    <row r="2" spans="1:11">
      <c r="A2" s="27">
        <v>900000</v>
      </c>
      <c r="B2" s="27" t="s">
        <v>14779</v>
      </c>
      <c r="C2" s="511" t="s">
        <v>14780</v>
      </c>
      <c r="D2" s="27" t="s">
        <v>14781</v>
      </c>
      <c r="E2" s="27" t="s">
        <v>14782</v>
      </c>
      <c r="F2" s="27" t="s">
        <v>14782</v>
      </c>
      <c r="G2" s="27" t="s">
        <v>14783</v>
      </c>
      <c r="H2" s="27" t="s">
        <v>14782</v>
      </c>
      <c r="I2" s="27" t="s">
        <v>14784</v>
      </c>
      <c r="J2" s="27" t="s">
        <v>14785</v>
      </c>
      <c r="K2" s="27" t="s">
        <v>14786</v>
      </c>
    </row>
    <row r="3" spans="1:11">
      <c r="A3" s="27">
        <v>900000</v>
      </c>
      <c r="B3" s="27" t="s">
        <v>14787</v>
      </c>
      <c r="C3" s="27" t="s">
        <v>14788</v>
      </c>
      <c r="D3" s="27" t="s">
        <v>14781</v>
      </c>
      <c r="E3" s="27" t="s">
        <v>14783</v>
      </c>
      <c r="F3" s="27" t="s">
        <v>14782</v>
      </c>
      <c r="G3" s="27" t="s">
        <v>14783</v>
      </c>
      <c r="H3" s="27" t="s">
        <v>14782</v>
      </c>
      <c r="I3" s="27" t="s">
        <v>14784</v>
      </c>
      <c r="J3" s="27" t="s">
        <v>14789</v>
      </c>
      <c r="K3" s="27" t="s">
        <v>14790</v>
      </c>
    </row>
    <row r="4" spans="1:11">
      <c r="A4" s="27">
        <v>900000</v>
      </c>
      <c r="B4" s="27" t="s">
        <v>14791</v>
      </c>
      <c r="C4" s="27" t="s">
        <v>14792</v>
      </c>
      <c r="D4" s="27" t="s">
        <v>14781</v>
      </c>
      <c r="E4" s="27" t="s">
        <v>14783</v>
      </c>
      <c r="F4" s="27" t="s">
        <v>14782</v>
      </c>
      <c r="G4" s="27" t="s">
        <v>14783</v>
      </c>
      <c r="H4" s="27" t="s">
        <v>14782</v>
      </c>
      <c r="I4" s="27" t="s">
        <v>14784</v>
      </c>
      <c r="K4" s="27" t="s">
        <v>14793</v>
      </c>
    </row>
    <row r="5" spans="1:11">
      <c r="A5" s="27">
        <v>900001</v>
      </c>
      <c r="B5" s="27" t="s">
        <v>14794</v>
      </c>
      <c r="C5" s="27" t="s">
        <v>14792</v>
      </c>
      <c r="D5" s="27" t="s">
        <v>14781</v>
      </c>
      <c r="E5" s="27" t="s">
        <v>14783</v>
      </c>
      <c r="F5" s="27" t="s">
        <v>14782</v>
      </c>
      <c r="G5" s="27" t="s">
        <v>14783</v>
      </c>
      <c r="H5" s="27" t="s">
        <v>14782</v>
      </c>
      <c r="I5" s="27" t="s">
        <v>14784</v>
      </c>
      <c r="K5" s="27" t="s">
        <v>14793</v>
      </c>
    </row>
    <row r="6" spans="1:11">
      <c r="A6" s="27">
        <v>900003</v>
      </c>
      <c r="B6" s="27" t="s">
        <v>14795</v>
      </c>
      <c r="C6" s="27" t="s">
        <v>14788</v>
      </c>
      <c r="D6" s="27" t="s">
        <v>14781</v>
      </c>
      <c r="E6" s="27" t="s">
        <v>14782</v>
      </c>
      <c r="F6" s="27" t="s">
        <v>14782</v>
      </c>
      <c r="G6" s="27" t="s">
        <v>14783</v>
      </c>
      <c r="H6" s="27" t="s">
        <v>14782</v>
      </c>
      <c r="I6" s="27" t="s">
        <v>14784</v>
      </c>
      <c r="K6" s="27" t="s">
        <v>14790</v>
      </c>
    </row>
    <row r="7" spans="1:11">
      <c r="A7" s="27">
        <v>900005</v>
      </c>
      <c r="B7" s="27" t="s">
        <v>14796</v>
      </c>
      <c r="C7" s="27" t="s">
        <v>14797</v>
      </c>
      <c r="D7" s="27" t="s">
        <v>14781</v>
      </c>
      <c r="E7" s="27" t="s">
        <v>14782</v>
      </c>
      <c r="F7" s="27" t="s">
        <v>14782</v>
      </c>
      <c r="G7" s="27" t="s">
        <v>14783</v>
      </c>
      <c r="H7" s="27" t="s">
        <v>14782</v>
      </c>
      <c r="I7" s="27" t="s">
        <v>14784</v>
      </c>
      <c r="K7" s="27" t="s">
        <v>14798</v>
      </c>
    </row>
    <row r="8" spans="1:11">
      <c r="A8" s="27">
        <v>900008</v>
      </c>
      <c r="B8" s="27" t="s">
        <v>14799</v>
      </c>
      <c r="C8" s="27" t="s">
        <v>14788</v>
      </c>
      <c r="D8" s="27" t="s">
        <v>14781</v>
      </c>
      <c r="E8" s="27" t="s">
        <v>14782</v>
      </c>
      <c r="F8" s="27" t="s">
        <v>14782</v>
      </c>
      <c r="G8" s="27" t="s">
        <v>14783</v>
      </c>
      <c r="H8" s="27" t="s">
        <v>14782</v>
      </c>
      <c r="I8" s="27" t="s">
        <v>14784</v>
      </c>
      <c r="K8" s="27" t="s">
        <v>14800</v>
      </c>
    </row>
    <row r="9" spans="1:11">
      <c r="A9" s="27">
        <v>900008</v>
      </c>
      <c r="B9" s="27" t="s">
        <v>14805</v>
      </c>
      <c r="C9" s="27" t="s">
        <v>14804</v>
      </c>
      <c r="D9" s="27" t="s">
        <v>14802</v>
      </c>
      <c r="E9" s="27" t="s">
        <v>14782</v>
      </c>
      <c r="F9" s="27" t="s">
        <v>7</v>
      </c>
      <c r="G9" s="27" t="s">
        <v>14782</v>
      </c>
      <c r="H9" s="27" t="s">
        <v>14782</v>
      </c>
      <c r="I9" s="27" t="s">
        <v>14803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R71"/>
  <sheetViews>
    <sheetView topLeftCell="AI1" workbookViewId="0">
      <selection activeCell="H6" sqref="H6"/>
    </sheetView>
  </sheetViews>
  <sheetFormatPr baseColWidth="10" defaultRowHeight="15"/>
  <cols>
    <col min="1" max="1" width="33.5703125" style="27" bestFit="1" customWidth="1"/>
    <col min="2" max="2" width="10.42578125" style="27" bestFit="1" customWidth="1"/>
    <col min="3" max="3" width="13.42578125" style="27" bestFit="1" customWidth="1"/>
    <col min="4" max="4" width="23.28515625" bestFit="1" customWidth="1"/>
    <col min="5" max="5" width="37" bestFit="1" customWidth="1"/>
    <col min="6" max="6" width="30.28515625" style="27" bestFit="1" customWidth="1"/>
    <col min="7" max="7" width="10.42578125" style="27" bestFit="1" customWidth="1"/>
    <col min="8" max="8" width="8.7109375" style="27" bestFit="1" customWidth="1"/>
    <col min="9" max="9" width="29.140625" bestFit="1" customWidth="1"/>
    <col min="10" max="10" width="13.140625" customWidth="1"/>
    <col min="11" max="11" width="27.28515625" style="27" bestFit="1" customWidth="1"/>
    <col min="12" max="12" width="10.42578125" style="27" bestFit="1" customWidth="1"/>
    <col min="13" max="13" width="8.7109375" style="27" bestFit="1" customWidth="1"/>
    <col min="14" max="14" width="10.5703125" bestFit="1" customWidth="1"/>
    <col min="15" max="15" width="13.140625" customWidth="1"/>
    <col min="16" max="16" width="44.7109375" style="27" bestFit="1" customWidth="1"/>
    <col min="17" max="17" width="10.42578125" style="27" bestFit="1" customWidth="1"/>
    <col min="18" max="18" width="8.7109375" style="27" bestFit="1" customWidth="1"/>
    <col min="19" max="19" width="10.5703125" bestFit="1" customWidth="1"/>
    <col min="20" max="20" width="13.140625" customWidth="1"/>
    <col min="21" max="21" width="24.28515625" style="27" bestFit="1" customWidth="1"/>
    <col min="22" max="22" width="10.42578125" style="27" bestFit="1" customWidth="1"/>
    <col min="23" max="23" width="8.7109375" style="27" bestFit="1" customWidth="1"/>
    <col min="24" max="24" width="23.85546875" bestFit="1" customWidth="1"/>
    <col min="25" max="25" width="13.140625" customWidth="1"/>
    <col min="26" max="26" width="26.42578125" style="27" bestFit="1" customWidth="1"/>
    <col min="27" max="27" width="10.42578125" style="27" bestFit="1" customWidth="1"/>
    <col min="28" max="28" width="8.7109375" style="27" bestFit="1" customWidth="1"/>
    <col min="29" max="29" width="36.85546875" bestFit="1" customWidth="1"/>
    <col min="30" max="30" width="13.140625" customWidth="1"/>
    <col min="31" max="31" width="29.28515625" style="27" bestFit="1" customWidth="1"/>
    <col min="32" max="32" width="10.42578125" style="27" bestFit="1" customWidth="1"/>
    <col min="33" max="33" width="8.7109375" style="27" bestFit="1" customWidth="1"/>
    <col min="34" max="34" width="15.42578125" bestFit="1" customWidth="1"/>
    <col min="35" max="35" width="13.140625" customWidth="1"/>
    <col min="36" max="36" width="24.28515625" style="27" bestFit="1" customWidth="1"/>
    <col min="37" max="37" width="10.42578125" style="27" bestFit="1" customWidth="1"/>
    <col min="38" max="38" width="8.7109375" style="27" bestFit="1" customWidth="1"/>
    <col min="39" max="39" width="17.28515625" bestFit="1" customWidth="1"/>
    <col min="40" max="40" width="13.140625" customWidth="1"/>
    <col min="41" max="41" width="44.7109375" style="27" bestFit="1" customWidth="1"/>
    <col min="42" max="42" width="10.42578125" style="27" bestFit="1" customWidth="1"/>
    <col min="43" max="43" width="13.42578125" style="27" bestFit="1" customWidth="1"/>
    <col min="44" max="44" width="36.85546875" bestFit="1" customWidth="1"/>
    <col min="45" max="45" width="13.140625" bestFit="1" customWidth="1"/>
    <col min="46" max="46" width="14.28515625" bestFit="1" customWidth="1"/>
    <col min="47" max="47" width="40.42578125" bestFit="1" customWidth="1"/>
  </cols>
  <sheetData>
    <row r="1" spans="1:44">
      <c r="A1" s="513" t="s">
        <v>699</v>
      </c>
      <c r="B1" s="513" t="s">
        <v>632</v>
      </c>
      <c r="C1" s="513" t="s">
        <v>19095</v>
      </c>
      <c r="D1" s="512" t="s">
        <v>19096</v>
      </c>
      <c r="F1" s="513" t="s">
        <v>699</v>
      </c>
      <c r="G1" s="513" t="s">
        <v>632</v>
      </c>
      <c r="H1" s="513" t="s">
        <v>19095</v>
      </c>
      <c r="I1" s="512" t="s">
        <v>19096</v>
      </c>
      <c r="K1" s="513" t="s">
        <v>699</v>
      </c>
      <c r="L1" s="513" t="s">
        <v>632</v>
      </c>
      <c r="M1" s="513" t="s">
        <v>19095</v>
      </c>
      <c r="N1" s="512" t="s">
        <v>19096</v>
      </c>
      <c r="P1" s="513" t="s">
        <v>699</v>
      </c>
      <c r="Q1" s="513" t="s">
        <v>632</v>
      </c>
      <c r="R1" s="513" t="s">
        <v>19095</v>
      </c>
      <c r="S1" s="512" t="s">
        <v>19096</v>
      </c>
      <c r="U1" s="513" t="s">
        <v>699</v>
      </c>
      <c r="V1" s="513" t="s">
        <v>632</v>
      </c>
      <c r="W1" s="513" t="s">
        <v>19095</v>
      </c>
      <c r="X1" s="512" t="s">
        <v>19096</v>
      </c>
      <c r="Z1" s="513" t="s">
        <v>699</v>
      </c>
      <c r="AA1" s="513" t="s">
        <v>632</v>
      </c>
      <c r="AB1" s="513" t="s">
        <v>19095</v>
      </c>
      <c r="AC1" s="512" t="s">
        <v>19096</v>
      </c>
      <c r="AE1" s="513" t="s">
        <v>699</v>
      </c>
      <c r="AF1" s="513" t="s">
        <v>632</v>
      </c>
      <c r="AG1" s="513" t="s">
        <v>19095</v>
      </c>
      <c r="AH1" s="512" t="s">
        <v>19096</v>
      </c>
      <c r="AJ1" s="513" t="s">
        <v>699</v>
      </c>
      <c r="AK1" s="513" t="s">
        <v>632</v>
      </c>
      <c r="AL1" s="513" t="s">
        <v>19095</v>
      </c>
      <c r="AM1" s="512" t="s">
        <v>19096</v>
      </c>
      <c r="AO1" s="513" t="s">
        <v>699</v>
      </c>
      <c r="AP1" s="513" t="s">
        <v>632</v>
      </c>
      <c r="AQ1" s="513" t="s">
        <v>19095</v>
      </c>
      <c r="AR1" s="512" t="s">
        <v>19096</v>
      </c>
    </row>
    <row r="2" spans="1:44">
      <c r="A2" s="513" t="s">
        <v>19097</v>
      </c>
      <c r="B2" s="513" t="s">
        <v>9546</v>
      </c>
      <c r="C2" s="513" t="s">
        <v>10383</v>
      </c>
      <c r="D2" s="512" t="s">
        <v>19098</v>
      </c>
      <c r="F2" s="513" t="s">
        <v>14332</v>
      </c>
      <c r="G2" s="513" t="s">
        <v>1453</v>
      </c>
      <c r="H2" s="513" t="s">
        <v>10394</v>
      </c>
      <c r="I2" s="512" t="s">
        <v>19113</v>
      </c>
      <c r="K2" s="513" t="s">
        <v>19116</v>
      </c>
      <c r="L2" s="513" t="s">
        <v>1498</v>
      </c>
      <c r="M2" s="513" t="s">
        <v>19114</v>
      </c>
      <c r="N2" s="512" t="s">
        <v>16257</v>
      </c>
      <c r="P2" s="513" t="s">
        <v>19123</v>
      </c>
      <c r="Q2" s="513" t="s">
        <v>1506</v>
      </c>
      <c r="R2" s="513" t="s">
        <v>10383</v>
      </c>
      <c r="S2" s="512" t="s">
        <v>15774</v>
      </c>
      <c r="U2" s="513" t="s">
        <v>460</v>
      </c>
      <c r="V2" s="513" t="s">
        <v>1247</v>
      </c>
      <c r="W2" s="513" t="s">
        <v>10383</v>
      </c>
      <c r="X2" s="512" t="s">
        <v>19128</v>
      </c>
      <c r="Z2" s="513" t="s">
        <v>19129</v>
      </c>
      <c r="AA2" s="513" t="s">
        <v>1514</v>
      </c>
      <c r="AB2" s="513" t="s">
        <v>10383</v>
      </c>
      <c r="AC2" s="512" t="s">
        <v>19130</v>
      </c>
      <c r="AE2" s="513" t="s">
        <v>19132</v>
      </c>
      <c r="AF2" s="513" t="s">
        <v>1518</v>
      </c>
      <c r="AG2" s="513" t="s">
        <v>10383</v>
      </c>
      <c r="AH2" s="512" t="s">
        <v>462</v>
      </c>
      <c r="AJ2" s="513" t="s">
        <v>19135</v>
      </c>
      <c r="AK2" s="513" t="s">
        <v>1521</v>
      </c>
      <c r="AL2" s="513" t="s">
        <v>10383</v>
      </c>
      <c r="AM2" s="512" t="s">
        <v>19136</v>
      </c>
      <c r="AO2" s="513" t="s">
        <v>19116</v>
      </c>
      <c r="AP2" s="513" t="s">
        <v>1498</v>
      </c>
      <c r="AQ2" s="513" t="s">
        <v>19114</v>
      </c>
      <c r="AR2" s="512" t="s">
        <v>16257</v>
      </c>
    </row>
    <row r="3" spans="1:44">
      <c r="A3" s="513" t="s">
        <v>14302</v>
      </c>
      <c r="B3" s="513" t="s">
        <v>9548</v>
      </c>
      <c r="C3" s="513" t="s">
        <v>10383</v>
      </c>
      <c r="D3" s="512" t="s">
        <v>19098</v>
      </c>
      <c r="F3" s="513" t="s">
        <v>14333</v>
      </c>
      <c r="G3" s="513" t="s">
        <v>1429</v>
      </c>
      <c r="H3" s="513" t="s">
        <v>10394</v>
      </c>
      <c r="I3" s="512" t="s">
        <v>19113</v>
      </c>
      <c r="K3" s="513" t="s">
        <v>19117</v>
      </c>
      <c r="L3" s="513" t="s">
        <v>1499</v>
      </c>
      <c r="M3" s="513" t="s">
        <v>10388</v>
      </c>
      <c r="N3" s="512" t="s">
        <v>16257</v>
      </c>
      <c r="P3" s="513" t="s">
        <v>19124</v>
      </c>
      <c r="Q3" s="513" t="s">
        <v>1507</v>
      </c>
      <c r="R3" s="513" t="s">
        <v>10383</v>
      </c>
      <c r="S3" s="512" t="s">
        <v>15774</v>
      </c>
      <c r="Z3" s="513" t="s">
        <v>19131</v>
      </c>
      <c r="AA3" s="513" t="s">
        <v>1515</v>
      </c>
      <c r="AB3" s="513" t="s">
        <v>10383</v>
      </c>
      <c r="AC3" s="512" t="s">
        <v>19130</v>
      </c>
      <c r="AE3" s="513" t="s">
        <v>19133</v>
      </c>
      <c r="AF3" s="513" t="s">
        <v>1517</v>
      </c>
      <c r="AG3" s="513" t="s">
        <v>10383</v>
      </c>
      <c r="AH3" s="512" t="s">
        <v>462</v>
      </c>
      <c r="AJ3" s="513" t="s">
        <v>19137</v>
      </c>
      <c r="AK3" s="513" t="s">
        <v>1524</v>
      </c>
      <c r="AL3" s="513" t="s">
        <v>10383</v>
      </c>
      <c r="AM3" s="512" t="s">
        <v>19136</v>
      </c>
      <c r="AO3" s="513" t="s">
        <v>19117</v>
      </c>
      <c r="AP3" s="513" t="s">
        <v>1499</v>
      </c>
      <c r="AQ3" s="513" t="s">
        <v>10388</v>
      </c>
      <c r="AR3" s="512" t="s">
        <v>16257</v>
      </c>
    </row>
    <row r="4" spans="1:44">
      <c r="A4" s="513" t="s">
        <v>19099</v>
      </c>
      <c r="B4" s="513" t="s">
        <v>9550</v>
      </c>
      <c r="C4" s="513" t="s">
        <v>19100</v>
      </c>
      <c r="D4" s="512" t="s">
        <v>19098</v>
      </c>
      <c r="F4" s="513" t="s">
        <v>14334</v>
      </c>
      <c r="G4" s="513" t="s">
        <v>1448</v>
      </c>
      <c r="H4" s="513" t="s">
        <v>10394</v>
      </c>
      <c r="I4" s="512" t="s">
        <v>19113</v>
      </c>
      <c r="K4" s="513" t="s">
        <v>19118</v>
      </c>
      <c r="L4" s="513" t="s">
        <v>1504</v>
      </c>
      <c r="M4" s="513" t="s">
        <v>10383</v>
      </c>
      <c r="N4" s="512" t="s">
        <v>16257</v>
      </c>
      <c r="P4" s="513" t="s">
        <v>19125</v>
      </c>
      <c r="Q4" s="513" t="s">
        <v>1508</v>
      </c>
      <c r="R4" s="513" t="s">
        <v>10383</v>
      </c>
      <c r="S4" s="512" t="s">
        <v>15774</v>
      </c>
      <c r="AE4" s="513" t="s">
        <v>19134</v>
      </c>
      <c r="AF4" s="513" t="s">
        <v>1519</v>
      </c>
      <c r="AG4" s="513" t="s">
        <v>10383</v>
      </c>
      <c r="AH4" s="512" t="s">
        <v>462</v>
      </c>
      <c r="AJ4" s="513" t="s">
        <v>19138</v>
      </c>
      <c r="AK4" s="513" t="s">
        <v>1522</v>
      </c>
      <c r="AL4" s="513" t="s">
        <v>10383</v>
      </c>
      <c r="AM4" s="512" t="s">
        <v>19136</v>
      </c>
      <c r="AO4" s="513" t="s">
        <v>19118</v>
      </c>
      <c r="AP4" s="513" t="s">
        <v>1504</v>
      </c>
      <c r="AQ4" s="513" t="s">
        <v>10383</v>
      </c>
      <c r="AR4" s="512" t="s">
        <v>16257</v>
      </c>
    </row>
    <row r="5" spans="1:44">
      <c r="A5" s="513" t="s">
        <v>19101</v>
      </c>
      <c r="B5" s="513" t="s">
        <v>9555</v>
      </c>
      <c r="C5" s="513" t="s">
        <v>19100</v>
      </c>
      <c r="D5" s="512" t="s">
        <v>19098</v>
      </c>
      <c r="F5" s="513" t="s">
        <v>14336</v>
      </c>
      <c r="G5" s="513" t="s">
        <v>1496</v>
      </c>
      <c r="H5" s="513" t="s">
        <v>19114</v>
      </c>
      <c r="I5" s="512" t="s">
        <v>19113</v>
      </c>
      <c r="K5" s="513" t="s">
        <v>19119</v>
      </c>
      <c r="L5" s="513" t="s">
        <v>1500</v>
      </c>
      <c r="M5" s="513" t="s">
        <v>10383</v>
      </c>
      <c r="N5" s="512" t="s">
        <v>16257</v>
      </c>
      <c r="P5" s="513" t="s">
        <v>9997</v>
      </c>
      <c r="Q5" s="513" t="s">
        <v>1509</v>
      </c>
      <c r="R5" s="513" t="s">
        <v>10383</v>
      </c>
      <c r="S5" s="512" t="s">
        <v>15774</v>
      </c>
      <c r="AJ5" s="513" t="s">
        <v>19139</v>
      </c>
      <c r="AK5" s="513" t="s">
        <v>1523</v>
      </c>
      <c r="AL5" s="513" t="s">
        <v>10383</v>
      </c>
      <c r="AM5" s="512" t="s">
        <v>19136</v>
      </c>
      <c r="AO5" s="513" t="s">
        <v>19119</v>
      </c>
      <c r="AP5" s="513" t="s">
        <v>1500</v>
      </c>
      <c r="AQ5" s="513" t="s">
        <v>10383</v>
      </c>
      <c r="AR5" s="512" t="s">
        <v>16257</v>
      </c>
    </row>
    <row r="6" spans="1:44">
      <c r="A6" s="513" t="s">
        <v>19102</v>
      </c>
      <c r="B6" s="513" t="s">
        <v>9552</v>
      </c>
      <c r="C6" s="513" t="s">
        <v>19100</v>
      </c>
      <c r="D6" s="512" t="s">
        <v>19098</v>
      </c>
      <c r="F6" s="513" t="s">
        <v>14337</v>
      </c>
      <c r="G6" s="513" t="s">
        <v>1450</v>
      </c>
      <c r="H6" s="513" t="s">
        <v>19114</v>
      </c>
      <c r="I6" s="512" t="s">
        <v>19113</v>
      </c>
      <c r="K6" s="513" t="s">
        <v>19120</v>
      </c>
      <c r="L6" s="513" t="s">
        <v>1501</v>
      </c>
      <c r="M6" s="513" t="s">
        <v>10383</v>
      </c>
      <c r="N6" s="512" t="s">
        <v>16257</v>
      </c>
      <c r="P6" s="513" t="s">
        <v>19126</v>
      </c>
      <c r="Q6" s="513" t="s">
        <v>1510</v>
      </c>
      <c r="R6" s="513" t="s">
        <v>10383</v>
      </c>
      <c r="S6" s="512" t="s">
        <v>15774</v>
      </c>
      <c r="AO6" s="513" t="s">
        <v>19120</v>
      </c>
      <c r="AP6" s="513" t="s">
        <v>1501</v>
      </c>
      <c r="AQ6" s="513" t="s">
        <v>10383</v>
      </c>
      <c r="AR6" s="512" t="s">
        <v>16257</v>
      </c>
    </row>
    <row r="7" spans="1:44">
      <c r="A7" s="513" t="s">
        <v>14305</v>
      </c>
      <c r="B7" s="513" t="s">
        <v>978</v>
      </c>
      <c r="C7" s="513" t="s">
        <v>10383</v>
      </c>
      <c r="D7" s="512" t="s">
        <v>19098</v>
      </c>
      <c r="F7" s="513" t="s">
        <v>14335</v>
      </c>
      <c r="G7" s="513" t="s">
        <v>1492</v>
      </c>
      <c r="H7" s="513" t="s">
        <v>10394</v>
      </c>
      <c r="I7" s="512" t="s">
        <v>19113</v>
      </c>
      <c r="K7" s="513" t="s">
        <v>19121</v>
      </c>
      <c r="L7" s="513" t="s">
        <v>1502</v>
      </c>
      <c r="M7" s="513" t="s">
        <v>10394</v>
      </c>
      <c r="N7" s="512" t="s">
        <v>16257</v>
      </c>
      <c r="P7" s="513" t="s">
        <v>19127</v>
      </c>
      <c r="Q7" s="513" t="s">
        <v>1511</v>
      </c>
      <c r="R7" s="513" t="s">
        <v>10383</v>
      </c>
      <c r="S7" s="512" t="s">
        <v>15774</v>
      </c>
      <c r="AO7" s="513" t="s">
        <v>19121</v>
      </c>
      <c r="AP7" s="513" t="s">
        <v>1502</v>
      </c>
      <c r="AQ7" s="513" t="s">
        <v>10394</v>
      </c>
      <c r="AR7" s="512" t="s">
        <v>16257</v>
      </c>
    </row>
    <row r="8" spans="1:44">
      <c r="A8" s="513" t="s">
        <v>14307</v>
      </c>
      <c r="B8" s="513" t="s">
        <v>1048</v>
      </c>
      <c r="C8" s="513" t="s">
        <v>10383</v>
      </c>
      <c r="D8" s="512" t="s">
        <v>19098</v>
      </c>
      <c r="F8" s="513" t="s">
        <v>19115</v>
      </c>
      <c r="G8" s="513" t="s">
        <v>1449</v>
      </c>
      <c r="H8" s="513" t="s">
        <v>10383</v>
      </c>
      <c r="I8" s="512" t="s">
        <v>19113</v>
      </c>
      <c r="K8" s="513" t="s">
        <v>19122</v>
      </c>
      <c r="L8" s="513" t="s">
        <v>1503</v>
      </c>
      <c r="M8" s="513" t="s">
        <v>19114</v>
      </c>
      <c r="N8" s="512" t="s">
        <v>16257</v>
      </c>
      <c r="AO8" s="513" t="s">
        <v>19122</v>
      </c>
      <c r="AP8" s="513" t="s">
        <v>1503</v>
      </c>
      <c r="AQ8" s="513" t="s">
        <v>19114</v>
      </c>
      <c r="AR8" s="512" t="s">
        <v>16257</v>
      </c>
    </row>
    <row r="9" spans="1:44">
      <c r="A9" s="513" t="s">
        <v>14309</v>
      </c>
      <c r="B9" s="513" t="s">
        <v>1129</v>
      </c>
      <c r="C9" s="513" t="s">
        <v>10383</v>
      </c>
      <c r="D9" s="512" t="s">
        <v>19098</v>
      </c>
      <c r="F9" s="513" t="s">
        <v>14338</v>
      </c>
      <c r="G9" s="513" t="s">
        <v>1493</v>
      </c>
      <c r="H9" s="513" t="s">
        <v>10394</v>
      </c>
      <c r="I9" s="512" t="s">
        <v>19113</v>
      </c>
      <c r="AO9" s="513" t="s">
        <v>19123</v>
      </c>
      <c r="AP9" s="513" t="s">
        <v>1506</v>
      </c>
      <c r="AQ9" s="513" t="s">
        <v>10383</v>
      </c>
      <c r="AR9" s="512" t="s">
        <v>15774</v>
      </c>
    </row>
    <row r="10" spans="1:44">
      <c r="A10" s="513" t="s">
        <v>14308</v>
      </c>
      <c r="B10" s="513" t="s">
        <v>1396</v>
      </c>
      <c r="C10" s="513" t="s">
        <v>10383</v>
      </c>
      <c r="D10" s="512" t="s">
        <v>19098</v>
      </c>
      <c r="F10" s="513" t="s">
        <v>14339</v>
      </c>
      <c r="G10" s="513" t="s">
        <v>1494</v>
      </c>
      <c r="H10" s="513" t="s">
        <v>10394</v>
      </c>
      <c r="I10" s="512" t="s">
        <v>19113</v>
      </c>
      <c r="AO10" s="513" t="s">
        <v>19124</v>
      </c>
      <c r="AP10" s="513" t="s">
        <v>1507</v>
      </c>
      <c r="AQ10" s="513" t="s">
        <v>10383</v>
      </c>
      <c r="AR10" s="512" t="s">
        <v>15774</v>
      </c>
    </row>
    <row r="11" spans="1:44">
      <c r="A11" s="513" t="s">
        <v>14310</v>
      </c>
      <c r="B11" s="513" t="s">
        <v>1473</v>
      </c>
      <c r="C11" s="513" t="s">
        <v>10383</v>
      </c>
      <c r="D11" s="512" t="s">
        <v>19098</v>
      </c>
      <c r="F11" s="513" t="s">
        <v>14340</v>
      </c>
      <c r="G11" s="513" t="s">
        <v>1249</v>
      </c>
      <c r="H11" s="513" t="s">
        <v>10394</v>
      </c>
      <c r="I11" s="512" t="s">
        <v>19113</v>
      </c>
      <c r="AO11" s="513" t="s">
        <v>19125</v>
      </c>
      <c r="AP11" s="513" t="s">
        <v>1508</v>
      </c>
      <c r="AQ11" s="513" t="s">
        <v>10383</v>
      </c>
      <c r="AR11" s="512" t="s">
        <v>15774</v>
      </c>
    </row>
    <row r="12" spans="1:44">
      <c r="A12" s="513" t="s">
        <v>14327</v>
      </c>
      <c r="B12" s="513" t="s">
        <v>1475</v>
      </c>
      <c r="C12" s="513" t="s">
        <v>10383</v>
      </c>
      <c r="D12" s="512" t="s">
        <v>19098</v>
      </c>
      <c r="F12" s="513" t="s">
        <v>14341</v>
      </c>
      <c r="G12" s="513" t="s">
        <v>1495</v>
      </c>
      <c r="H12" s="513" t="s">
        <v>10394</v>
      </c>
      <c r="I12" s="512" t="s">
        <v>19113</v>
      </c>
      <c r="AO12" s="513" t="s">
        <v>9997</v>
      </c>
      <c r="AP12" s="513" t="s">
        <v>1509</v>
      </c>
      <c r="AQ12" s="513" t="s">
        <v>10383</v>
      </c>
      <c r="AR12" s="512" t="s">
        <v>15774</v>
      </c>
    </row>
    <row r="13" spans="1:44">
      <c r="A13" s="513" t="s">
        <v>14329</v>
      </c>
      <c r="B13" s="513" t="s">
        <v>1474</v>
      </c>
      <c r="C13" s="513" t="s">
        <v>10383</v>
      </c>
      <c r="D13" s="512" t="s">
        <v>19098</v>
      </c>
      <c r="AO13" s="513" t="s">
        <v>19126</v>
      </c>
      <c r="AP13" s="513" t="s">
        <v>1510</v>
      </c>
      <c r="AQ13" s="513" t="s">
        <v>10383</v>
      </c>
      <c r="AR13" s="512" t="s">
        <v>15774</v>
      </c>
    </row>
    <row r="14" spans="1:44">
      <c r="A14" s="513" t="s">
        <v>19103</v>
      </c>
      <c r="B14" s="513" t="s">
        <v>1476</v>
      </c>
      <c r="C14" s="513" t="s">
        <v>10383</v>
      </c>
      <c r="D14" s="512" t="s">
        <v>19098</v>
      </c>
      <c r="AO14" s="513" t="s">
        <v>19127</v>
      </c>
      <c r="AP14" s="513" t="s">
        <v>1511</v>
      </c>
      <c r="AQ14" s="513" t="s">
        <v>10383</v>
      </c>
      <c r="AR14" s="512" t="s">
        <v>15774</v>
      </c>
    </row>
    <row r="15" spans="1:44">
      <c r="A15" s="513" t="s">
        <v>19104</v>
      </c>
      <c r="B15" s="513" t="s">
        <v>1477</v>
      </c>
      <c r="C15" s="513" t="s">
        <v>10383</v>
      </c>
      <c r="D15" s="512" t="s">
        <v>19098</v>
      </c>
      <c r="AO15" s="513" t="s">
        <v>460</v>
      </c>
      <c r="AP15" s="513" t="s">
        <v>1247</v>
      </c>
      <c r="AQ15" s="513" t="s">
        <v>10383</v>
      </c>
      <c r="AR15" s="512" t="s">
        <v>19128</v>
      </c>
    </row>
    <row r="16" spans="1:44">
      <c r="A16" s="513" t="s">
        <v>14321</v>
      </c>
      <c r="B16" s="513" t="s">
        <v>1478</v>
      </c>
      <c r="C16" s="513" t="s">
        <v>10394</v>
      </c>
      <c r="D16" s="512" t="s">
        <v>19098</v>
      </c>
      <c r="AO16" s="513" t="s">
        <v>19097</v>
      </c>
      <c r="AP16" s="513" t="s">
        <v>9546</v>
      </c>
      <c r="AQ16" s="513" t="s">
        <v>10383</v>
      </c>
      <c r="AR16" s="512" t="s">
        <v>19098</v>
      </c>
    </row>
    <row r="17" spans="1:44">
      <c r="A17" s="513" t="s">
        <v>19105</v>
      </c>
      <c r="B17" s="513" t="s">
        <v>1146</v>
      </c>
      <c r="C17" s="513" t="s">
        <v>10383</v>
      </c>
      <c r="D17" s="512" t="s">
        <v>19098</v>
      </c>
      <c r="AO17" s="513" t="s">
        <v>14302</v>
      </c>
      <c r="AP17" s="513" t="s">
        <v>9548</v>
      </c>
      <c r="AQ17" s="513" t="s">
        <v>10383</v>
      </c>
      <c r="AR17" s="512" t="s">
        <v>19098</v>
      </c>
    </row>
    <row r="18" spans="1:44">
      <c r="A18" s="513" t="s">
        <v>14311</v>
      </c>
      <c r="B18" s="513" t="s">
        <v>1479</v>
      </c>
      <c r="C18" s="513" t="s">
        <v>10383</v>
      </c>
      <c r="D18" s="512" t="s">
        <v>19098</v>
      </c>
      <c r="AO18" s="513" t="s">
        <v>19099</v>
      </c>
      <c r="AP18" s="513" t="s">
        <v>9550</v>
      </c>
      <c r="AQ18" s="513" t="s">
        <v>19100</v>
      </c>
      <c r="AR18" s="512" t="s">
        <v>19098</v>
      </c>
    </row>
    <row r="19" spans="1:44">
      <c r="A19" s="513" t="s">
        <v>14322</v>
      </c>
      <c r="B19" s="513" t="s">
        <v>1078</v>
      </c>
      <c r="C19" s="513" t="s">
        <v>10383</v>
      </c>
      <c r="D19" s="512" t="s">
        <v>19098</v>
      </c>
      <c r="AO19" s="513" t="s">
        <v>19101</v>
      </c>
      <c r="AP19" s="513" t="s">
        <v>9555</v>
      </c>
      <c r="AQ19" s="513" t="s">
        <v>19100</v>
      </c>
      <c r="AR19" s="512" t="s">
        <v>19098</v>
      </c>
    </row>
    <row r="20" spans="1:44">
      <c r="A20" s="513" t="s">
        <v>19106</v>
      </c>
      <c r="B20" s="513" t="s">
        <v>1480</v>
      </c>
      <c r="C20" s="513" t="s">
        <v>10394</v>
      </c>
      <c r="D20" s="512" t="s">
        <v>19098</v>
      </c>
      <c r="AO20" s="513" t="s">
        <v>19102</v>
      </c>
      <c r="AP20" s="513" t="s">
        <v>9552</v>
      </c>
      <c r="AQ20" s="513" t="s">
        <v>19100</v>
      </c>
      <c r="AR20" s="512" t="s">
        <v>19098</v>
      </c>
    </row>
    <row r="21" spans="1:44">
      <c r="A21" s="513" t="s">
        <v>19107</v>
      </c>
      <c r="B21" s="513" t="s">
        <v>1481</v>
      </c>
      <c r="C21" s="513" t="s">
        <v>19100</v>
      </c>
      <c r="D21" s="512" t="s">
        <v>19098</v>
      </c>
      <c r="AO21" s="513" t="s">
        <v>14305</v>
      </c>
      <c r="AP21" s="513" t="s">
        <v>978</v>
      </c>
      <c r="AQ21" s="513" t="s">
        <v>10383</v>
      </c>
      <c r="AR21" s="512" t="s">
        <v>19098</v>
      </c>
    </row>
    <row r="22" spans="1:44">
      <c r="A22" s="513" t="s">
        <v>14312</v>
      </c>
      <c r="B22" s="513" t="s">
        <v>1451</v>
      </c>
      <c r="C22" s="513" t="s">
        <v>10383</v>
      </c>
      <c r="D22" s="512" t="s">
        <v>19098</v>
      </c>
      <c r="AO22" s="513" t="s">
        <v>14307</v>
      </c>
      <c r="AP22" s="513" t="s">
        <v>1048</v>
      </c>
      <c r="AQ22" s="513" t="s">
        <v>10383</v>
      </c>
      <c r="AR22" s="512" t="s">
        <v>19098</v>
      </c>
    </row>
    <row r="23" spans="1:44">
      <c r="A23" s="513" t="s">
        <v>19080</v>
      </c>
      <c r="B23" s="513" t="s">
        <v>1307</v>
      </c>
      <c r="C23" s="513" t="s">
        <v>10383</v>
      </c>
      <c r="D23" s="512" t="s">
        <v>19098</v>
      </c>
      <c r="AO23" s="513" t="s">
        <v>14309</v>
      </c>
      <c r="AP23" s="513" t="s">
        <v>1129</v>
      </c>
      <c r="AQ23" s="513" t="s">
        <v>10383</v>
      </c>
      <c r="AR23" s="512" t="s">
        <v>19098</v>
      </c>
    </row>
    <row r="24" spans="1:44">
      <c r="A24" s="513" t="s">
        <v>19075</v>
      </c>
      <c r="B24" s="513" t="s">
        <v>1256</v>
      </c>
      <c r="C24" s="513" t="s">
        <v>10383</v>
      </c>
      <c r="D24" s="512" t="s">
        <v>19098</v>
      </c>
      <c r="AO24" s="513" t="s">
        <v>14308</v>
      </c>
      <c r="AP24" s="513" t="s">
        <v>1396</v>
      </c>
      <c r="AQ24" s="513" t="s">
        <v>10383</v>
      </c>
      <c r="AR24" s="512" t="s">
        <v>19098</v>
      </c>
    </row>
    <row r="25" spans="1:44">
      <c r="A25" s="513" t="s">
        <v>19073</v>
      </c>
      <c r="B25" s="513" t="s">
        <v>1309</v>
      </c>
      <c r="C25" s="513" t="s">
        <v>10383</v>
      </c>
      <c r="D25" s="512" t="s">
        <v>19098</v>
      </c>
      <c r="AO25" s="513" t="s">
        <v>14310</v>
      </c>
      <c r="AP25" s="513" t="s">
        <v>1473</v>
      </c>
      <c r="AQ25" s="513" t="s">
        <v>10383</v>
      </c>
      <c r="AR25" s="512" t="s">
        <v>19098</v>
      </c>
    </row>
    <row r="26" spans="1:44">
      <c r="A26" s="513" t="s">
        <v>14324</v>
      </c>
      <c r="B26" s="513" t="s">
        <v>1482</v>
      </c>
      <c r="C26" s="513" t="s">
        <v>10383</v>
      </c>
      <c r="D26" s="512" t="s">
        <v>19098</v>
      </c>
      <c r="AO26" s="513" t="s">
        <v>14327</v>
      </c>
      <c r="AP26" s="513" t="s">
        <v>1475</v>
      </c>
      <c r="AQ26" s="513" t="s">
        <v>10383</v>
      </c>
      <c r="AR26" s="512" t="s">
        <v>19098</v>
      </c>
    </row>
    <row r="27" spans="1:44">
      <c r="A27" s="513" t="s">
        <v>9560</v>
      </c>
      <c r="B27" s="513" t="s">
        <v>1264</v>
      </c>
      <c r="C27" s="513"/>
      <c r="D27" s="512" t="s">
        <v>19098</v>
      </c>
      <c r="AO27" s="513" t="s">
        <v>14329</v>
      </c>
      <c r="AP27" s="513" t="s">
        <v>1474</v>
      </c>
      <c r="AQ27" s="513" t="s">
        <v>10383</v>
      </c>
      <c r="AR27" s="512" t="s">
        <v>19098</v>
      </c>
    </row>
    <row r="28" spans="1:44">
      <c r="A28" s="513" t="s">
        <v>14349</v>
      </c>
      <c r="B28" s="513" t="s">
        <v>1483</v>
      </c>
      <c r="C28" s="513" t="s">
        <v>10383</v>
      </c>
      <c r="D28" s="512" t="s">
        <v>19098</v>
      </c>
      <c r="AO28" s="513" t="s">
        <v>19103</v>
      </c>
      <c r="AP28" s="513" t="s">
        <v>1476</v>
      </c>
      <c r="AQ28" s="513" t="s">
        <v>10383</v>
      </c>
      <c r="AR28" s="512" t="s">
        <v>19098</v>
      </c>
    </row>
    <row r="29" spans="1:44">
      <c r="A29" s="513" t="s">
        <v>14313</v>
      </c>
      <c r="B29" s="513" t="s">
        <v>1040</v>
      </c>
      <c r="C29" s="513" t="s">
        <v>10383</v>
      </c>
      <c r="D29" s="512" t="s">
        <v>19098</v>
      </c>
      <c r="AO29" s="513" t="s">
        <v>19104</v>
      </c>
      <c r="AP29" s="513" t="s">
        <v>1477</v>
      </c>
      <c r="AQ29" s="513" t="s">
        <v>10383</v>
      </c>
      <c r="AR29" s="512" t="s">
        <v>19098</v>
      </c>
    </row>
    <row r="30" spans="1:44">
      <c r="A30" s="513" t="s">
        <v>19108</v>
      </c>
      <c r="B30" s="513" t="s">
        <v>1485</v>
      </c>
      <c r="C30" s="513" t="s">
        <v>10383</v>
      </c>
      <c r="D30" s="512" t="s">
        <v>19098</v>
      </c>
      <c r="AO30" s="513" t="s">
        <v>14321</v>
      </c>
      <c r="AP30" s="513" t="s">
        <v>1478</v>
      </c>
      <c r="AQ30" s="513" t="s">
        <v>10394</v>
      </c>
      <c r="AR30" s="512" t="s">
        <v>19098</v>
      </c>
    </row>
    <row r="31" spans="1:44">
      <c r="A31" s="513" t="s">
        <v>19074</v>
      </c>
      <c r="B31" s="513" t="s">
        <v>1293</v>
      </c>
      <c r="C31" s="513" t="s">
        <v>10383</v>
      </c>
      <c r="D31" s="512" t="s">
        <v>19098</v>
      </c>
      <c r="AO31" s="513" t="s">
        <v>19105</v>
      </c>
      <c r="AP31" s="513" t="s">
        <v>1146</v>
      </c>
      <c r="AQ31" s="513" t="s">
        <v>10383</v>
      </c>
      <c r="AR31" s="512" t="s">
        <v>19098</v>
      </c>
    </row>
    <row r="32" spans="1:44">
      <c r="A32" s="513" t="s">
        <v>19109</v>
      </c>
      <c r="B32" s="513" t="s">
        <v>1484</v>
      </c>
      <c r="C32" s="513" t="s">
        <v>10383</v>
      </c>
      <c r="D32" s="512" t="s">
        <v>19098</v>
      </c>
      <c r="AO32" s="513" t="s">
        <v>14311</v>
      </c>
      <c r="AP32" s="513" t="s">
        <v>1479</v>
      </c>
      <c r="AQ32" s="513" t="s">
        <v>10383</v>
      </c>
      <c r="AR32" s="512" t="s">
        <v>19098</v>
      </c>
    </row>
    <row r="33" spans="1:44">
      <c r="A33" s="513" t="s">
        <v>14314</v>
      </c>
      <c r="B33" s="513" t="s">
        <v>1486</v>
      </c>
      <c r="C33" s="513" t="s">
        <v>10383</v>
      </c>
      <c r="D33" s="512" t="s">
        <v>19098</v>
      </c>
      <c r="AO33" s="513" t="s">
        <v>14322</v>
      </c>
      <c r="AP33" s="513" t="s">
        <v>1078</v>
      </c>
      <c r="AQ33" s="513" t="s">
        <v>10383</v>
      </c>
      <c r="AR33" s="512" t="s">
        <v>19098</v>
      </c>
    </row>
    <row r="34" spans="1:44">
      <c r="A34" s="513" t="s">
        <v>19110</v>
      </c>
      <c r="B34" s="513" t="s">
        <v>1487</v>
      </c>
      <c r="C34" s="513" t="s">
        <v>10383</v>
      </c>
      <c r="D34" s="512" t="s">
        <v>19098</v>
      </c>
      <c r="AO34" s="513" t="s">
        <v>19106</v>
      </c>
      <c r="AP34" s="513" t="s">
        <v>1480</v>
      </c>
      <c r="AQ34" s="513" t="s">
        <v>10394</v>
      </c>
      <c r="AR34" s="512" t="s">
        <v>19098</v>
      </c>
    </row>
    <row r="35" spans="1:44">
      <c r="A35" s="513" t="s">
        <v>19111</v>
      </c>
      <c r="B35" s="513" t="s">
        <v>1488</v>
      </c>
      <c r="C35" s="513" t="s">
        <v>10383</v>
      </c>
      <c r="D35" s="512" t="s">
        <v>19098</v>
      </c>
      <c r="AO35" s="513" t="s">
        <v>19107</v>
      </c>
      <c r="AP35" s="513" t="s">
        <v>1481</v>
      </c>
      <c r="AQ35" s="513" t="s">
        <v>19100</v>
      </c>
      <c r="AR35" s="512" t="s">
        <v>19098</v>
      </c>
    </row>
    <row r="36" spans="1:44">
      <c r="A36" s="513" t="s">
        <v>19112</v>
      </c>
      <c r="B36" s="513" t="s">
        <v>1489</v>
      </c>
      <c r="C36" s="513" t="s">
        <v>10383</v>
      </c>
      <c r="D36" s="512" t="s">
        <v>19098</v>
      </c>
      <c r="AO36" s="513" t="s">
        <v>14312</v>
      </c>
      <c r="AP36" s="513" t="s">
        <v>1451</v>
      </c>
      <c r="AQ36" s="513" t="s">
        <v>10383</v>
      </c>
      <c r="AR36" s="512" t="s">
        <v>19098</v>
      </c>
    </row>
    <row r="37" spans="1:44">
      <c r="A37" s="513" t="s">
        <v>14330</v>
      </c>
      <c r="B37" s="513" t="s">
        <v>1490</v>
      </c>
      <c r="C37" s="513" t="s">
        <v>10383</v>
      </c>
      <c r="D37" s="512" t="s">
        <v>19098</v>
      </c>
      <c r="AO37" s="513" t="s">
        <v>19080</v>
      </c>
      <c r="AP37" s="513" t="s">
        <v>1307</v>
      </c>
      <c r="AQ37" s="513" t="s">
        <v>10383</v>
      </c>
      <c r="AR37" s="512" t="s">
        <v>19098</v>
      </c>
    </row>
    <row r="38" spans="1:44">
      <c r="AO38" s="513" t="s">
        <v>19075</v>
      </c>
      <c r="AP38" s="513" t="s">
        <v>1256</v>
      </c>
      <c r="AQ38" s="513" t="s">
        <v>10383</v>
      </c>
      <c r="AR38" s="512" t="s">
        <v>19098</v>
      </c>
    </row>
    <row r="39" spans="1:44">
      <c r="AO39" s="513" t="s">
        <v>19073</v>
      </c>
      <c r="AP39" s="513" t="s">
        <v>1309</v>
      </c>
      <c r="AQ39" s="513" t="s">
        <v>10383</v>
      </c>
      <c r="AR39" s="512" t="s">
        <v>19098</v>
      </c>
    </row>
    <row r="40" spans="1:44">
      <c r="AO40" s="513" t="s">
        <v>14324</v>
      </c>
      <c r="AP40" s="513" t="s">
        <v>1482</v>
      </c>
      <c r="AQ40" s="513" t="s">
        <v>10383</v>
      </c>
      <c r="AR40" s="512" t="s">
        <v>19098</v>
      </c>
    </row>
    <row r="41" spans="1:44">
      <c r="AO41" s="513" t="s">
        <v>9560</v>
      </c>
      <c r="AP41" s="513" t="s">
        <v>1264</v>
      </c>
      <c r="AQ41" s="513"/>
      <c r="AR41" s="512" t="s">
        <v>19098</v>
      </c>
    </row>
    <row r="42" spans="1:44">
      <c r="AO42" s="513" t="s">
        <v>14349</v>
      </c>
      <c r="AP42" s="513" t="s">
        <v>1483</v>
      </c>
      <c r="AQ42" s="513" t="s">
        <v>10383</v>
      </c>
      <c r="AR42" s="512" t="s">
        <v>19098</v>
      </c>
    </row>
    <row r="43" spans="1:44">
      <c r="AO43" s="513" t="s">
        <v>14313</v>
      </c>
      <c r="AP43" s="513" t="s">
        <v>1040</v>
      </c>
      <c r="AQ43" s="513" t="s">
        <v>10383</v>
      </c>
      <c r="AR43" s="512" t="s">
        <v>19098</v>
      </c>
    </row>
    <row r="44" spans="1:44">
      <c r="AO44" s="513" t="s">
        <v>19108</v>
      </c>
      <c r="AP44" s="513" t="s">
        <v>1485</v>
      </c>
      <c r="AQ44" s="513" t="s">
        <v>10383</v>
      </c>
      <c r="AR44" s="512" t="s">
        <v>19098</v>
      </c>
    </row>
    <row r="45" spans="1:44">
      <c r="AO45" s="513" t="s">
        <v>19074</v>
      </c>
      <c r="AP45" s="513" t="s">
        <v>1293</v>
      </c>
      <c r="AQ45" s="513" t="s">
        <v>10383</v>
      </c>
      <c r="AR45" s="512" t="s">
        <v>19098</v>
      </c>
    </row>
    <row r="46" spans="1:44">
      <c r="AO46" s="513" t="s">
        <v>19109</v>
      </c>
      <c r="AP46" s="513" t="s">
        <v>1484</v>
      </c>
      <c r="AQ46" s="513" t="s">
        <v>10383</v>
      </c>
      <c r="AR46" s="512" t="s">
        <v>19098</v>
      </c>
    </row>
    <row r="47" spans="1:44">
      <c r="AO47" s="513" t="s">
        <v>14314</v>
      </c>
      <c r="AP47" s="513" t="s">
        <v>1486</v>
      </c>
      <c r="AQ47" s="513" t="s">
        <v>10383</v>
      </c>
      <c r="AR47" s="512" t="s">
        <v>19098</v>
      </c>
    </row>
    <row r="48" spans="1:44">
      <c r="AO48" s="513" t="s">
        <v>19110</v>
      </c>
      <c r="AP48" s="513" t="s">
        <v>1487</v>
      </c>
      <c r="AQ48" s="513" t="s">
        <v>10383</v>
      </c>
      <c r="AR48" s="512" t="s">
        <v>19098</v>
      </c>
    </row>
    <row r="49" spans="41:44">
      <c r="AO49" s="513" t="s">
        <v>19111</v>
      </c>
      <c r="AP49" s="513" t="s">
        <v>1488</v>
      </c>
      <c r="AQ49" s="513" t="s">
        <v>10383</v>
      </c>
      <c r="AR49" s="512" t="s">
        <v>19098</v>
      </c>
    </row>
    <row r="50" spans="41:44">
      <c r="AO50" s="513" t="s">
        <v>19112</v>
      </c>
      <c r="AP50" s="513" t="s">
        <v>1489</v>
      </c>
      <c r="AQ50" s="513" t="s">
        <v>10383</v>
      </c>
      <c r="AR50" s="512" t="s">
        <v>19098</v>
      </c>
    </row>
    <row r="51" spans="41:44">
      <c r="AO51" s="513" t="s">
        <v>14330</v>
      </c>
      <c r="AP51" s="513" t="s">
        <v>1490</v>
      </c>
      <c r="AQ51" s="513" t="s">
        <v>10383</v>
      </c>
      <c r="AR51" s="512" t="s">
        <v>19098</v>
      </c>
    </row>
    <row r="52" spans="41:44">
      <c r="AO52" s="513" t="s">
        <v>19129</v>
      </c>
      <c r="AP52" s="513" t="s">
        <v>1514</v>
      </c>
      <c r="AQ52" s="513" t="s">
        <v>10383</v>
      </c>
      <c r="AR52" s="512" t="s">
        <v>19130</v>
      </c>
    </row>
    <row r="53" spans="41:44">
      <c r="AO53" s="513" t="s">
        <v>19131</v>
      </c>
      <c r="AP53" s="513" t="s">
        <v>1515</v>
      </c>
      <c r="AQ53" s="513" t="s">
        <v>10383</v>
      </c>
      <c r="AR53" s="512" t="s">
        <v>19130</v>
      </c>
    </row>
    <row r="54" spans="41:44">
      <c r="AO54" s="513" t="s">
        <v>19132</v>
      </c>
      <c r="AP54" s="513" t="s">
        <v>1518</v>
      </c>
      <c r="AQ54" s="513" t="s">
        <v>10383</v>
      </c>
      <c r="AR54" s="512" t="s">
        <v>462</v>
      </c>
    </row>
    <row r="55" spans="41:44">
      <c r="AO55" s="513" t="s">
        <v>19133</v>
      </c>
      <c r="AP55" s="513" t="s">
        <v>1517</v>
      </c>
      <c r="AQ55" s="513" t="s">
        <v>10383</v>
      </c>
      <c r="AR55" s="512" t="s">
        <v>462</v>
      </c>
    </row>
    <row r="56" spans="41:44">
      <c r="AO56" s="513" t="s">
        <v>19134</v>
      </c>
      <c r="AP56" s="513" t="s">
        <v>1519</v>
      </c>
      <c r="AQ56" s="513" t="s">
        <v>10383</v>
      </c>
      <c r="AR56" s="512" t="s">
        <v>462</v>
      </c>
    </row>
    <row r="57" spans="41:44">
      <c r="AO57" s="513" t="s">
        <v>19135</v>
      </c>
      <c r="AP57" s="513" t="s">
        <v>1521</v>
      </c>
      <c r="AQ57" s="513" t="s">
        <v>10383</v>
      </c>
      <c r="AR57" s="512" t="s">
        <v>19136</v>
      </c>
    </row>
    <row r="58" spans="41:44">
      <c r="AO58" s="513" t="s">
        <v>19137</v>
      </c>
      <c r="AP58" s="513" t="s">
        <v>1524</v>
      </c>
      <c r="AQ58" s="513" t="s">
        <v>10383</v>
      </c>
      <c r="AR58" s="512" t="s">
        <v>19136</v>
      </c>
    </row>
    <row r="59" spans="41:44">
      <c r="AO59" s="513" t="s">
        <v>19138</v>
      </c>
      <c r="AP59" s="513" t="s">
        <v>1522</v>
      </c>
      <c r="AQ59" s="513" t="s">
        <v>10383</v>
      </c>
      <c r="AR59" s="512" t="s">
        <v>19136</v>
      </c>
    </row>
    <row r="60" spans="41:44">
      <c r="AO60" s="513" t="s">
        <v>19139</v>
      </c>
      <c r="AP60" s="513" t="s">
        <v>1523</v>
      </c>
      <c r="AQ60" s="513" t="s">
        <v>10383</v>
      </c>
      <c r="AR60" s="512" t="s">
        <v>19136</v>
      </c>
    </row>
    <row r="61" spans="41:44">
      <c r="AO61" s="513" t="s">
        <v>14332</v>
      </c>
      <c r="AP61" s="513" t="s">
        <v>1453</v>
      </c>
      <c r="AQ61" s="513" t="s">
        <v>10394</v>
      </c>
      <c r="AR61" s="512" t="s">
        <v>19113</v>
      </c>
    </row>
    <row r="62" spans="41:44">
      <c r="AO62" s="513" t="s">
        <v>14333</v>
      </c>
      <c r="AP62" s="513" t="s">
        <v>1429</v>
      </c>
      <c r="AQ62" s="513" t="s">
        <v>10394</v>
      </c>
      <c r="AR62" s="512" t="s">
        <v>19113</v>
      </c>
    </row>
    <row r="63" spans="41:44">
      <c r="AO63" s="513" t="s">
        <v>14334</v>
      </c>
      <c r="AP63" s="513" t="s">
        <v>1448</v>
      </c>
      <c r="AQ63" s="513" t="s">
        <v>10394</v>
      </c>
      <c r="AR63" s="512" t="s">
        <v>19113</v>
      </c>
    </row>
    <row r="64" spans="41:44">
      <c r="AO64" s="513" t="s">
        <v>14336</v>
      </c>
      <c r="AP64" s="513" t="s">
        <v>1496</v>
      </c>
      <c r="AQ64" s="513" t="s">
        <v>19114</v>
      </c>
      <c r="AR64" s="512" t="s">
        <v>19113</v>
      </c>
    </row>
    <row r="65" spans="41:44">
      <c r="AO65" s="513" t="s">
        <v>14337</v>
      </c>
      <c r="AP65" s="513" t="s">
        <v>1450</v>
      </c>
      <c r="AQ65" s="513" t="s">
        <v>19114</v>
      </c>
      <c r="AR65" s="512" t="s">
        <v>19113</v>
      </c>
    </row>
    <row r="66" spans="41:44">
      <c r="AO66" s="513" t="s">
        <v>14335</v>
      </c>
      <c r="AP66" s="513" t="s">
        <v>1492</v>
      </c>
      <c r="AQ66" s="513" t="s">
        <v>10394</v>
      </c>
      <c r="AR66" s="512" t="s">
        <v>19113</v>
      </c>
    </row>
    <row r="67" spans="41:44">
      <c r="AO67" s="513" t="s">
        <v>19115</v>
      </c>
      <c r="AP67" s="513" t="s">
        <v>1449</v>
      </c>
      <c r="AQ67" s="513" t="s">
        <v>10383</v>
      </c>
      <c r="AR67" s="512" t="s">
        <v>19113</v>
      </c>
    </row>
    <row r="68" spans="41:44">
      <c r="AO68" s="513" t="s">
        <v>14338</v>
      </c>
      <c r="AP68" s="513" t="s">
        <v>1493</v>
      </c>
      <c r="AQ68" s="513" t="s">
        <v>10394</v>
      </c>
      <c r="AR68" s="512" t="s">
        <v>19113</v>
      </c>
    </row>
    <row r="69" spans="41:44">
      <c r="AO69" s="513" t="s">
        <v>14339</v>
      </c>
      <c r="AP69" s="513" t="s">
        <v>1494</v>
      </c>
      <c r="AQ69" s="513" t="s">
        <v>10394</v>
      </c>
      <c r="AR69" s="512" t="s">
        <v>19113</v>
      </c>
    </row>
    <row r="70" spans="41:44">
      <c r="AO70" s="513" t="s">
        <v>14340</v>
      </c>
      <c r="AP70" s="513" t="s">
        <v>1249</v>
      </c>
      <c r="AQ70" s="513" t="s">
        <v>10394</v>
      </c>
      <c r="AR70" s="512" t="s">
        <v>19113</v>
      </c>
    </row>
    <row r="71" spans="41:44">
      <c r="AO71" s="513" t="s">
        <v>14341</v>
      </c>
      <c r="AP71" s="513" t="s">
        <v>1495</v>
      </c>
      <c r="AQ71" s="513" t="s">
        <v>10394</v>
      </c>
      <c r="AR71" s="512" t="s">
        <v>19113</v>
      </c>
    </row>
  </sheetData>
  <pageMargins left="0.7" right="0.7" top="0.75" bottom="0.75" header="0.3" footer="0.3"/>
  <tableParts count="9">
    <tablePart r:id="rId1"/>
    <tablePart r:id="rId2"/>
    <tablePart r:id="rId3"/>
    <tablePart r:id="rId4"/>
    <tablePart r:id="rId5"/>
    <tablePart r:id="rId6"/>
    <tablePart r:id="rId7"/>
    <tablePart r:id="rId8"/>
    <tablePart r:id="rId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Application xmlns="http://www.sap.com/cof/excel/application">
  <Version>3</Version>
  <Revision>2.7.800.91299</Revision>
</Application>
</file>

<file path=customXml/item2.xml><?xml version="1.0" encoding="utf-8"?>
<WorkbookConfiguration xmlns="http://www.sap.com/cof/excel/workbook/configuration">
  <ProtectionConfiguration>
    <ProtectionType>WorkbookProtection</ProtectionType>
    <EncryptedPassword>DLSfYUiYFWOXPNt/maGj5Q==</EncryptedPassword>
    <Options>DefaultProtection</Options>
    <PluginCustomOptions>
      <CustomOptions PluginId="com.sap.epm.FPMXLClient" Options=",groupOutlining"/>
    </PluginCustomOptions>
  </ProtectionConfiguration>
</WorkbookConfiguration>
</file>

<file path=customXml/item3.xml>�� 
</file>

<file path=customXml/item4.xml><?xml version="1.0" encoding="utf-8"?>
<ct:contentTypeSchema xmlns:ct="http://schemas.microsoft.com/office/2006/metadata/contentType" xmlns:ma="http://schemas.microsoft.com/office/2006/metadata/properties/metaAttributes" ct:_="" ma:_="" ma:contentTypeName="Documento" ma:contentTypeID="0x0101002680B9E9E5251046B7C162313310FACC" ma:contentTypeVersion="4" ma:contentTypeDescription="Crear nuevo documento." ma:contentTypeScope="" ma:versionID="5d922858608decd0aca3199a27b7e12d">
  <xsd:schema xmlns:xsd="http://www.w3.org/2001/XMLSchema" xmlns:xs="http://www.w3.org/2001/XMLSchema" xmlns:p="http://schemas.microsoft.com/office/2006/metadata/properties" xmlns:ns2="3f5d00fd-1fe1-4b5f-a4a7-229f4a056dbc" xmlns:ns3="47a8ac14-d891-4c06-976c-2f4179ffd877" targetNamespace="http://schemas.microsoft.com/office/2006/metadata/properties" ma:root="true" ma:fieldsID="dc6115acf710ed9bb052abf25e22e459" ns2:_="" ns3:_="">
    <xsd:import namespace="3f5d00fd-1fe1-4b5f-a4a7-229f4a056dbc"/>
    <xsd:import namespace="47a8ac14-d891-4c06-976c-2f4179ffd8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f5d00fd-1fe1-4b5f-a4a7-229f4a056db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7a8ac14-d891-4c06-976c-2f4179ffd877" elementFormDefault="qualified">
    <xsd:import namespace="http://schemas.microsoft.com/office/2006/documentManagement/types"/>
    <xsd:import namespace="http://schemas.microsoft.com/office/infopath/2007/PartnerControls"/>
    <xsd:element name="SharedWithUsers" ma:index="10"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AAB7039-193A-4676-A4F7-4EC485D2DF56}">
  <ds:schemaRefs>
    <ds:schemaRef ds:uri="http://www.sap.com/cof/excel/application"/>
  </ds:schemaRefs>
</ds:datastoreItem>
</file>

<file path=customXml/itemProps2.xml><?xml version="1.0" encoding="utf-8"?>
<ds:datastoreItem xmlns:ds="http://schemas.openxmlformats.org/officeDocument/2006/customXml" ds:itemID="{F19DFCA9-12CA-4C65-AF9A-D0123ABBD228}">
  <ds:schemaRefs>
    <ds:schemaRef ds:uri="http://www.sap.com/cof/excel/workbook/configuration"/>
  </ds:schemaRefs>
</ds:datastoreItem>
</file>

<file path=customXml/itemProps3.xml><?xml version="1.0" encoding="utf-8"?>
<ds:datastoreItem xmlns:ds="http://schemas.openxmlformats.org/officeDocument/2006/customXml" ds:itemID="{AF51BFBB-BA87-4566-9DB7-F391961BEB76}">
  <ds:schemaRefs>
    <ds:schemaRef ds:uri="http://schemas.microsoft.com/DataMashup"/>
  </ds:schemaRefs>
</ds:datastoreItem>
</file>

<file path=customXml/itemProps4.xml><?xml version="1.0" encoding="utf-8"?>
<ds:datastoreItem xmlns:ds="http://schemas.openxmlformats.org/officeDocument/2006/customXml" ds:itemID="{1883BCD7-9A35-4986-B4D8-EE6D080839BA}"/>
</file>

<file path=customXml/itemProps5.xml><?xml version="1.0" encoding="utf-8"?>
<ds:datastoreItem xmlns:ds="http://schemas.openxmlformats.org/officeDocument/2006/customXml" ds:itemID="{EA16578A-DFDD-4A5D-8D65-2C9E471A6DC5}"/>
</file>

<file path=customXml/itemProps6.xml><?xml version="1.0" encoding="utf-8"?>
<ds:datastoreItem xmlns:ds="http://schemas.openxmlformats.org/officeDocument/2006/customXml" ds:itemID="{BA2775A3-DF40-48D1-9F88-E6D73CB1BAA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47</vt:i4>
      </vt:variant>
    </vt:vector>
  </HeadingPairs>
  <TitlesOfParts>
    <vt:vector size="58" baseType="lpstr">
      <vt:lpstr>CONVENCION</vt:lpstr>
      <vt:lpstr>Resultados</vt:lpstr>
      <vt:lpstr>900000</vt:lpstr>
      <vt:lpstr>900001</vt:lpstr>
      <vt:lpstr>900002</vt:lpstr>
      <vt:lpstr>900003</vt:lpstr>
      <vt:lpstr>900004</vt:lpstr>
      <vt:lpstr>900005</vt:lpstr>
      <vt:lpstr>900006</vt:lpstr>
      <vt:lpstr>900007</vt:lpstr>
      <vt:lpstr>900008</vt:lpstr>
      <vt:lpstr>FECHAS2</vt:lpstr>
      <vt:lpstr>LISTA_1_900000</vt:lpstr>
      <vt:lpstr>LISTA_1_900001</vt:lpstr>
      <vt:lpstr>LISTA_1_900003</vt:lpstr>
      <vt:lpstr>LISTA_1_900005</vt:lpstr>
      <vt:lpstr>LISTA_1_900008</vt:lpstr>
      <vt:lpstr>LISTA_2_900000</vt:lpstr>
      <vt:lpstr>LISTA_2_900008</vt:lpstr>
      <vt:lpstr>LISTA_3_900000</vt:lpstr>
      <vt:lpstr>NUM_1_900000</vt:lpstr>
      <vt:lpstr>NUM_1_900002</vt:lpstr>
      <vt:lpstr>NUM_1_900003</vt:lpstr>
      <vt:lpstr>NUM_1_900004</vt:lpstr>
      <vt:lpstr>NUM_1_900005</vt:lpstr>
      <vt:lpstr>NUM_1_900006</vt:lpstr>
      <vt:lpstr>NUM_1_900007</vt:lpstr>
      <vt:lpstr>NUM_1_900008</vt:lpstr>
      <vt:lpstr>NUM_2_900000</vt:lpstr>
      <vt:lpstr>NUM_2_900004</vt:lpstr>
      <vt:lpstr>NUM_2_900007</vt:lpstr>
      <vt:lpstr>NUM_2_900008</vt:lpstr>
      <vt:lpstr>NUM_3_900000</vt:lpstr>
      <vt:lpstr>NUM_3_900004</vt:lpstr>
      <vt:lpstr>NUM_3_900008</vt:lpstr>
      <vt:lpstr>NUM_4_900000</vt:lpstr>
      <vt:lpstr>NUM_4_900008</vt:lpstr>
      <vt:lpstr>NUM_5_900000</vt:lpstr>
      <vt:lpstr>TEXTOS_1_900000</vt:lpstr>
      <vt:lpstr>TEXTOS_1_900001</vt:lpstr>
      <vt:lpstr>TEXTOS_1_900002</vt:lpstr>
      <vt:lpstr>TEXTOS_1_900003</vt:lpstr>
      <vt:lpstr>TEXTOS_1_900004</vt:lpstr>
      <vt:lpstr>TEXTOS_1_900005</vt:lpstr>
      <vt:lpstr>TEXTOS_1_900006</vt:lpstr>
      <vt:lpstr>TEXTOS_1_900007</vt:lpstr>
      <vt:lpstr>TEXTOS_1_900008</vt:lpstr>
      <vt:lpstr>TEXTOS_2_900000</vt:lpstr>
      <vt:lpstr>TEXTOS_2_900001</vt:lpstr>
      <vt:lpstr>TEXTOS_2_900003</vt:lpstr>
      <vt:lpstr>TEXTOS_2_900004</vt:lpstr>
      <vt:lpstr>TEXTOS_2_900005</vt:lpstr>
      <vt:lpstr>TEXTOS_2_900006</vt:lpstr>
      <vt:lpstr>TEXTOS_2_900007</vt:lpstr>
      <vt:lpstr>TEXTOS_2_900008</vt:lpstr>
      <vt:lpstr>TEXTOS_3_900005</vt:lpstr>
      <vt:lpstr>TEXTOS_3_900008</vt:lpstr>
      <vt:lpstr>TEXTOS_4_900008</vt:lpstr>
    </vt:vector>
  </TitlesOfParts>
  <Company>Hewlett-Packard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Consultor</dc:creator>
  <cp:lastModifiedBy>Juan Pablo Ballen</cp:lastModifiedBy>
  <dcterms:created xsi:type="dcterms:W3CDTF">2016-01-07T23:17:06Z</dcterms:created>
  <dcterms:modified xsi:type="dcterms:W3CDTF">2020-10-28T21:38:12Z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671ad6-44c5-4e3f-9d65-d2a74e83e438_Enabled">
    <vt:lpwstr>True</vt:lpwstr>
  </property>
  <property fmtid="{D5CDD505-2E9C-101B-9397-08002B2CF9AE}" pid="3" name="MSIP_Label_de671ad6-44c5-4e3f-9d65-d2a74e83e438_SiteId">
    <vt:lpwstr>a63b44bf-1fc8-483c-a5a1-b2ef4176cfe0</vt:lpwstr>
  </property>
  <property fmtid="{D5CDD505-2E9C-101B-9397-08002B2CF9AE}" pid="4" name="MSIP_Label_de671ad6-44c5-4e3f-9d65-d2a74e83e438_Ref">
    <vt:lpwstr>https://api.informationprotection.azure.com/api/a63b44bf-1fc8-483c-a5a1-b2ef4176cfe0</vt:lpwstr>
  </property>
  <property fmtid="{D5CDD505-2E9C-101B-9397-08002B2CF9AE}" pid="5" name="MSIP_Label_de671ad6-44c5-4e3f-9d65-d2a74e83e438_SetBy">
    <vt:lpwstr>VCANTI@valorem.com.co</vt:lpwstr>
  </property>
  <property fmtid="{D5CDD505-2E9C-101B-9397-08002B2CF9AE}" pid="6" name="MSIP_Label_de671ad6-44c5-4e3f-9d65-d2a74e83e438_SetDate">
    <vt:lpwstr>2017-07-13T17:14:40.1844951-05:00</vt:lpwstr>
  </property>
  <property fmtid="{D5CDD505-2E9C-101B-9397-08002B2CF9AE}" pid="7" name="MSIP_Label_de671ad6-44c5-4e3f-9d65-d2a74e83e438_Name">
    <vt:lpwstr>Pública</vt:lpwstr>
  </property>
  <property fmtid="{D5CDD505-2E9C-101B-9397-08002B2CF9AE}" pid="8" name="MSIP_Label_de671ad6-44c5-4e3f-9d65-d2a74e83e438_Application">
    <vt:lpwstr>Microsoft Azure Information Protection</vt:lpwstr>
  </property>
  <property fmtid="{D5CDD505-2E9C-101B-9397-08002B2CF9AE}" pid="9" name="MSIP_Label_de671ad6-44c5-4e3f-9d65-d2a74e83e438_Extended_MSFT_Method">
    <vt:lpwstr>Automatic</vt:lpwstr>
  </property>
  <property fmtid="{D5CDD505-2E9C-101B-9397-08002B2CF9AE}" pid="10" name="Sensitivity">
    <vt:lpwstr>Pública</vt:lpwstr>
  </property>
  <property fmtid="{D5CDD505-2E9C-101B-9397-08002B2CF9AE}" pid="11" name="ContentTypeId">
    <vt:lpwstr>0x0101002680B9E9E5251046B7C162313310FACC</vt:lpwstr>
  </property>
</Properties>
</file>